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P:\TSY\WIP2025\TSY950_BUDGET 2025\FSM\"/>
    </mc:Choice>
  </mc:AlternateContent>
  <xr:revisionPtr revIDLastSave="0" documentId="8_{6299E016-918C-4C4B-9159-C972D9EAB4A7}" xr6:coauthVersionLast="47" xr6:coauthVersionMax="47" xr10:uidLastSave="{00000000-0000-0000-0000-000000000000}"/>
  <bookViews>
    <workbookView xWindow="28680" yWindow="45" windowWidth="29040" windowHeight="15840" firstSheet="1" activeTab="1" xr2:uid="{FE2A1130-C43E-44C0-B00E-9BED7CC3EF54}"/>
  </bookViews>
  <sheets>
    <sheet name="Display" sheetId="11" state="hidden" r:id="rId1"/>
    <sheet name="Guide" sheetId="7" r:id="rId2"/>
    <sheet name="Sources" sheetId="8" r:id="rId3"/>
    <sheet name="Statistics NZ" sheetId="1" r:id="rId4"/>
    <sheet name="Population Treasury" sheetId="2" r:id="rId5"/>
    <sheet name="Labour Force Treasury" sheetId="4" r:id="rId6"/>
    <sheet name="Exogenous" sheetId="9" r:id="rId7"/>
    <sheet name="NZSF Adjuster" sheetId="15" r:id="rId8"/>
    <sheet name="Fiscal Forecast Adjuster" sheetId="14" r:id="rId9"/>
    <sheet name="Allocation" sheetId="19" r:id="rId10"/>
    <sheet name="Fiscal Outturns" sheetId="16" r:id="rId11"/>
    <sheet name="Economic Forecasts" sheetId="3" r:id="rId12"/>
    <sheet name="Fiscal Forecasts" sheetId="10" r:id="rId13"/>
    <sheet name="Assumptions" sheetId="37" r:id="rId14"/>
    <sheet name="Scenario 1" sheetId="36" r:id="rId15"/>
    <sheet name="Scenario 2" sheetId="38" r:id="rId16"/>
    <sheet name="Scenario 3" sheetId="39" r:id="rId17"/>
    <sheet name="Scenario 4" sheetId="40" r:id="rId18"/>
    <sheet name="Option" sheetId="41"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78" i="41" l="1"/>
  <c r="L378" i="41"/>
  <c r="M378" i="41"/>
  <c r="N378" i="41"/>
  <c r="K379" i="41"/>
  <c r="L379" i="41"/>
  <c r="M379" i="41"/>
  <c r="N379" i="41"/>
  <c r="O379" i="41" s="1"/>
  <c r="P379" i="41" s="1"/>
  <c r="Q379" i="41" s="1"/>
  <c r="R379" i="41" s="1"/>
  <c r="S379" i="41" s="1"/>
  <c r="T379" i="41" s="1"/>
  <c r="U379" i="41" s="1"/>
  <c r="V379" i="41" s="1"/>
  <c r="W379" i="41" s="1"/>
  <c r="X379" i="41" s="1"/>
  <c r="K369" i="41"/>
  <c r="L369" i="41"/>
  <c r="M369" i="41"/>
  <c r="N369" i="41"/>
  <c r="K370" i="41"/>
  <c r="L370" i="41"/>
  <c r="M370" i="41"/>
  <c r="N370" i="41"/>
  <c r="K394" i="41"/>
  <c r="K457" i="41" s="1"/>
  <c r="L394" i="41"/>
  <c r="M394" i="41"/>
  <c r="N394" i="41"/>
  <c r="K395" i="41"/>
  <c r="L395" i="41"/>
  <c r="M395" i="41"/>
  <c r="N395" i="41"/>
  <c r="N483" i="41" s="1"/>
  <c r="N484" i="41" s="1"/>
  <c r="L328" i="41"/>
  <c r="M328" i="41"/>
  <c r="N328" i="41"/>
  <c r="K328" i="41"/>
  <c r="J328" i="41"/>
  <c r="K38" i="41"/>
  <c r="L38" i="41"/>
  <c r="M38" i="41"/>
  <c r="N38" i="41"/>
  <c r="K40" i="41"/>
  <c r="L40" i="41"/>
  <c r="M40" i="41"/>
  <c r="N40" i="41"/>
  <c r="K43" i="41"/>
  <c r="L43" i="41"/>
  <c r="M43" i="41"/>
  <c r="N43" i="41"/>
  <c r="K44" i="41"/>
  <c r="L44" i="41"/>
  <c r="M44" i="41"/>
  <c r="N44" i="41"/>
  <c r="K59" i="41"/>
  <c r="L59" i="41"/>
  <c r="M59" i="41"/>
  <c r="N59" i="41"/>
  <c r="K72" i="41"/>
  <c r="L72" i="41"/>
  <c r="M72" i="41"/>
  <c r="N72" i="41"/>
  <c r="K73" i="41"/>
  <c r="L73" i="41"/>
  <c r="M73" i="41"/>
  <c r="N73" i="41"/>
  <c r="K75" i="41"/>
  <c r="L75" i="41"/>
  <c r="M75" i="41"/>
  <c r="N75" i="41"/>
  <c r="K77" i="41"/>
  <c r="L77" i="41"/>
  <c r="M77" i="41"/>
  <c r="M400" i="41" s="1"/>
  <c r="N77" i="41"/>
  <c r="N400" i="41" s="1"/>
  <c r="K79" i="41"/>
  <c r="L79" i="41"/>
  <c r="M79" i="41"/>
  <c r="N79" i="41"/>
  <c r="K80" i="41"/>
  <c r="L80" i="41"/>
  <c r="M80" i="41"/>
  <c r="N80" i="41"/>
  <c r="K84" i="41"/>
  <c r="L84" i="41"/>
  <c r="M84" i="41"/>
  <c r="N84" i="41"/>
  <c r="K88" i="41"/>
  <c r="L88" i="41"/>
  <c r="M88" i="41"/>
  <c r="N88" i="41"/>
  <c r="K89" i="41"/>
  <c r="L89" i="41"/>
  <c r="M89" i="41"/>
  <c r="N89" i="41"/>
  <c r="K90" i="41"/>
  <c r="L90" i="41"/>
  <c r="M90" i="41"/>
  <c r="N90" i="41"/>
  <c r="K94" i="41"/>
  <c r="L94" i="41"/>
  <c r="M94" i="41"/>
  <c r="N94" i="41"/>
  <c r="K100" i="41"/>
  <c r="L100" i="41"/>
  <c r="M100" i="41"/>
  <c r="N100" i="41"/>
  <c r="K101" i="41"/>
  <c r="L101" i="41"/>
  <c r="M101" i="41"/>
  <c r="N101" i="41"/>
  <c r="K102" i="41"/>
  <c r="L102" i="41"/>
  <c r="M102" i="41"/>
  <c r="N102" i="41"/>
  <c r="K103" i="41"/>
  <c r="L103" i="41"/>
  <c r="M103" i="41"/>
  <c r="N103" i="41"/>
  <c r="K104" i="41"/>
  <c r="L104" i="41"/>
  <c r="M104" i="41"/>
  <c r="N104" i="41"/>
  <c r="K107" i="41"/>
  <c r="L107" i="41"/>
  <c r="M107" i="41"/>
  <c r="N107" i="41"/>
  <c r="K109" i="41"/>
  <c r="L109" i="41"/>
  <c r="M109" i="41"/>
  <c r="N109" i="41"/>
  <c r="K115" i="41"/>
  <c r="L115" i="41"/>
  <c r="M115" i="41"/>
  <c r="N115" i="41"/>
  <c r="K116" i="41"/>
  <c r="L116" i="41"/>
  <c r="M116" i="41"/>
  <c r="N116" i="41"/>
  <c r="K117" i="41"/>
  <c r="L117" i="41"/>
  <c r="M117" i="41"/>
  <c r="N117" i="41"/>
  <c r="K118" i="41"/>
  <c r="L118" i="41"/>
  <c r="M118" i="41"/>
  <c r="N118" i="41"/>
  <c r="K119" i="41"/>
  <c r="L119" i="41"/>
  <c r="M119" i="41"/>
  <c r="N119" i="41"/>
  <c r="K120" i="41"/>
  <c r="L120" i="41"/>
  <c r="M120" i="41"/>
  <c r="N120" i="41"/>
  <c r="K122" i="41"/>
  <c r="L122" i="41"/>
  <c r="M122" i="41"/>
  <c r="N122" i="41"/>
  <c r="K123" i="41"/>
  <c r="L123" i="41"/>
  <c r="M123" i="41"/>
  <c r="N123" i="41"/>
  <c r="K124" i="41"/>
  <c r="L124" i="41"/>
  <c r="M124" i="41"/>
  <c r="N124" i="41"/>
  <c r="K125" i="41"/>
  <c r="L125" i="41"/>
  <c r="M125" i="41"/>
  <c r="N125" i="41"/>
  <c r="K126" i="41"/>
  <c r="L126" i="41"/>
  <c r="M126" i="41"/>
  <c r="N126" i="41"/>
  <c r="K127" i="41"/>
  <c r="L127" i="41"/>
  <c r="M127" i="41"/>
  <c r="N127" i="41"/>
  <c r="L128" i="41"/>
  <c r="K134" i="41"/>
  <c r="L134" i="41"/>
  <c r="M134" i="41"/>
  <c r="N134" i="41"/>
  <c r="K135" i="41"/>
  <c r="L135" i="41"/>
  <c r="M135" i="41"/>
  <c r="N135" i="41"/>
  <c r="K136" i="41"/>
  <c r="L136" i="41"/>
  <c r="M136" i="41"/>
  <c r="N136" i="41"/>
  <c r="K137" i="41"/>
  <c r="L137" i="41"/>
  <c r="M137" i="41"/>
  <c r="N137" i="41"/>
  <c r="K138" i="41"/>
  <c r="L138" i="41"/>
  <c r="M138" i="41"/>
  <c r="N138" i="41"/>
  <c r="K139" i="41"/>
  <c r="L139" i="41"/>
  <c r="M139" i="41"/>
  <c r="N139" i="41"/>
  <c r="K145" i="41"/>
  <c r="L145" i="41"/>
  <c r="M145" i="41"/>
  <c r="N145" i="41"/>
  <c r="O145" i="41" s="1"/>
  <c r="K146" i="41"/>
  <c r="K147" i="41" s="1"/>
  <c r="L146" i="41"/>
  <c r="L147" i="41" s="1"/>
  <c r="M146" i="41"/>
  <c r="M147" i="41" s="1"/>
  <c r="K148" i="41"/>
  <c r="L148" i="41"/>
  <c r="M148" i="41"/>
  <c r="N148" i="41"/>
  <c r="K151" i="41"/>
  <c r="L151" i="41"/>
  <c r="M151" i="41"/>
  <c r="N151" i="41"/>
  <c r="O151" i="41" s="1"/>
  <c r="P151" i="41" s="1"/>
  <c r="Q151" i="41" s="1"/>
  <c r="R151" i="41" s="1"/>
  <c r="S151" i="41" s="1"/>
  <c r="T151" i="41" s="1"/>
  <c r="U151" i="41" s="1"/>
  <c r="V151" i="41" s="1"/>
  <c r="W151" i="41" s="1"/>
  <c r="X151" i="41" s="1"/>
  <c r="K154" i="41"/>
  <c r="L154" i="41"/>
  <c r="M154" i="41"/>
  <c r="N154" i="41"/>
  <c r="K155" i="41"/>
  <c r="L155" i="41"/>
  <c r="M155" i="41"/>
  <c r="N155" i="41"/>
  <c r="K162" i="41"/>
  <c r="L162" i="41"/>
  <c r="M162" i="41"/>
  <c r="N162" i="41"/>
  <c r="K163" i="41"/>
  <c r="L163" i="41"/>
  <c r="M163" i="41"/>
  <c r="N163" i="41"/>
  <c r="K164" i="41"/>
  <c r="L164" i="41"/>
  <c r="M164" i="41"/>
  <c r="N164" i="41"/>
  <c r="K171" i="41"/>
  <c r="L171" i="41"/>
  <c r="M171" i="41"/>
  <c r="N171" i="41"/>
  <c r="O171" i="41" s="1"/>
  <c r="K172" i="41"/>
  <c r="L172" i="41"/>
  <c r="M172" i="41"/>
  <c r="N172" i="41"/>
  <c r="K182" i="41"/>
  <c r="L182" i="41"/>
  <c r="M182" i="41"/>
  <c r="N182" i="41"/>
  <c r="K183" i="41"/>
  <c r="L183" i="41"/>
  <c r="M183" i="41"/>
  <c r="N183" i="41"/>
  <c r="K184" i="41"/>
  <c r="L184" i="41"/>
  <c r="M184" i="41"/>
  <c r="N184" i="41"/>
  <c r="K185" i="41"/>
  <c r="L185" i="41"/>
  <c r="M185" i="41"/>
  <c r="N185" i="41"/>
  <c r="K186" i="41"/>
  <c r="L186" i="41"/>
  <c r="M186" i="41"/>
  <c r="N186" i="41"/>
  <c r="K187" i="41"/>
  <c r="L187" i="41"/>
  <c r="M187" i="41"/>
  <c r="N187" i="41"/>
  <c r="K188" i="41"/>
  <c r="K189" i="41" s="1"/>
  <c r="L188" i="41"/>
  <c r="M188" i="41"/>
  <c r="N188" i="41"/>
  <c r="K190" i="41"/>
  <c r="L190" i="41"/>
  <c r="L271" i="41" s="1"/>
  <c r="M190" i="41"/>
  <c r="M271" i="41" s="1"/>
  <c r="N190" i="41"/>
  <c r="K192" i="41"/>
  <c r="L192" i="41"/>
  <c r="L300" i="41" s="1"/>
  <c r="M192" i="41"/>
  <c r="M300" i="41" s="1"/>
  <c r="N192" i="41"/>
  <c r="N300" i="41" s="1"/>
  <c r="K193" i="41"/>
  <c r="L193" i="41"/>
  <c r="M193" i="41"/>
  <c r="N193" i="41"/>
  <c r="N281" i="41" s="1"/>
  <c r="K195" i="41"/>
  <c r="L195" i="41"/>
  <c r="M195" i="41"/>
  <c r="N195" i="41"/>
  <c r="K198" i="41"/>
  <c r="L198" i="41"/>
  <c r="M198" i="41"/>
  <c r="N198" i="41"/>
  <c r="K202" i="41"/>
  <c r="L202" i="41"/>
  <c r="M202" i="41"/>
  <c r="N202" i="41"/>
  <c r="K203" i="41"/>
  <c r="L203" i="41"/>
  <c r="M203" i="41"/>
  <c r="N203" i="41"/>
  <c r="K204" i="41"/>
  <c r="L204" i="41"/>
  <c r="M204" i="41"/>
  <c r="N204" i="41"/>
  <c r="K205" i="41"/>
  <c r="L205" i="41"/>
  <c r="M205" i="41"/>
  <c r="N205" i="41"/>
  <c r="K208" i="41"/>
  <c r="L208" i="41"/>
  <c r="M208" i="41"/>
  <c r="N208" i="41"/>
  <c r="K209" i="41"/>
  <c r="L209" i="41"/>
  <c r="M209" i="41"/>
  <c r="N209" i="41"/>
  <c r="K210" i="41"/>
  <c r="L210" i="41"/>
  <c r="M210" i="41"/>
  <c r="N210" i="41"/>
  <c r="N212" i="41" s="1"/>
  <c r="K211" i="41"/>
  <c r="L211" i="41"/>
  <c r="M211" i="41"/>
  <c r="N211" i="41"/>
  <c r="K215" i="41"/>
  <c r="L215" i="41"/>
  <c r="L431" i="41" s="1"/>
  <c r="L434" i="41" s="1"/>
  <c r="M215" i="41"/>
  <c r="N215" i="41"/>
  <c r="K216" i="41"/>
  <c r="L216" i="41"/>
  <c r="M216" i="41"/>
  <c r="N216" i="41"/>
  <c r="O216" i="41" s="1"/>
  <c r="K217" i="41"/>
  <c r="L217" i="41"/>
  <c r="M217" i="41"/>
  <c r="N217" i="41"/>
  <c r="K219" i="41"/>
  <c r="L219" i="41"/>
  <c r="M219" i="41"/>
  <c r="N219" i="41"/>
  <c r="K223" i="41"/>
  <c r="L223" i="41"/>
  <c r="M223" i="41"/>
  <c r="N223" i="41"/>
  <c r="K224" i="41"/>
  <c r="L224" i="41"/>
  <c r="M224" i="41"/>
  <c r="N224" i="41"/>
  <c r="K225" i="41"/>
  <c r="L225" i="41"/>
  <c r="M225" i="41"/>
  <c r="N225" i="41"/>
  <c r="K230" i="41"/>
  <c r="L230" i="41"/>
  <c r="M230" i="41"/>
  <c r="N230" i="41"/>
  <c r="K231" i="41"/>
  <c r="L231" i="41"/>
  <c r="M231" i="41"/>
  <c r="N231" i="41"/>
  <c r="K232" i="41"/>
  <c r="L232" i="41"/>
  <c r="M232" i="41"/>
  <c r="N232" i="41"/>
  <c r="K237" i="41"/>
  <c r="L237" i="41"/>
  <c r="L299" i="41" s="1"/>
  <c r="M237" i="41"/>
  <c r="M240" i="41" s="1"/>
  <c r="N237" i="41"/>
  <c r="K238" i="41"/>
  <c r="L238" i="41"/>
  <c r="M238" i="41"/>
  <c r="N238" i="41"/>
  <c r="K239" i="41"/>
  <c r="L239" i="41"/>
  <c r="M239" i="41"/>
  <c r="N239" i="41"/>
  <c r="K240" i="41"/>
  <c r="N240" i="41"/>
  <c r="K241" i="41"/>
  <c r="L241" i="41"/>
  <c r="M241" i="41"/>
  <c r="N241" i="41"/>
  <c r="O241" i="41" s="1"/>
  <c r="P241" i="41" s="1"/>
  <c r="Q241" i="41" s="1"/>
  <c r="R241" i="41" s="1"/>
  <c r="S241" i="41" s="1"/>
  <c r="T241" i="41" s="1"/>
  <c r="U241" i="41" s="1"/>
  <c r="V241" i="41" s="1"/>
  <c r="W241" i="41" s="1"/>
  <c r="X241" i="41" s="1"/>
  <c r="K242" i="41"/>
  <c r="L242" i="41"/>
  <c r="M242" i="41"/>
  <c r="N242" i="41"/>
  <c r="K246" i="41"/>
  <c r="L246" i="41"/>
  <c r="M246" i="41"/>
  <c r="N246" i="41"/>
  <c r="K247" i="41"/>
  <c r="L247" i="41"/>
  <c r="M247" i="41"/>
  <c r="N247" i="41"/>
  <c r="K251" i="41"/>
  <c r="L251" i="41"/>
  <c r="M251" i="41"/>
  <c r="N251" i="41"/>
  <c r="O251" i="41" s="1"/>
  <c r="P251" i="41" s="1"/>
  <c r="Q251" i="41" s="1"/>
  <c r="R251" i="41" s="1"/>
  <c r="S251" i="41" s="1"/>
  <c r="T251" i="41" s="1"/>
  <c r="U251" i="41" s="1"/>
  <c r="V251" i="41" s="1"/>
  <c r="W251" i="41" s="1"/>
  <c r="X251" i="41" s="1"/>
  <c r="K252" i="41"/>
  <c r="L252" i="41"/>
  <c r="M252" i="41"/>
  <c r="N252" i="41"/>
  <c r="O252" i="41" s="1"/>
  <c r="K262" i="41"/>
  <c r="L262" i="41"/>
  <c r="M262" i="41"/>
  <c r="N262" i="41"/>
  <c r="K271" i="41"/>
  <c r="N271" i="41"/>
  <c r="K275" i="41"/>
  <c r="L275" i="41"/>
  <c r="M275" i="41"/>
  <c r="N275" i="41"/>
  <c r="K281" i="41"/>
  <c r="L281" i="41"/>
  <c r="M281" i="41"/>
  <c r="K282" i="41"/>
  <c r="L282" i="41"/>
  <c r="M282" i="41"/>
  <c r="N282" i="41"/>
  <c r="K293" i="41"/>
  <c r="L293" i="41"/>
  <c r="M293" i="41"/>
  <c r="N293" i="41"/>
  <c r="K294" i="41"/>
  <c r="L294" i="41"/>
  <c r="M294" i="41"/>
  <c r="N294" i="41"/>
  <c r="K299" i="41"/>
  <c r="N299" i="41"/>
  <c r="K300" i="41"/>
  <c r="K322" i="41"/>
  <c r="L322" i="41"/>
  <c r="M322" i="41"/>
  <c r="N322" i="41"/>
  <c r="K329" i="41"/>
  <c r="L329" i="41"/>
  <c r="M329" i="41"/>
  <c r="N329" i="41"/>
  <c r="K335" i="41"/>
  <c r="L335" i="41"/>
  <c r="M335" i="41"/>
  <c r="N335" i="41"/>
  <c r="K336" i="41"/>
  <c r="L336" i="41"/>
  <c r="M336" i="41"/>
  <c r="N336" i="41"/>
  <c r="K337" i="41"/>
  <c r="L337" i="41"/>
  <c r="M337" i="41"/>
  <c r="N337" i="41"/>
  <c r="K343" i="41"/>
  <c r="L343" i="41"/>
  <c r="M343" i="41"/>
  <c r="N343" i="41"/>
  <c r="O343" i="41" s="1"/>
  <c r="P343" i="41" s="1"/>
  <c r="Q343" i="41" s="1"/>
  <c r="R343" i="41" s="1"/>
  <c r="S343" i="41" s="1"/>
  <c r="T343" i="41" s="1"/>
  <c r="U343" i="41" s="1"/>
  <c r="V343" i="41" s="1"/>
  <c r="W343" i="41" s="1"/>
  <c r="X343" i="41" s="1"/>
  <c r="K344" i="41"/>
  <c r="L344" i="41"/>
  <c r="M344" i="41"/>
  <c r="N344" i="41"/>
  <c r="K349" i="41"/>
  <c r="L349" i="41"/>
  <c r="M349" i="41"/>
  <c r="N349" i="41"/>
  <c r="K350" i="41"/>
  <c r="K37" i="41" s="1"/>
  <c r="L350" i="41"/>
  <c r="L37" i="41" s="1"/>
  <c r="M350" i="41"/>
  <c r="M37" i="41" s="1"/>
  <c r="N350" i="41"/>
  <c r="N37" i="41" s="1"/>
  <c r="K360" i="41"/>
  <c r="L360" i="41"/>
  <c r="M360" i="41"/>
  <c r="N360" i="41"/>
  <c r="K363" i="41"/>
  <c r="L363" i="41"/>
  <c r="M363" i="41"/>
  <c r="N363" i="41"/>
  <c r="K397" i="41"/>
  <c r="L397" i="41"/>
  <c r="M397" i="41"/>
  <c r="N397" i="41"/>
  <c r="K400" i="41"/>
  <c r="L400" i="41"/>
  <c r="K404" i="41"/>
  <c r="L404" i="41"/>
  <c r="M404" i="41"/>
  <c r="N404" i="41"/>
  <c r="K409" i="41"/>
  <c r="L409" i="41"/>
  <c r="M409" i="41"/>
  <c r="N409" i="41"/>
  <c r="K410" i="41"/>
  <c r="L410" i="41"/>
  <c r="M410" i="41"/>
  <c r="N410" i="41"/>
  <c r="K411" i="41"/>
  <c r="K272" i="41" s="1"/>
  <c r="L411" i="41"/>
  <c r="L272" i="41" s="1"/>
  <c r="M411" i="41"/>
  <c r="M272" i="41" s="1"/>
  <c r="N411" i="41"/>
  <c r="N272" i="41" s="1"/>
  <c r="K412" i="41"/>
  <c r="L412" i="41"/>
  <c r="M412" i="41"/>
  <c r="N412" i="41"/>
  <c r="K413" i="41"/>
  <c r="K159" i="41" s="1"/>
  <c r="L413" i="41"/>
  <c r="L159" i="41" s="1"/>
  <c r="M413" i="41"/>
  <c r="M159" i="41" s="1"/>
  <c r="N413" i="41"/>
  <c r="N159" i="41" s="1"/>
  <c r="K414" i="41"/>
  <c r="L414" i="41"/>
  <c r="M414" i="41"/>
  <c r="N414" i="41"/>
  <c r="K415" i="41"/>
  <c r="L415" i="41"/>
  <c r="M415" i="41"/>
  <c r="N415" i="41"/>
  <c r="K420" i="41"/>
  <c r="L420" i="41"/>
  <c r="L419" i="41" s="1"/>
  <c r="L423" i="41" s="1"/>
  <c r="M420" i="41"/>
  <c r="M419" i="41" s="1"/>
  <c r="M423" i="41" s="1"/>
  <c r="N420" i="41"/>
  <c r="N419" i="41" s="1"/>
  <c r="N423" i="41" s="1"/>
  <c r="K424" i="41"/>
  <c r="L424" i="41"/>
  <c r="M424" i="41"/>
  <c r="N424" i="41"/>
  <c r="K427" i="41"/>
  <c r="L427" i="41"/>
  <c r="L430" i="41" s="1"/>
  <c r="M427" i="41"/>
  <c r="N427" i="41"/>
  <c r="K428" i="41"/>
  <c r="L428" i="41"/>
  <c r="M428" i="41"/>
  <c r="N428" i="41"/>
  <c r="M430" i="41"/>
  <c r="K431" i="41"/>
  <c r="M431" i="41"/>
  <c r="M434" i="41" s="1"/>
  <c r="N431" i="41"/>
  <c r="N434" i="41" s="1"/>
  <c r="K433" i="41"/>
  <c r="L433" i="41"/>
  <c r="M433" i="41"/>
  <c r="N433" i="41"/>
  <c r="K434" i="41"/>
  <c r="K437" i="41"/>
  <c r="L437" i="41"/>
  <c r="M437" i="41"/>
  <c r="N437" i="41"/>
  <c r="K438" i="41"/>
  <c r="L438" i="41"/>
  <c r="M438" i="41"/>
  <c r="N438" i="41"/>
  <c r="K441" i="41"/>
  <c r="K444" i="41" s="1"/>
  <c r="L441" i="41"/>
  <c r="M441" i="41"/>
  <c r="N441" i="41"/>
  <c r="K442" i="41"/>
  <c r="L442" i="41"/>
  <c r="M442" i="41"/>
  <c r="N442" i="41"/>
  <c r="K443" i="41"/>
  <c r="L443" i="41"/>
  <c r="M443" i="41"/>
  <c r="N443" i="41"/>
  <c r="K447" i="41"/>
  <c r="L447" i="41"/>
  <c r="M447" i="41"/>
  <c r="N447" i="41"/>
  <c r="K448" i="41"/>
  <c r="K449" i="41" s="1"/>
  <c r="L448" i="41"/>
  <c r="L449" i="41" s="1"/>
  <c r="M448" i="41"/>
  <c r="N448" i="41"/>
  <c r="K451" i="41"/>
  <c r="L451" i="41"/>
  <c r="M451" i="41"/>
  <c r="N451" i="41"/>
  <c r="K454" i="41"/>
  <c r="L454" i="41"/>
  <c r="M454" i="41"/>
  <c r="N454" i="41"/>
  <c r="L457" i="41"/>
  <c r="K458" i="41"/>
  <c r="L458" i="41"/>
  <c r="M458" i="41"/>
  <c r="N458" i="41"/>
  <c r="K461" i="41"/>
  <c r="L461" i="41"/>
  <c r="M461" i="41"/>
  <c r="N461" i="41"/>
  <c r="K464" i="41"/>
  <c r="L464" i="41"/>
  <c r="M464" i="41"/>
  <c r="N464" i="41"/>
  <c r="K465" i="41"/>
  <c r="L465" i="41"/>
  <c r="M465" i="41"/>
  <c r="N465" i="41"/>
  <c r="K468" i="41"/>
  <c r="L468" i="41"/>
  <c r="M468" i="41"/>
  <c r="N468" i="41"/>
  <c r="K469" i="41"/>
  <c r="L469" i="41"/>
  <c r="M469" i="41"/>
  <c r="N469" i="41"/>
  <c r="K472" i="41"/>
  <c r="L472" i="41"/>
  <c r="M472" i="41"/>
  <c r="N472" i="41"/>
  <c r="K473" i="41"/>
  <c r="L473" i="41"/>
  <c r="M473" i="41"/>
  <c r="N473" i="41"/>
  <c r="O473" i="41" s="1"/>
  <c r="P473" i="41" s="1"/>
  <c r="Q473" i="41" s="1"/>
  <c r="R473" i="41" s="1"/>
  <c r="S473" i="41" s="1"/>
  <c r="T473" i="41" s="1"/>
  <c r="U473" i="41" s="1"/>
  <c r="V473" i="41" s="1"/>
  <c r="W473" i="41" s="1"/>
  <c r="X473" i="41" s="1"/>
  <c r="K474" i="41"/>
  <c r="L474" i="41"/>
  <c r="M474" i="41"/>
  <c r="N474" i="41"/>
  <c r="K478" i="41"/>
  <c r="K479" i="41" s="1"/>
  <c r="K480" i="41" s="1"/>
  <c r="L478" i="41"/>
  <c r="L479" i="41" s="1"/>
  <c r="L480" i="41" s="1"/>
  <c r="M478" i="41"/>
  <c r="M479" i="41" s="1"/>
  <c r="M480" i="41" s="1"/>
  <c r="N478" i="41"/>
  <c r="N479" i="41" s="1"/>
  <c r="N480" i="41" s="1"/>
  <c r="K483" i="41"/>
  <c r="L483" i="41"/>
  <c r="L484" i="41" s="1"/>
  <c r="L485" i="41" s="1"/>
  <c r="M483" i="41"/>
  <c r="M484" i="41" s="1"/>
  <c r="M485" i="41" s="1"/>
  <c r="K484" i="41"/>
  <c r="K485" i="41" s="1"/>
  <c r="K486" i="41"/>
  <c r="L486" i="41"/>
  <c r="M486" i="41"/>
  <c r="N486" i="41"/>
  <c r="K490" i="41"/>
  <c r="L490" i="41"/>
  <c r="M490" i="41"/>
  <c r="N490" i="41"/>
  <c r="K491" i="41"/>
  <c r="L491" i="41"/>
  <c r="M491" i="41"/>
  <c r="N491" i="41"/>
  <c r="K492" i="41"/>
  <c r="L492" i="41"/>
  <c r="M492" i="41"/>
  <c r="N492" i="41"/>
  <c r="K493" i="41"/>
  <c r="L493" i="41"/>
  <c r="M493" i="41"/>
  <c r="N493" i="41"/>
  <c r="K498" i="41"/>
  <c r="L498" i="41"/>
  <c r="M498" i="41"/>
  <c r="N498" i="41"/>
  <c r="K499" i="41"/>
  <c r="L499" i="41"/>
  <c r="M499" i="41"/>
  <c r="N499" i="41"/>
  <c r="K500" i="41"/>
  <c r="L500" i="41"/>
  <c r="M500" i="41"/>
  <c r="N500" i="41"/>
  <c r="K508" i="41"/>
  <c r="L508" i="41"/>
  <c r="M508" i="41"/>
  <c r="N508" i="41"/>
  <c r="K509" i="41"/>
  <c r="L509" i="41"/>
  <c r="L511" i="41" s="1"/>
  <c r="M509" i="41"/>
  <c r="N509" i="41"/>
  <c r="K510" i="41"/>
  <c r="L510" i="41"/>
  <c r="M510" i="41"/>
  <c r="N510" i="41"/>
  <c r="M511" i="41"/>
  <c r="C29" i="14"/>
  <c r="J493" i="41"/>
  <c r="J448" i="41"/>
  <c r="J247" i="41"/>
  <c r="J195" i="41"/>
  <c r="J193" i="41"/>
  <c r="J192" i="41"/>
  <c r="J300" i="41" s="1"/>
  <c r="J190" i="41"/>
  <c r="J271" i="41" s="1"/>
  <c r="J188" i="41"/>
  <c r="J187" i="41"/>
  <c r="J186" i="41"/>
  <c r="J185" i="41"/>
  <c r="J184" i="41"/>
  <c r="J183" i="41"/>
  <c r="J182" i="41"/>
  <c r="J139" i="41"/>
  <c r="J138" i="41"/>
  <c r="J137" i="41"/>
  <c r="J136" i="41"/>
  <c r="J135" i="41"/>
  <c r="J134" i="41"/>
  <c r="J94" i="41"/>
  <c r="J88" i="41"/>
  <c r="B514" i="41"/>
  <c r="J510" i="41"/>
  <c r="I510" i="41"/>
  <c r="H510" i="41"/>
  <c r="G510" i="41"/>
  <c r="F510" i="41"/>
  <c r="E510" i="41"/>
  <c r="D510" i="41"/>
  <c r="B510" i="41"/>
  <c r="J508" i="41"/>
  <c r="I508" i="41"/>
  <c r="H508" i="41"/>
  <c r="G508" i="41"/>
  <c r="F508" i="41"/>
  <c r="E508" i="41"/>
  <c r="D508" i="41"/>
  <c r="B508" i="41"/>
  <c r="I507" i="41"/>
  <c r="H507" i="41"/>
  <c r="G507" i="41"/>
  <c r="F507" i="41"/>
  <c r="E507" i="41"/>
  <c r="D507" i="41"/>
  <c r="B507" i="41"/>
  <c r="B505" i="41"/>
  <c r="J500" i="41"/>
  <c r="I500" i="41"/>
  <c r="H500" i="41"/>
  <c r="G500" i="41"/>
  <c r="F500" i="41"/>
  <c r="E500" i="41"/>
  <c r="D500" i="41"/>
  <c r="B500" i="41"/>
  <c r="J499" i="41"/>
  <c r="I499" i="41"/>
  <c r="H499" i="41"/>
  <c r="G499" i="41"/>
  <c r="F499" i="41"/>
  <c r="E499" i="41"/>
  <c r="D499" i="41"/>
  <c r="B499" i="41"/>
  <c r="J498" i="41"/>
  <c r="I498" i="41"/>
  <c r="H498" i="41"/>
  <c r="G498" i="41"/>
  <c r="F498" i="41"/>
  <c r="E498" i="41"/>
  <c r="D498" i="41"/>
  <c r="B498" i="41"/>
  <c r="I495" i="41"/>
  <c r="H495" i="41"/>
  <c r="G495" i="41"/>
  <c r="F495" i="41"/>
  <c r="E495" i="41"/>
  <c r="D495" i="41"/>
  <c r="B495" i="41"/>
  <c r="I494" i="41"/>
  <c r="H494" i="41"/>
  <c r="G494" i="41"/>
  <c r="F494" i="41"/>
  <c r="E494" i="41"/>
  <c r="D494" i="41"/>
  <c r="B494" i="41"/>
  <c r="I493" i="41"/>
  <c r="H493" i="41"/>
  <c r="G493" i="41"/>
  <c r="F493" i="41"/>
  <c r="E493" i="41"/>
  <c r="D493" i="41"/>
  <c r="B493" i="41"/>
  <c r="J492" i="41"/>
  <c r="I492" i="41"/>
  <c r="H492" i="41"/>
  <c r="G492" i="41"/>
  <c r="F492" i="41"/>
  <c r="E492" i="41"/>
  <c r="D492" i="41"/>
  <c r="B492" i="41"/>
  <c r="J491" i="41"/>
  <c r="I491" i="41"/>
  <c r="H491" i="41"/>
  <c r="G491" i="41"/>
  <c r="F491" i="41"/>
  <c r="E491" i="41"/>
  <c r="D491" i="41"/>
  <c r="B491" i="41"/>
  <c r="J490" i="41"/>
  <c r="I490" i="41"/>
  <c r="H490" i="41"/>
  <c r="G490" i="41"/>
  <c r="F490" i="41"/>
  <c r="E490" i="41"/>
  <c r="D490" i="41"/>
  <c r="B490" i="41"/>
  <c r="I489" i="41"/>
  <c r="H489" i="41"/>
  <c r="G489" i="41"/>
  <c r="F489" i="41"/>
  <c r="E489" i="41"/>
  <c r="D489" i="41"/>
  <c r="B489" i="41"/>
  <c r="J486" i="41"/>
  <c r="I486" i="41"/>
  <c r="H486" i="41"/>
  <c r="G486" i="41"/>
  <c r="F486" i="41"/>
  <c r="E486" i="41"/>
  <c r="D486" i="41"/>
  <c r="B486" i="41"/>
  <c r="B484" i="41"/>
  <c r="B479" i="41"/>
  <c r="O478" i="41"/>
  <c r="J478" i="41"/>
  <c r="J479" i="41" s="1"/>
  <c r="I478" i="41"/>
  <c r="I479" i="41" s="1"/>
  <c r="H478" i="41"/>
  <c r="G478" i="41"/>
  <c r="G479" i="41" s="1"/>
  <c r="F478" i="41"/>
  <c r="F479" i="41" s="1"/>
  <c r="E478" i="41"/>
  <c r="D478" i="41"/>
  <c r="D479" i="41" s="1"/>
  <c r="B478" i="41"/>
  <c r="J474" i="41"/>
  <c r="B474" i="41"/>
  <c r="J473" i="41"/>
  <c r="I473" i="41"/>
  <c r="H473" i="41"/>
  <c r="G473" i="41"/>
  <c r="F473" i="41"/>
  <c r="E473" i="41"/>
  <c r="D473" i="41"/>
  <c r="B473" i="41"/>
  <c r="J472" i="41"/>
  <c r="I472" i="41"/>
  <c r="H472" i="41"/>
  <c r="H474" i="41" s="1"/>
  <c r="H475" i="41" s="1"/>
  <c r="G472" i="41"/>
  <c r="G474" i="41" s="1"/>
  <c r="F472" i="41"/>
  <c r="E472" i="41"/>
  <c r="E474" i="41" s="1"/>
  <c r="D472" i="41"/>
  <c r="B472" i="41"/>
  <c r="J469" i="41"/>
  <c r="I469" i="41"/>
  <c r="H469" i="41"/>
  <c r="G469" i="41"/>
  <c r="F469" i="41"/>
  <c r="E469" i="41"/>
  <c r="D469" i="41"/>
  <c r="B469" i="41"/>
  <c r="J468" i="41"/>
  <c r="I468" i="41"/>
  <c r="H468" i="41"/>
  <c r="G468" i="41"/>
  <c r="F468" i="41"/>
  <c r="E468" i="41"/>
  <c r="D468" i="41"/>
  <c r="B468" i="41"/>
  <c r="J465" i="41"/>
  <c r="I465" i="41"/>
  <c r="H465" i="41"/>
  <c r="G465" i="41"/>
  <c r="F465" i="41"/>
  <c r="E465" i="41"/>
  <c r="D465" i="41"/>
  <c r="B465" i="41"/>
  <c r="J464" i="41"/>
  <c r="I464" i="41"/>
  <c r="H464" i="41"/>
  <c r="G464" i="41"/>
  <c r="F464" i="41"/>
  <c r="E464" i="41"/>
  <c r="D464" i="41"/>
  <c r="B464" i="41"/>
  <c r="J461" i="41"/>
  <c r="I461" i="41"/>
  <c r="H461" i="41"/>
  <c r="G461" i="41"/>
  <c r="F461" i="41"/>
  <c r="E461" i="41"/>
  <c r="D461" i="41"/>
  <c r="B461" i="41"/>
  <c r="B459" i="41"/>
  <c r="J458" i="41"/>
  <c r="I458" i="41"/>
  <c r="H458" i="41"/>
  <c r="G458" i="41"/>
  <c r="F458" i="41"/>
  <c r="E458" i="41"/>
  <c r="D458" i="41"/>
  <c r="B458" i="41"/>
  <c r="J454" i="41"/>
  <c r="I454" i="41"/>
  <c r="H454" i="41"/>
  <c r="G454" i="41"/>
  <c r="F454" i="41"/>
  <c r="E454" i="41"/>
  <c r="D454" i="41"/>
  <c r="B454" i="41"/>
  <c r="J451" i="41"/>
  <c r="I451" i="41"/>
  <c r="H451" i="41"/>
  <c r="G451" i="41"/>
  <c r="F451" i="41"/>
  <c r="E451" i="41"/>
  <c r="D451" i="41"/>
  <c r="B451" i="41"/>
  <c r="I450" i="41"/>
  <c r="H450" i="41"/>
  <c r="G450" i="41"/>
  <c r="H105" i="41" s="1"/>
  <c r="F450" i="41"/>
  <c r="E450" i="41"/>
  <c r="D450" i="41"/>
  <c r="E105" i="41" s="1"/>
  <c r="B450" i="41"/>
  <c r="I448" i="41"/>
  <c r="H448" i="41"/>
  <c r="G448" i="41"/>
  <c r="F448" i="41"/>
  <c r="E448" i="41"/>
  <c r="D448" i="41"/>
  <c r="B448" i="41"/>
  <c r="J447" i="41"/>
  <c r="I447" i="41"/>
  <c r="I449" i="41" s="1"/>
  <c r="H447" i="41"/>
  <c r="H449" i="41" s="1"/>
  <c r="G447" i="41"/>
  <c r="G449" i="41" s="1"/>
  <c r="F447" i="41"/>
  <c r="F449" i="41" s="1"/>
  <c r="E447" i="41"/>
  <c r="E449" i="41" s="1"/>
  <c r="D447" i="41"/>
  <c r="D449" i="41" s="1"/>
  <c r="B447" i="41"/>
  <c r="J443" i="41"/>
  <c r="I443" i="41"/>
  <c r="H443" i="41"/>
  <c r="G443" i="41"/>
  <c r="F443" i="41"/>
  <c r="E443" i="41"/>
  <c r="D443" i="41"/>
  <c r="B443" i="41"/>
  <c r="J442" i="41"/>
  <c r="I442" i="41"/>
  <c r="H442" i="41"/>
  <c r="G442" i="41"/>
  <c r="F442" i="41"/>
  <c r="E442" i="41"/>
  <c r="D442" i="41"/>
  <c r="B442" i="41"/>
  <c r="J441" i="41"/>
  <c r="J444" i="41" s="1"/>
  <c r="I441" i="41"/>
  <c r="I444" i="41" s="1"/>
  <c r="H441" i="41"/>
  <c r="H444" i="41" s="1"/>
  <c r="G441" i="41"/>
  <c r="G444" i="41" s="1"/>
  <c r="F441" i="41"/>
  <c r="E441" i="41"/>
  <c r="D441" i="41"/>
  <c r="B441" i="41"/>
  <c r="J438" i="41"/>
  <c r="I438" i="41"/>
  <c r="H438" i="41"/>
  <c r="G438" i="41"/>
  <c r="F438" i="41"/>
  <c r="E438" i="41"/>
  <c r="D438" i="41"/>
  <c r="B438" i="41"/>
  <c r="J437" i="41"/>
  <c r="I437" i="41"/>
  <c r="H437" i="41"/>
  <c r="G437" i="41"/>
  <c r="F437" i="41"/>
  <c r="E437" i="41"/>
  <c r="D437" i="41"/>
  <c r="B437" i="41"/>
  <c r="B434" i="41"/>
  <c r="J433" i="41"/>
  <c r="I433" i="41"/>
  <c r="H433" i="41"/>
  <c r="G433" i="41"/>
  <c r="F433" i="41"/>
  <c r="E433" i="41"/>
  <c r="D433" i="41"/>
  <c r="B433" i="41"/>
  <c r="J428" i="41"/>
  <c r="I428" i="41"/>
  <c r="H428" i="41"/>
  <c r="G428" i="41"/>
  <c r="F428" i="41"/>
  <c r="E428" i="41"/>
  <c r="D428" i="41"/>
  <c r="B428" i="41"/>
  <c r="J427" i="41"/>
  <c r="K430" i="41" s="1"/>
  <c r="I427" i="41"/>
  <c r="I430" i="41" s="1"/>
  <c r="H427" i="41"/>
  <c r="H429" i="41" s="1"/>
  <c r="G427" i="41"/>
  <c r="G429" i="41" s="1"/>
  <c r="F427" i="41"/>
  <c r="F430" i="41" s="1"/>
  <c r="E427" i="41"/>
  <c r="E429" i="41" s="1"/>
  <c r="D427" i="41"/>
  <c r="B427" i="41"/>
  <c r="J424" i="41"/>
  <c r="I424" i="41"/>
  <c r="H424" i="41"/>
  <c r="G424" i="41"/>
  <c r="F424" i="41"/>
  <c r="E424" i="41"/>
  <c r="D424" i="41"/>
  <c r="B424" i="41"/>
  <c r="B423" i="41"/>
  <c r="J420" i="41"/>
  <c r="J419" i="41" s="1"/>
  <c r="J423" i="41" s="1"/>
  <c r="I420" i="41"/>
  <c r="I419" i="41" s="1"/>
  <c r="I423" i="41" s="1"/>
  <c r="H420" i="41"/>
  <c r="G420" i="41"/>
  <c r="G419" i="41" s="1"/>
  <c r="G423" i="41" s="1"/>
  <c r="F420" i="41"/>
  <c r="E420" i="41"/>
  <c r="E419" i="41" s="1"/>
  <c r="E423" i="41" s="1"/>
  <c r="D420" i="41"/>
  <c r="B420" i="41"/>
  <c r="F419" i="41"/>
  <c r="F423" i="41" s="1"/>
  <c r="B419" i="41"/>
  <c r="C416" i="41"/>
  <c r="X415" i="41"/>
  <c r="W415" i="41"/>
  <c r="V415" i="41"/>
  <c r="U415" i="41"/>
  <c r="T415" i="41"/>
  <c r="S415" i="41"/>
  <c r="R415" i="41"/>
  <c r="Q415" i="41"/>
  <c r="P415" i="41"/>
  <c r="O415" i="41"/>
  <c r="J415" i="41"/>
  <c r="I415" i="41"/>
  <c r="H415" i="41"/>
  <c r="G415" i="41"/>
  <c r="F415" i="41"/>
  <c r="E415" i="41"/>
  <c r="D415" i="41"/>
  <c r="B415" i="41"/>
  <c r="X414" i="41"/>
  <c r="W414" i="41"/>
  <c r="V414" i="41"/>
  <c r="U414" i="41"/>
  <c r="T414" i="41"/>
  <c r="S414" i="41"/>
  <c r="R414" i="41"/>
  <c r="Q414" i="41"/>
  <c r="P414" i="41"/>
  <c r="O414" i="41"/>
  <c r="J414" i="41"/>
  <c r="I414" i="41"/>
  <c r="H414" i="41"/>
  <c r="G414" i="41"/>
  <c r="F414" i="41"/>
  <c r="E414" i="41"/>
  <c r="D414" i="41"/>
  <c r="B414" i="41"/>
  <c r="X413" i="41"/>
  <c r="X159" i="41" s="1"/>
  <c r="W413" i="41"/>
  <c r="V413" i="41"/>
  <c r="U413" i="41"/>
  <c r="T413" i="41"/>
  <c r="T159" i="41" s="1"/>
  <c r="S413" i="41"/>
  <c r="S159" i="41" s="1"/>
  <c r="R413" i="41"/>
  <c r="R159" i="41" s="1"/>
  <c r="Q413" i="41"/>
  <c r="P413" i="41"/>
  <c r="P159" i="41" s="1"/>
  <c r="O413" i="41"/>
  <c r="J413" i="41"/>
  <c r="I413" i="41"/>
  <c r="H413" i="41"/>
  <c r="G413" i="41"/>
  <c r="F413" i="41"/>
  <c r="E413" i="41"/>
  <c r="D413" i="41"/>
  <c r="D159" i="41" s="1"/>
  <c r="B413" i="41"/>
  <c r="X412" i="41"/>
  <c r="W412" i="41"/>
  <c r="V412" i="41"/>
  <c r="U412" i="41"/>
  <c r="T412" i="41"/>
  <c r="S412" i="41"/>
  <c r="R412" i="41"/>
  <c r="Q412" i="41"/>
  <c r="P412" i="41"/>
  <c r="O412" i="41"/>
  <c r="J412" i="41"/>
  <c r="I412" i="41"/>
  <c r="H412" i="41"/>
  <c r="G412" i="41"/>
  <c r="F412" i="41"/>
  <c r="E412" i="41"/>
  <c r="D412" i="41"/>
  <c r="B412" i="41"/>
  <c r="X411" i="41"/>
  <c r="X524" i="41" s="1"/>
  <c r="W411" i="41"/>
  <c r="W524" i="41" s="1"/>
  <c r="V411" i="41"/>
  <c r="V524" i="41" s="1"/>
  <c r="U411" i="41"/>
  <c r="U524" i="41" s="1"/>
  <c r="T411" i="41"/>
  <c r="T524" i="41" s="1"/>
  <c r="S411" i="41"/>
  <c r="S524" i="41" s="1"/>
  <c r="R411" i="41"/>
  <c r="R524" i="41" s="1"/>
  <c r="Q411" i="41"/>
  <c r="Q524" i="41" s="1"/>
  <c r="P411" i="41"/>
  <c r="P524" i="41" s="1"/>
  <c r="O411" i="41"/>
  <c r="O524" i="41" s="1"/>
  <c r="J411" i="41"/>
  <c r="I411" i="41"/>
  <c r="H411" i="41"/>
  <c r="H272" i="41" s="1"/>
  <c r="G411" i="41"/>
  <c r="F411" i="41"/>
  <c r="E411" i="41"/>
  <c r="D411" i="41"/>
  <c r="B411" i="41"/>
  <c r="X410" i="41"/>
  <c r="W410" i="41"/>
  <c r="V410" i="41"/>
  <c r="U410" i="41"/>
  <c r="T410" i="41"/>
  <c r="S410" i="41"/>
  <c r="R410" i="41"/>
  <c r="Q410" i="41"/>
  <c r="P410" i="41"/>
  <c r="O410" i="41"/>
  <c r="J410" i="41"/>
  <c r="I410" i="41"/>
  <c r="H410" i="41"/>
  <c r="G410" i="41"/>
  <c r="F410" i="41"/>
  <c r="E410" i="41"/>
  <c r="D410" i="41"/>
  <c r="B410" i="41"/>
  <c r="X409" i="41"/>
  <c r="W409" i="41"/>
  <c r="V409" i="41"/>
  <c r="U409" i="41"/>
  <c r="T409" i="41"/>
  <c r="S409" i="41"/>
  <c r="R409" i="41"/>
  <c r="Q409" i="41"/>
  <c r="P409" i="41"/>
  <c r="O409" i="41"/>
  <c r="J409" i="41"/>
  <c r="I409" i="41"/>
  <c r="H409" i="41"/>
  <c r="G409" i="41"/>
  <c r="F409" i="41"/>
  <c r="E409" i="41"/>
  <c r="D409" i="41"/>
  <c r="D416" i="41" s="1"/>
  <c r="B409" i="41"/>
  <c r="B405" i="41"/>
  <c r="J404" i="41"/>
  <c r="I404" i="41"/>
  <c r="H404" i="41"/>
  <c r="G404" i="41"/>
  <c r="F404" i="41"/>
  <c r="E404" i="41"/>
  <c r="D404" i="41"/>
  <c r="B404" i="41"/>
  <c r="B400" i="41"/>
  <c r="J397" i="41"/>
  <c r="I397" i="41"/>
  <c r="H397" i="41"/>
  <c r="G397" i="41"/>
  <c r="F397" i="41"/>
  <c r="E397" i="41"/>
  <c r="D397" i="41"/>
  <c r="B397" i="41"/>
  <c r="J395" i="41"/>
  <c r="J483" i="41" s="1"/>
  <c r="J484" i="41" s="1"/>
  <c r="I395" i="41"/>
  <c r="I483" i="41" s="1"/>
  <c r="H395" i="41"/>
  <c r="H483" i="41" s="1"/>
  <c r="G395" i="41"/>
  <c r="G483" i="41" s="1"/>
  <c r="F395" i="41"/>
  <c r="F483" i="41" s="1"/>
  <c r="E395" i="41"/>
  <c r="E483" i="41" s="1"/>
  <c r="D395" i="41"/>
  <c r="D483" i="41" s="1"/>
  <c r="D484" i="41" s="1"/>
  <c r="B395" i="41"/>
  <c r="J394" i="41"/>
  <c r="I394" i="41"/>
  <c r="H394" i="41"/>
  <c r="G394" i="41"/>
  <c r="F394" i="41"/>
  <c r="E394" i="41"/>
  <c r="D394" i="41"/>
  <c r="B394" i="41"/>
  <c r="I393" i="41"/>
  <c r="H393" i="41"/>
  <c r="G393" i="41"/>
  <c r="F393" i="41"/>
  <c r="E393" i="41"/>
  <c r="D393" i="41"/>
  <c r="B393" i="41"/>
  <c r="C391" i="41"/>
  <c r="I390" i="41"/>
  <c r="H390" i="41"/>
  <c r="G390" i="41"/>
  <c r="F390" i="41"/>
  <c r="E390" i="41"/>
  <c r="D390" i="41"/>
  <c r="B390" i="41"/>
  <c r="I389" i="41"/>
  <c r="I501" i="41" s="1"/>
  <c r="H389" i="41"/>
  <c r="H501" i="41" s="1"/>
  <c r="G389" i="41"/>
  <c r="G501" i="41" s="1"/>
  <c r="F389" i="41"/>
  <c r="F501" i="41" s="1"/>
  <c r="E389" i="41"/>
  <c r="E501" i="41" s="1"/>
  <c r="D389" i="41"/>
  <c r="D501" i="41" s="1"/>
  <c r="B389" i="41"/>
  <c r="I387" i="41"/>
  <c r="H387" i="41"/>
  <c r="G387" i="41"/>
  <c r="F387" i="41"/>
  <c r="F340" i="41" s="1"/>
  <c r="E387" i="41"/>
  <c r="D387" i="41"/>
  <c r="B387" i="41"/>
  <c r="I386" i="41"/>
  <c r="H386" i="41"/>
  <c r="G386" i="41"/>
  <c r="F386" i="41"/>
  <c r="E386" i="41"/>
  <c r="E280" i="41" s="1"/>
  <c r="D386" i="41"/>
  <c r="B386" i="41"/>
  <c r="I385" i="41"/>
  <c r="H385" i="41"/>
  <c r="G385" i="41"/>
  <c r="F385" i="41"/>
  <c r="E385" i="41"/>
  <c r="D385" i="41"/>
  <c r="B385" i="41"/>
  <c r="I384" i="41"/>
  <c r="H384" i="41"/>
  <c r="G384" i="41"/>
  <c r="F384" i="41"/>
  <c r="E384" i="41"/>
  <c r="D384" i="41"/>
  <c r="B384" i="41"/>
  <c r="B380" i="41"/>
  <c r="J379" i="41"/>
  <c r="I379" i="41"/>
  <c r="H379" i="41"/>
  <c r="G379" i="41"/>
  <c r="F379" i="41"/>
  <c r="E379" i="41"/>
  <c r="D379" i="41"/>
  <c r="B379" i="41"/>
  <c r="J378" i="41"/>
  <c r="I378" i="41"/>
  <c r="H378" i="41"/>
  <c r="G378" i="41"/>
  <c r="F378" i="41"/>
  <c r="E378" i="41"/>
  <c r="D378" i="41"/>
  <c r="B378" i="41"/>
  <c r="B376" i="41"/>
  <c r="B371" i="41"/>
  <c r="J370" i="41"/>
  <c r="I370" i="41"/>
  <c r="H370" i="41"/>
  <c r="G370" i="41"/>
  <c r="F370" i="41"/>
  <c r="E370" i="41"/>
  <c r="D370" i="41"/>
  <c r="B370" i="41"/>
  <c r="J369" i="41"/>
  <c r="I369" i="41"/>
  <c r="H369" i="41"/>
  <c r="G369" i="41"/>
  <c r="F369" i="41"/>
  <c r="E369" i="41"/>
  <c r="D369" i="41"/>
  <c r="B369" i="41"/>
  <c r="B367" i="41"/>
  <c r="J363" i="41"/>
  <c r="I363" i="41"/>
  <c r="H363" i="41"/>
  <c r="G363" i="41"/>
  <c r="F363" i="41"/>
  <c r="E363" i="41"/>
  <c r="D363" i="41"/>
  <c r="B363" i="41"/>
  <c r="B361" i="41"/>
  <c r="J360" i="41"/>
  <c r="I360" i="41"/>
  <c r="H360" i="41"/>
  <c r="G360" i="41"/>
  <c r="F360" i="41"/>
  <c r="E360" i="41"/>
  <c r="D360" i="41"/>
  <c r="B360" i="41"/>
  <c r="I356" i="41"/>
  <c r="H356" i="41"/>
  <c r="G356" i="41"/>
  <c r="F356" i="41"/>
  <c r="E356" i="41"/>
  <c r="D356" i="41"/>
  <c r="B356" i="41"/>
  <c r="B354" i="41"/>
  <c r="J350" i="41"/>
  <c r="I350" i="41"/>
  <c r="H350" i="41"/>
  <c r="H37" i="41" s="1"/>
  <c r="G350" i="41"/>
  <c r="F350" i="41"/>
  <c r="E350" i="41"/>
  <c r="E37" i="41" s="1"/>
  <c r="D350" i="41"/>
  <c r="B350" i="41"/>
  <c r="J349" i="41"/>
  <c r="I349" i="41"/>
  <c r="H349" i="41"/>
  <c r="G349" i="41"/>
  <c r="F349" i="41"/>
  <c r="E349" i="41"/>
  <c r="D349" i="41"/>
  <c r="B349" i="41"/>
  <c r="B345" i="41"/>
  <c r="J344" i="41"/>
  <c r="I344" i="41"/>
  <c r="H344" i="41"/>
  <c r="G344" i="41"/>
  <c r="F344" i="41"/>
  <c r="E344" i="41"/>
  <c r="D344" i="41"/>
  <c r="B344" i="41"/>
  <c r="J343" i="41"/>
  <c r="I343" i="41"/>
  <c r="H343" i="41"/>
  <c r="G343" i="41"/>
  <c r="F343" i="41"/>
  <c r="E343" i="41"/>
  <c r="D343" i="41"/>
  <c r="B343" i="41"/>
  <c r="B341" i="41"/>
  <c r="I340" i="41"/>
  <c r="I341" i="41" s="1"/>
  <c r="H340" i="41"/>
  <c r="H341" i="41" s="1"/>
  <c r="G340" i="41"/>
  <c r="E340" i="41"/>
  <c r="E341" i="41" s="1"/>
  <c r="E342" i="41" s="1"/>
  <c r="D340" i="41"/>
  <c r="D341" i="41" s="1"/>
  <c r="J337" i="41"/>
  <c r="I337" i="41"/>
  <c r="H337" i="41"/>
  <c r="G337" i="41"/>
  <c r="F337" i="41"/>
  <c r="E337" i="41"/>
  <c r="D337" i="41"/>
  <c r="B337" i="41"/>
  <c r="J336" i="41"/>
  <c r="I336" i="41"/>
  <c r="H336" i="41"/>
  <c r="G336" i="41"/>
  <c r="F336" i="41"/>
  <c r="E336" i="41"/>
  <c r="D336" i="41"/>
  <c r="B336" i="41"/>
  <c r="J335" i="41"/>
  <c r="I335" i="41"/>
  <c r="H335" i="41"/>
  <c r="G335" i="41"/>
  <c r="F335" i="41"/>
  <c r="E335" i="41"/>
  <c r="D335" i="41"/>
  <c r="B335" i="41"/>
  <c r="J329" i="41"/>
  <c r="I329" i="41"/>
  <c r="H329" i="41"/>
  <c r="G329" i="41"/>
  <c r="F329" i="41"/>
  <c r="E329" i="41"/>
  <c r="D329" i="41"/>
  <c r="B329" i="41"/>
  <c r="I328" i="41"/>
  <c r="H328" i="41"/>
  <c r="G328" i="41"/>
  <c r="F328" i="41"/>
  <c r="E328" i="41"/>
  <c r="D328" i="41"/>
  <c r="B328" i="41"/>
  <c r="I325" i="41"/>
  <c r="H325" i="41"/>
  <c r="G325" i="41"/>
  <c r="F325" i="41"/>
  <c r="E325" i="41"/>
  <c r="D325" i="41"/>
  <c r="B325" i="41"/>
  <c r="B323" i="41"/>
  <c r="J322" i="41"/>
  <c r="I322" i="41"/>
  <c r="I323" i="41" s="1"/>
  <c r="I324" i="41" s="1"/>
  <c r="H322" i="41"/>
  <c r="H323" i="41" s="1"/>
  <c r="G322" i="41"/>
  <c r="G323" i="41" s="1"/>
  <c r="G324" i="41" s="1"/>
  <c r="F322" i="41"/>
  <c r="F323" i="41" s="1"/>
  <c r="E322" i="41"/>
  <c r="E323" i="41" s="1"/>
  <c r="D322" i="41"/>
  <c r="D323" i="41" s="1"/>
  <c r="B322" i="41"/>
  <c r="I319" i="41"/>
  <c r="H319" i="41"/>
  <c r="G319" i="41"/>
  <c r="F319" i="41"/>
  <c r="E319" i="41"/>
  <c r="D319" i="41"/>
  <c r="B319" i="41"/>
  <c r="I318" i="41"/>
  <c r="H318" i="41"/>
  <c r="G318" i="41"/>
  <c r="F318" i="41"/>
  <c r="E318" i="41"/>
  <c r="D318" i="41"/>
  <c r="B318" i="41"/>
  <c r="I315" i="41"/>
  <c r="H315" i="41"/>
  <c r="G315" i="41"/>
  <c r="F315" i="41"/>
  <c r="E315" i="41"/>
  <c r="D315" i="41"/>
  <c r="B315" i="41"/>
  <c r="I314" i="41"/>
  <c r="H314" i="41"/>
  <c r="G314" i="41"/>
  <c r="F314" i="41"/>
  <c r="E314" i="41"/>
  <c r="D314" i="41"/>
  <c r="B314" i="41"/>
  <c r="I311" i="41"/>
  <c r="H311" i="41"/>
  <c r="G311" i="41"/>
  <c r="F311" i="41"/>
  <c r="E311" i="41"/>
  <c r="D311" i="41"/>
  <c r="B311" i="41"/>
  <c r="I310" i="41"/>
  <c r="H310" i="41"/>
  <c r="G310" i="41"/>
  <c r="F310" i="41"/>
  <c r="E310" i="41"/>
  <c r="D310" i="41"/>
  <c r="B310" i="41"/>
  <c r="I307" i="41"/>
  <c r="H307" i="41"/>
  <c r="G307" i="41"/>
  <c r="F307" i="41"/>
  <c r="E307" i="41"/>
  <c r="D307" i="41"/>
  <c r="B307" i="41"/>
  <c r="I306" i="41"/>
  <c r="H306" i="41"/>
  <c r="G306" i="41"/>
  <c r="F306" i="41"/>
  <c r="E306" i="41"/>
  <c r="D306" i="41"/>
  <c r="B306" i="41"/>
  <c r="I303" i="41"/>
  <c r="H303" i="41"/>
  <c r="G303" i="41"/>
  <c r="F303" i="41"/>
  <c r="E303" i="41"/>
  <c r="D303" i="41"/>
  <c r="B303" i="41"/>
  <c r="B301" i="41"/>
  <c r="B295" i="41"/>
  <c r="J294" i="41"/>
  <c r="I294" i="41"/>
  <c r="H294" i="41"/>
  <c r="G294" i="41"/>
  <c r="F294" i="41"/>
  <c r="E294" i="41"/>
  <c r="D294" i="41"/>
  <c r="B294" i="41"/>
  <c r="J293" i="41"/>
  <c r="I293" i="41"/>
  <c r="H293" i="41"/>
  <c r="G293" i="41"/>
  <c r="F293" i="41"/>
  <c r="E293" i="41"/>
  <c r="D293" i="41"/>
  <c r="B293" i="41"/>
  <c r="I292" i="41"/>
  <c r="I295" i="41" s="1"/>
  <c r="I296" i="41" s="1"/>
  <c r="H292" i="41"/>
  <c r="G292" i="41"/>
  <c r="F292" i="41"/>
  <c r="F295" i="41" s="1"/>
  <c r="E292" i="41"/>
  <c r="E295" i="41" s="1"/>
  <c r="D292" i="41"/>
  <c r="D295" i="41" s="1"/>
  <c r="B292" i="41"/>
  <c r="I289" i="41"/>
  <c r="H289" i="41"/>
  <c r="G289" i="41"/>
  <c r="F289" i="41"/>
  <c r="E289" i="41"/>
  <c r="D289" i="41"/>
  <c r="B289" i="41"/>
  <c r="I288" i="41"/>
  <c r="H288" i="41"/>
  <c r="G288" i="41"/>
  <c r="F288" i="41"/>
  <c r="E288" i="41"/>
  <c r="D288" i="41"/>
  <c r="B288" i="41"/>
  <c r="I285" i="41"/>
  <c r="H285" i="41"/>
  <c r="G285" i="41"/>
  <c r="F285" i="41"/>
  <c r="E285" i="41"/>
  <c r="D285" i="41"/>
  <c r="B285" i="41"/>
  <c r="B283" i="41"/>
  <c r="J282" i="41"/>
  <c r="I282" i="41"/>
  <c r="H282" i="41"/>
  <c r="G282" i="41"/>
  <c r="F282" i="41"/>
  <c r="E282" i="41"/>
  <c r="D282" i="41"/>
  <c r="I280" i="41"/>
  <c r="H280" i="41"/>
  <c r="G280" i="41"/>
  <c r="F280" i="41"/>
  <c r="D280" i="41"/>
  <c r="B276" i="41"/>
  <c r="J275" i="41"/>
  <c r="I275" i="41"/>
  <c r="H275" i="41"/>
  <c r="G275" i="41"/>
  <c r="F275" i="41"/>
  <c r="E275" i="41"/>
  <c r="D275" i="41"/>
  <c r="B275" i="41"/>
  <c r="I273" i="41"/>
  <c r="H273" i="41"/>
  <c r="G273" i="41"/>
  <c r="F273" i="41"/>
  <c r="E273" i="41"/>
  <c r="D273" i="41"/>
  <c r="B273" i="41"/>
  <c r="U272" i="41"/>
  <c r="S272" i="41"/>
  <c r="R272" i="41"/>
  <c r="Q272" i="41"/>
  <c r="J272" i="41"/>
  <c r="I272" i="41"/>
  <c r="G272" i="41"/>
  <c r="F272" i="41"/>
  <c r="E272" i="41"/>
  <c r="D272" i="41"/>
  <c r="I270" i="41"/>
  <c r="H270" i="41"/>
  <c r="G270" i="41"/>
  <c r="F270" i="41"/>
  <c r="E270" i="41"/>
  <c r="D270" i="41"/>
  <c r="B270" i="41"/>
  <c r="I269" i="41"/>
  <c r="H269" i="41"/>
  <c r="G269" i="41"/>
  <c r="F269" i="41"/>
  <c r="E269" i="41"/>
  <c r="D269" i="41"/>
  <c r="B269" i="41"/>
  <c r="I268" i="41"/>
  <c r="H268" i="41"/>
  <c r="G268" i="41"/>
  <c r="F268" i="41"/>
  <c r="E268" i="41"/>
  <c r="D268" i="41"/>
  <c r="B268" i="41"/>
  <c r="I267" i="41"/>
  <c r="H267" i="41"/>
  <c r="G267" i="41"/>
  <c r="F267" i="41"/>
  <c r="E267" i="41"/>
  <c r="D267" i="41"/>
  <c r="B267" i="41"/>
  <c r="B263" i="41"/>
  <c r="J262" i="41"/>
  <c r="I262" i="41"/>
  <c r="H262" i="41"/>
  <c r="G262" i="41"/>
  <c r="F262" i="41"/>
  <c r="E262" i="41"/>
  <c r="D262" i="41"/>
  <c r="B262" i="41"/>
  <c r="I260" i="41"/>
  <c r="H260" i="41"/>
  <c r="G260" i="41"/>
  <c r="F260" i="41"/>
  <c r="E260" i="41"/>
  <c r="D260" i="41"/>
  <c r="B260" i="41"/>
  <c r="I259" i="41"/>
  <c r="H259" i="41"/>
  <c r="G259" i="41"/>
  <c r="F259" i="41"/>
  <c r="E259" i="41"/>
  <c r="D259" i="41"/>
  <c r="B259" i="41"/>
  <c r="I258" i="41"/>
  <c r="H258" i="41"/>
  <c r="G258" i="41"/>
  <c r="F258" i="41"/>
  <c r="E258" i="41"/>
  <c r="D258" i="41"/>
  <c r="B258" i="41"/>
  <c r="I257" i="41"/>
  <c r="H257" i="41"/>
  <c r="G257" i="41"/>
  <c r="F257" i="41"/>
  <c r="E257" i="41"/>
  <c r="D257" i="41"/>
  <c r="B257" i="41"/>
  <c r="I256" i="41"/>
  <c r="H256" i="41"/>
  <c r="G256" i="41"/>
  <c r="F256" i="41"/>
  <c r="E256" i="41"/>
  <c r="D256" i="41"/>
  <c r="B256" i="41"/>
  <c r="I255" i="41"/>
  <c r="H255" i="41"/>
  <c r="G255" i="41"/>
  <c r="F255" i="41"/>
  <c r="E255" i="41"/>
  <c r="D255" i="41"/>
  <c r="B255" i="41"/>
  <c r="J252" i="41"/>
  <c r="I252" i="41"/>
  <c r="H252" i="41"/>
  <c r="G252" i="41"/>
  <c r="F252" i="41"/>
  <c r="E252" i="41"/>
  <c r="D252" i="41"/>
  <c r="B252" i="41"/>
  <c r="J251" i="41"/>
  <c r="I251" i="41"/>
  <c r="H251" i="41"/>
  <c r="G251" i="41"/>
  <c r="F251" i="41"/>
  <c r="E251" i="41"/>
  <c r="D251" i="41"/>
  <c r="B251" i="41"/>
  <c r="I248" i="41"/>
  <c r="H248" i="41"/>
  <c r="G248" i="41"/>
  <c r="F248" i="41"/>
  <c r="E248" i="41"/>
  <c r="D248" i="41"/>
  <c r="B248" i="41"/>
  <c r="I247" i="41"/>
  <c r="H247" i="41"/>
  <c r="G247" i="41"/>
  <c r="F247" i="41"/>
  <c r="E247" i="41"/>
  <c r="D247" i="41"/>
  <c r="B247" i="41"/>
  <c r="J246" i="41"/>
  <c r="I246" i="41"/>
  <c r="H246" i="41"/>
  <c r="G246" i="41"/>
  <c r="F246" i="41"/>
  <c r="E246" i="41"/>
  <c r="D246" i="41"/>
  <c r="E245" i="41" s="1"/>
  <c r="E97" i="41" s="1"/>
  <c r="B246" i="41"/>
  <c r="D245" i="41"/>
  <c r="D496" i="41" s="1"/>
  <c r="J242" i="41"/>
  <c r="I242" i="41"/>
  <c r="H242" i="41"/>
  <c r="G242" i="41"/>
  <c r="F242" i="41"/>
  <c r="E242" i="41"/>
  <c r="D242" i="41"/>
  <c r="B242" i="41"/>
  <c r="J241" i="41"/>
  <c r="I241" i="41"/>
  <c r="H241" i="41"/>
  <c r="G241" i="41"/>
  <c r="F241" i="41"/>
  <c r="E241" i="41"/>
  <c r="D241" i="41"/>
  <c r="B241" i="41"/>
  <c r="J239" i="41"/>
  <c r="I239" i="41"/>
  <c r="H239" i="41"/>
  <c r="G239" i="41"/>
  <c r="F239" i="41"/>
  <c r="E239" i="41"/>
  <c r="D239" i="41"/>
  <c r="B239" i="41"/>
  <c r="J238" i="41"/>
  <c r="I238" i="41"/>
  <c r="H238" i="41"/>
  <c r="G238" i="41"/>
  <c r="F238" i="41"/>
  <c r="E238" i="41"/>
  <c r="D238" i="41"/>
  <c r="B238" i="41"/>
  <c r="J237" i="41"/>
  <c r="J299" i="41" s="1"/>
  <c r="I237" i="41"/>
  <c r="H237" i="41"/>
  <c r="H299" i="41" s="1"/>
  <c r="G237" i="41"/>
  <c r="F237" i="41"/>
  <c r="F299" i="41" s="1"/>
  <c r="E237" i="41"/>
  <c r="E299" i="41" s="1"/>
  <c r="D237" i="41"/>
  <c r="D240" i="41" s="1"/>
  <c r="B237" i="41"/>
  <c r="J232" i="41"/>
  <c r="I232" i="41"/>
  <c r="H232" i="41"/>
  <c r="G232" i="41"/>
  <c r="F232" i="41"/>
  <c r="E232" i="41"/>
  <c r="D232" i="41"/>
  <c r="B232" i="41"/>
  <c r="J231" i="41"/>
  <c r="I231" i="41"/>
  <c r="H231" i="41"/>
  <c r="G231" i="41"/>
  <c r="F231" i="41"/>
  <c r="E231" i="41"/>
  <c r="D231" i="41"/>
  <c r="B231" i="41"/>
  <c r="J230" i="41"/>
  <c r="I230" i="41"/>
  <c r="H230" i="41"/>
  <c r="G230" i="41"/>
  <c r="F230" i="41"/>
  <c r="E230" i="41"/>
  <c r="D230" i="41"/>
  <c r="B230" i="41"/>
  <c r="I229" i="41"/>
  <c r="I233" i="41" s="1"/>
  <c r="H229" i="41"/>
  <c r="G229" i="41"/>
  <c r="G233" i="41" s="1"/>
  <c r="F229" i="41"/>
  <c r="E229" i="41"/>
  <c r="E233" i="41" s="1"/>
  <c r="D229" i="41"/>
  <c r="B229" i="41"/>
  <c r="J225" i="41"/>
  <c r="I225" i="41"/>
  <c r="H225" i="41"/>
  <c r="G225" i="41"/>
  <c r="F225" i="41"/>
  <c r="E225" i="41"/>
  <c r="D225" i="41"/>
  <c r="B225" i="41"/>
  <c r="J224" i="41"/>
  <c r="I224" i="41"/>
  <c r="H224" i="41"/>
  <c r="G224" i="41"/>
  <c r="F224" i="41"/>
  <c r="E224" i="41"/>
  <c r="D224" i="41"/>
  <c r="B224" i="41"/>
  <c r="J223" i="41"/>
  <c r="I223" i="41"/>
  <c r="H223" i="41"/>
  <c r="G223" i="41"/>
  <c r="F223" i="41"/>
  <c r="E223" i="41"/>
  <c r="D223" i="41"/>
  <c r="B223" i="41"/>
  <c r="I222" i="41"/>
  <c r="H222" i="41"/>
  <c r="H226" i="41" s="1"/>
  <c r="G222" i="41"/>
  <c r="F222" i="41"/>
  <c r="F226" i="41" s="1"/>
  <c r="E222" i="41"/>
  <c r="D222" i="41"/>
  <c r="D226" i="41" s="1"/>
  <c r="B222" i="41"/>
  <c r="J219" i="41"/>
  <c r="I219" i="41"/>
  <c r="H219" i="41"/>
  <c r="G219" i="41"/>
  <c r="F219" i="41"/>
  <c r="E219" i="41"/>
  <c r="D219" i="41"/>
  <c r="B219" i="41"/>
  <c r="J217" i="41"/>
  <c r="I217" i="41"/>
  <c r="H217" i="41"/>
  <c r="G217" i="41"/>
  <c r="F217" i="41"/>
  <c r="E217" i="41"/>
  <c r="D217" i="41"/>
  <c r="B217" i="41"/>
  <c r="J216" i="41"/>
  <c r="I216" i="41"/>
  <c r="H216" i="41"/>
  <c r="G216" i="41"/>
  <c r="F216" i="41"/>
  <c r="E216" i="41"/>
  <c r="D216" i="41"/>
  <c r="B216" i="41"/>
  <c r="J215" i="41"/>
  <c r="I215" i="41"/>
  <c r="I431" i="41" s="1"/>
  <c r="I434" i="41" s="1"/>
  <c r="H215" i="41"/>
  <c r="H431" i="41" s="1"/>
  <c r="H434" i="41" s="1"/>
  <c r="G215" i="41"/>
  <c r="G431" i="41" s="1"/>
  <c r="G434" i="41" s="1"/>
  <c r="F215" i="41"/>
  <c r="F431" i="41" s="1"/>
  <c r="F434" i="41" s="1"/>
  <c r="E215" i="41"/>
  <c r="E431" i="41" s="1"/>
  <c r="E434" i="41" s="1"/>
  <c r="D215" i="41"/>
  <c r="B215" i="41"/>
  <c r="J211" i="41"/>
  <c r="I211" i="41"/>
  <c r="H211" i="41"/>
  <c r="G211" i="41"/>
  <c r="F211" i="41"/>
  <c r="E211" i="41"/>
  <c r="D211" i="41"/>
  <c r="B211" i="41"/>
  <c r="J210" i="41"/>
  <c r="I210" i="41"/>
  <c r="H210" i="41"/>
  <c r="G210" i="41"/>
  <c r="F210" i="41"/>
  <c r="E210" i="41"/>
  <c r="D210" i="41"/>
  <c r="B210" i="41"/>
  <c r="J209" i="41"/>
  <c r="I209" i="41"/>
  <c r="H209" i="41"/>
  <c r="G209" i="41"/>
  <c r="F209" i="41"/>
  <c r="E209" i="41"/>
  <c r="D209" i="41"/>
  <c r="B209" i="41"/>
  <c r="J208" i="41"/>
  <c r="J212" i="41" s="1"/>
  <c r="I208" i="41"/>
  <c r="I212" i="41" s="1"/>
  <c r="H208" i="41"/>
  <c r="H212" i="41" s="1"/>
  <c r="G208" i="41"/>
  <c r="F208" i="41"/>
  <c r="F212" i="41" s="1"/>
  <c r="E208" i="41"/>
  <c r="D208" i="41"/>
  <c r="D212" i="41" s="1"/>
  <c r="B208" i="41"/>
  <c r="J205" i="41"/>
  <c r="I205" i="41"/>
  <c r="H205" i="41"/>
  <c r="G205" i="41"/>
  <c r="F205" i="41"/>
  <c r="E205" i="41"/>
  <c r="D205" i="41"/>
  <c r="J204" i="41"/>
  <c r="I204" i="41"/>
  <c r="H204" i="41"/>
  <c r="G204" i="41"/>
  <c r="F204" i="41"/>
  <c r="E204" i="41"/>
  <c r="D204" i="41"/>
  <c r="J203" i="41"/>
  <c r="I203" i="41"/>
  <c r="H203" i="41"/>
  <c r="G203" i="41"/>
  <c r="F203" i="41"/>
  <c r="E203" i="41"/>
  <c r="D203" i="41"/>
  <c r="J202" i="41"/>
  <c r="I202" i="41"/>
  <c r="H202" i="41"/>
  <c r="G202" i="41"/>
  <c r="F202" i="41"/>
  <c r="E202" i="41"/>
  <c r="D202" i="41"/>
  <c r="B199" i="41"/>
  <c r="O198" i="41"/>
  <c r="P198" i="41" s="1"/>
  <c r="Q198" i="41" s="1"/>
  <c r="R198" i="41" s="1"/>
  <c r="S198" i="41" s="1"/>
  <c r="T198" i="41" s="1"/>
  <c r="U198" i="41" s="1"/>
  <c r="V198" i="41" s="1"/>
  <c r="W198" i="41" s="1"/>
  <c r="X198" i="41" s="1"/>
  <c r="J198" i="41"/>
  <c r="I198" i="41"/>
  <c r="H198" i="41"/>
  <c r="G198" i="41"/>
  <c r="F198" i="41"/>
  <c r="E198" i="41"/>
  <c r="D198" i="41"/>
  <c r="B198" i="41"/>
  <c r="B196" i="41"/>
  <c r="I195" i="41"/>
  <c r="H195" i="41"/>
  <c r="G195" i="41"/>
  <c r="F195" i="41"/>
  <c r="E195" i="41"/>
  <c r="D195" i="41"/>
  <c r="B195" i="41"/>
  <c r="J281" i="41"/>
  <c r="I193" i="41"/>
  <c r="I281" i="41" s="1"/>
  <c r="I283" i="41" s="1"/>
  <c r="H193" i="41"/>
  <c r="H281" i="41" s="1"/>
  <c r="G193" i="41"/>
  <c r="G281" i="41" s="1"/>
  <c r="F193" i="41"/>
  <c r="F281" i="41" s="1"/>
  <c r="F283" i="41" s="1"/>
  <c r="E193" i="41"/>
  <c r="E281" i="41" s="1"/>
  <c r="D193" i="41"/>
  <c r="D281" i="41" s="1"/>
  <c r="B193" i="41"/>
  <c r="Q192" i="41"/>
  <c r="Q300" i="41" s="1"/>
  <c r="P192" i="41"/>
  <c r="P300" i="41" s="1"/>
  <c r="O192" i="41"/>
  <c r="O300" i="41" s="1"/>
  <c r="I192" i="41"/>
  <c r="I300" i="41" s="1"/>
  <c r="H192" i="41"/>
  <c r="H300" i="41" s="1"/>
  <c r="G192" i="41"/>
  <c r="G300" i="41" s="1"/>
  <c r="F192" i="41"/>
  <c r="F300" i="41" s="1"/>
  <c r="E192" i="41"/>
  <c r="E300" i="41" s="1"/>
  <c r="D192" i="41"/>
  <c r="D300" i="41" s="1"/>
  <c r="B192" i="41"/>
  <c r="I190" i="41"/>
  <c r="I271" i="41" s="1"/>
  <c r="H190" i="41"/>
  <c r="H271" i="41" s="1"/>
  <c r="G190" i="41"/>
  <c r="G271" i="41" s="1"/>
  <c r="F190" i="41"/>
  <c r="F271" i="41" s="1"/>
  <c r="E190" i="41"/>
  <c r="E271" i="41" s="1"/>
  <c r="D190" i="41"/>
  <c r="D271" i="41" s="1"/>
  <c r="B190" i="41"/>
  <c r="I188" i="41"/>
  <c r="H188" i="41"/>
  <c r="G188" i="41"/>
  <c r="F188" i="41"/>
  <c r="E188" i="41"/>
  <c r="D188" i="41"/>
  <c r="B188" i="41"/>
  <c r="I187" i="41"/>
  <c r="H187" i="41"/>
  <c r="G187" i="41"/>
  <c r="F187" i="41"/>
  <c r="E187" i="41"/>
  <c r="D187" i="41"/>
  <c r="B187" i="41"/>
  <c r="I186" i="41"/>
  <c r="H186" i="41"/>
  <c r="G186" i="41"/>
  <c r="F186" i="41"/>
  <c r="E186" i="41"/>
  <c r="D186" i="41"/>
  <c r="B186" i="41"/>
  <c r="I185" i="41"/>
  <c r="H185" i="41"/>
  <c r="G185" i="41"/>
  <c r="F185" i="41"/>
  <c r="E185" i="41"/>
  <c r="D185" i="41"/>
  <c r="B185" i="41"/>
  <c r="I184" i="41"/>
  <c r="H184" i="41"/>
  <c r="G184" i="41"/>
  <c r="F184" i="41"/>
  <c r="E184" i="41"/>
  <c r="D184" i="41"/>
  <c r="B184" i="41"/>
  <c r="I183" i="41"/>
  <c r="H183" i="41"/>
  <c r="G183" i="41"/>
  <c r="F183" i="41"/>
  <c r="E183" i="41"/>
  <c r="D183" i="41"/>
  <c r="B183" i="41"/>
  <c r="I182" i="41"/>
  <c r="H182" i="41"/>
  <c r="G182" i="41"/>
  <c r="F182" i="41"/>
  <c r="E182" i="41"/>
  <c r="D182" i="41"/>
  <c r="B182" i="41"/>
  <c r="B179" i="41"/>
  <c r="B177" i="41"/>
  <c r="J172" i="41"/>
  <c r="I172" i="41"/>
  <c r="H172" i="41"/>
  <c r="G172" i="41"/>
  <c r="F172" i="41"/>
  <c r="E172" i="41"/>
  <c r="D172" i="41"/>
  <c r="J171" i="41"/>
  <c r="I171" i="41"/>
  <c r="H171" i="41"/>
  <c r="G171" i="41"/>
  <c r="F171" i="41"/>
  <c r="E171" i="41"/>
  <c r="D171" i="41"/>
  <c r="B169" i="41"/>
  <c r="J164" i="41"/>
  <c r="I164" i="41"/>
  <c r="H164" i="41"/>
  <c r="G164" i="41"/>
  <c r="F164" i="41"/>
  <c r="E164" i="41"/>
  <c r="D164" i="41"/>
  <c r="B164" i="41"/>
  <c r="J163" i="41"/>
  <c r="I163" i="41"/>
  <c r="H163" i="41"/>
  <c r="G163" i="41"/>
  <c r="F163" i="41"/>
  <c r="E163" i="41"/>
  <c r="D163" i="41"/>
  <c r="B163" i="41"/>
  <c r="J162" i="41"/>
  <c r="I162" i="41"/>
  <c r="H162" i="41"/>
  <c r="G162" i="41"/>
  <c r="F162" i="41"/>
  <c r="E162" i="41"/>
  <c r="D162" i="41"/>
  <c r="B162" i="41"/>
  <c r="B160" i="41"/>
  <c r="W159" i="41"/>
  <c r="V159" i="41"/>
  <c r="U159" i="41"/>
  <c r="Q159" i="41"/>
  <c r="O159" i="41"/>
  <c r="J159" i="41"/>
  <c r="I159" i="41"/>
  <c r="H159" i="41"/>
  <c r="G159" i="41"/>
  <c r="F159" i="41"/>
  <c r="E159" i="41"/>
  <c r="J155" i="41"/>
  <c r="I155" i="41"/>
  <c r="H155" i="41"/>
  <c r="G155" i="41"/>
  <c r="F155" i="41"/>
  <c r="E155" i="41"/>
  <c r="D155" i="41"/>
  <c r="B155" i="41"/>
  <c r="J154" i="41"/>
  <c r="I154" i="41"/>
  <c r="H154" i="41"/>
  <c r="G154" i="41"/>
  <c r="F154" i="41"/>
  <c r="E154" i="41"/>
  <c r="D154" i="41"/>
  <c r="B154" i="41"/>
  <c r="J151" i="41"/>
  <c r="I151" i="41"/>
  <c r="H151" i="41"/>
  <c r="G151" i="41"/>
  <c r="F151" i="41"/>
  <c r="E151" i="41"/>
  <c r="D151" i="41"/>
  <c r="B151" i="41"/>
  <c r="B149" i="41"/>
  <c r="O148" i="41"/>
  <c r="J148" i="41"/>
  <c r="I148" i="41"/>
  <c r="H148" i="41"/>
  <c r="G148" i="41"/>
  <c r="F148" i="41"/>
  <c r="E148" i="41"/>
  <c r="D148" i="41"/>
  <c r="B148" i="41"/>
  <c r="B146" i="41"/>
  <c r="J145" i="41"/>
  <c r="J146" i="41" s="1"/>
  <c r="J147" i="41" s="1"/>
  <c r="I145" i="41"/>
  <c r="I146" i="41" s="1"/>
  <c r="H145" i="41"/>
  <c r="G145" i="41"/>
  <c r="G146" i="41" s="1"/>
  <c r="F145" i="41"/>
  <c r="F146" i="41" s="1"/>
  <c r="F147" i="41" s="1"/>
  <c r="E145" i="41"/>
  <c r="D145" i="41"/>
  <c r="D146" i="41" s="1"/>
  <c r="B145" i="41"/>
  <c r="B141" i="41"/>
  <c r="I139" i="41"/>
  <c r="H139" i="41"/>
  <c r="G139" i="41"/>
  <c r="F139" i="41"/>
  <c r="E139" i="41"/>
  <c r="D139" i="41"/>
  <c r="B139" i="41"/>
  <c r="I138" i="41"/>
  <c r="I432" i="41" s="1"/>
  <c r="H138" i="41"/>
  <c r="H432" i="41" s="1"/>
  <c r="G138" i="41"/>
  <c r="F138" i="41"/>
  <c r="F432" i="41" s="1"/>
  <c r="E138" i="41"/>
  <c r="E432" i="41" s="1"/>
  <c r="D138" i="41"/>
  <c r="D432" i="41" s="1"/>
  <c r="B138" i="41"/>
  <c r="I137" i="41"/>
  <c r="H137" i="41"/>
  <c r="G137" i="41"/>
  <c r="F137" i="41"/>
  <c r="E137" i="41"/>
  <c r="D137" i="41"/>
  <c r="B137" i="41"/>
  <c r="I136" i="41"/>
  <c r="H136" i="41"/>
  <c r="G136" i="41"/>
  <c r="F136" i="41"/>
  <c r="E136" i="41"/>
  <c r="D136" i="41"/>
  <c r="B136" i="41"/>
  <c r="I135" i="41"/>
  <c r="H135" i="41"/>
  <c r="G135" i="41"/>
  <c r="F135" i="41"/>
  <c r="E135" i="41"/>
  <c r="D135" i="41"/>
  <c r="B135" i="41"/>
  <c r="I134" i="41"/>
  <c r="H134" i="41"/>
  <c r="G134" i="41"/>
  <c r="F134" i="41"/>
  <c r="E134" i="41"/>
  <c r="D134" i="41"/>
  <c r="B134" i="41"/>
  <c r="J127" i="41"/>
  <c r="I127" i="41"/>
  <c r="H127" i="41"/>
  <c r="G127" i="41"/>
  <c r="F127" i="41"/>
  <c r="E127" i="41"/>
  <c r="D127" i="41"/>
  <c r="B127" i="41"/>
  <c r="J126" i="41"/>
  <c r="I126" i="41"/>
  <c r="H126" i="41"/>
  <c r="G126" i="41"/>
  <c r="F126" i="41"/>
  <c r="E126" i="41"/>
  <c r="D126" i="41"/>
  <c r="B126" i="41"/>
  <c r="J125" i="41"/>
  <c r="I125" i="41"/>
  <c r="H125" i="41"/>
  <c r="G125" i="41"/>
  <c r="F125" i="41"/>
  <c r="E125" i="41"/>
  <c r="D125" i="41"/>
  <c r="B125" i="41"/>
  <c r="J124" i="41"/>
  <c r="I124" i="41"/>
  <c r="H124" i="41"/>
  <c r="G124" i="41"/>
  <c r="F124" i="41"/>
  <c r="E124" i="41"/>
  <c r="D124" i="41"/>
  <c r="B124" i="41"/>
  <c r="J123" i="41"/>
  <c r="I123" i="41"/>
  <c r="H123" i="41"/>
  <c r="G123" i="41"/>
  <c r="F123" i="41"/>
  <c r="E123" i="41"/>
  <c r="D123" i="41"/>
  <c r="B123" i="41"/>
  <c r="J122" i="41"/>
  <c r="J128" i="41" s="1"/>
  <c r="I122" i="41"/>
  <c r="I128" i="41" s="1"/>
  <c r="H122" i="41"/>
  <c r="G122" i="41"/>
  <c r="G128" i="41" s="1"/>
  <c r="F122" i="41"/>
  <c r="E122" i="41"/>
  <c r="E128" i="41" s="1"/>
  <c r="D122" i="41"/>
  <c r="B122" i="41"/>
  <c r="J120" i="41"/>
  <c r="I120" i="41"/>
  <c r="H120" i="41"/>
  <c r="G120" i="41"/>
  <c r="F120" i="41"/>
  <c r="E120" i="41"/>
  <c r="D120" i="41"/>
  <c r="B120" i="41"/>
  <c r="J119" i="41"/>
  <c r="I119" i="41"/>
  <c r="H119" i="41"/>
  <c r="G119" i="41"/>
  <c r="F119" i="41"/>
  <c r="E119" i="41"/>
  <c r="D119" i="41"/>
  <c r="B119" i="41"/>
  <c r="J118" i="41"/>
  <c r="I118" i="41"/>
  <c r="H118" i="41"/>
  <c r="G118" i="41"/>
  <c r="F118" i="41"/>
  <c r="E118" i="41"/>
  <c r="D118" i="41"/>
  <c r="B118" i="41"/>
  <c r="J117" i="41"/>
  <c r="I117" i="41"/>
  <c r="H117" i="41"/>
  <c r="G117" i="41"/>
  <c r="F117" i="41"/>
  <c r="E117" i="41"/>
  <c r="D117" i="41"/>
  <c r="B117" i="41"/>
  <c r="U116" i="41"/>
  <c r="S116" i="41"/>
  <c r="R116" i="41"/>
  <c r="Q116" i="41"/>
  <c r="P116" i="41"/>
  <c r="J116" i="41"/>
  <c r="I116" i="41"/>
  <c r="H116" i="41"/>
  <c r="G116" i="41"/>
  <c r="F116" i="41"/>
  <c r="E116" i="41"/>
  <c r="D116" i="41"/>
  <c r="B116" i="41"/>
  <c r="J115" i="41"/>
  <c r="I115" i="41"/>
  <c r="H115" i="41"/>
  <c r="G115" i="41"/>
  <c r="F115" i="41"/>
  <c r="E115" i="41"/>
  <c r="D115" i="41"/>
  <c r="B115" i="41"/>
  <c r="J109" i="41"/>
  <c r="I109" i="41"/>
  <c r="H109" i="41"/>
  <c r="G109" i="41"/>
  <c r="F109" i="41"/>
  <c r="E109" i="41"/>
  <c r="D109" i="41"/>
  <c r="B109" i="41"/>
  <c r="I108" i="41"/>
  <c r="H108" i="41"/>
  <c r="G108" i="41"/>
  <c r="F108" i="41"/>
  <c r="E108" i="41"/>
  <c r="D108" i="41"/>
  <c r="B108" i="41"/>
  <c r="J107" i="41"/>
  <c r="J509" i="41" s="1"/>
  <c r="I107" i="41"/>
  <c r="I509" i="41" s="1"/>
  <c r="H107" i="41"/>
  <c r="H509" i="41" s="1"/>
  <c r="G107" i="41"/>
  <c r="G509" i="41" s="1"/>
  <c r="F107" i="41"/>
  <c r="F509" i="41" s="1"/>
  <c r="E107" i="41"/>
  <c r="D107" i="41"/>
  <c r="D509" i="41" s="1"/>
  <c r="B107" i="41"/>
  <c r="F105" i="41"/>
  <c r="J104" i="41"/>
  <c r="I104" i="41"/>
  <c r="H104" i="41"/>
  <c r="G104" i="41"/>
  <c r="F104" i="41"/>
  <c r="E104" i="41"/>
  <c r="D104" i="41"/>
  <c r="B104" i="41"/>
  <c r="J103" i="41"/>
  <c r="I103" i="41"/>
  <c r="H103" i="41"/>
  <c r="G103" i="41"/>
  <c r="F103" i="41"/>
  <c r="E103" i="41"/>
  <c r="D103" i="41"/>
  <c r="B103" i="41"/>
  <c r="J102" i="41"/>
  <c r="I102" i="41"/>
  <c r="H102" i="41"/>
  <c r="G102" i="41"/>
  <c r="F102" i="41"/>
  <c r="E102" i="41"/>
  <c r="D102" i="41"/>
  <c r="B102" i="41"/>
  <c r="J101" i="41"/>
  <c r="I101" i="41"/>
  <c r="H101" i="41"/>
  <c r="G101" i="41"/>
  <c r="F101" i="41"/>
  <c r="E101" i="41"/>
  <c r="D101" i="41"/>
  <c r="B101" i="41"/>
  <c r="J100" i="41"/>
  <c r="I100" i="41"/>
  <c r="H100" i="41"/>
  <c r="G100" i="41"/>
  <c r="F100" i="41"/>
  <c r="E100" i="41"/>
  <c r="D100" i="41"/>
  <c r="B100" i="41"/>
  <c r="D97" i="41"/>
  <c r="I96" i="41"/>
  <c r="H96" i="41"/>
  <c r="G96" i="41"/>
  <c r="F96" i="41"/>
  <c r="E96" i="41"/>
  <c r="D96" i="41"/>
  <c r="B96" i="41"/>
  <c r="I95" i="41"/>
  <c r="H95" i="41"/>
  <c r="G95" i="41"/>
  <c r="F95" i="41"/>
  <c r="E95" i="41"/>
  <c r="D95" i="41"/>
  <c r="B95" i="41"/>
  <c r="I94" i="41"/>
  <c r="H94" i="41"/>
  <c r="G94" i="41"/>
  <c r="F94" i="41"/>
  <c r="E94" i="41"/>
  <c r="D94" i="41"/>
  <c r="B94" i="41"/>
  <c r="I92" i="41"/>
  <c r="H92" i="41"/>
  <c r="G92" i="41"/>
  <c r="F92" i="41"/>
  <c r="E92" i="41"/>
  <c r="D92" i="41"/>
  <c r="B92" i="41"/>
  <c r="I91" i="41"/>
  <c r="H91" i="41"/>
  <c r="G91" i="41"/>
  <c r="F91" i="41"/>
  <c r="E91" i="41"/>
  <c r="D91" i="41"/>
  <c r="B91" i="41"/>
  <c r="J90" i="41"/>
  <c r="I90" i="41"/>
  <c r="H90" i="41"/>
  <c r="G90" i="41"/>
  <c r="F90" i="41"/>
  <c r="E90" i="41"/>
  <c r="D90" i="41"/>
  <c r="B90" i="41"/>
  <c r="J89" i="41"/>
  <c r="I89" i="41"/>
  <c r="H89" i="41"/>
  <c r="G89" i="41"/>
  <c r="F89" i="41"/>
  <c r="E89" i="41"/>
  <c r="D89" i="41"/>
  <c r="B89" i="41"/>
  <c r="I88" i="41"/>
  <c r="I93" i="41" s="1"/>
  <c r="H88" i="41"/>
  <c r="G88" i="41"/>
  <c r="F88" i="41"/>
  <c r="E88" i="41"/>
  <c r="D88" i="41"/>
  <c r="B88" i="41"/>
  <c r="J84" i="41"/>
  <c r="I84" i="41"/>
  <c r="H84" i="41"/>
  <c r="G84" i="41"/>
  <c r="F84" i="41"/>
  <c r="E84" i="41"/>
  <c r="D84" i="41"/>
  <c r="B84" i="41"/>
  <c r="B83" i="41"/>
  <c r="J80" i="41"/>
  <c r="I80" i="41"/>
  <c r="H80" i="41"/>
  <c r="G80" i="41"/>
  <c r="F80" i="41"/>
  <c r="E80" i="41"/>
  <c r="D80" i="41"/>
  <c r="B80" i="41"/>
  <c r="J79" i="41"/>
  <c r="I79" i="41"/>
  <c r="H79" i="41"/>
  <c r="G79" i="41"/>
  <c r="F79" i="41"/>
  <c r="E79" i="41"/>
  <c r="D79" i="41"/>
  <c r="B79" i="41"/>
  <c r="J77" i="41"/>
  <c r="I77" i="41"/>
  <c r="H77" i="41"/>
  <c r="G77" i="41"/>
  <c r="F77" i="41"/>
  <c r="E77" i="41"/>
  <c r="D77" i="41"/>
  <c r="B77" i="41"/>
  <c r="I76" i="41"/>
  <c r="H76" i="41"/>
  <c r="G76" i="41"/>
  <c r="F76" i="41"/>
  <c r="E76" i="41"/>
  <c r="D76" i="41"/>
  <c r="B76" i="41"/>
  <c r="J75" i="41"/>
  <c r="I75" i="41"/>
  <c r="H75" i="41"/>
  <c r="G75" i="41"/>
  <c r="F75" i="41"/>
  <c r="E75" i="41"/>
  <c r="D75" i="41"/>
  <c r="B75" i="41"/>
  <c r="I74" i="41"/>
  <c r="H74" i="41"/>
  <c r="G74" i="41"/>
  <c r="F74" i="41"/>
  <c r="E74" i="41"/>
  <c r="D74" i="41"/>
  <c r="B74" i="41"/>
  <c r="J73" i="41"/>
  <c r="I73" i="41"/>
  <c r="I457" i="41" s="1"/>
  <c r="H73" i="41"/>
  <c r="G73" i="41"/>
  <c r="F73" i="41"/>
  <c r="E73" i="41"/>
  <c r="D73" i="41"/>
  <c r="B73" i="41"/>
  <c r="J72" i="41"/>
  <c r="I72" i="41"/>
  <c r="H72" i="41"/>
  <c r="G72" i="41"/>
  <c r="F72" i="41"/>
  <c r="E72" i="41"/>
  <c r="D72" i="41"/>
  <c r="B72" i="41"/>
  <c r="I71" i="41"/>
  <c r="H71" i="41"/>
  <c r="G71" i="41"/>
  <c r="G78" i="41" s="1"/>
  <c r="G81" i="41" s="1"/>
  <c r="F71" i="41"/>
  <c r="E71" i="41"/>
  <c r="E78" i="41" s="1"/>
  <c r="D71" i="41"/>
  <c r="B71" i="41"/>
  <c r="I70" i="41"/>
  <c r="H70" i="41"/>
  <c r="G70" i="41"/>
  <c r="F70" i="41"/>
  <c r="E70" i="41"/>
  <c r="D70" i="41"/>
  <c r="B70" i="41"/>
  <c r="B67" i="41"/>
  <c r="B66" i="41"/>
  <c r="B61" i="41"/>
  <c r="J59" i="41"/>
  <c r="I59" i="41"/>
  <c r="H59" i="41"/>
  <c r="G59" i="41"/>
  <c r="F59" i="41"/>
  <c r="E59" i="41"/>
  <c r="D59" i="41"/>
  <c r="B59" i="41"/>
  <c r="B52" i="41"/>
  <c r="D48" i="41"/>
  <c r="J44" i="41"/>
  <c r="I44" i="41"/>
  <c r="H44" i="41"/>
  <c r="G44" i="41"/>
  <c r="F44" i="41"/>
  <c r="E44" i="41"/>
  <c r="D44" i="41"/>
  <c r="B44" i="41"/>
  <c r="J43" i="41"/>
  <c r="I43" i="41"/>
  <c r="H43" i="41"/>
  <c r="G43" i="41"/>
  <c r="F43" i="41"/>
  <c r="E43" i="41"/>
  <c r="D43" i="41"/>
  <c r="B43" i="41"/>
  <c r="J40" i="41"/>
  <c r="I40" i="41"/>
  <c r="H40" i="41"/>
  <c r="G40" i="41"/>
  <c r="F40" i="41"/>
  <c r="E40" i="41"/>
  <c r="D40" i="41"/>
  <c r="B40" i="41"/>
  <c r="J38" i="41"/>
  <c r="I38" i="41"/>
  <c r="H38" i="41"/>
  <c r="G38" i="41"/>
  <c r="F38" i="41"/>
  <c r="E38" i="41"/>
  <c r="D38" i="41"/>
  <c r="J37" i="41"/>
  <c r="I37" i="41"/>
  <c r="G37" i="41"/>
  <c r="F37" i="41"/>
  <c r="D37" i="41"/>
  <c r="N30" i="41"/>
  <c r="M30" i="41"/>
  <c r="L30" i="41"/>
  <c r="K30" i="41"/>
  <c r="J30" i="41"/>
  <c r="I30" i="41"/>
  <c r="H30" i="41"/>
  <c r="G30" i="41"/>
  <c r="F30" i="41"/>
  <c r="E30" i="41"/>
  <c r="D30" i="41"/>
  <c r="A29" i="41"/>
  <c r="N28" i="41"/>
  <c r="M28" i="41"/>
  <c r="L28" i="41"/>
  <c r="L29" i="41" s="1"/>
  <c r="K28" i="41"/>
  <c r="K29" i="41" s="1"/>
  <c r="J28" i="41"/>
  <c r="I28" i="41"/>
  <c r="H28" i="41"/>
  <c r="G28" i="41"/>
  <c r="G29" i="41" s="1"/>
  <c r="F28" i="41"/>
  <c r="E28" i="41"/>
  <c r="D28" i="41"/>
  <c r="N26" i="41"/>
  <c r="M26" i="41"/>
  <c r="L26" i="41"/>
  <c r="K26" i="41"/>
  <c r="J26" i="41"/>
  <c r="I26" i="41"/>
  <c r="H26" i="41"/>
  <c r="G26" i="41"/>
  <c r="F26" i="41"/>
  <c r="E26" i="41"/>
  <c r="D26" i="41"/>
  <c r="N25" i="41"/>
  <c r="M25" i="41"/>
  <c r="L25" i="41"/>
  <c r="K25" i="41"/>
  <c r="J25" i="41"/>
  <c r="I25" i="41"/>
  <c r="H25" i="41"/>
  <c r="G25" i="41"/>
  <c r="F25" i="41"/>
  <c r="E25" i="41"/>
  <c r="D25" i="41"/>
  <c r="N24" i="41"/>
  <c r="M24" i="41"/>
  <c r="L24" i="41"/>
  <c r="K24" i="41"/>
  <c r="J24" i="41"/>
  <c r="I24" i="41"/>
  <c r="H24" i="41"/>
  <c r="G24" i="41"/>
  <c r="F24" i="41"/>
  <c r="E24" i="41"/>
  <c r="D24" i="41"/>
  <c r="N23" i="41"/>
  <c r="M23" i="41"/>
  <c r="L23" i="41"/>
  <c r="K23" i="41"/>
  <c r="J23" i="41"/>
  <c r="I23" i="41"/>
  <c r="H23" i="41"/>
  <c r="G23" i="41"/>
  <c r="F23" i="41"/>
  <c r="E23" i="41"/>
  <c r="D23" i="41"/>
  <c r="A22" i="41"/>
  <c r="N21" i="41"/>
  <c r="N22" i="41" s="1"/>
  <c r="M21" i="41"/>
  <c r="M22" i="41" s="1"/>
  <c r="L21" i="41"/>
  <c r="K21" i="41"/>
  <c r="K22" i="41" s="1"/>
  <c r="J21" i="41"/>
  <c r="I21" i="41"/>
  <c r="J22" i="41" s="1"/>
  <c r="H21" i="41"/>
  <c r="G21" i="41"/>
  <c r="F21" i="41"/>
  <c r="G22" i="41" s="1"/>
  <c r="E21" i="41"/>
  <c r="E22" i="41" s="1"/>
  <c r="D21" i="41"/>
  <c r="A19" i="41"/>
  <c r="N18" i="41"/>
  <c r="O18" i="41" s="1"/>
  <c r="O19" i="41" s="1"/>
  <c r="M18" i="41"/>
  <c r="L18" i="41"/>
  <c r="L19" i="41" s="1"/>
  <c r="K18" i="41"/>
  <c r="K19" i="41" s="1"/>
  <c r="J18" i="41"/>
  <c r="J19" i="41" s="1"/>
  <c r="I18" i="41"/>
  <c r="H18" i="41"/>
  <c r="G18" i="41"/>
  <c r="F18" i="41"/>
  <c r="E18" i="41"/>
  <c r="D18" i="41"/>
  <c r="A17" i="41"/>
  <c r="N16" i="41"/>
  <c r="M16" i="41"/>
  <c r="M17" i="41" s="1"/>
  <c r="L16" i="41"/>
  <c r="L20" i="41" s="1"/>
  <c r="K16" i="41"/>
  <c r="K20" i="41" s="1"/>
  <c r="J16" i="41"/>
  <c r="I16" i="41"/>
  <c r="H16" i="41"/>
  <c r="H20" i="41" s="1"/>
  <c r="G16" i="41"/>
  <c r="H17" i="41" s="1"/>
  <c r="F16" i="41"/>
  <c r="E16" i="41"/>
  <c r="E20" i="41" s="1"/>
  <c r="D16" i="41"/>
  <c r="D20" i="41" s="1"/>
  <c r="F14" i="41"/>
  <c r="A14" i="41"/>
  <c r="N13" i="41"/>
  <c r="N14" i="41" s="1"/>
  <c r="M13" i="41"/>
  <c r="L13" i="41"/>
  <c r="K13" i="41"/>
  <c r="K14" i="41" s="1"/>
  <c r="J13" i="41"/>
  <c r="I13" i="41"/>
  <c r="H13" i="41"/>
  <c r="H14" i="41" s="1"/>
  <c r="G13" i="41"/>
  <c r="F13" i="41"/>
  <c r="E13" i="41"/>
  <c r="D13" i="41"/>
  <c r="E14" i="41" s="1"/>
  <c r="N11" i="41"/>
  <c r="M11" i="41"/>
  <c r="L11" i="41"/>
  <c r="K11" i="41"/>
  <c r="K12" i="41" s="1"/>
  <c r="J11" i="41"/>
  <c r="I11" i="41"/>
  <c r="H11" i="41"/>
  <c r="I12" i="41" s="1"/>
  <c r="G11" i="41"/>
  <c r="G12" i="41" s="1"/>
  <c r="F11" i="41"/>
  <c r="E11" i="41"/>
  <c r="D11" i="41"/>
  <c r="C1" i="41"/>
  <c r="N255" i="41" s="1"/>
  <c r="B514" i="40"/>
  <c r="N510" i="40"/>
  <c r="M510" i="40"/>
  <c r="L510" i="40"/>
  <c r="K510" i="40"/>
  <c r="J510" i="40"/>
  <c r="I510" i="40"/>
  <c r="H510" i="40"/>
  <c r="G510" i="40"/>
  <c r="F510" i="40"/>
  <c r="E510" i="40"/>
  <c r="D510" i="40"/>
  <c r="B510" i="40"/>
  <c r="N508" i="40"/>
  <c r="M508" i="40"/>
  <c r="L508" i="40"/>
  <c r="K508" i="40"/>
  <c r="J508" i="40"/>
  <c r="I508" i="40"/>
  <c r="H508" i="40"/>
  <c r="G508" i="40"/>
  <c r="F508" i="40"/>
  <c r="E508" i="40"/>
  <c r="D508" i="40"/>
  <c r="B508" i="40"/>
  <c r="N507" i="40"/>
  <c r="M507" i="40"/>
  <c r="L507" i="40"/>
  <c r="K507" i="40"/>
  <c r="J507" i="40"/>
  <c r="I507" i="40"/>
  <c r="H507" i="40"/>
  <c r="G507" i="40"/>
  <c r="F507" i="40"/>
  <c r="E507" i="40"/>
  <c r="D507" i="40"/>
  <c r="B507" i="40"/>
  <c r="B505" i="40"/>
  <c r="D502" i="40"/>
  <c r="N500" i="40"/>
  <c r="M500" i="40"/>
  <c r="L500" i="40"/>
  <c r="K500" i="40"/>
  <c r="J500" i="40"/>
  <c r="I500" i="40"/>
  <c r="H500" i="40"/>
  <c r="G500" i="40"/>
  <c r="F500" i="40"/>
  <c r="E500" i="40"/>
  <c r="D500" i="40"/>
  <c r="B500" i="40"/>
  <c r="N499" i="40"/>
  <c r="M499" i="40"/>
  <c r="L499" i="40"/>
  <c r="K499" i="40"/>
  <c r="J499" i="40"/>
  <c r="I499" i="40"/>
  <c r="H499" i="40"/>
  <c r="G499" i="40"/>
  <c r="F499" i="40"/>
  <c r="E499" i="40"/>
  <c r="D499" i="40"/>
  <c r="B499" i="40"/>
  <c r="N498" i="40"/>
  <c r="M498" i="40"/>
  <c r="L498" i="40"/>
  <c r="K498" i="40"/>
  <c r="J498" i="40"/>
  <c r="I498" i="40"/>
  <c r="H498" i="40"/>
  <c r="G498" i="40"/>
  <c r="F498" i="40"/>
  <c r="E498" i="40"/>
  <c r="D498" i="40"/>
  <c r="B498" i="40"/>
  <c r="N495" i="40"/>
  <c r="M495" i="40"/>
  <c r="L495" i="40"/>
  <c r="K495" i="40"/>
  <c r="J495" i="40"/>
  <c r="I495" i="40"/>
  <c r="H495" i="40"/>
  <c r="G495" i="40"/>
  <c r="F495" i="40"/>
  <c r="E495" i="40"/>
  <c r="D495" i="40"/>
  <c r="B495" i="40"/>
  <c r="I494" i="40"/>
  <c r="H494" i="40"/>
  <c r="G494" i="40"/>
  <c r="F494" i="40"/>
  <c r="E494" i="40"/>
  <c r="D494" i="40"/>
  <c r="B494" i="40"/>
  <c r="N493" i="40"/>
  <c r="M493" i="40"/>
  <c r="L493" i="40"/>
  <c r="K493" i="40"/>
  <c r="J493" i="40"/>
  <c r="I493" i="40"/>
  <c r="H493" i="40"/>
  <c r="G493" i="40"/>
  <c r="F493" i="40"/>
  <c r="E493" i="40"/>
  <c r="D493" i="40"/>
  <c r="B493" i="40"/>
  <c r="N492" i="40"/>
  <c r="M492" i="40"/>
  <c r="L492" i="40"/>
  <c r="K492" i="40"/>
  <c r="J492" i="40"/>
  <c r="I492" i="40"/>
  <c r="H492" i="40"/>
  <c r="G492" i="40"/>
  <c r="F492" i="40"/>
  <c r="E492" i="40"/>
  <c r="D492" i="40"/>
  <c r="B492" i="40"/>
  <c r="N491" i="40"/>
  <c r="M491" i="40"/>
  <c r="L491" i="40"/>
  <c r="K491" i="40"/>
  <c r="J491" i="40"/>
  <c r="I491" i="40"/>
  <c r="H491" i="40"/>
  <c r="G491" i="40"/>
  <c r="F491" i="40"/>
  <c r="E491" i="40"/>
  <c r="D491" i="40"/>
  <c r="B491" i="40"/>
  <c r="N490" i="40"/>
  <c r="M490" i="40"/>
  <c r="L490" i="40"/>
  <c r="K490" i="40"/>
  <c r="J490" i="40"/>
  <c r="I490" i="40"/>
  <c r="H490" i="40"/>
  <c r="G490" i="40"/>
  <c r="F490" i="40"/>
  <c r="E490" i="40"/>
  <c r="D490" i="40"/>
  <c r="B490" i="40"/>
  <c r="N489" i="40"/>
  <c r="M489" i="40"/>
  <c r="L489" i="40"/>
  <c r="K489" i="40"/>
  <c r="J489" i="40"/>
  <c r="I489" i="40"/>
  <c r="H489" i="40"/>
  <c r="G489" i="40"/>
  <c r="F489" i="40"/>
  <c r="E489" i="40"/>
  <c r="D489" i="40"/>
  <c r="B489" i="40"/>
  <c r="N486" i="40"/>
  <c r="M486" i="40"/>
  <c r="L486" i="40"/>
  <c r="K486" i="40"/>
  <c r="J486" i="40"/>
  <c r="I486" i="40"/>
  <c r="H486" i="40"/>
  <c r="G486" i="40"/>
  <c r="F486" i="40"/>
  <c r="E486" i="40"/>
  <c r="D486" i="40"/>
  <c r="B486" i="40"/>
  <c r="B484" i="40"/>
  <c r="F480" i="40"/>
  <c r="B479" i="40"/>
  <c r="N478" i="40"/>
  <c r="M478" i="40"/>
  <c r="L478" i="40"/>
  <c r="K478" i="40"/>
  <c r="J478" i="40"/>
  <c r="J479" i="40" s="1"/>
  <c r="I478" i="40"/>
  <c r="H478" i="40"/>
  <c r="G478" i="40"/>
  <c r="G479" i="40" s="1"/>
  <c r="F478" i="40"/>
  <c r="F479" i="40" s="1"/>
  <c r="E478" i="40"/>
  <c r="E479" i="40" s="1"/>
  <c r="D478" i="40"/>
  <c r="B478" i="40"/>
  <c r="I474" i="40"/>
  <c r="B474" i="40"/>
  <c r="O473" i="40"/>
  <c r="P473" i="40" s="1"/>
  <c r="Q473" i="40" s="1"/>
  <c r="R473" i="40" s="1"/>
  <c r="S473" i="40" s="1"/>
  <c r="T473" i="40" s="1"/>
  <c r="U473" i="40" s="1"/>
  <c r="V473" i="40" s="1"/>
  <c r="W473" i="40" s="1"/>
  <c r="X473" i="40" s="1"/>
  <c r="N473" i="40"/>
  <c r="M473" i="40"/>
  <c r="L473" i="40"/>
  <c r="K473" i="40"/>
  <c r="J473" i="40"/>
  <c r="I473" i="40"/>
  <c r="H473" i="40"/>
  <c r="G473" i="40"/>
  <c r="F473" i="40"/>
  <c r="E473" i="40"/>
  <c r="D473" i="40"/>
  <c r="B473" i="40"/>
  <c r="N472" i="40"/>
  <c r="N474" i="40" s="1"/>
  <c r="N475" i="40" s="1"/>
  <c r="M472" i="40"/>
  <c r="L472" i="40"/>
  <c r="L474" i="40" s="1"/>
  <c r="K472" i="40"/>
  <c r="K474" i="40" s="1"/>
  <c r="J472" i="40"/>
  <c r="J474" i="40" s="1"/>
  <c r="I472" i="40"/>
  <c r="H472" i="40"/>
  <c r="G472" i="40"/>
  <c r="G474" i="40" s="1"/>
  <c r="F472" i="40"/>
  <c r="E472" i="40"/>
  <c r="D472" i="40"/>
  <c r="D474" i="40" s="1"/>
  <c r="B472" i="40"/>
  <c r="N469" i="40"/>
  <c r="M469" i="40"/>
  <c r="L469" i="40"/>
  <c r="K469" i="40"/>
  <c r="J469" i="40"/>
  <c r="I469" i="40"/>
  <c r="H469" i="40"/>
  <c r="G469" i="40"/>
  <c r="F469" i="40"/>
  <c r="E469" i="40"/>
  <c r="D469" i="40"/>
  <c r="B469" i="40"/>
  <c r="N468" i="40"/>
  <c r="M468" i="40"/>
  <c r="L468" i="40"/>
  <c r="K468" i="40"/>
  <c r="J468" i="40"/>
  <c r="I468" i="40"/>
  <c r="H468" i="40"/>
  <c r="G468" i="40"/>
  <c r="F468" i="40"/>
  <c r="E468" i="40"/>
  <c r="D468" i="40"/>
  <c r="B468" i="40"/>
  <c r="N465" i="40"/>
  <c r="M465" i="40"/>
  <c r="L465" i="40"/>
  <c r="K465" i="40"/>
  <c r="J465" i="40"/>
  <c r="I465" i="40"/>
  <c r="H465" i="40"/>
  <c r="G465" i="40"/>
  <c r="F465" i="40"/>
  <c r="E465" i="40"/>
  <c r="D465" i="40"/>
  <c r="B465" i="40"/>
  <c r="N464" i="40"/>
  <c r="M464" i="40"/>
  <c r="L464" i="40"/>
  <c r="K464" i="40"/>
  <c r="J464" i="40"/>
  <c r="I464" i="40"/>
  <c r="H464" i="40"/>
  <c r="G464" i="40"/>
  <c r="F464" i="40"/>
  <c r="E464" i="40"/>
  <c r="D464" i="40"/>
  <c r="B464" i="40"/>
  <c r="N461" i="40"/>
  <c r="M461" i="40"/>
  <c r="L461" i="40"/>
  <c r="K461" i="40"/>
  <c r="J461" i="40"/>
  <c r="I461" i="40"/>
  <c r="H461" i="40"/>
  <c r="G461" i="40"/>
  <c r="F461" i="40"/>
  <c r="E461" i="40"/>
  <c r="D461" i="40"/>
  <c r="B461" i="40"/>
  <c r="B459" i="40"/>
  <c r="N458" i="40"/>
  <c r="M458" i="40"/>
  <c r="L458" i="40"/>
  <c r="K458" i="40"/>
  <c r="J458" i="40"/>
  <c r="I458" i="40"/>
  <c r="H458" i="40"/>
  <c r="G458" i="40"/>
  <c r="F458" i="40"/>
  <c r="E458" i="40"/>
  <c r="D458" i="40"/>
  <c r="B458" i="40"/>
  <c r="N454" i="40"/>
  <c r="M454" i="40"/>
  <c r="L454" i="40"/>
  <c r="K454" i="40"/>
  <c r="J454" i="40"/>
  <c r="I454" i="40"/>
  <c r="H454" i="40"/>
  <c r="G454" i="40"/>
  <c r="F454" i="40"/>
  <c r="E454" i="40"/>
  <c r="D454" i="40"/>
  <c r="B454" i="40"/>
  <c r="O451" i="40"/>
  <c r="P451" i="40" s="1"/>
  <c r="Q451" i="40" s="1"/>
  <c r="R451" i="40" s="1"/>
  <c r="S451" i="40" s="1"/>
  <c r="T451" i="40" s="1"/>
  <c r="U451" i="40" s="1"/>
  <c r="V451" i="40" s="1"/>
  <c r="W451" i="40" s="1"/>
  <c r="X451" i="40" s="1"/>
  <c r="N451" i="40"/>
  <c r="M451" i="40"/>
  <c r="L451" i="40"/>
  <c r="K451" i="40"/>
  <c r="J451" i="40"/>
  <c r="I451" i="40"/>
  <c r="J105" i="40" s="1"/>
  <c r="H451" i="40"/>
  <c r="G451" i="40"/>
  <c r="H105" i="40" s="1"/>
  <c r="F451" i="40"/>
  <c r="E451" i="40"/>
  <c r="D451" i="40"/>
  <c r="B451" i="40"/>
  <c r="N450" i="40"/>
  <c r="M450" i="40"/>
  <c r="M502" i="40" s="1"/>
  <c r="L450" i="40"/>
  <c r="K450" i="40"/>
  <c r="K502" i="40" s="1"/>
  <c r="J450" i="40"/>
  <c r="I450" i="40"/>
  <c r="H450" i="40"/>
  <c r="G450" i="40"/>
  <c r="F450" i="40"/>
  <c r="E450" i="40"/>
  <c r="E502" i="40" s="1"/>
  <c r="D450" i="40"/>
  <c r="B450" i="40"/>
  <c r="N448" i="40"/>
  <c r="M448" i="40"/>
  <c r="L448" i="40"/>
  <c r="K448" i="40"/>
  <c r="K449" i="40" s="1"/>
  <c r="J448" i="40"/>
  <c r="I448" i="40"/>
  <c r="H448" i="40"/>
  <c r="H449" i="40" s="1"/>
  <c r="G448" i="40"/>
  <c r="F448" i="40"/>
  <c r="E448" i="40"/>
  <c r="D448" i="40"/>
  <c r="B448" i="40"/>
  <c r="N447" i="40"/>
  <c r="N449" i="40" s="1"/>
  <c r="M447" i="40"/>
  <c r="M449" i="40" s="1"/>
  <c r="L447" i="40"/>
  <c r="L449" i="40" s="1"/>
  <c r="K447" i="40"/>
  <c r="J447" i="40"/>
  <c r="I447" i="40"/>
  <c r="I449" i="40" s="1"/>
  <c r="H447" i="40"/>
  <c r="G447" i="40"/>
  <c r="G449" i="40" s="1"/>
  <c r="F447" i="40"/>
  <c r="F449" i="40" s="1"/>
  <c r="E447" i="40"/>
  <c r="E449" i="40" s="1"/>
  <c r="D447" i="40"/>
  <c r="D449" i="40" s="1"/>
  <c r="B447" i="40"/>
  <c r="N443" i="40"/>
  <c r="M443" i="40"/>
  <c r="L443" i="40"/>
  <c r="K443" i="40"/>
  <c r="J443" i="40"/>
  <c r="I443" i="40"/>
  <c r="H443" i="40"/>
  <c r="G443" i="40"/>
  <c r="F443" i="40"/>
  <c r="E443" i="40"/>
  <c r="D443" i="40"/>
  <c r="B443" i="40"/>
  <c r="N442" i="40"/>
  <c r="M442" i="40"/>
  <c r="L442" i="40"/>
  <c r="K442" i="40"/>
  <c r="J442" i="40"/>
  <c r="I442" i="40"/>
  <c r="H442" i="40"/>
  <c r="G442" i="40"/>
  <c r="G444" i="40" s="1"/>
  <c r="F442" i="40"/>
  <c r="E442" i="40"/>
  <c r="D442" i="40"/>
  <c r="B442" i="40"/>
  <c r="N441" i="40"/>
  <c r="M441" i="40"/>
  <c r="L441" i="40"/>
  <c r="L444" i="40" s="1"/>
  <c r="K441" i="40"/>
  <c r="K444" i="40" s="1"/>
  <c r="J441" i="40"/>
  <c r="I441" i="40"/>
  <c r="H441" i="40"/>
  <c r="G441" i="40"/>
  <c r="F441" i="40"/>
  <c r="E441" i="40"/>
  <c r="D441" i="40"/>
  <c r="B441" i="40"/>
  <c r="N438" i="40"/>
  <c r="M438" i="40"/>
  <c r="L438" i="40"/>
  <c r="K438" i="40"/>
  <c r="J438" i="40"/>
  <c r="I438" i="40"/>
  <c r="H438" i="40"/>
  <c r="G438" i="40"/>
  <c r="F438" i="40"/>
  <c r="E438" i="40"/>
  <c r="D438" i="40"/>
  <c r="B438" i="40"/>
  <c r="N437" i="40"/>
  <c r="M437" i="40"/>
  <c r="L437" i="40"/>
  <c r="K437" i="40"/>
  <c r="J437" i="40"/>
  <c r="I437" i="40"/>
  <c r="H437" i="40"/>
  <c r="G437" i="40"/>
  <c r="F437" i="40"/>
  <c r="E437" i="40"/>
  <c r="D437" i="40"/>
  <c r="B437" i="40"/>
  <c r="B434" i="40"/>
  <c r="N433" i="40"/>
  <c r="M433" i="40"/>
  <c r="L433" i="40"/>
  <c r="K433" i="40"/>
  <c r="J433" i="40"/>
  <c r="I433" i="40"/>
  <c r="H433" i="40"/>
  <c r="G433" i="40"/>
  <c r="F433" i="40"/>
  <c r="E433" i="40"/>
  <c r="D433" i="40"/>
  <c r="B433" i="40"/>
  <c r="D429" i="40"/>
  <c r="N428" i="40"/>
  <c r="M428" i="40"/>
  <c r="L428" i="40"/>
  <c r="K428" i="40"/>
  <c r="J428" i="40"/>
  <c r="I428" i="40"/>
  <c r="I429" i="40" s="1"/>
  <c r="H428" i="40"/>
  <c r="G428" i="40"/>
  <c r="F428" i="40"/>
  <c r="E428" i="40"/>
  <c r="D428" i="40"/>
  <c r="B428" i="40"/>
  <c r="N427" i="40"/>
  <c r="M427" i="40"/>
  <c r="M430" i="40" s="1"/>
  <c r="L427" i="40"/>
  <c r="K427" i="40"/>
  <c r="K429" i="40" s="1"/>
  <c r="J427" i="40"/>
  <c r="I427" i="40"/>
  <c r="H427" i="40"/>
  <c r="G427" i="40"/>
  <c r="F427" i="40"/>
  <c r="E427" i="40"/>
  <c r="E430" i="40" s="1"/>
  <c r="D427" i="40"/>
  <c r="D430" i="40" s="1"/>
  <c r="B427" i="40"/>
  <c r="N424" i="40"/>
  <c r="M424" i="40"/>
  <c r="L424" i="40"/>
  <c r="K424" i="40"/>
  <c r="J424" i="40"/>
  <c r="I424" i="40"/>
  <c r="I419" i="40" s="1"/>
  <c r="I423" i="40" s="1"/>
  <c r="H424" i="40"/>
  <c r="G424" i="40"/>
  <c r="F424" i="40"/>
  <c r="E424" i="40"/>
  <c r="D424" i="40"/>
  <c r="B424" i="40"/>
  <c r="M423" i="40"/>
  <c r="E423" i="40"/>
  <c r="B423" i="40"/>
  <c r="N420" i="40"/>
  <c r="M420" i="40"/>
  <c r="L420" i="40"/>
  <c r="L419" i="40" s="1"/>
  <c r="L423" i="40" s="1"/>
  <c r="K420" i="40"/>
  <c r="K419" i="40" s="1"/>
  <c r="K423" i="40" s="1"/>
  <c r="J420" i="40"/>
  <c r="I420" i="40"/>
  <c r="H420" i="40"/>
  <c r="H419" i="40" s="1"/>
  <c r="H423" i="40" s="1"/>
  <c r="G420" i="40"/>
  <c r="F420" i="40"/>
  <c r="E420" i="40"/>
  <c r="D420" i="40"/>
  <c r="D419" i="40" s="1"/>
  <c r="D423" i="40" s="1"/>
  <c r="B420" i="40"/>
  <c r="N419" i="40"/>
  <c r="O419" i="40" s="1"/>
  <c r="M419" i="40"/>
  <c r="J419" i="40"/>
  <c r="J423" i="40" s="1"/>
  <c r="F419" i="40"/>
  <c r="F423" i="40" s="1"/>
  <c r="E419" i="40"/>
  <c r="B419" i="40"/>
  <c r="C416" i="40"/>
  <c r="X415" i="40"/>
  <c r="W415" i="40"/>
  <c r="V415" i="40"/>
  <c r="U415" i="40"/>
  <c r="T415" i="40"/>
  <c r="S415" i="40"/>
  <c r="R415" i="40"/>
  <c r="Q415" i="40"/>
  <c r="P415" i="40"/>
  <c r="O415" i="40"/>
  <c r="N415" i="40"/>
  <c r="M415" i="40"/>
  <c r="L415" i="40"/>
  <c r="K415" i="40"/>
  <c r="J415" i="40"/>
  <c r="I415" i="40"/>
  <c r="H415" i="40"/>
  <c r="G415" i="40"/>
  <c r="F415" i="40"/>
  <c r="E415" i="40"/>
  <c r="D415" i="40"/>
  <c r="B415" i="40"/>
  <c r="X414" i="40"/>
  <c r="W414" i="40"/>
  <c r="V414" i="40"/>
  <c r="U414" i="40"/>
  <c r="T414" i="40"/>
  <c r="S414" i="40"/>
  <c r="R414" i="40"/>
  <c r="Q414" i="40"/>
  <c r="P414" i="40"/>
  <c r="O414" i="40"/>
  <c r="N414" i="40"/>
  <c r="M414" i="40"/>
  <c r="L414" i="40"/>
  <c r="K414" i="40"/>
  <c r="J414" i="40"/>
  <c r="I414" i="40"/>
  <c r="H414" i="40"/>
  <c r="G414" i="40"/>
  <c r="F414" i="40"/>
  <c r="E414" i="40"/>
  <c r="D414" i="40"/>
  <c r="B414" i="40"/>
  <c r="X413" i="40"/>
  <c r="X159" i="40" s="1"/>
  <c r="W413" i="40"/>
  <c r="V413" i="40"/>
  <c r="V159" i="40" s="1"/>
  <c r="U413" i="40"/>
  <c r="T413" i="40"/>
  <c r="T159" i="40" s="1"/>
  <c r="S413" i="40"/>
  <c r="S159" i="40" s="1"/>
  <c r="R413" i="40"/>
  <c r="R159" i="40" s="1"/>
  <c r="Q413" i="40"/>
  <c r="P413" i="40"/>
  <c r="P159" i="40" s="1"/>
  <c r="O413" i="40"/>
  <c r="N413" i="40"/>
  <c r="M413" i="40"/>
  <c r="L413" i="40"/>
  <c r="L159" i="40" s="1"/>
  <c r="K413" i="40"/>
  <c r="J413" i="40"/>
  <c r="J159" i="40" s="1"/>
  <c r="I413" i="40"/>
  <c r="H413" i="40"/>
  <c r="G413" i="40"/>
  <c r="F413" i="40"/>
  <c r="E413" i="40"/>
  <c r="D413" i="40"/>
  <c r="D159" i="40" s="1"/>
  <c r="B413" i="40"/>
  <c r="X412" i="40"/>
  <c r="W412" i="40"/>
  <c r="V412" i="40"/>
  <c r="U412" i="40"/>
  <c r="T412" i="40"/>
  <c r="S412" i="40"/>
  <c r="R412" i="40"/>
  <c r="Q412" i="40"/>
  <c r="P412" i="40"/>
  <c r="O412" i="40"/>
  <c r="N412" i="40"/>
  <c r="M412" i="40"/>
  <c r="L412" i="40"/>
  <c r="K412" i="40"/>
  <c r="J412" i="40"/>
  <c r="I412" i="40"/>
  <c r="H412" i="40"/>
  <c r="G412" i="40"/>
  <c r="F412" i="40"/>
  <c r="E412" i="40"/>
  <c r="D412" i="40"/>
  <c r="B412" i="40"/>
  <c r="X411" i="40"/>
  <c r="X524" i="40" s="1"/>
  <c r="W411" i="40"/>
  <c r="W524" i="40" s="1"/>
  <c r="V411" i="40"/>
  <c r="V524" i="40" s="1"/>
  <c r="U411" i="40"/>
  <c r="U524" i="40" s="1"/>
  <c r="T411" i="40"/>
  <c r="T524" i="40" s="1"/>
  <c r="S411" i="40"/>
  <c r="S524" i="40" s="1"/>
  <c r="R411" i="40"/>
  <c r="R524" i="40" s="1"/>
  <c r="Q411" i="40"/>
  <c r="Q524" i="40" s="1"/>
  <c r="P411" i="40"/>
  <c r="P524" i="40" s="1"/>
  <c r="O411" i="40"/>
  <c r="O524" i="40" s="1"/>
  <c r="N411" i="40"/>
  <c r="N272" i="40" s="1"/>
  <c r="M411" i="40"/>
  <c r="L411" i="40"/>
  <c r="K411" i="40"/>
  <c r="J411" i="40"/>
  <c r="I411" i="40"/>
  <c r="H411" i="40"/>
  <c r="H272" i="40" s="1"/>
  <c r="G411" i="40"/>
  <c r="F411" i="40"/>
  <c r="F272" i="40" s="1"/>
  <c r="E411" i="40"/>
  <c r="D411" i="40"/>
  <c r="B411" i="40"/>
  <c r="X410" i="40"/>
  <c r="W410" i="40"/>
  <c r="V410" i="40"/>
  <c r="U410" i="40"/>
  <c r="T410" i="40"/>
  <c r="S410" i="40"/>
  <c r="R410" i="40"/>
  <c r="Q410" i="40"/>
  <c r="P410" i="40"/>
  <c r="O410" i="40"/>
  <c r="N410" i="40"/>
  <c r="M410" i="40"/>
  <c r="L410" i="40"/>
  <c r="K410" i="40"/>
  <c r="J410" i="40"/>
  <c r="I410" i="40"/>
  <c r="H410" i="40"/>
  <c r="G410" i="40"/>
  <c r="F410" i="40"/>
  <c r="E410" i="40"/>
  <c r="D410" i="40"/>
  <c r="B410" i="40"/>
  <c r="X409" i="40"/>
  <c r="W409" i="40"/>
  <c r="V409" i="40"/>
  <c r="U409" i="40"/>
  <c r="T409" i="40"/>
  <c r="S409" i="40"/>
  <c r="R409" i="40"/>
  <c r="Q409" i="40"/>
  <c r="P409" i="40"/>
  <c r="O409" i="40"/>
  <c r="N409" i="40"/>
  <c r="M409" i="40"/>
  <c r="L409" i="40"/>
  <c r="K409" i="40"/>
  <c r="J409" i="40"/>
  <c r="I409" i="40"/>
  <c r="H409" i="40"/>
  <c r="G409" i="40"/>
  <c r="F409" i="40"/>
  <c r="E409" i="40"/>
  <c r="D409" i="40"/>
  <c r="B409" i="40"/>
  <c r="B405" i="40"/>
  <c r="N404" i="40"/>
  <c r="M404" i="40"/>
  <c r="L404" i="40"/>
  <c r="K404" i="40"/>
  <c r="J404" i="40"/>
  <c r="I404" i="40"/>
  <c r="H404" i="40"/>
  <c r="G404" i="40"/>
  <c r="F404" i="40"/>
  <c r="E404" i="40"/>
  <c r="D404" i="40"/>
  <c r="B404" i="40"/>
  <c r="B400" i="40"/>
  <c r="N397" i="40"/>
  <c r="M397" i="40"/>
  <c r="L397" i="40"/>
  <c r="K397" i="40"/>
  <c r="J397" i="40"/>
  <c r="I397" i="40"/>
  <c r="H397" i="40"/>
  <c r="G397" i="40"/>
  <c r="F397" i="40"/>
  <c r="E397" i="40"/>
  <c r="D397" i="40"/>
  <c r="B397" i="40"/>
  <c r="N395" i="40"/>
  <c r="N483" i="40" s="1"/>
  <c r="M395" i="40"/>
  <c r="M483" i="40" s="1"/>
  <c r="L395" i="40"/>
  <c r="L483" i="40" s="1"/>
  <c r="K395" i="40"/>
  <c r="K483" i="40" s="1"/>
  <c r="J395" i="40"/>
  <c r="J483" i="40" s="1"/>
  <c r="I395" i="40"/>
  <c r="I483" i="40" s="1"/>
  <c r="H395" i="40"/>
  <c r="H483" i="40" s="1"/>
  <c r="G395" i="40"/>
  <c r="G483" i="40" s="1"/>
  <c r="F395" i="40"/>
  <c r="F483" i="40" s="1"/>
  <c r="E395" i="40"/>
  <c r="E483" i="40" s="1"/>
  <c r="D395" i="40"/>
  <c r="D483" i="40" s="1"/>
  <c r="B395" i="40"/>
  <c r="N394" i="40"/>
  <c r="M394" i="40"/>
  <c r="L394" i="40"/>
  <c r="K394" i="40"/>
  <c r="J394" i="40"/>
  <c r="I394" i="40"/>
  <c r="H394" i="40"/>
  <c r="G394" i="40"/>
  <c r="F394" i="40"/>
  <c r="E394" i="40"/>
  <c r="D394" i="40"/>
  <c r="B394" i="40"/>
  <c r="N393" i="40"/>
  <c r="M393" i="40"/>
  <c r="L393" i="40"/>
  <c r="K393" i="40"/>
  <c r="J393" i="40"/>
  <c r="I393" i="40"/>
  <c r="H393" i="40"/>
  <c r="G393" i="40"/>
  <c r="F393" i="40"/>
  <c r="E393" i="40"/>
  <c r="D393" i="40"/>
  <c r="B393" i="40"/>
  <c r="C391" i="40"/>
  <c r="X390" i="40"/>
  <c r="W390" i="40"/>
  <c r="V390" i="40"/>
  <c r="U390" i="40"/>
  <c r="T390" i="40"/>
  <c r="S390" i="40"/>
  <c r="R390" i="40"/>
  <c r="Q390" i="40"/>
  <c r="P390" i="40"/>
  <c r="O390" i="40"/>
  <c r="N390" i="40"/>
  <c r="M390" i="40"/>
  <c r="L390" i="40"/>
  <c r="K390" i="40"/>
  <c r="J390" i="40"/>
  <c r="I390" i="40"/>
  <c r="H390" i="40"/>
  <c r="G390" i="40"/>
  <c r="F390" i="40"/>
  <c r="E390" i="40"/>
  <c r="D390" i="40"/>
  <c r="B390" i="40"/>
  <c r="X389" i="40"/>
  <c r="X501" i="40" s="1"/>
  <c r="W389" i="40"/>
  <c r="W501" i="40" s="1"/>
  <c r="V389" i="40"/>
  <c r="V501" i="40" s="1"/>
  <c r="U389" i="40"/>
  <c r="U501" i="40" s="1"/>
  <c r="T389" i="40"/>
  <c r="T501" i="40" s="1"/>
  <c r="S389" i="40"/>
  <c r="S501" i="40" s="1"/>
  <c r="R389" i="40"/>
  <c r="R501" i="40" s="1"/>
  <c r="Q389" i="40"/>
  <c r="Q501" i="40" s="1"/>
  <c r="P389" i="40"/>
  <c r="P501" i="40" s="1"/>
  <c r="O389" i="40"/>
  <c r="O501" i="40" s="1"/>
  <c r="N389" i="40"/>
  <c r="N501" i="40" s="1"/>
  <c r="M389" i="40"/>
  <c r="M501" i="40" s="1"/>
  <c r="L389" i="40"/>
  <c r="L501" i="40" s="1"/>
  <c r="K389" i="40"/>
  <c r="K501" i="40" s="1"/>
  <c r="J389" i="40"/>
  <c r="J501" i="40" s="1"/>
  <c r="I389" i="40"/>
  <c r="I501" i="40" s="1"/>
  <c r="H389" i="40"/>
  <c r="H501" i="40" s="1"/>
  <c r="G389" i="40"/>
  <c r="G501" i="40" s="1"/>
  <c r="F389" i="40"/>
  <c r="F501" i="40" s="1"/>
  <c r="E389" i="40"/>
  <c r="E501" i="40" s="1"/>
  <c r="D389" i="40"/>
  <c r="D501" i="40" s="1"/>
  <c r="B389" i="40"/>
  <c r="X387" i="40"/>
  <c r="W387" i="40"/>
  <c r="W340" i="40" s="1"/>
  <c r="V387" i="40"/>
  <c r="V340" i="40" s="1"/>
  <c r="U387" i="40"/>
  <c r="U340" i="40" s="1"/>
  <c r="T387" i="40"/>
  <c r="S387" i="40"/>
  <c r="S340" i="40" s="1"/>
  <c r="R387" i="40"/>
  <c r="Q387" i="40"/>
  <c r="Q340" i="40" s="1"/>
  <c r="P387" i="40"/>
  <c r="O387" i="40"/>
  <c r="N387" i="40"/>
  <c r="M387" i="40"/>
  <c r="L387" i="40"/>
  <c r="K387" i="40"/>
  <c r="K340" i="40" s="1"/>
  <c r="J387" i="40"/>
  <c r="I387" i="40"/>
  <c r="H387" i="40"/>
  <c r="G387" i="40"/>
  <c r="F387" i="40"/>
  <c r="E387" i="40"/>
  <c r="D387" i="40"/>
  <c r="B387" i="40"/>
  <c r="X386" i="40"/>
  <c r="W386" i="40"/>
  <c r="W280" i="40" s="1"/>
  <c r="V386" i="40"/>
  <c r="U386" i="40"/>
  <c r="T386" i="40"/>
  <c r="T280" i="40" s="1"/>
  <c r="S386" i="40"/>
  <c r="S280" i="40" s="1"/>
  <c r="R386" i="40"/>
  <c r="Q386" i="40"/>
  <c r="Q280" i="40" s="1"/>
  <c r="P386" i="40"/>
  <c r="O386" i="40"/>
  <c r="O280" i="40" s="1"/>
  <c r="N386" i="40"/>
  <c r="M386" i="40"/>
  <c r="L386" i="40"/>
  <c r="K386" i="40"/>
  <c r="K280" i="40" s="1"/>
  <c r="J386" i="40"/>
  <c r="I386" i="40"/>
  <c r="I280" i="40" s="1"/>
  <c r="H386" i="40"/>
  <c r="G386" i="40"/>
  <c r="F386" i="40"/>
  <c r="E386" i="40"/>
  <c r="D386" i="40"/>
  <c r="B386" i="40"/>
  <c r="X385" i="40"/>
  <c r="W385" i="40"/>
  <c r="V385" i="40"/>
  <c r="U385" i="40"/>
  <c r="T385" i="40"/>
  <c r="S385" i="40"/>
  <c r="R385" i="40"/>
  <c r="Q385" i="40"/>
  <c r="P385" i="40"/>
  <c r="O385" i="40"/>
  <c r="N385" i="40"/>
  <c r="M385" i="40"/>
  <c r="L385" i="40"/>
  <c r="K385" i="40"/>
  <c r="J385" i="40"/>
  <c r="I385" i="40"/>
  <c r="H385" i="40"/>
  <c r="G385" i="40"/>
  <c r="F385" i="40"/>
  <c r="E385" i="40"/>
  <c r="D385" i="40"/>
  <c r="B385" i="40"/>
  <c r="X384" i="40"/>
  <c r="W384" i="40"/>
  <c r="V384" i="40"/>
  <c r="U384" i="40"/>
  <c r="T384" i="40"/>
  <c r="S384" i="40"/>
  <c r="R384" i="40"/>
  <c r="Q384" i="40"/>
  <c r="P384" i="40"/>
  <c r="P388" i="40" s="1"/>
  <c r="O384" i="40"/>
  <c r="N384" i="40"/>
  <c r="M384" i="40"/>
  <c r="L384" i="40"/>
  <c r="K384" i="40"/>
  <c r="J384" i="40"/>
  <c r="I384" i="40"/>
  <c r="H384" i="40"/>
  <c r="G384" i="40"/>
  <c r="F384" i="40"/>
  <c r="E384" i="40"/>
  <c r="D384" i="40"/>
  <c r="B384" i="40"/>
  <c r="B380" i="40"/>
  <c r="N379" i="40"/>
  <c r="O379" i="40" s="1"/>
  <c r="P379" i="40" s="1"/>
  <c r="Q379" i="40" s="1"/>
  <c r="R379" i="40" s="1"/>
  <c r="S379" i="40" s="1"/>
  <c r="T379" i="40" s="1"/>
  <c r="U379" i="40" s="1"/>
  <c r="V379" i="40" s="1"/>
  <c r="W379" i="40" s="1"/>
  <c r="X379" i="40" s="1"/>
  <c r="M379" i="40"/>
  <c r="L379" i="40"/>
  <c r="K379" i="40"/>
  <c r="J379" i="40"/>
  <c r="I379" i="40"/>
  <c r="H379" i="40"/>
  <c r="G379" i="40"/>
  <c r="F379" i="40"/>
  <c r="E379" i="40"/>
  <c r="D379" i="40"/>
  <c r="B379" i="40"/>
  <c r="N378" i="40"/>
  <c r="M378" i="40"/>
  <c r="L378" i="40"/>
  <c r="K378" i="40"/>
  <c r="J378" i="40"/>
  <c r="I378" i="40"/>
  <c r="H378" i="40"/>
  <c r="G378" i="40"/>
  <c r="F378" i="40"/>
  <c r="E378" i="40"/>
  <c r="D378" i="40"/>
  <c r="B378" i="40"/>
  <c r="B376" i="40"/>
  <c r="B371" i="40"/>
  <c r="N370" i="40"/>
  <c r="M370" i="40"/>
  <c r="L370" i="40"/>
  <c r="K370" i="40"/>
  <c r="J370" i="40"/>
  <c r="I370" i="40"/>
  <c r="H370" i="40"/>
  <c r="G370" i="40"/>
  <c r="F370" i="40"/>
  <c r="E370" i="40"/>
  <c r="D370" i="40"/>
  <c r="B370" i="40"/>
  <c r="N369" i="40"/>
  <c r="M369" i="40"/>
  <c r="L369" i="40"/>
  <c r="K369" i="40"/>
  <c r="J369" i="40"/>
  <c r="I369" i="40"/>
  <c r="H369" i="40"/>
  <c r="G369" i="40"/>
  <c r="F369" i="40"/>
  <c r="E369" i="40"/>
  <c r="D369" i="40"/>
  <c r="B369" i="40"/>
  <c r="B367" i="40"/>
  <c r="N363" i="40"/>
  <c r="M363" i="40"/>
  <c r="L363" i="40"/>
  <c r="K363" i="40"/>
  <c r="J363" i="40"/>
  <c r="I363" i="40"/>
  <c r="H363" i="40"/>
  <c r="G363" i="40"/>
  <c r="F363" i="40"/>
  <c r="E363" i="40"/>
  <c r="D363" i="40"/>
  <c r="B363" i="40"/>
  <c r="B361" i="40"/>
  <c r="N360" i="40"/>
  <c r="M360" i="40"/>
  <c r="L360" i="40"/>
  <c r="K360" i="40"/>
  <c r="J360" i="40"/>
  <c r="I360" i="40"/>
  <c r="H360" i="40"/>
  <c r="G360" i="40"/>
  <c r="F360" i="40"/>
  <c r="E360" i="40"/>
  <c r="D360" i="40"/>
  <c r="B360" i="40"/>
  <c r="N356" i="40"/>
  <c r="M356" i="40"/>
  <c r="L356" i="40"/>
  <c r="K356" i="40"/>
  <c r="J356" i="40"/>
  <c r="I356" i="40"/>
  <c r="H356" i="40"/>
  <c r="G356" i="40"/>
  <c r="F356" i="40"/>
  <c r="E356" i="40"/>
  <c r="D356" i="40"/>
  <c r="B356" i="40"/>
  <c r="B354" i="40"/>
  <c r="N350" i="40"/>
  <c r="M350" i="40"/>
  <c r="L350" i="40"/>
  <c r="L37" i="40" s="1"/>
  <c r="K350" i="40"/>
  <c r="J350" i="40"/>
  <c r="I350" i="40"/>
  <c r="H350" i="40"/>
  <c r="G350" i="40"/>
  <c r="F350" i="40"/>
  <c r="E350" i="40"/>
  <c r="D350" i="40"/>
  <c r="D37" i="40" s="1"/>
  <c r="B350" i="40"/>
  <c r="N349" i="40"/>
  <c r="M349" i="40"/>
  <c r="L349" i="40"/>
  <c r="K349" i="40"/>
  <c r="J349" i="40"/>
  <c r="I349" i="40"/>
  <c r="H349" i="40"/>
  <c r="G349" i="40"/>
  <c r="F349" i="40"/>
  <c r="E349" i="40"/>
  <c r="D349" i="40"/>
  <c r="B349" i="40"/>
  <c r="B345" i="40"/>
  <c r="N344" i="40"/>
  <c r="M344" i="40"/>
  <c r="L344" i="40"/>
  <c r="K344" i="40"/>
  <c r="J344" i="40"/>
  <c r="I344" i="40"/>
  <c r="H344" i="40"/>
  <c r="G344" i="40"/>
  <c r="F344" i="40"/>
  <c r="E344" i="40"/>
  <c r="D344" i="40"/>
  <c r="B344" i="40"/>
  <c r="N343" i="40"/>
  <c r="O343" i="40" s="1"/>
  <c r="P343" i="40" s="1"/>
  <c r="Q343" i="40" s="1"/>
  <c r="R343" i="40" s="1"/>
  <c r="S343" i="40" s="1"/>
  <c r="T343" i="40" s="1"/>
  <c r="U343" i="40" s="1"/>
  <c r="V343" i="40" s="1"/>
  <c r="W343" i="40" s="1"/>
  <c r="X343" i="40" s="1"/>
  <c r="M343" i="40"/>
  <c r="L343" i="40"/>
  <c r="K343" i="40"/>
  <c r="J343" i="40"/>
  <c r="I343" i="40"/>
  <c r="H343" i="40"/>
  <c r="G343" i="40"/>
  <c r="F343" i="40"/>
  <c r="E343" i="40"/>
  <c r="D343" i="40"/>
  <c r="B343" i="40"/>
  <c r="B341" i="40"/>
  <c r="X340" i="40"/>
  <c r="T340" i="40"/>
  <c r="R340" i="40"/>
  <c r="P340" i="40"/>
  <c r="O340" i="40"/>
  <c r="N340" i="40"/>
  <c r="M340" i="40"/>
  <c r="M341" i="40" s="1"/>
  <c r="L340" i="40"/>
  <c r="L341" i="40" s="1"/>
  <c r="J340" i="40"/>
  <c r="I340" i="40"/>
  <c r="I341" i="40" s="1"/>
  <c r="H340" i="40"/>
  <c r="H341" i="40" s="1"/>
  <c r="G340" i="40"/>
  <c r="G341" i="40" s="1"/>
  <c r="G342" i="40" s="1"/>
  <c r="F340" i="40"/>
  <c r="E340" i="40"/>
  <c r="D340" i="40"/>
  <c r="N337" i="40"/>
  <c r="M337" i="40"/>
  <c r="L337" i="40"/>
  <c r="K337" i="40"/>
  <c r="J337" i="40"/>
  <c r="I337" i="40"/>
  <c r="H337" i="40"/>
  <c r="G337" i="40"/>
  <c r="F337" i="40"/>
  <c r="E337" i="40"/>
  <c r="D337" i="40"/>
  <c r="B337" i="40"/>
  <c r="N336" i="40"/>
  <c r="M336" i="40"/>
  <c r="L336" i="40"/>
  <c r="K336" i="40"/>
  <c r="J336" i="40"/>
  <c r="I336" i="40"/>
  <c r="H336" i="40"/>
  <c r="G336" i="40"/>
  <c r="F336" i="40"/>
  <c r="E336" i="40"/>
  <c r="D336" i="40"/>
  <c r="B336" i="40"/>
  <c r="N335" i="40"/>
  <c r="M335" i="40"/>
  <c r="L335" i="40"/>
  <c r="K335" i="40"/>
  <c r="J335" i="40"/>
  <c r="I335" i="40"/>
  <c r="H335" i="40"/>
  <c r="G335" i="40"/>
  <c r="F335" i="40"/>
  <c r="E335" i="40"/>
  <c r="D335" i="40"/>
  <c r="B335" i="40"/>
  <c r="N329" i="40"/>
  <c r="M329" i="40"/>
  <c r="L329" i="40"/>
  <c r="K329" i="40"/>
  <c r="J329" i="40"/>
  <c r="I329" i="40"/>
  <c r="H329" i="40"/>
  <c r="G329" i="40"/>
  <c r="F329" i="40"/>
  <c r="E329" i="40"/>
  <c r="D329" i="40"/>
  <c r="B329" i="40"/>
  <c r="N328" i="40"/>
  <c r="M328" i="40"/>
  <c r="L328" i="40"/>
  <c r="K328" i="40"/>
  <c r="J328" i="40"/>
  <c r="I328" i="40"/>
  <c r="H328" i="40"/>
  <c r="G328" i="40"/>
  <c r="F328" i="40"/>
  <c r="E328" i="40"/>
  <c r="D328" i="40"/>
  <c r="B328" i="40"/>
  <c r="I325" i="40"/>
  <c r="H325" i="40"/>
  <c r="G325" i="40"/>
  <c r="F325" i="40"/>
  <c r="E325" i="40"/>
  <c r="D325" i="40"/>
  <c r="B325" i="40"/>
  <c r="D324" i="40"/>
  <c r="H323" i="40"/>
  <c r="B323" i="40"/>
  <c r="N322" i="40"/>
  <c r="M322" i="40"/>
  <c r="L322" i="40"/>
  <c r="K322" i="40"/>
  <c r="J322" i="40"/>
  <c r="I322" i="40"/>
  <c r="H322" i="40"/>
  <c r="G322" i="40"/>
  <c r="G323" i="40" s="1"/>
  <c r="G324" i="40" s="1"/>
  <c r="F322" i="40"/>
  <c r="F323" i="40" s="1"/>
  <c r="F324" i="40" s="1"/>
  <c r="E322" i="40"/>
  <c r="D322" i="40"/>
  <c r="D323" i="40" s="1"/>
  <c r="B322" i="40"/>
  <c r="I319" i="40"/>
  <c r="H319" i="40"/>
  <c r="G319" i="40"/>
  <c r="F319" i="40"/>
  <c r="E319" i="40"/>
  <c r="D319" i="40"/>
  <c r="B319" i="40"/>
  <c r="I318" i="40"/>
  <c r="H318" i="40"/>
  <c r="G318" i="40"/>
  <c r="F318" i="40"/>
  <c r="E318" i="40"/>
  <c r="D318" i="40"/>
  <c r="B318" i="40"/>
  <c r="I315" i="40"/>
  <c r="H315" i="40"/>
  <c r="G315" i="40"/>
  <c r="F315" i="40"/>
  <c r="E315" i="40"/>
  <c r="D315" i="40"/>
  <c r="B315" i="40"/>
  <c r="I314" i="40"/>
  <c r="H314" i="40"/>
  <c r="G314" i="40"/>
  <c r="F314" i="40"/>
  <c r="E314" i="40"/>
  <c r="D314" i="40"/>
  <c r="B314" i="40"/>
  <c r="I311" i="40"/>
  <c r="H311" i="40"/>
  <c r="G311" i="40"/>
  <c r="F311" i="40"/>
  <c r="E311" i="40"/>
  <c r="D311" i="40"/>
  <c r="B311" i="40"/>
  <c r="I310" i="40"/>
  <c r="H310" i="40"/>
  <c r="G310" i="40"/>
  <c r="F310" i="40"/>
  <c r="E310" i="40"/>
  <c r="D310" i="40"/>
  <c r="B310" i="40"/>
  <c r="I307" i="40"/>
  <c r="H307" i="40"/>
  <c r="G307" i="40"/>
  <c r="F307" i="40"/>
  <c r="E307" i="40"/>
  <c r="D307" i="40"/>
  <c r="B307" i="40"/>
  <c r="I306" i="40"/>
  <c r="H306" i="40"/>
  <c r="G306" i="40"/>
  <c r="F306" i="40"/>
  <c r="E306" i="40"/>
  <c r="D306" i="40"/>
  <c r="B306" i="40"/>
  <c r="I303" i="40"/>
  <c r="H303" i="40"/>
  <c r="G303" i="40"/>
  <c r="F303" i="40"/>
  <c r="E303" i="40"/>
  <c r="D303" i="40"/>
  <c r="B303" i="40"/>
  <c r="B301" i="40"/>
  <c r="H299" i="40"/>
  <c r="B295" i="40"/>
  <c r="N294" i="40"/>
  <c r="M294" i="40"/>
  <c r="L294" i="40"/>
  <c r="K294" i="40"/>
  <c r="J294" i="40"/>
  <c r="I294" i="40"/>
  <c r="H294" i="40"/>
  <c r="G294" i="40"/>
  <c r="F294" i="40"/>
  <c r="E294" i="40"/>
  <c r="D294" i="40"/>
  <c r="B294" i="40"/>
  <c r="N293" i="40"/>
  <c r="M293" i="40"/>
  <c r="L293" i="40"/>
  <c r="K293" i="40"/>
  <c r="J293" i="40"/>
  <c r="I293" i="40"/>
  <c r="H293" i="40"/>
  <c r="G293" i="40"/>
  <c r="F293" i="40"/>
  <c r="E293" i="40"/>
  <c r="D293" i="40"/>
  <c r="B293" i="40"/>
  <c r="N292" i="40"/>
  <c r="M292" i="40"/>
  <c r="M295" i="40" s="1"/>
  <c r="L292" i="40"/>
  <c r="K292" i="40"/>
  <c r="J292" i="40"/>
  <c r="I292" i="40"/>
  <c r="H292" i="40"/>
  <c r="G292" i="40"/>
  <c r="F292" i="40"/>
  <c r="E292" i="40"/>
  <c r="E295" i="40" s="1"/>
  <c r="D292" i="40"/>
  <c r="B292" i="40"/>
  <c r="I289" i="40"/>
  <c r="H289" i="40"/>
  <c r="G289" i="40"/>
  <c r="F289" i="40"/>
  <c r="E289" i="40"/>
  <c r="D289" i="40"/>
  <c r="B289" i="40"/>
  <c r="I288" i="40"/>
  <c r="H288" i="40"/>
  <c r="G288" i="40"/>
  <c r="F288" i="40"/>
  <c r="E288" i="40"/>
  <c r="D288" i="40"/>
  <c r="B288" i="40"/>
  <c r="I285" i="40"/>
  <c r="H285" i="40"/>
  <c r="G285" i="40"/>
  <c r="F285" i="40"/>
  <c r="E285" i="40"/>
  <c r="D285" i="40"/>
  <c r="B285" i="40"/>
  <c r="B283" i="40"/>
  <c r="N282" i="40"/>
  <c r="M282" i="40"/>
  <c r="L282" i="40"/>
  <c r="K282" i="40"/>
  <c r="J282" i="40"/>
  <c r="I282" i="40"/>
  <c r="H282" i="40"/>
  <c r="G282" i="40"/>
  <c r="F282" i="40"/>
  <c r="E282" i="40"/>
  <c r="D282" i="40"/>
  <c r="X280" i="40"/>
  <c r="V280" i="40"/>
  <c r="U280" i="40"/>
  <c r="R280" i="40"/>
  <c r="P280" i="40"/>
  <c r="N280" i="40"/>
  <c r="M280" i="40"/>
  <c r="L280" i="40"/>
  <c r="J280" i="40"/>
  <c r="H280" i="40"/>
  <c r="G280" i="40"/>
  <c r="G283" i="40" s="1"/>
  <c r="F280" i="40"/>
  <c r="E280" i="40"/>
  <c r="D280" i="40"/>
  <c r="B276" i="40"/>
  <c r="N275" i="40"/>
  <c r="M275" i="40"/>
  <c r="L275" i="40"/>
  <c r="K275" i="40"/>
  <c r="J275" i="40"/>
  <c r="I275" i="40"/>
  <c r="H275" i="40"/>
  <c r="G275" i="40"/>
  <c r="F275" i="40"/>
  <c r="E275" i="40"/>
  <c r="D275" i="40"/>
  <c r="B275" i="40"/>
  <c r="I273" i="40"/>
  <c r="H273" i="40"/>
  <c r="G273" i="40"/>
  <c r="F273" i="40"/>
  <c r="E273" i="40"/>
  <c r="D273" i="40"/>
  <c r="B273" i="40"/>
  <c r="X272" i="40"/>
  <c r="U272" i="40"/>
  <c r="S272" i="40"/>
  <c r="Q272" i="40"/>
  <c r="M272" i="40"/>
  <c r="L272" i="40"/>
  <c r="K272" i="40"/>
  <c r="J272" i="40"/>
  <c r="I272" i="40"/>
  <c r="G272" i="40"/>
  <c r="E272" i="40"/>
  <c r="D272" i="40"/>
  <c r="F271" i="40"/>
  <c r="I270" i="40"/>
  <c r="H270" i="40"/>
  <c r="G270" i="40"/>
  <c r="F270" i="40"/>
  <c r="E270" i="40"/>
  <c r="D270" i="40"/>
  <c r="B270" i="40"/>
  <c r="I269" i="40"/>
  <c r="H269" i="40"/>
  <c r="G269" i="40"/>
  <c r="F269" i="40"/>
  <c r="E269" i="40"/>
  <c r="D269" i="40"/>
  <c r="B269" i="40"/>
  <c r="I268" i="40"/>
  <c r="H268" i="40"/>
  <c r="G268" i="40"/>
  <c r="F268" i="40"/>
  <c r="E268" i="40"/>
  <c r="D268" i="40"/>
  <c r="B268" i="40"/>
  <c r="I267" i="40"/>
  <c r="H267" i="40"/>
  <c r="G267" i="40"/>
  <c r="F267" i="40"/>
  <c r="E267" i="40"/>
  <c r="D267" i="40"/>
  <c r="B267" i="40"/>
  <c r="B263" i="40"/>
  <c r="N262" i="40"/>
  <c r="M262" i="40"/>
  <c r="L262" i="40"/>
  <c r="K262" i="40"/>
  <c r="J262" i="40"/>
  <c r="I262" i="40"/>
  <c r="H262" i="40"/>
  <c r="G262" i="40"/>
  <c r="F262" i="40"/>
  <c r="E262" i="40"/>
  <c r="D262" i="40"/>
  <c r="B262" i="40"/>
  <c r="I260" i="40"/>
  <c r="H260" i="40"/>
  <c r="G260" i="40"/>
  <c r="F260" i="40"/>
  <c r="E260" i="40"/>
  <c r="D260" i="40"/>
  <c r="B260" i="40"/>
  <c r="I259" i="40"/>
  <c r="H259" i="40"/>
  <c r="G259" i="40"/>
  <c r="F259" i="40"/>
  <c r="E259" i="40"/>
  <c r="D259" i="40"/>
  <c r="B259" i="40"/>
  <c r="I258" i="40"/>
  <c r="H258" i="40"/>
  <c r="G258" i="40"/>
  <c r="F258" i="40"/>
  <c r="E258" i="40"/>
  <c r="D258" i="40"/>
  <c r="B258" i="40"/>
  <c r="I257" i="40"/>
  <c r="H257" i="40"/>
  <c r="G257" i="40"/>
  <c r="F257" i="40"/>
  <c r="E257" i="40"/>
  <c r="D257" i="40"/>
  <c r="B257" i="40"/>
  <c r="I256" i="40"/>
  <c r="H256" i="40"/>
  <c r="G256" i="40"/>
  <c r="F256" i="40"/>
  <c r="E256" i="40"/>
  <c r="D256" i="40"/>
  <c r="B256" i="40"/>
  <c r="I255" i="40"/>
  <c r="H255" i="40"/>
  <c r="G255" i="40"/>
  <c r="F255" i="40"/>
  <c r="E255" i="40"/>
  <c r="D255" i="40"/>
  <c r="B255" i="40"/>
  <c r="N252" i="40"/>
  <c r="O252" i="40" s="1"/>
  <c r="M252" i="40"/>
  <c r="L252" i="40"/>
  <c r="K252" i="40"/>
  <c r="J252" i="40"/>
  <c r="I252" i="40"/>
  <c r="H252" i="40"/>
  <c r="G252" i="40"/>
  <c r="F252" i="40"/>
  <c r="E252" i="40"/>
  <c r="D252" i="40"/>
  <c r="B252" i="40"/>
  <c r="O251" i="40"/>
  <c r="P251" i="40" s="1"/>
  <c r="Q251" i="40" s="1"/>
  <c r="R251" i="40" s="1"/>
  <c r="S251" i="40" s="1"/>
  <c r="T251" i="40" s="1"/>
  <c r="U251" i="40" s="1"/>
  <c r="V251" i="40" s="1"/>
  <c r="W251" i="40" s="1"/>
  <c r="X251" i="40" s="1"/>
  <c r="N251" i="40"/>
  <c r="M251" i="40"/>
  <c r="L251" i="40"/>
  <c r="K251" i="40"/>
  <c r="J251" i="40"/>
  <c r="I251" i="40"/>
  <c r="H251" i="40"/>
  <c r="G251" i="40"/>
  <c r="F251" i="40"/>
  <c r="E251" i="40"/>
  <c r="D251" i="40"/>
  <c r="B251" i="40"/>
  <c r="I248" i="40"/>
  <c r="H248" i="40"/>
  <c r="G248" i="40"/>
  <c r="F248" i="40"/>
  <c r="E248" i="40"/>
  <c r="D248" i="40"/>
  <c r="B248" i="40"/>
  <c r="N247" i="40"/>
  <c r="M247" i="40"/>
  <c r="L247" i="40"/>
  <c r="K247" i="40"/>
  <c r="J247" i="40"/>
  <c r="I247" i="40"/>
  <c r="H247" i="40"/>
  <c r="G247" i="40"/>
  <c r="F247" i="40"/>
  <c r="E247" i="40"/>
  <c r="D247" i="40"/>
  <c r="B247" i="40"/>
  <c r="N246" i="40"/>
  <c r="M246" i="40"/>
  <c r="L246" i="40"/>
  <c r="K246" i="40"/>
  <c r="J246" i="40"/>
  <c r="I246" i="40"/>
  <c r="H246" i="40"/>
  <c r="G246" i="40"/>
  <c r="F246" i="40"/>
  <c r="E246" i="40"/>
  <c r="D246" i="40"/>
  <c r="B246" i="40"/>
  <c r="N242" i="40"/>
  <c r="M242" i="40"/>
  <c r="L242" i="40"/>
  <c r="K242" i="40"/>
  <c r="J242" i="40"/>
  <c r="I242" i="40"/>
  <c r="H242" i="40"/>
  <c r="G242" i="40"/>
  <c r="F242" i="40"/>
  <c r="E242" i="40"/>
  <c r="D242" i="40"/>
  <c r="B242" i="40"/>
  <c r="N241" i="40"/>
  <c r="O241" i="40" s="1"/>
  <c r="P241" i="40" s="1"/>
  <c r="Q241" i="40" s="1"/>
  <c r="R241" i="40" s="1"/>
  <c r="S241" i="40" s="1"/>
  <c r="T241" i="40" s="1"/>
  <c r="U241" i="40" s="1"/>
  <c r="V241" i="40" s="1"/>
  <c r="M241" i="40"/>
  <c r="L241" i="40"/>
  <c r="K241" i="40"/>
  <c r="J241" i="40"/>
  <c r="I241" i="40"/>
  <c r="H241" i="40"/>
  <c r="G241" i="40"/>
  <c r="F241" i="40"/>
  <c r="E241" i="40"/>
  <c r="D241" i="40"/>
  <c r="B241" i="40"/>
  <c r="H240" i="40"/>
  <c r="N239" i="40"/>
  <c r="M239" i="40"/>
  <c r="L239" i="40"/>
  <c r="K239" i="40"/>
  <c r="J239" i="40"/>
  <c r="I239" i="40"/>
  <c r="H239" i="40"/>
  <c r="G239" i="40"/>
  <c r="F239" i="40"/>
  <c r="E239" i="40"/>
  <c r="D239" i="40"/>
  <c r="B239" i="40"/>
  <c r="N238" i="40"/>
  <c r="M238" i="40"/>
  <c r="L238" i="40"/>
  <c r="K238" i="40"/>
  <c r="K240" i="40" s="1"/>
  <c r="J238" i="40"/>
  <c r="I238" i="40"/>
  <c r="H238" i="40"/>
  <c r="G238" i="40"/>
  <c r="F238" i="40"/>
  <c r="E238" i="40"/>
  <c r="D238" i="40"/>
  <c r="B238" i="40"/>
  <c r="N237" i="40"/>
  <c r="N299" i="40" s="1"/>
  <c r="M237" i="40"/>
  <c r="L237" i="40"/>
  <c r="K237" i="40"/>
  <c r="K299" i="40" s="1"/>
  <c r="J237" i="40"/>
  <c r="J299" i="40" s="1"/>
  <c r="I237" i="40"/>
  <c r="I240" i="40" s="1"/>
  <c r="H237" i="40"/>
  <c r="G237" i="40"/>
  <c r="G299" i="40" s="1"/>
  <c r="F237" i="40"/>
  <c r="F299" i="40" s="1"/>
  <c r="E237" i="40"/>
  <c r="D237" i="40"/>
  <c r="B237" i="40"/>
  <c r="N232" i="40"/>
  <c r="M232" i="40"/>
  <c r="L232" i="40"/>
  <c r="K232" i="40"/>
  <c r="J232" i="40"/>
  <c r="I232" i="40"/>
  <c r="H232" i="40"/>
  <c r="G232" i="40"/>
  <c r="F232" i="40"/>
  <c r="E232" i="40"/>
  <c r="D232" i="40"/>
  <c r="B232" i="40"/>
  <c r="N231" i="40"/>
  <c r="M231" i="40"/>
  <c r="L231" i="40"/>
  <c r="K231" i="40"/>
  <c r="J231" i="40"/>
  <c r="I231" i="40"/>
  <c r="H231" i="40"/>
  <c r="G231" i="40"/>
  <c r="F231" i="40"/>
  <c r="E231" i="40"/>
  <c r="D231" i="40"/>
  <c r="B231" i="40"/>
  <c r="N230" i="40"/>
  <c r="N233" i="40" s="1"/>
  <c r="M230" i="40"/>
  <c r="L230" i="40"/>
  <c r="K230" i="40"/>
  <c r="J230" i="40"/>
  <c r="I230" i="40"/>
  <c r="H230" i="40"/>
  <c r="G230" i="40"/>
  <c r="G233" i="40" s="1"/>
  <c r="F230" i="40"/>
  <c r="E230" i="40"/>
  <c r="D230" i="40"/>
  <c r="B230" i="40"/>
  <c r="N229" i="40"/>
  <c r="M229" i="40"/>
  <c r="L229" i="40"/>
  <c r="L233" i="40" s="1"/>
  <c r="K229" i="40"/>
  <c r="K233" i="40" s="1"/>
  <c r="J229" i="40"/>
  <c r="J233" i="40" s="1"/>
  <c r="I229" i="40"/>
  <c r="H229" i="40"/>
  <c r="G229" i="40"/>
  <c r="F229" i="40"/>
  <c r="E229" i="40"/>
  <c r="D229" i="40"/>
  <c r="D233" i="40" s="1"/>
  <c r="B229" i="40"/>
  <c r="N225" i="40"/>
  <c r="M225" i="40"/>
  <c r="L225" i="40"/>
  <c r="K225" i="40"/>
  <c r="J225" i="40"/>
  <c r="I225" i="40"/>
  <c r="H225" i="40"/>
  <c r="G225" i="40"/>
  <c r="F225" i="40"/>
  <c r="E225" i="40"/>
  <c r="D225" i="40"/>
  <c r="B225" i="40"/>
  <c r="N224" i="40"/>
  <c r="M224" i="40"/>
  <c r="L224" i="40"/>
  <c r="K224" i="40"/>
  <c r="J224" i="40"/>
  <c r="I224" i="40"/>
  <c r="H224" i="40"/>
  <c r="G224" i="40"/>
  <c r="F224" i="40"/>
  <c r="E224" i="40"/>
  <c r="D224" i="40"/>
  <c r="B224" i="40"/>
  <c r="N223" i="40"/>
  <c r="M223" i="40"/>
  <c r="L223" i="40"/>
  <c r="K223" i="40"/>
  <c r="J223" i="40"/>
  <c r="I223" i="40"/>
  <c r="H223" i="40"/>
  <c r="H226" i="40" s="1"/>
  <c r="G223" i="40"/>
  <c r="G226" i="40" s="1"/>
  <c r="F223" i="40"/>
  <c r="E223" i="40"/>
  <c r="D223" i="40"/>
  <c r="B223" i="40"/>
  <c r="I222" i="40"/>
  <c r="H222" i="40"/>
  <c r="G222" i="40"/>
  <c r="F222" i="40"/>
  <c r="F226" i="40" s="1"/>
  <c r="E222" i="40"/>
  <c r="D222" i="40"/>
  <c r="B222" i="40"/>
  <c r="N219" i="40"/>
  <c r="M219" i="40"/>
  <c r="L219" i="40"/>
  <c r="K219" i="40"/>
  <c r="J219" i="40"/>
  <c r="I219" i="40"/>
  <c r="H219" i="40"/>
  <c r="G219" i="40"/>
  <c r="F219" i="40"/>
  <c r="E219" i="40"/>
  <c r="D219" i="40"/>
  <c r="B219" i="40"/>
  <c r="N217" i="40"/>
  <c r="M217" i="40"/>
  <c r="L217" i="40"/>
  <c r="K217" i="40"/>
  <c r="J217" i="40"/>
  <c r="I217" i="40"/>
  <c r="H217" i="40"/>
  <c r="G217" i="40"/>
  <c r="F217" i="40"/>
  <c r="E217" i="40"/>
  <c r="D217" i="40"/>
  <c r="B217" i="40"/>
  <c r="N216" i="40"/>
  <c r="O216" i="40" s="1"/>
  <c r="P216" i="40" s="1"/>
  <c r="M216" i="40"/>
  <c r="L216" i="40"/>
  <c r="K216" i="40"/>
  <c r="J216" i="40"/>
  <c r="I216" i="40"/>
  <c r="H216" i="40"/>
  <c r="G216" i="40"/>
  <c r="F216" i="40"/>
  <c r="E216" i="40"/>
  <c r="D216" i="40"/>
  <c r="B216" i="40"/>
  <c r="N215" i="40"/>
  <c r="N431" i="40" s="1"/>
  <c r="M215" i="40"/>
  <c r="M431" i="40" s="1"/>
  <c r="M434" i="40" s="1"/>
  <c r="L215" i="40"/>
  <c r="L431" i="40" s="1"/>
  <c r="L434" i="40" s="1"/>
  <c r="K215" i="40"/>
  <c r="J215" i="40"/>
  <c r="J431" i="40" s="1"/>
  <c r="J434" i="40" s="1"/>
  <c r="I215" i="40"/>
  <c r="I431" i="40" s="1"/>
  <c r="I434" i="40" s="1"/>
  <c r="H215" i="40"/>
  <c r="H431" i="40" s="1"/>
  <c r="H434" i="40" s="1"/>
  <c r="G215" i="40"/>
  <c r="G431" i="40" s="1"/>
  <c r="G434" i="40" s="1"/>
  <c r="F215" i="40"/>
  <c r="F431" i="40" s="1"/>
  <c r="F434" i="40" s="1"/>
  <c r="E215" i="40"/>
  <c r="E431" i="40" s="1"/>
  <c r="E434" i="40" s="1"/>
  <c r="D215" i="40"/>
  <c r="D431" i="40" s="1"/>
  <c r="D434" i="40" s="1"/>
  <c r="B215" i="40"/>
  <c r="N211" i="40"/>
  <c r="M211" i="40"/>
  <c r="L211" i="40"/>
  <c r="K211" i="40"/>
  <c r="J211" i="40"/>
  <c r="I211" i="40"/>
  <c r="H211" i="40"/>
  <c r="G211" i="40"/>
  <c r="F211" i="40"/>
  <c r="E211" i="40"/>
  <c r="D211" i="40"/>
  <c r="B211" i="40"/>
  <c r="N210" i="40"/>
  <c r="M210" i="40"/>
  <c r="L210" i="40"/>
  <c r="K210" i="40"/>
  <c r="J210" i="40"/>
  <c r="I210" i="40"/>
  <c r="H210" i="40"/>
  <c r="G210" i="40"/>
  <c r="F210" i="40"/>
  <c r="E210" i="40"/>
  <c r="D210" i="40"/>
  <c r="B210" i="40"/>
  <c r="N209" i="40"/>
  <c r="M209" i="40"/>
  <c r="L209" i="40"/>
  <c r="K209" i="40"/>
  <c r="J209" i="40"/>
  <c r="I209" i="40"/>
  <c r="H209" i="40"/>
  <c r="G209" i="40"/>
  <c r="F209" i="40"/>
  <c r="E209" i="40"/>
  <c r="D209" i="40"/>
  <c r="B209" i="40"/>
  <c r="N208" i="40"/>
  <c r="M208" i="40"/>
  <c r="L208" i="40"/>
  <c r="K208" i="40"/>
  <c r="J208" i="40"/>
  <c r="I208" i="40"/>
  <c r="H208" i="40"/>
  <c r="G208" i="40"/>
  <c r="G212" i="40" s="1"/>
  <c r="F208" i="40"/>
  <c r="E208" i="40"/>
  <c r="D208" i="40"/>
  <c r="B208" i="40"/>
  <c r="N205" i="40"/>
  <c r="M205" i="40"/>
  <c r="L205" i="40"/>
  <c r="K205" i="40"/>
  <c r="J205" i="40"/>
  <c r="I205" i="40"/>
  <c r="H205" i="40"/>
  <c r="G205" i="40"/>
  <c r="F205" i="40"/>
  <c r="E205" i="40"/>
  <c r="D205" i="40"/>
  <c r="N204" i="40"/>
  <c r="M204" i="40"/>
  <c r="L204" i="40"/>
  <c r="K204" i="40"/>
  <c r="J204" i="40"/>
  <c r="I204" i="40"/>
  <c r="H204" i="40"/>
  <c r="G204" i="40"/>
  <c r="F204" i="40"/>
  <c r="E204" i="40"/>
  <c r="D204" i="40"/>
  <c r="N203" i="40"/>
  <c r="M203" i="40"/>
  <c r="L203" i="40"/>
  <c r="K203" i="40"/>
  <c r="J203" i="40"/>
  <c r="I203" i="40"/>
  <c r="H203" i="40"/>
  <c r="G203" i="40"/>
  <c r="F203" i="40"/>
  <c r="E203" i="40"/>
  <c r="D203" i="40"/>
  <c r="N202" i="40"/>
  <c r="M202" i="40"/>
  <c r="L202" i="40"/>
  <c r="K202" i="40"/>
  <c r="J202" i="40"/>
  <c r="I202" i="40"/>
  <c r="H202" i="40"/>
  <c r="G202" i="40"/>
  <c r="F202" i="40"/>
  <c r="E202" i="40"/>
  <c r="D202" i="40"/>
  <c r="B199" i="40"/>
  <c r="N198" i="40"/>
  <c r="O198" i="40" s="1"/>
  <c r="P198" i="40" s="1"/>
  <c r="Q198" i="40" s="1"/>
  <c r="R198" i="40" s="1"/>
  <c r="S198" i="40" s="1"/>
  <c r="T198" i="40" s="1"/>
  <c r="U198" i="40" s="1"/>
  <c r="V198" i="40" s="1"/>
  <c r="W198" i="40" s="1"/>
  <c r="X198" i="40" s="1"/>
  <c r="M198" i="40"/>
  <c r="L198" i="40"/>
  <c r="K198" i="40"/>
  <c r="J198" i="40"/>
  <c r="I198" i="40"/>
  <c r="H198" i="40"/>
  <c r="G198" i="40"/>
  <c r="F198" i="40"/>
  <c r="E198" i="40"/>
  <c r="D198" i="40"/>
  <c r="B198" i="40"/>
  <c r="B196" i="40"/>
  <c r="N195" i="40"/>
  <c r="M195" i="40"/>
  <c r="L195" i="40"/>
  <c r="K195" i="40"/>
  <c r="J195" i="40"/>
  <c r="I195" i="40"/>
  <c r="H195" i="40"/>
  <c r="G195" i="40"/>
  <c r="F195" i="40"/>
  <c r="E195" i="40"/>
  <c r="D195" i="40"/>
  <c r="B195" i="40"/>
  <c r="N193" i="40"/>
  <c r="N281" i="40" s="1"/>
  <c r="M193" i="40"/>
  <c r="M281" i="40" s="1"/>
  <c r="L193" i="40"/>
  <c r="L281" i="40" s="1"/>
  <c r="K193" i="40"/>
  <c r="K281" i="40" s="1"/>
  <c r="J193" i="40"/>
  <c r="J281" i="40" s="1"/>
  <c r="I193" i="40"/>
  <c r="I281" i="40" s="1"/>
  <c r="H193" i="40"/>
  <c r="H281" i="40" s="1"/>
  <c r="G193" i="40"/>
  <c r="G281" i="40" s="1"/>
  <c r="F193" i="40"/>
  <c r="F281" i="40" s="1"/>
  <c r="E193" i="40"/>
  <c r="E281" i="40" s="1"/>
  <c r="D193" i="40"/>
  <c r="D281" i="40" s="1"/>
  <c r="B193" i="40"/>
  <c r="Q192" i="40"/>
  <c r="P192" i="40"/>
  <c r="P300" i="40" s="1"/>
  <c r="O192" i="40"/>
  <c r="O300" i="40" s="1"/>
  <c r="N192" i="40"/>
  <c r="N300" i="40" s="1"/>
  <c r="M192" i="40"/>
  <c r="M300" i="40" s="1"/>
  <c r="L192" i="40"/>
  <c r="L300" i="40" s="1"/>
  <c r="K192" i="40"/>
  <c r="K300" i="40" s="1"/>
  <c r="J192" i="40"/>
  <c r="J300" i="40" s="1"/>
  <c r="I192" i="40"/>
  <c r="I300" i="40" s="1"/>
  <c r="H192" i="40"/>
  <c r="H300" i="40" s="1"/>
  <c r="G192" i="40"/>
  <c r="G300" i="40" s="1"/>
  <c r="F192" i="40"/>
  <c r="F300" i="40" s="1"/>
  <c r="E192" i="40"/>
  <c r="E300" i="40" s="1"/>
  <c r="D192" i="40"/>
  <c r="D300" i="40" s="1"/>
  <c r="B192" i="40"/>
  <c r="N190" i="40"/>
  <c r="N271" i="40" s="1"/>
  <c r="M190" i="40"/>
  <c r="M271" i="40" s="1"/>
  <c r="L190" i="40"/>
  <c r="L271" i="40" s="1"/>
  <c r="K190" i="40"/>
  <c r="K271" i="40" s="1"/>
  <c r="J190" i="40"/>
  <c r="J271" i="40" s="1"/>
  <c r="I190" i="40"/>
  <c r="I271" i="40" s="1"/>
  <c r="H190" i="40"/>
  <c r="H271" i="40" s="1"/>
  <c r="G190" i="40"/>
  <c r="G271" i="40" s="1"/>
  <c r="F190" i="40"/>
  <c r="E190" i="40"/>
  <c r="E271" i="40" s="1"/>
  <c r="D190" i="40"/>
  <c r="D271" i="40" s="1"/>
  <c r="B190" i="40"/>
  <c r="N188" i="40"/>
  <c r="M188" i="40"/>
  <c r="L188" i="40"/>
  <c r="K188" i="40"/>
  <c r="J188" i="40"/>
  <c r="I188" i="40"/>
  <c r="H188" i="40"/>
  <c r="G188" i="40"/>
  <c r="F188" i="40"/>
  <c r="E188" i="40"/>
  <c r="D188" i="40"/>
  <c r="B188" i="40"/>
  <c r="N187" i="40"/>
  <c r="M187" i="40"/>
  <c r="L187" i="40"/>
  <c r="K187" i="40"/>
  <c r="J187" i="40"/>
  <c r="I187" i="40"/>
  <c r="H187" i="40"/>
  <c r="G187" i="40"/>
  <c r="F187" i="40"/>
  <c r="E187" i="40"/>
  <c r="D187" i="40"/>
  <c r="B187" i="40"/>
  <c r="N186" i="40"/>
  <c r="M186" i="40"/>
  <c r="L186" i="40"/>
  <c r="K186" i="40"/>
  <c r="J186" i="40"/>
  <c r="I186" i="40"/>
  <c r="H186" i="40"/>
  <c r="G186" i="40"/>
  <c r="F186" i="40"/>
  <c r="E186" i="40"/>
  <c r="D186" i="40"/>
  <c r="B186" i="40"/>
  <c r="N185" i="40"/>
  <c r="M185" i="40"/>
  <c r="L185" i="40"/>
  <c r="K185" i="40"/>
  <c r="J185" i="40"/>
  <c r="I185" i="40"/>
  <c r="H185" i="40"/>
  <c r="G185" i="40"/>
  <c r="F185" i="40"/>
  <c r="E185" i="40"/>
  <c r="D185" i="40"/>
  <c r="B185" i="40"/>
  <c r="N184" i="40"/>
  <c r="M184" i="40"/>
  <c r="L184" i="40"/>
  <c r="K184" i="40"/>
  <c r="J184" i="40"/>
  <c r="I184" i="40"/>
  <c r="H184" i="40"/>
  <c r="G184" i="40"/>
  <c r="F184" i="40"/>
  <c r="E184" i="40"/>
  <c r="D184" i="40"/>
  <c r="B184" i="40"/>
  <c r="N183" i="40"/>
  <c r="M183" i="40"/>
  <c r="L183" i="40"/>
  <c r="K183" i="40"/>
  <c r="J183" i="40"/>
  <c r="I183" i="40"/>
  <c r="H183" i="40"/>
  <c r="G183" i="40"/>
  <c r="F183" i="40"/>
  <c r="E183" i="40"/>
  <c r="D183" i="40"/>
  <c r="B183" i="40"/>
  <c r="N182" i="40"/>
  <c r="N189" i="40" s="1"/>
  <c r="M182" i="40"/>
  <c r="L182" i="40"/>
  <c r="L189" i="40" s="1"/>
  <c r="K182" i="40"/>
  <c r="K189" i="40" s="1"/>
  <c r="J182" i="40"/>
  <c r="J189" i="40" s="1"/>
  <c r="I182" i="40"/>
  <c r="I189" i="40" s="1"/>
  <c r="H182" i="40"/>
  <c r="G182" i="40"/>
  <c r="F182" i="40"/>
  <c r="F189" i="40" s="1"/>
  <c r="E182" i="40"/>
  <c r="D182" i="40"/>
  <c r="D189" i="40" s="1"/>
  <c r="B182" i="40"/>
  <c r="B179" i="40"/>
  <c r="B177" i="40"/>
  <c r="N172" i="40"/>
  <c r="M172" i="40"/>
  <c r="L172" i="40"/>
  <c r="K172" i="40"/>
  <c r="J172" i="40"/>
  <c r="I172" i="40"/>
  <c r="H172" i="40"/>
  <c r="G172" i="40"/>
  <c r="F172" i="40"/>
  <c r="E172" i="40"/>
  <c r="D172" i="40"/>
  <c r="N171" i="40"/>
  <c r="O171" i="40" s="1"/>
  <c r="P171" i="40" s="1"/>
  <c r="Q171" i="40" s="1"/>
  <c r="R171" i="40" s="1"/>
  <c r="S171" i="40" s="1"/>
  <c r="T171" i="40" s="1"/>
  <c r="U171" i="40" s="1"/>
  <c r="V171" i="40" s="1"/>
  <c r="W171" i="40" s="1"/>
  <c r="X171" i="40" s="1"/>
  <c r="M171" i="40"/>
  <c r="L171" i="40"/>
  <c r="K171" i="40"/>
  <c r="J171" i="40"/>
  <c r="I171" i="40"/>
  <c r="H171" i="40"/>
  <c r="G171" i="40"/>
  <c r="F171" i="40"/>
  <c r="E171" i="40"/>
  <c r="D171" i="40"/>
  <c r="B169" i="40"/>
  <c r="N164" i="40"/>
  <c r="M164" i="40"/>
  <c r="L164" i="40"/>
  <c r="K164" i="40"/>
  <c r="J164" i="40"/>
  <c r="I164" i="40"/>
  <c r="H164" i="40"/>
  <c r="G164" i="40"/>
  <c r="F164" i="40"/>
  <c r="E164" i="40"/>
  <c r="D164" i="40"/>
  <c r="B164" i="40"/>
  <c r="N163" i="40"/>
  <c r="M163" i="40"/>
  <c r="L163" i="40"/>
  <c r="K163" i="40"/>
  <c r="J163" i="40"/>
  <c r="I163" i="40"/>
  <c r="H163" i="40"/>
  <c r="G163" i="40"/>
  <c r="F163" i="40"/>
  <c r="E163" i="40"/>
  <c r="D163" i="40"/>
  <c r="B163" i="40"/>
  <c r="N162" i="40"/>
  <c r="M162" i="40"/>
  <c r="L162" i="40"/>
  <c r="K162" i="40"/>
  <c r="J162" i="40"/>
  <c r="I162" i="40"/>
  <c r="H162" i="40"/>
  <c r="G162" i="40"/>
  <c r="F162" i="40"/>
  <c r="E162" i="40"/>
  <c r="D162" i="40"/>
  <c r="B162" i="40"/>
  <c r="B160" i="40"/>
  <c r="W159" i="40"/>
  <c r="U159" i="40"/>
  <c r="Q159" i="40"/>
  <c r="O159" i="40"/>
  <c r="N159" i="40"/>
  <c r="M159" i="40"/>
  <c r="K159" i="40"/>
  <c r="I159" i="40"/>
  <c r="H159" i="40"/>
  <c r="G159" i="40"/>
  <c r="F159" i="40"/>
  <c r="E159" i="40"/>
  <c r="N155" i="40"/>
  <c r="M155" i="40"/>
  <c r="L155" i="40"/>
  <c r="K155" i="40"/>
  <c r="J155" i="40"/>
  <c r="I155" i="40"/>
  <c r="H155" i="40"/>
  <c r="G155" i="40"/>
  <c r="F155" i="40"/>
  <c r="E155" i="40"/>
  <c r="D155" i="40"/>
  <c r="B155" i="40"/>
  <c r="N154" i="40"/>
  <c r="M154" i="40"/>
  <c r="L154" i="40"/>
  <c r="K154" i="40"/>
  <c r="J154" i="40"/>
  <c r="I154" i="40"/>
  <c r="H154" i="40"/>
  <c r="G154" i="40"/>
  <c r="F154" i="40"/>
  <c r="E154" i="40"/>
  <c r="D154" i="40"/>
  <c r="B154" i="40"/>
  <c r="U151" i="40"/>
  <c r="V151" i="40" s="1"/>
  <c r="W151" i="40" s="1"/>
  <c r="X151" i="40" s="1"/>
  <c r="N151" i="40"/>
  <c r="O151" i="40" s="1"/>
  <c r="P151" i="40" s="1"/>
  <c r="Q151" i="40" s="1"/>
  <c r="R151" i="40" s="1"/>
  <c r="S151" i="40" s="1"/>
  <c r="T151" i="40" s="1"/>
  <c r="M151" i="40"/>
  <c r="L151" i="40"/>
  <c r="K151" i="40"/>
  <c r="J151" i="40"/>
  <c r="I151" i="40"/>
  <c r="H151" i="40"/>
  <c r="G151" i="40"/>
  <c r="F151" i="40"/>
  <c r="E151" i="40"/>
  <c r="D151" i="40"/>
  <c r="B151" i="40"/>
  <c r="B149" i="40"/>
  <c r="O148" i="40"/>
  <c r="P148" i="40" s="1"/>
  <c r="Q148" i="40" s="1"/>
  <c r="R148" i="40" s="1"/>
  <c r="S148" i="40" s="1"/>
  <c r="T148" i="40" s="1"/>
  <c r="N148" i="40"/>
  <c r="M148" i="40"/>
  <c r="L148" i="40"/>
  <c r="K148" i="40"/>
  <c r="J148" i="40"/>
  <c r="I148" i="40"/>
  <c r="H148" i="40"/>
  <c r="G148" i="40"/>
  <c r="F148" i="40"/>
  <c r="E148" i="40"/>
  <c r="D148" i="40"/>
  <c r="B148" i="40"/>
  <c r="F146" i="40"/>
  <c r="F147" i="40" s="1"/>
  <c r="B146" i="40"/>
  <c r="N145" i="40"/>
  <c r="O145" i="40" s="1"/>
  <c r="M145" i="40"/>
  <c r="L145" i="40"/>
  <c r="K145" i="40"/>
  <c r="J145" i="40"/>
  <c r="J146" i="40" s="1"/>
  <c r="I145" i="40"/>
  <c r="I146" i="40" s="1"/>
  <c r="I147" i="40" s="1"/>
  <c r="H145" i="40"/>
  <c r="G145" i="40"/>
  <c r="G146" i="40" s="1"/>
  <c r="F145" i="40"/>
  <c r="E145" i="40"/>
  <c r="D145" i="40"/>
  <c r="B145" i="40"/>
  <c r="B141" i="40"/>
  <c r="G140" i="40"/>
  <c r="G141" i="40" s="1"/>
  <c r="N139" i="40"/>
  <c r="M139" i="40"/>
  <c r="L139" i="40"/>
  <c r="K139" i="40"/>
  <c r="J139" i="40"/>
  <c r="I139" i="40"/>
  <c r="H139" i="40"/>
  <c r="G139" i="40"/>
  <c r="F139" i="40"/>
  <c r="E139" i="40"/>
  <c r="D139" i="40"/>
  <c r="B139" i="40"/>
  <c r="N138" i="40"/>
  <c r="N432" i="40" s="1"/>
  <c r="M138" i="40"/>
  <c r="M432" i="40" s="1"/>
  <c r="L138" i="40"/>
  <c r="K138" i="40"/>
  <c r="K432" i="40" s="1"/>
  <c r="J138" i="40"/>
  <c r="I138" i="40"/>
  <c r="I432" i="40" s="1"/>
  <c r="H138" i="40"/>
  <c r="H432" i="40" s="1"/>
  <c r="G138" i="40"/>
  <c r="G432" i="40" s="1"/>
  <c r="F138" i="40"/>
  <c r="F432" i="40" s="1"/>
  <c r="E138" i="40"/>
  <c r="E432" i="40" s="1"/>
  <c r="D138" i="40"/>
  <c r="B138" i="40"/>
  <c r="N137" i="40"/>
  <c r="M137" i="40"/>
  <c r="L137" i="40"/>
  <c r="K137" i="40"/>
  <c r="J137" i="40"/>
  <c r="I137" i="40"/>
  <c r="H137" i="40"/>
  <c r="G137" i="40"/>
  <c r="F137" i="40"/>
  <c r="E137" i="40"/>
  <c r="D137" i="40"/>
  <c r="B137" i="40"/>
  <c r="N136" i="40"/>
  <c r="M136" i="40"/>
  <c r="L136" i="40"/>
  <c r="K136" i="40"/>
  <c r="J136" i="40"/>
  <c r="I136" i="40"/>
  <c r="H136" i="40"/>
  <c r="G136" i="40"/>
  <c r="F136" i="40"/>
  <c r="E136" i="40"/>
  <c r="D136" i="40"/>
  <c r="B136" i="40"/>
  <c r="N135" i="40"/>
  <c r="M135" i="40"/>
  <c r="L135" i="40"/>
  <c r="K135" i="40"/>
  <c r="J135" i="40"/>
  <c r="I135" i="40"/>
  <c r="H135" i="40"/>
  <c r="G135" i="40"/>
  <c r="F135" i="40"/>
  <c r="E135" i="40"/>
  <c r="D135" i="40"/>
  <c r="B135" i="40"/>
  <c r="N134" i="40"/>
  <c r="N140" i="40" s="1"/>
  <c r="M134" i="40"/>
  <c r="M140" i="40" s="1"/>
  <c r="L134" i="40"/>
  <c r="L140" i="40" s="1"/>
  <c r="K134" i="40"/>
  <c r="J134" i="40"/>
  <c r="I134" i="40"/>
  <c r="H134" i="40"/>
  <c r="H140" i="40" s="1"/>
  <c r="G134" i="40"/>
  <c r="F134" i="40"/>
  <c r="F140" i="40" s="1"/>
  <c r="E134" i="40"/>
  <c r="E140" i="40" s="1"/>
  <c r="D134" i="40"/>
  <c r="D140" i="40" s="1"/>
  <c r="B134" i="40"/>
  <c r="N127" i="40"/>
  <c r="M127" i="40"/>
  <c r="L127" i="40"/>
  <c r="K127" i="40"/>
  <c r="J127" i="40"/>
  <c r="I127" i="40"/>
  <c r="H127" i="40"/>
  <c r="G127" i="40"/>
  <c r="F127" i="40"/>
  <c r="E127" i="40"/>
  <c r="D127" i="40"/>
  <c r="B127" i="40"/>
  <c r="N126" i="40"/>
  <c r="M126" i="40"/>
  <c r="L126" i="40"/>
  <c r="K126" i="40"/>
  <c r="J126" i="40"/>
  <c r="I126" i="40"/>
  <c r="H126" i="40"/>
  <c r="G126" i="40"/>
  <c r="F126" i="40"/>
  <c r="E126" i="40"/>
  <c r="D126" i="40"/>
  <c r="B126" i="40"/>
  <c r="N125" i="40"/>
  <c r="M125" i="40"/>
  <c r="L125" i="40"/>
  <c r="K125" i="40"/>
  <c r="J125" i="40"/>
  <c r="I125" i="40"/>
  <c r="H125" i="40"/>
  <c r="G125" i="40"/>
  <c r="F125" i="40"/>
  <c r="E125" i="40"/>
  <c r="D125" i="40"/>
  <c r="B125" i="40"/>
  <c r="N124" i="40"/>
  <c r="M124" i="40"/>
  <c r="L124" i="40"/>
  <c r="K124" i="40"/>
  <c r="J124" i="40"/>
  <c r="I124" i="40"/>
  <c r="H124" i="40"/>
  <c r="G124" i="40"/>
  <c r="F124" i="40"/>
  <c r="E124" i="40"/>
  <c r="D124" i="40"/>
  <c r="B124" i="40"/>
  <c r="N123" i="40"/>
  <c r="M123" i="40"/>
  <c r="L123" i="40"/>
  <c r="K123" i="40"/>
  <c r="J123" i="40"/>
  <c r="I123" i="40"/>
  <c r="H123" i="40"/>
  <c r="G123" i="40"/>
  <c r="F123" i="40"/>
  <c r="E123" i="40"/>
  <c r="D123" i="40"/>
  <c r="B123" i="40"/>
  <c r="N122" i="40"/>
  <c r="M122" i="40"/>
  <c r="L122" i="40"/>
  <c r="L128" i="40" s="1"/>
  <c r="K122" i="40"/>
  <c r="J122" i="40"/>
  <c r="I122" i="40"/>
  <c r="I128" i="40" s="1"/>
  <c r="H122" i="40"/>
  <c r="G122" i="40"/>
  <c r="F122" i="40"/>
  <c r="E122" i="40"/>
  <c r="D122" i="40"/>
  <c r="D128" i="40" s="1"/>
  <c r="B122" i="40"/>
  <c r="N120" i="40"/>
  <c r="M120" i="40"/>
  <c r="L120" i="40"/>
  <c r="K120" i="40"/>
  <c r="J120" i="40"/>
  <c r="I120" i="40"/>
  <c r="H120" i="40"/>
  <c r="G120" i="40"/>
  <c r="F120" i="40"/>
  <c r="E120" i="40"/>
  <c r="D120" i="40"/>
  <c r="B120" i="40"/>
  <c r="N119" i="40"/>
  <c r="M119" i="40"/>
  <c r="L119" i="40"/>
  <c r="K119" i="40"/>
  <c r="J119" i="40"/>
  <c r="I119" i="40"/>
  <c r="H119" i="40"/>
  <c r="G119" i="40"/>
  <c r="F119" i="40"/>
  <c r="E119" i="40"/>
  <c r="D119" i="40"/>
  <c r="B119" i="40"/>
  <c r="N118" i="40"/>
  <c r="M118" i="40"/>
  <c r="L118" i="40"/>
  <c r="K118" i="40"/>
  <c r="J118" i="40"/>
  <c r="I118" i="40"/>
  <c r="H118" i="40"/>
  <c r="G118" i="40"/>
  <c r="F118" i="40"/>
  <c r="E118" i="40"/>
  <c r="D118" i="40"/>
  <c r="B118" i="40"/>
  <c r="N117" i="40"/>
  <c r="M117" i="40"/>
  <c r="L117" i="40"/>
  <c r="K117" i="40"/>
  <c r="J117" i="40"/>
  <c r="I117" i="40"/>
  <c r="H117" i="40"/>
  <c r="G117" i="40"/>
  <c r="F117" i="40"/>
  <c r="E117" i="40"/>
  <c r="D117" i="40"/>
  <c r="B117" i="40"/>
  <c r="U116" i="40"/>
  <c r="S116" i="40"/>
  <c r="Q116" i="40"/>
  <c r="N116" i="40"/>
  <c r="M116" i="40"/>
  <c r="L116" i="40"/>
  <c r="K116" i="40"/>
  <c r="J116" i="40"/>
  <c r="I116" i="40"/>
  <c r="H116" i="40"/>
  <c r="G116" i="40"/>
  <c r="F116" i="40"/>
  <c r="E116" i="40"/>
  <c r="D116" i="40"/>
  <c r="B116" i="40"/>
  <c r="N115" i="40"/>
  <c r="M115" i="40"/>
  <c r="L115" i="40"/>
  <c r="K115" i="40"/>
  <c r="J115" i="40"/>
  <c r="I115" i="40"/>
  <c r="H115" i="40"/>
  <c r="G115" i="40"/>
  <c r="F115" i="40"/>
  <c r="E115" i="40"/>
  <c r="D115" i="40"/>
  <c r="B115" i="40"/>
  <c r="N109" i="40"/>
  <c r="M109" i="40"/>
  <c r="L109" i="40"/>
  <c r="K109" i="40"/>
  <c r="J109" i="40"/>
  <c r="I109" i="40"/>
  <c r="H109" i="40"/>
  <c r="G109" i="40"/>
  <c r="F109" i="40"/>
  <c r="E109" i="40"/>
  <c r="D109" i="40"/>
  <c r="B109" i="40"/>
  <c r="N108" i="40"/>
  <c r="M108" i="40"/>
  <c r="L108" i="40"/>
  <c r="K108" i="40"/>
  <c r="J108" i="40"/>
  <c r="I108" i="40"/>
  <c r="H108" i="40"/>
  <c r="G108" i="40"/>
  <c r="F108" i="40"/>
  <c r="E108" i="40"/>
  <c r="D108" i="40"/>
  <c r="B108" i="40"/>
  <c r="N107" i="40"/>
  <c r="N509" i="40" s="1"/>
  <c r="M107" i="40"/>
  <c r="M509" i="40" s="1"/>
  <c r="L107" i="40"/>
  <c r="L509" i="40" s="1"/>
  <c r="L511" i="40" s="1"/>
  <c r="K107" i="40"/>
  <c r="J107" i="40"/>
  <c r="J509" i="40" s="1"/>
  <c r="I107" i="40"/>
  <c r="I509" i="40" s="1"/>
  <c r="H107" i="40"/>
  <c r="H509" i="40" s="1"/>
  <c r="G107" i="40"/>
  <c r="G509" i="40" s="1"/>
  <c r="F107" i="40"/>
  <c r="F509" i="40" s="1"/>
  <c r="E107" i="40"/>
  <c r="E509" i="40" s="1"/>
  <c r="D107" i="40"/>
  <c r="D509" i="40" s="1"/>
  <c r="D511" i="40" s="1"/>
  <c r="B107" i="40"/>
  <c r="I105" i="40"/>
  <c r="D105" i="40"/>
  <c r="N104" i="40"/>
  <c r="M104" i="40"/>
  <c r="L104" i="40"/>
  <c r="K104" i="40"/>
  <c r="J104" i="40"/>
  <c r="I104" i="40"/>
  <c r="H104" i="40"/>
  <c r="G104" i="40"/>
  <c r="F104" i="40"/>
  <c r="E104" i="40"/>
  <c r="D104" i="40"/>
  <c r="B104" i="40"/>
  <c r="N103" i="40"/>
  <c r="M103" i="40"/>
  <c r="L103" i="40"/>
  <c r="K103" i="40"/>
  <c r="J103" i="40"/>
  <c r="I103" i="40"/>
  <c r="H103" i="40"/>
  <c r="G103" i="40"/>
  <c r="F103" i="40"/>
  <c r="E103" i="40"/>
  <c r="D103" i="40"/>
  <c r="B103" i="40"/>
  <c r="N102" i="40"/>
  <c r="M102" i="40"/>
  <c r="L102" i="40"/>
  <c r="K102" i="40"/>
  <c r="J102" i="40"/>
  <c r="I102" i="40"/>
  <c r="H102" i="40"/>
  <c r="G102" i="40"/>
  <c r="F102" i="40"/>
  <c r="E102" i="40"/>
  <c r="D102" i="40"/>
  <c r="B102" i="40"/>
  <c r="N101" i="40"/>
  <c r="M101" i="40"/>
  <c r="L101" i="40"/>
  <c r="K101" i="40"/>
  <c r="J101" i="40"/>
  <c r="I101" i="40"/>
  <c r="H101" i="40"/>
  <c r="G101" i="40"/>
  <c r="F101" i="40"/>
  <c r="E101" i="40"/>
  <c r="D101" i="40"/>
  <c r="B101" i="40"/>
  <c r="N100" i="40"/>
  <c r="M100" i="40"/>
  <c r="L100" i="40"/>
  <c r="K100" i="40"/>
  <c r="J100" i="40"/>
  <c r="I100" i="40"/>
  <c r="I106" i="40" s="1"/>
  <c r="H100" i="40"/>
  <c r="H106" i="40" s="1"/>
  <c r="G100" i="40"/>
  <c r="F100" i="40"/>
  <c r="E100" i="40"/>
  <c r="D100" i="40"/>
  <c r="B100" i="40"/>
  <c r="N96" i="40"/>
  <c r="M96" i="40"/>
  <c r="L96" i="40"/>
  <c r="K96" i="40"/>
  <c r="J96" i="40"/>
  <c r="I96" i="40"/>
  <c r="H96" i="40"/>
  <c r="G96" i="40"/>
  <c r="F96" i="40"/>
  <c r="E96" i="40"/>
  <c r="D96" i="40"/>
  <c r="B96" i="40"/>
  <c r="I95" i="40"/>
  <c r="H95" i="40"/>
  <c r="G95" i="40"/>
  <c r="F95" i="40"/>
  <c r="E95" i="40"/>
  <c r="D95" i="40"/>
  <c r="B95" i="40"/>
  <c r="N94" i="40"/>
  <c r="M94" i="40"/>
  <c r="L94" i="40"/>
  <c r="K94" i="40"/>
  <c r="J94" i="40"/>
  <c r="I94" i="40"/>
  <c r="H94" i="40"/>
  <c r="G94" i="40"/>
  <c r="F94" i="40"/>
  <c r="E94" i="40"/>
  <c r="D94" i="40"/>
  <c r="B94" i="40"/>
  <c r="N92" i="40"/>
  <c r="M92" i="40"/>
  <c r="L92" i="40"/>
  <c r="K92" i="40"/>
  <c r="J92" i="40"/>
  <c r="I92" i="40"/>
  <c r="H92" i="40"/>
  <c r="G92" i="40"/>
  <c r="F92" i="40"/>
  <c r="E92" i="40"/>
  <c r="D92" i="40"/>
  <c r="B92" i="40"/>
  <c r="N91" i="40"/>
  <c r="M91" i="40"/>
  <c r="L91" i="40"/>
  <c r="K91" i="40"/>
  <c r="J91" i="40"/>
  <c r="I91" i="40"/>
  <c r="H91" i="40"/>
  <c r="G91" i="40"/>
  <c r="F91" i="40"/>
  <c r="E91" i="40"/>
  <c r="D91" i="40"/>
  <c r="B91" i="40"/>
  <c r="N90" i="40"/>
  <c r="M90" i="40"/>
  <c r="L90" i="40"/>
  <c r="K90" i="40"/>
  <c r="J90" i="40"/>
  <c r="I90" i="40"/>
  <c r="H90" i="40"/>
  <c r="G90" i="40"/>
  <c r="F90" i="40"/>
  <c r="E90" i="40"/>
  <c r="D90" i="40"/>
  <c r="B90" i="40"/>
  <c r="N89" i="40"/>
  <c r="M89" i="40"/>
  <c r="L89" i="40"/>
  <c r="K89" i="40"/>
  <c r="J89" i="40"/>
  <c r="I89" i="40"/>
  <c r="H89" i="40"/>
  <c r="G89" i="40"/>
  <c r="F89" i="40"/>
  <c r="E89" i="40"/>
  <c r="D89" i="40"/>
  <c r="B89" i="40"/>
  <c r="N88" i="40"/>
  <c r="M88" i="40"/>
  <c r="M93" i="40" s="1"/>
  <c r="L88" i="40"/>
  <c r="K88" i="40"/>
  <c r="J88" i="40"/>
  <c r="J93" i="40" s="1"/>
  <c r="I88" i="40"/>
  <c r="H88" i="40"/>
  <c r="G88" i="40"/>
  <c r="F88" i="40"/>
  <c r="E88" i="40"/>
  <c r="E93" i="40" s="1"/>
  <c r="D88" i="40"/>
  <c r="B88" i="40"/>
  <c r="N84" i="40"/>
  <c r="M84" i="40"/>
  <c r="L84" i="40"/>
  <c r="K84" i="40"/>
  <c r="J84" i="40"/>
  <c r="I84" i="40"/>
  <c r="H84" i="40"/>
  <c r="G84" i="40"/>
  <c r="F84" i="40"/>
  <c r="E84" i="40"/>
  <c r="D84" i="40"/>
  <c r="B84" i="40"/>
  <c r="B83" i="40"/>
  <c r="N80" i="40"/>
  <c r="M80" i="40"/>
  <c r="L80" i="40"/>
  <c r="K80" i="40"/>
  <c r="J80" i="40"/>
  <c r="I80" i="40"/>
  <c r="H80" i="40"/>
  <c r="G80" i="40"/>
  <c r="F80" i="40"/>
  <c r="E80" i="40"/>
  <c r="D80" i="40"/>
  <c r="B80" i="40"/>
  <c r="N79" i="40"/>
  <c r="M79" i="40"/>
  <c r="L79" i="40"/>
  <c r="K79" i="40"/>
  <c r="J79" i="40"/>
  <c r="I79" i="40"/>
  <c r="H79" i="40"/>
  <c r="G79" i="40"/>
  <c r="F79" i="40"/>
  <c r="E79" i="40"/>
  <c r="D79" i="40"/>
  <c r="B79" i="40"/>
  <c r="N77" i="40"/>
  <c r="M77" i="40"/>
  <c r="L77" i="40"/>
  <c r="K77" i="40"/>
  <c r="J77" i="40"/>
  <c r="I77" i="40"/>
  <c r="H77" i="40"/>
  <c r="G77" i="40"/>
  <c r="F77" i="40"/>
  <c r="E77" i="40"/>
  <c r="D77" i="40"/>
  <c r="B77" i="40"/>
  <c r="N76" i="40"/>
  <c r="M76" i="40"/>
  <c r="L76" i="40"/>
  <c r="K76" i="40"/>
  <c r="J76" i="40"/>
  <c r="I76" i="40"/>
  <c r="H76" i="40"/>
  <c r="G76" i="40"/>
  <c r="F76" i="40"/>
  <c r="E76" i="40"/>
  <c r="D76" i="40"/>
  <c r="B76" i="40"/>
  <c r="N75" i="40"/>
  <c r="M75" i="40"/>
  <c r="L75" i="40"/>
  <c r="K75" i="40"/>
  <c r="J75" i="40"/>
  <c r="I75" i="40"/>
  <c r="H75" i="40"/>
  <c r="G75" i="40"/>
  <c r="F75" i="40"/>
  <c r="E75" i="40"/>
  <c r="D75" i="40"/>
  <c r="B75" i="40"/>
  <c r="N74" i="40"/>
  <c r="M74" i="40"/>
  <c r="L74" i="40"/>
  <c r="K74" i="40"/>
  <c r="J74" i="40"/>
  <c r="I74" i="40"/>
  <c r="H74" i="40"/>
  <c r="G74" i="40"/>
  <c r="F74" i="40"/>
  <c r="E74" i="40"/>
  <c r="D74" i="40"/>
  <c r="B74" i="40"/>
  <c r="N73" i="40"/>
  <c r="M73" i="40"/>
  <c r="M457" i="40" s="1"/>
  <c r="L73" i="40"/>
  <c r="L457" i="40" s="1"/>
  <c r="K73" i="40"/>
  <c r="J73" i="40"/>
  <c r="I73" i="40"/>
  <c r="H73" i="40"/>
  <c r="G73" i="40"/>
  <c r="F73" i="40"/>
  <c r="E73" i="40"/>
  <c r="D73" i="40"/>
  <c r="B73" i="40"/>
  <c r="N72" i="40"/>
  <c r="M72" i="40"/>
  <c r="L72" i="40"/>
  <c r="K72" i="40"/>
  <c r="J72" i="40"/>
  <c r="I72" i="40"/>
  <c r="H72" i="40"/>
  <c r="G72" i="40"/>
  <c r="F72" i="40"/>
  <c r="E72" i="40"/>
  <c r="D72" i="40"/>
  <c r="B72" i="40"/>
  <c r="N71" i="40"/>
  <c r="N85" i="40" s="1"/>
  <c r="M71" i="40"/>
  <c r="L71" i="40"/>
  <c r="L85" i="40" s="1"/>
  <c r="K71" i="40"/>
  <c r="J71" i="40"/>
  <c r="I71" i="40"/>
  <c r="H71" i="40"/>
  <c r="G71" i="40"/>
  <c r="F71" i="40"/>
  <c r="E71" i="40"/>
  <c r="E85" i="40" s="1"/>
  <c r="D71" i="40"/>
  <c r="D85" i="40" s="1"/>
  <c r="B71" i="40"/>
  <c r="N70" i="40"/>
  <c r="M70" i="40"/>
  <c r="L70" i="40"/>
  <c r="K70" i="40"/>
  <c r="J70" i="40"/>
  <c r="I70" i="40"/>
  <c r="H70" i="40"/>
  <c r="G70" i="40"/>
  <c r="F70" i="40"/>
  <c r="E70" i="40"/>
  <c r="D70" i="40"/>
  <c r="B70" i="40"/>
  <c r="B67" i="40"/>
  <c r="B66" i="40"/>
  <c r="B61" i="40"/>
  <c r="N59" i="40"/>
  <c r="M59" i="40"/>
  <c r="L59" i="40"/>
  <c r="K59" i="40"/>
  <c r="J59" i="40"/>
  <c r="I59" i="40"/>
  <c r="H59" i="40"/>
  <c r="G59" i="40"/>
  <c r="F59" i="40"/>
  <c r="E59" i="40"/>
  <c r="D59" i="40"/>
  <c r="B59" i="40"/>
  <c r="B52" i="40"/>
  <c r="N44" i="40"/>
  <c r="M44" i="40"/>
  <c r="L44" i="40"/>
  <c r="K44" i="40"/>
  <c r="J44" i="40"/>
  <c r="I44" i="40"/>
  <c r="H44" i="40"/>
  <c r="G44" i="40"/>
  <c r="F44" i="40"/>
  <c r="E44" i="40"/>
  <c r="D44" i="40"/>
  <c r="B44" i="40"/>
  <c r="N43" i="40"/>
  <c r="M43" i="40"/>
  <c r="L43" i="40"/>
  <c r="K43" i="40"/>
  <c r="J43" i="40"/>
  <c r="I43" i="40"/>
  <c r="H43" i="40"/>
  <c r="G43" i="40"/>
  <c r="F43" i="40"/>
  <c r="E43" i="40"/>
  <c r="D43" i="40"/>
  <c r="B43" i="40"/>
  <c r="N40" i="40"/>
  <c r="M40" i="40"/>
  <c r="L40" i="40"/>
  <c r="K40" i="40"/>
  <c r="J40" i="40"/>
  <c r="I40" i="40"/>
  <c r="H40" i="40"/>
  <c r="G40" i="40"/>
  <c r="F40" i="40"/>
  <c r="E40" i="40"/>
  <c r="D40" i="40"/>
  <c r="B40" i="40"/>
  <c r="N38" i="40"/>
  <c r="M38" i="40"/>
  <c r="L38" i="40"/>
  <c r="K38" i="40"/>
  <c r="J38" i="40"/>
  <c r="I38" i="40"/>
  <c r="H38" i="40"/>
  <c r="G38" i="40"/>
  <c r="F38" i="40"/>
  <c r="E38" i="40"/>
  <c r="D38" i="40"/>
  <c r="N37" i="40"/>
  <c r="M37" i="40"/>
  <c r="K37" i="40"/>
  <c r="J37" i="40"/>
  <c r="I37" i="40"/>
  <c r="H37" i="40"/>
  <c r="G37" i="40"/>
  <c r="F37" i="40"/>
  <c r="E37" i="40"/>
  <c r="N30" i="40"/>
  <c r="M30" i="40"/>
  <c r="L30" i="40"/>
  <c r="K30" i="40"/>
  <c r="J30" i="40"/>
  <c r="I30" i="40"/>
  <c r="H30" i="40"/>
  <c r="G30" i="40"/>
  <c r="F30" i="40"/>
  <c r="E30" i="40"/>
  <c r="D30" i="40"/>
  <c r="L29" i="40"/>
  <c r="I29" i="40"/>
  <c r="A29" i="40"/>
  <c r="N28" i="40"/>
  <c r="N29" i="40" s="1"/>
  <c r="M28" i="40"/>
  <c r="M29" i="40" s="1"/>
  <c r="L28" i="40"/>
  <c r="K28" i="40"/>
  <c r="J28" i="40"/>
  <c r="J29" i="40" s="1"/>
  <c r="I28" i="40"/>
  <c r="H28" i="40"/>
  <c r="G28" i="40"/>
  <c r="F28" i="40"/>
  <c r="F29" i="40" s="1"/>
  <c r="E28" i="40"/>
  <c r="E29" i="40" s="1"/>
  <c r="D28" i="40"/>
  <c r="N26" i="40"/>
  <c r="M26" i="40"/>
  <c r="L26" i="40"/>
  <c r="K26" i="40"/>
  <c r="J26" i="40"/>
  <c r="I26" i="40"/>
  <c r="H26" i="40"/>
  <c r="G26" i="40"/>
  <c r="F26" i="40"/>
  <c r="E26" i="40"/>
  <c r="D26" i="40"/>
  <c r="N25" i="40"/>
  <c r="M25" i="40"/>
  <c r="L25" i="40"/>
  <c r="K25" i="40"/>
  <c r="J25" i="40"/>
  <c r="I25" i="40"/>
  <c r="H25" i="40"/>
  <c r="G25" i="40"/>
  <c r="F25" i="40"/>
  <c r="E25" i="40"/>
  <c r="D25" i="40"/>
  <c r="N24" i="40"/>
  <c r="M24" i="40"/>
  <c r="L24" i="40"/>
  <c r="K24" i="40"/>
  <c r="J24" i="40"/>
  <c r="I24" i="40"/>
  <c r="H24" i="40"/>
  <c r="G24" i="40"/>
  <c r="F24" i="40"/>
  <c r="E24" i="40"/>
  <c r="D24" i="40"/>
  <c r="N23" i="40"/>
  <c r="M23" i="40"/>
  <c r="L23" i="40"/>
  <c r="K23" i="40"/>
  <c r="J23" i="40"/>
  <c r="I23" i="40"/>
  <c r="H23" i="40"/>
  <c r="G23" i="40"/>
  <c r="F23" i="40"/>
  <c r="E23" i="40"/>
  <c r="D23" i="40"/>
  <c r="A22" i="40"/>
  <c r="O21" i="40"/>
  <c r="P21" i="40" s="1"/>
  <c r="Q21" i="40" s="1"/>
  <c r="N21" i="40"/>
  <c r="M21" i="40"/>
  <c r="L21" i="40"/>
  <c r="K21" i="40"/>
  <c r="K22" i="40" s="1"/>
  <c r="J21" i="40"/>
  <c r="J22" i="40" s="1"/>
  <c r="I21" i="40"/>
  <c r="H21" i="40"/>
  <c r="H22" i="40" s="1"/>
  <c r="G21" i="40"/>
  <c r="G22" i="40" s="1"/>
  <c r="F21" i="40"/>
  <c r="E21" i="40"/>
  <c r="D21" i="40"/>
  <c r="A19" i="40"/>
  <c r="N18" i="40"/>
  <c r="O18" i="40" s="1"/>
  <c r="P18" i="40" s="1"/>
  <c r="M18" i="40"/>
  <c r="M19" i="40" s="1"/>
  <c r="L18" i="40"/>
  <c r="K18" i="40"/>
  <c r="J18" i="40"/>
  <c r="I18" i="40"/>
  <c r="I19" i="40" s="1"/>
  <c r="H18" i="40"/>
  <c r="G18" i="40"/>
  <c r="G19" i="40" s="1"/>
  <c r="F18" i="40"/>
  <c r="F19" i="40" s="1"/>
  <c r="E18" i="40"/>
  <c r="E19" i="40" s="1"/>
  <c r="D18" i="40"/>
  <c r="A17" i="40"/>
  <c r="N16" i="40"/>
  <c r="M16" i="40"/>
  <c r="L16" i="40"/>
  <c r="L17" i="40" s="1"/>
  <c r="K16" i="40"/>
  <c r="K20" i="40" s="1"/>
  <c r="J16" i="40"/>
  <c r="I16" i="40"/>
  <c r="I20" i="40" s="1"/>
  <c r="H16" i="40"/>
  <c r="H20" i="40" s="1"/>
  <c r="G16" i="40"/>
  <c r="F16" i="40"/>
  <c r="E16" i="40"/>
  <c r="D16" i="40"/>
  <c r="E14" i="40"/>
  <c r="A14" i="40"/>
  <c r="N13" i="40"/>
  <c r="N14" i="40" s="1"/>
  <c r="M13" i="40"/>
  <c r="M14" i="40" s="1"/>
  <c r="L13" i="40"/>
  <c r="L14" i="40" s="1"/>
  <c r="K13" i="40"/>
  <c r="K14" i="40" s="1"/>
  <c r="J13" i="40"/>
  <c r="I13" i="40"/>
  <c r="J14" i="40" s="1"/>
  <c r="H13" i="40"/>
  <c r="H14" i="40" s="1"/>
  <c r="G13" i="40"/>
  <c r="F13" i="40"/>
  <c r="F14" i="40" s="1"/>
  <c r="E13" i="40"/>
  <c r="D13" i="40"/>
  <c r="N11" i="40"/>
  <c r="M11" i="40"/>
  <c r="M12" i="40" s="1"/>
  <c r="L11" i="40"/>
  <c r="L12" i="40" s="1"/>
  <c r="K11" i="40"/>
  <c r="K12" i="40" s="1"/>
  <c r="J11" i="40"/>
  <c r="J12" i="40" s="1"/>
  <c r="I11" i="40"/>
  <c r="H11" i="40"/>
  <c r="G11" i="40"/>
  <c r="G12" i="40" s="1"/>
  <c r="F11" i="40"/>
  <c r="E11" i="40"/>
  <c r="E12" i="40" s="1"/>
  <c r="D11" i="40"/>
  <c r="C1" i="40"/>
  <c r="Q245" i="40" s="1"/>
  <c r="B514" i="39"/>
  <c r="N510" i="39"/>
  <c r="M510" i="39"/>
  <c r="L510" i="39"/>
  <c r="K510" i="39"/>
  <c r="J510" i="39"/>
  <c r="I510" i="39"/>
  <c r="H510" i="39"/>
  <c r="G510" i="39"/>
  <c r="F510" i="39"/>
  <c r="E510" i="39"/>
  <c r="D510" i="39"/>
  <c r="B510" i="39"/>
  <c r="N508" i="39"/>
  <c r="M508" i="39"/>
  <c r="L508" i="39"/>
  <c r="K508" i="39"/>
  <c r="J508" i="39"/>
  <c r="I508" i="39"/>
  <c r="H508" i="39"/>
  <c r="G508" i="39"/>
  <c r="F508" i="39"/>
  <c r="E508" i="39"/>
  <c r="D508" i="39"/>
  <c r="B508" i="39"/>
  <c r="N507" i="39"/>
  <c r="M507" i="39"/>
  <c r="L507" i="39"/>
  <c r="K507" i="39"/>
  <c r="J507" i="39"/>
  <c r="I507" i="39"/>
  <c r="H507" i="39"/>
  <c r="G507" i="39"/>
  <c r="F507" i="39"/>
  <c r="E507" i="39"/>
  <c r="D507" i="39"/>
  <c r="B507" i="39"/>
  <c r="B505" i="39"/>
  <c r="N500" i="39"/>
  <c r="M500" i="39"/>
  <c r="L500" i="39"/>
  <c r="K500" i="39"/>
  <c r="J500" i="39"/>
  <c r="I500" i="39"/>
  <c r="H500" i="39"/>
  <c r="G500" i="39"/>
  <c r="F500" i="39"/>
  <c r="E500" i="39"/>
  <c r="D500" i="39"/>
  <c r="B500" i="39"/>
  <c r="N499" i="39"/>
  <c r="M499" i="39"/>
  <c r="L499" i="39"/>
  <c r="K499" i="39"/>
  <c r="J499" i="39"/>
  <c r="I499" i="39"/>
  <c r="H499" i="39"/>
  <c r="G499" i="39"/>
  <c r="F499" i="39"/>
  <c r="E499" i="39"/>
  <c r="D499" i="39"/>
  <c r="B499" i="39"/>
  <c r="N498" i="39"/>
  <c r="M498" i="39"/>
  <c r="L498" i="39"/>
  <c r="K498" i="39"/>
  <c r="J498" i="39"/>
  <c r="I498" i="39"/>
  <c r="H498" i="39"/>
  <c r="G498" i="39"/>
  <c r="F498" i="39"/>
  <c r="E498" i="39"/>
  <c r="D498" i="39"/>
  <c r="B498" i="39"/>
  <c r="N495" i="39"/>
  <c r="M495" i="39"/>
  <c r="L495" i="39"/>
  <c r="K495" i="39"/>
  <c r="J495" i="39"/>
  <c r="I495" i="39"/>
  <c r="H495" i="39"/>
  <c r="G495" i="39"/>
  <c r="F495" i="39"/>
  <c r="E495" i="39"/>
  <c r="D495" i="39"/>
  <c r="B495" i="39"/>
  <c r="I494" i="39"/>
  <c r="H494" i="39"/>
  <c r="G494" i="39"/>
  <c r="F494" i="39"/>
  <c r="E494" i="39"/>
  <c r="D494" i="39"/>
  <c r="B494" i="39"/>
  <c r="N493" i="39"/>
  <c r="M493" i="39"/>
  <c r="L493" i="39"/>
  <c r="K493" i="39"/>
  <c r="J493" i="39"/>
  <c r="I493" i="39"/>
  <c r="H493" i="39"/>
  <c r="G493" i="39"/>
  <c r="F493" i="39"/>
  <c r="E493" i="39"/>
  <c r="D493" i="39"/>
  <c r="B493" i="39"/>
  <c r="N492" i="39"/>
  <c r="M492" i="39"/>
  <c r="L492" i="39"/>
  <c r="K492" i="39"/>
  <c r="J492" i="39"/>
  <c r="I492" i="39"/>
  <c r="H492" i="39"/>
  <c r="G492" i="39"/>
  <c r="F492" i="39"/>
  <c r="E492" i="39"/>
  <c r="D492" i="39"/>
  <c r="B492" i="39"/>
  <c r="N491" i="39"/>
  <c r="M491" i="39"/>
  <c r="L491" i="39"/>
  <c r="K491" i="39"/>
  <c r="J491" i="39"/>
  <c r="I491" i="39"/>
  <c r="H491" i="39"/>
  <c r="G491" i="39"/>
  <c r="F491" i="39"/>
  <c r="E491" i="39"/>
  <c r="D491" i="39"/>
  <c r="B491" i="39"/>
  <c r="N490" i="39"/>
  <c r="M490" i="39"/>
  <c r="L490" i="39"/>
  <c r="K490" i="39"/>
  <c r="J490" i="39"/>
  <c r="I490" i="39"/>
  <c r="H490" i="39"/>
  <c r="G490" i="39"/>
  <c r="F490" i="39"/>
  <c r="E490" i="39"/>
  <c r="D490" i="39"/>
  <c r="B490" i="39"/>
  <c r="N489" i="39"/>
  <c r="M489" i="39"/>
  <c r="L489" i="39"/>
  <c r="K489" i="39"/>
  <c r="J489" i="39"/>
  <c r="I489" i="39"/>
  <c r="H489" i="39"/>
  <c r="G489" i="39"/>
  <c r="F489" i="39"/>
  <c r="E489" i="39"/>
  <c r="D489" i="39"/>
  <c r="B489" i="39"/>
  <c r="N486" i="39"/>
  <c r="M486" i="39"/>
  <c r="L486" i="39"/>
  <c r="K486" i="39"/>
  <c r="J486" i="39"/>
  <c r="I486" i="39"/>
  <c r="H486" i="39"/>
  <c r="G486" i="39"/>
  <c r="F486" i="39"/>
  <c r="E486" i="39"/>
  <c r="D486" i="39"/>
  <c r="B486" i="39"/>
  <c r="B484" i="39"/>
  <c r="N479" i="39"/>
  <c r="L479" i="39"/>
  <c r="B479" i="39"/>
  <c r="N478" i="39"/>
  <c r="M478" i="39"/>
  <c r="M479" i="39" s="1"/>
  <c r="L478" i="39"/>
  <c r="K478" i="39"/>
  <c r="J478" i="39"/>
  <c r="J479" i="39" s="1"/>
  <c r="I478" i="39"/>
  <c r="I479" i="39" s="1"/>
  <c r="H478" i="39"/>
  <c r="H479" i="39" s="1"/>
  <c r="G478" i="39"/>
  <c r="G479" i="39" s="1"/>
  <c r="F478" i="39"/>
  <c r="E478" i="39"/>
  <c r="E479" i="39" s="1"/>
  <c r="D478" i="39"/>
  <c r="D479" i="39" s="1"/>
  <c r="B478" i="39"/>
  <c r="H474" i="39"/>
  <c r="B474" i="39"/>
  <c r="O473" i="39"/>
  <c r="P473" i="39" s="1"/>
  <c r="Q473" i="39" s="1"/>
  <c r="R473" i="39" s="1"/>
  <c r="S473" i="39" s="1"/>
  <c r="T473" i="39" s="1"/>
  <c r="U473" i="39" s="1"/>
  <c r="V473" i="39" s="1"/>
  <c r="W473" i="39" s="1"/>
  <c r="X473" i="39" s="1"/>
  <c r="N473" i="39"/>
  <c r="M473" i="39"/>
  <c r="L473" i="39"/>
  <c r="K473" i="39"/>
  <c r="J473" i="39"/>
  <c r="I473" i="39"/>
  <c r="H473" i="39"/>
  <c r="G473" i="39"/>
  <c r="F473" i="39"/>
  <c r="E473" i="39"/>
  <c r="D473" i="39"/>
  <c r="B473" i="39"/>
  <c r="N472" i="39"/>
  <c r="N474" i="39" s="1"/>
  <c r="M472" i="39"/>
  <c r="L472" i="39"/>
  <c r="L474" i="39" s="1"/>
  <c r="K472" i="39"/>
  <c r="J472" i="39"/>
  <c r="I472" i="39"/>
  <c r="I474" i="39" s="1"/>
  <c r="I475" i="39" s="1"/>
  <c r="H472" i="39"/>
  <c r="G472" i="39"/>
  <c r="G474" i="39" s="1"/>
  <c r="F472" i="39"/>
  <c r="F474" i="39" s="1"/>
  <c r="E472" i="39"/>
  <c r="D472" i="39"/>
  <c r="D474" i="39" s="1"/>
  <c r="B472" i="39"/>
  <c r="N469" i="39"/>
  <c r="M469" i="39"/>
  <c r="L469" i="39"/>
  <c r="K469" i="39"/>
  <c r="J469" i="39"/>
  <c r="I469" i="39"/>
  <c r="H469" i="39"/>
  <c r="G469" i="39"/>
  <c r="F469" i="39"/>
  <c r="E469" i="39"/>
  <c r="D469" i="39"/>
  <c r="B469" i="39"/>
  <c r="N468" i="39"/>
  <c r="M468" i="39"/>
  <c r="L468" i="39"/>
  <c r="K468" i="39"/>
  <c r="J468" i="39"/>
  <c r="I468" i="39"/>
  <c r="H468" i="39"/>
  <c r="G468" i="39"/>
  <c r="F468" i="39"/>
  <c r="E468" i="39"/>
  <c r="D468" i="39"/>
  <c r="B468" i="39"/>
  <c r="N465" i="39"/>
  <c r="M465" i="39"/>
  <c r="L465" i="39"/>
  <c r="K465" i="39"/>
  <c r="J465" i="39"/>
  <c r="I465" i="39"/>
  <c r="H465" i="39"/>
  <c r="G465" i="39"/>
  <c r="F465" i="39"/>
  <c r="E465" i="39"/>
  <c r="D465" i="39"/>
  <c r="B465" i="39"/>
  <c r="N464" i="39"/>
  <c r="M464" i="39"/>
  <c r="L464" i="39"/>
  <c r="K464" i="39"/>
  <c r="J464" i="39"/>
  <c r="I464" i="39"/>
  <c r="H464" i="39"/>
  <c r="G464" i="39"/>
  <c r="F464" i="39"/>
  <c r="E464" i="39"/>
  <c r="D464" i="39"/>
  <c r="B464" i="39"/>
  <c r="N461" i="39"/>
  <c r="M461" i="39"/>
  <c r="L461" i="39"/>
  <c r="K461" i="39"/>
  <c r="J461" i="39"/>
  <c r="I461" i="39"/>
  <c r="H461" i="39"/>
  <c r="G461" i="39"/>
  <c r="F461" i="39"/>
  <c r="E461" i="39"/>
  <c r="D461" i="39"/>
  <c r="B461" i="39"/>
  <c r="B459" i="39"/>
  <c r="N458" i="39"/>
  <c r="M458" i="39"/>
  <c r="L458" i="39"/>
  <c r="K458" i="39"/>
  <c r="J458" i="39"/>
  <c r="I458" i="39"/>
  <c r="H458" i="39"/>
  <c r="G458" i="39"/>
  <c r="F458" i="39"/>
  <c r="E458" i="39"/>
  <c r="D458" i="39"/>
  <c r="B458" i="39"/>
  <c r="N454" i="39"/>
  <c r="M454" i="39"/>
  <c r="L454" i="39"/>
  <c r="K454" i="39"/>
  <c r="J454" i="39"/>
  <c r="I454" i="39"/>
  <c r="H454" i="39"/>
  <c r="G454" i="39"/>
  <c r="F454" i="39"/>
  <c r="E454" i="39"/>
  <c r="D454" i="39"/>
  <c r="B454" i="39"/>
  <c r="N451" i="39"/>
  <c r="O451" i="39" s="1"/>
  <c r="P451" i="39" s="1"/>
  <c r="Q451" i="39" s="1"/>
  <c r="R451" i="39" s="1"/>
  <c r="S451" i="39" s="1"/>
  <c r="T451" i="39" s="1"/>
  <c r="U451" i="39" s="1"/>
  <c r="V451" i="39" s="1"/>
  <c r="W451" i="39" s="1"/>
  <c r="X451" i="39" s="1"/>
  <c r="M451" i="39"/>
  <c r="L451" i="39"/>
  <c r="K451" i="39"/>
  <c r="J451" i="39"/>
  <c r="I451" i="39"/>
  <c r="H451" i="39"/>
  <c r="I105" i="39" s="1"/>
  <c r="G451" i="39"/>
  <c r="F451" i="39"/>
  <c r="E451" i="39"/>
  <c r="D451" i="39"/>
  <c r="B451" i="39"/>
  <c r="N450" i="39"/>
  <c r="M450" i="39"/>
  <c r="L450" i="39"/>
  <c r="L502" i="39" s="1"/>
  <c r="K450" i="39"/>
  <c r="J450" i="39"/>
  <c r="I450" i="39"/>
  <c r="H450" i="39"/>
  <c r="G450" i="39"/>
  <c r="F450" i="39"/>
  <c r="E450" i="39"/>
  <c r="D450" i="39"/>
  <c r="D502" i="39" s="1"/>
  <c r="B450" i="39"/>
  <c r="N448" i="39"/>
  <c r="M448" i="39"/>
  <c r="L448" i="39"/>
  <c r="K448" i="39"/>
  <c r="J448" i="39"/>
  <c r="I448" i="39"/>
  <c r="H448" i="39"/>
  <c r="G448" i="39"/>
  <c r="F448" i="39"/>
  <c r="E448" i="39"/>
  <c r="D448" i="39"/>
  <c r="B448" i="39"/>
  <c r="N447" i="39"/>
  <c r="M447" i="39"/>
  <c r="L447" i="39"/>
  <c r="L449" i="39" s="1"/>
  <c r="K447" i="39"/>
  <c r="J447" i="39"/>
  <c r="I447" i="39"/>
  <c r="I449" i="39" s="1"/>
  <c r="H447" i="39"/>
  <c r="H449" i="39" s="1"/>
  <c r="G447" i="39"/>
  <c r="F447" i="39"/>
  <c r="F449" i="39" s="1"/>
  <c r="E447" i="39"/>
  <c r="D447" i="39"/>
  <c r="D449" i="39" s="1"/>
  <c r="B447" i="39"/>
  <c r="N443" i="39"/>
  <c r="M443" i="39"/>
  <c r="L443" i="39"/>
  <c r="K443" i="39"/>
  <c r="J443" i="39"/>
  <c r="I443" i="39"/>
  <c r="H443" i="39"/>
  <c r="G443" i="39"/>
  <c r="F443" i="39"/>
  <c r="E443" i="39"/>
  <c r="D443" i="39"/>
  <c r="B443" i="39"/>
  <c r="N442" i="39"/>
  <c r="M442" i="39"/>
  <c r="L442" i="39"/>
  <c r="K442" i="39"/>
  <c r="J442" i="39"/>
  <c r="I442" i="39"/>
  <c r="H442" i="39"/>
  <c r="G442" i="39"/>
  <c r="G444" i="39" s="1"/>
  <c r="F442" i="39"/>
  <c r="E442" i="39"/>
  <c r="D442" i="39"/>
  <c r="B442" i="39"/>
  <c r="N441" i="39"/>
  <c r="N444" i="39" s="1"/>
  <c r="M441" i="39"/>
  <c r="M444" i="39" s="1"/>
  <c r="L441" i="39"/>
  <c r="K441" i="39"/>
  <c r="K444" i="39" s="1"/>
  <c r="J441" i="39"/>
  <c r="I441" i="39"/>
  <c r="I444" i="39" s="1"/>
  <c r="H441" i="39"/>
  <c r="H444" i="39" s="1"/>
  <c r="G441" i="39"/>
  <c r="F441" i="39"/>
  <c r="F444" i="39" s="1"/>
  <c r="E441" i="39"/>
  <c r="E444" i="39" s="1"/>
  <c r="D441" i="39"/>
  <c r="B441" i="39"/>
  <c r="N438" i="39"/>
  <c r="M438" i="39"/>
  <c r="L438" i="39"/>
  <c r="K438" i="39"/>
  <c r="J438" i="39"/>
  <c r="I438" i="39"/>
  <c r="H438" i="39"/>
  <c r="G438" i="39"/>
  <c r="F438" i="39"/>
  <c r="E438" i="39"/>
  <c r="D438" i="39"/>
  <c r="B438" i="39"/>
  <c r="N437" i="39"/>
  <c r="M437" i="39"/>
  <c r="L437" i="39"/>
  <c r="K437" i="39"/>
  <c r="J437" i="39"/>
  <c r="I437" i="39"/>
  <c r="H437" i="39"/>
  <c r="G437" i="39"/>
  <c r="F437" i="39"/>
  <c r="E437" i="39"/>
  <c r="D437" i="39"/>
  <c r="B437" i="39"/>
  <c r="B434" i="39"/>
  <c r="N433" i="39"/>
  <c r="M433" i="39"/>
  <c r="L433" i="39"/>
  <c r="K433" i="39"/>
  <c r="J433" i="39"/>
  <c r="I433" i="39"/>
  <c r="H433" i="39"/>
  <c r="G433" i="39"/>
  <c r="F433" i="39"/>
  <c r="E433" i="39"/>
  <c r="D433" i="39"/>
  <c r="B433" i="39"/>
  <c r="F430" i="39"/>
  <c r="N428" i="39"/>
  <c r="M428" i="39"/>
  <c r="L428" i="39"/>
  <c r="K428" i="39"/>
  <c r="J428" i="39"/>
  <c r="I428" i="39"/>
  <c r="H428" i="39"/>
  <c r="G428" i="39"/>
  <c r="F428" i="39"/>
  <c r="E428" i="39"/>
  <c r="D428" i="39"/>
  <c r="B428" i="39"/>
  <c r="N427" i="39"/>
  <c r="N429" i="39" s="1"/>
  <c r="M427" i="39"/>
  <c r="M429" i="39" s="1"/>
  <c r="L427" i="39"/>
  <c r="L430" i="39" s="1"/>
  <c r="K427" i="39"/>
  <c r="J427" i="39"/>
  <c r="J430" i="39" s="1"/>
  <c r="I427" i="39"/>
  <c r="H427" i="39"/>
  <c r="G427" i="39"/>
  <c r="F427" i="39"/>
  <c r="F429" i="39" s="1"/>
  <c r="E427" i="39"/>
  <c r="E430" i="39" s="1"/>
  <c r="D427" i="39"/>
  <c r="D430" i="39" s="1"/>
  <c r="B427" i="39"/>
  <c r="N424" i="39"/>
  <c r="M424" i="39"/>
  <c r="L424" i="39"/>
  <c r="K424" i="39"/>
  <c r="J424" i="39"/>
  <c r="I424" i="39"/>
  <c r="H424" i="39"/>
  <c r="G424" i="39"/>
  <c r="F424" i="39"/>
  <c r="E424" i="39"/>
  <c r="D424" i="39"/>
  <c r="B424" i="39"/>
  <c r="B423" i="39"/>
  <c r="N420" i="39"/>
  <c r="M420" i="39"/>
  <c r="M419" i="39" s="1"/>
  <c r="M423" i="39" s="1"/>
  <c r="L420" i="39"/>
  <c r="L419" i="39" s="1"/>
  <c r="L423" i="39" s="1"/>
  <c r="K420" i="39"/>
  <c r="J420" i="39"/>
  <c r="I420" i="39"/>
  <c r="H420" i="39"/>
  <c r="G420" i="39"/>
  <c r="G419" i="39" s="1"/>
  <c r="G423" i="39" s="1"/>
  <c r="F420" i="39"/>
  <c r="E420" i="39"/>
  <c r="D420" i="39"/>
  <c r="D419" i="39" s="1"/>
  <c r="D423" i="39" s="1"/>
  <c r="B420" i="39"/>
  <c r="J419" i="39"/>
  <c r="J423" i="39" s="1"/>
  <c r="I419" i="39"/>
  <c r="I423" i="39" s="1"/>
  <c r="E419" i="39"/>
  <c r="E423" i="39" s="1"/>
  <c r="B419" i="39"/>
  <c r="C416" i="39"/>
  <c r="X415" i="39"/>
  <c r="W415" i="39"/>
  <c r="V415" i="39"/>
  <c r="U415" i="39"/>
  <c r="T415" i="39"/>
  <c r="S415" i="39"/>
  <c r="R415" i="39"/>
  <c r="Q415" i="39"/>
  <c r="P415" i="39"/>
  <c r="O415" i="39"/>
  <c r="N415" i="39"/>
  <c r="M415" i="39"/>
  <c r="L415" i="39"/>
  <c r="K415" i="39"/>
  <c r="J415" i="39"/>
  <c r="I415" i="39"/>
  <c r="H415" i="39"/>
  <c r="G415" i="39"/>
  <c r="F415" i="39"/>
  <c r="E415" i="39"/>
  <c r="D415" i="39"/>
  <c r="B415" i="39"/>
  <c r="X414" i="39"/>
  <c r="W414" i="39"/>
  <c r="V414" i="39"/>
  <c r="U414" i="39"/>
  <c r="T414" i="39"/>
  <c r="S414" i="39"/>
  <c r="R414" i="39"/>
  <c r="Q414" i="39"/>
  <c r="P414" i="39"/>
  <c r="O414" i="39"/>
  <c r="N414" i="39"/>
  <c r="M414" i="39"/>
  <c r="L414" i="39"/>
  <c r="K414" i="39"/>
  <c r="J414" i="39"/>
  <c r="I414" i="39"/>
  <c r="H414" i="39"/>
  <c r="G414" i="39"/>
  <c r="F414" i="39"/>
  <c r="E414" i="39"/>
  <c r="D414" i="39"/>
  <c r="B414" i="39"/>
  <c r="X413" i="39"/>
  <c r="W413" i="39"/>
  <c r="W159" i="39" s="1"/>
  <c r="V413" i="39"/>
  <c r="U413" i="39"/>
  <c r="T413" i="39"/>
  <c r="S413" i="39"/>
  <c r="S159" i="39" s="1"/>
  <c r="R413" i="39"/>
  <c r="R159" i="39" s="1"/>
  <c r="Q413" i="39"/>
  <c r="P413" i="39"/>
  <c r="O413" i="39"/>
  <c r="O159" i="39" s="1"/>
  <c r="N413" i="39"/>
  <c r="M413" i="39"/>
  <c r="L413" i="39"/>
  <c r="K413" i="39"/>
  <c r="J413" i="39"/>
  <c r="I413" i="39"/>
  <c r="H413" i="39"/>
  <c r="G413" i="39"/>
  <c r="F413" i="39"/>
  <c r="E413" i="39"/>
  <c r="D413" i="39"/>
  <c r="B413" i="39"/>
  <c r="X412" i="39"/>
  <c r="W412" i="39"/>
  <c r="V412" i="39"/>
  <c r="U412" i="39"/>
  <c r="T412" i="39"/>
  <c r="S412" i="39"/>
  <c r="R412" i="39"/>
  <c r="Q412" i="39"/>
  <c r="P412" i="39"/>
  <c r="O412" i="39"/>
  <c r="N412" i="39"/>
  <c r="M412" i="39"/>
  <c r="L412" i="39"/>
  <c r="K412" i="39"/>
  <c r="J412" i="39"/>
  <c r="I412" i="39"/>
  <c r="H412" i="39"/>
  <c r="G412" i="39"/>
  <c r="F412" i="39"/>
  <c r="E412" i="39"/>
  <c r="D412" i="39"/>
  <c r="B412" i="39"/>
  <c r="X411" i="39"/>
  <c r="X524" i="39" s="1"/>
  <c r="W411" i="39"/>
  <c r="W524" i="39" s="1"/>
  <c r="V411" i="39"/>
  <c r="V524" i="39" s="1"/>
  <c r="U411" i="39"/>
  <c r="U524" i="39" s="1"/>
  <c r="T411" i="39"/>
  <c r="T524" i="39" s="1"/>
  <c r="S411" i="39"/>
  <c r="S524" i="39" s="1"/>
  <c r="R411" i="39"/>
  <c r="R524" i="39" s="1"/>
  <c r="Q411" i="39"/>
  <c r="Q524" i="39" s="1"/>
  <c r="P411" i="39"/>
  <c r="P524" i="39" s="1"/>
  <c r="O411" i="39"/>
  <c r="O524" i="39" s="1"/>
  <c r="N411" i="39"/>
  <c r="M411" i="39"/>
  <c r="L411" i="39"/>
  <c r="K411" i="39"/>
  <c r="J411" i="39"/>
  <c r="I411" i="39"/>
  <c r="H411" i="39"/>
  <c r="G411" i="39"/>
  <c r="G272" i="39" s="1"/>
  <c r="F411" i="39"/>
  <c r="E411" i="39"/>
  <c r="D411" i="39"/>
  <c r="B411" i="39"/>
  <c r="X410" i="39"/>
  <c r="W410" i="39"/>
  <c r="V410" i="39"/>
  <c r="U410" i="39"/>
  <c r="T410" i="39"/>
  <c r="S410" i="39"/>
  <c r="R410" i="39"/>
  <c r="Q410" i="39"/>
  <c r="P410" i="39"/>
  <c r="O410" i="39"/>
  <c r="N410" i="39"/>
  <c r="M410" i="39"/>
  <c r="L410" i="39"/>
  <c r="K410" i="39"/>
  <c r="J410" i="39"/>
  <c r="I410" i="39"/>
  <c r="H410" i="39"/>
  <c r="G410" i="39"/>
  <c r="F410" i="39"/>
  <c r="E410" i="39"/>
  <c r="D410" i="39"/>
  <c r="B410" i="39"/>
  <c r="X409" i="39"/>
  <c r="W409" i="39"/>
  <c r="V409" i="39"/>
  <c r="U409" i="39"/>
  <c r="T409" i="39"/>
  <c r="S409" i="39"/>
  <c r="R409" i="39"/>
  <c r="Q409" i="39"/>
  <c r="P409" i="39"/>
  <c r="O409" i="39"/>
  <c r="N409" i="39"/>
  <c r="M409" i="39"/>
  <c r="L409" i="39"/>
  <c r="K409" i="39"/>
  <c r="J409" i="39"/>
  <c r="I409" i="39"/>
  <c r="H409" i="39"/>
  <c r="G409" i="39"/>
  <c r="F409" i="39"/>
  <c r="E409" i="39"/>
  <c r="D409" i="39"/>
  <c r="B409" i="39"/>
  <c r="B405" i="39"/>
  <c r="N404" i="39"/>
  <c r="M404" i="39"/>
  <c r="L404" i="39"/>
  <c r="K404" i="39"/>
  <c r="J404" i="39"/>
  <c r="I404" i="39"/>
  <c r="H404" i="39"/>
  <c r="G404" i="39"/>
  <c r="F404" i="39"/>
  <c r="E404" i="39"/>
  <c r="D404" i="39"/>
  <c r="B404" i="39"/>
  <c r="B400" i="39"/>
  <c r="N397" i="39"/>
  <c r="M397" i="39"/>
  <c r="L397" i="39"/>
  <c r="K397" i="39"/>
  <c r="J397" i="39"/>
  <c r="I397" i="39"/>
  <c r="H397" i="39"/>
  <c r="G397" i="39"/>
  <c r="F397" i="39"/>
  <c r="E397" i="39"/>
  <c r="D397" i="39"/>
  <c r="B397" i="39"/>
  <c r="N395" i="39"/>
  <c r="N483" i="39" s="1"/>
  <c r="M395" i="39"/>
  <c r="M483" i="39" s="1"/>
  <c r="L395" i="39"/>
  <c r="L483" i="39" s="1"/>
  <c r="K395" i="39"/>
  <c r="K483" i="39" s="1"/>
  <c r="J395" i="39"/>
  <c r="J483" i="39" s="1"/>
  <c r="I395" i="39"/>
  <c r="I483" i="39" s="1"/>
  <c r="H395" i="39"/>
  <c r="H483" i="39" s="1"/>
  <c r="G395" i="39"/>
  <c r="G483" i="39" s="1"/>
  <c r="F395" i="39"/>
  <c r="F483" i="39" s="1"/>
  <c r="E395" i="39"/>
  <c r="E483" i="39" s="1"/>
  <c r="D395" i="39"/>
  <c r="D483" i="39" s="1"/>
  <c r="B395" i="39"/>
  <c r="N394" i="39"/>
  <c r="M394" i="39"/>
  <c r="L394" i="39"/>
  <c r="K394" i="39"/>
  <c r="J394" i="39"/>
  <c r="I394" i="39"/>
  <c r="H394" i="39"/>
  <c r="G394" i="39"/>
  <c r="F394" i="39"/>
  <c r="E394" i="39"/>
  <c r="D394" i="39"/>
  <c r="B394" i="39"/>
  <c r="N393" i="39"/>
  <c r="M393" i="39"/>
  <c r="L393" i="39"/>
  <c r="K393" i="39"/>
  <c r="J393" i="39"/>
  <c r="I393" i="39"/>
  <c r="H393" i="39"/>
  <c r="G393" i="39"/>
  <c r="F393" i="39"/>
  <c r="E393" i="39"/>
  <c r="D393" i="39"/>
  <c r="B393" i="39"/>
  <c r="C391" i="39"/>
  <c r="X390" i="39"/>
  <c r="W390" i="39"/>
  <c r="V390" i="39"/>
  <c r="U390" i="39"/>
  <c r="T390" i="39"/>
  <c r="S390" i="39"/>
  <c r="R390" i="39"/>
  <c r="Q390" i="39"/>
  <c r="P390" i="39"/>
  <c r="O390" i="39"/>
  <c r="N390" i="39"/>
  <c r="M390" i="39"/>
  <c r="L390" i="39"/>
  <c r="K390" i="39"/>
  <c r="J390" i="39"/>
  <c r="I390" i="39"/>
  <c r="H390" i="39"/>
  <c r="G390" i="39"/>
  <c r="F390" i="39"/>
  <c r="E390" i="39"/>
  <c r="D390" i="39"/>
  <c r="B390" i="39"/>
  <c r="X389" i="39"/>
  <c r="X501" i="39" s="1"/>
  <c r="W389" i="39"/>
  <c r="W501" i="39" s="1"/>
  <c r="V389" i="39"/>
  <c r="V501" i="39" s="1"/>
  <c r="U389" i="39"/>
  <c r="U501" i="39" s="1"/>
  <c r="T389" i="39"/>
  <c r="T501" i="39" s="1"/>
  <c r="S389" i="39"/>
  <c r="S501" i="39" s="1"/>
  <c r="R389" i="39"/>
  <c r="R501" i="39" s="1"/>
  <c r="Q389" i="39"/>
  <c r="Q501" i="39" s="1"/>
  <c r="P389" i="39"/>
  <c r="P501" i="39" s="1"/>
  <c r="O389" i="39"/>
  <c r="O501" i="39" s="1"/>
  <c r="N389" i="39"/>
  <c r="N501" i="39" s="1"/>
  <c r="M389" i="39"/>
  <c r="M501" i="39" s="1"/>
  <c r="L389" i="39"/>
  <c r="L501" i="39" s="1"/>
  <c r="K389" i="39"/>
  <c r="K501" i="39" s="1"/>
  <c r="J389" i="39"/>
  <c r="J501" i="39" s="1"/>
  <c r="I389" i="39"/>
  <c r="I501" i="39" s="1"/>
  <c r="H389" i="39"/>
  <c r="H501" i="39" s="1"/>
  <c r="G389" i="39"/>
  <c r="G501" i="39" s="1"/>
  <c r="F389" i="39"/>
  <c r="F501" i="39" s="1"/>
  <c r="E389" i="39"/>
  <c r="E501" i="39" s="1"/>
  <c r="D389" i="39"/>
  <c r="D501" i="39" s="1"/>
  <c r="B389" i="39"/>
  <c r="X387" i="39"/>
  <c r="W387" i="39"/>
  <c r="V387" i="39"/>
  <c r="U387" i="39"/>
  <c r="U340" i="39" s="1"/>
  <c r="T387" i="39"/>
  <c r="T340" i="39" s="1"/>
  <c r="S387" i="39"/>
  <c r="R387" i="39"/>
  <c r="R340" i="39" s="1"/>
  <c r="Q387" i="39"/>
  <c r="Q340" i="39" s="1"/>
  <c r="P387" i="39"/>
  <c r="O387" i="39"/>
  <c r="N387" i="39"/>
  <c r="M387" i="39"/>
  <c r="M340" i="39" s="1"/>
  <c r="M341" i="39" s="1"/>
  <c r="M342" i="39" s="1"/>
  <c r="M345" i="39" s="1"/>
  <c r="L387" i="39"/>
  <c r="K387" i="39"/>
  <c r="J387" i="39"/>
  <c r="I387" i="39"/>
  <c r="H387" i="39"/>
  <c r="G387" i="39"/>
  <c r="F387" i="39"/>
  <c r="E387" i="39"/>
  <c r="E340" i="39" s="1"/>
  <c r="E341" i="39" s="1"/>
  <c r="E342" i="39" s="1"/>
  <c r="E345" i="39" s="1"/>
  <c r="D387" i="39"/>
  <c r="B387" i="39"/>
  <c r="X386" i="39"/>
  <c r="X280" i="39" s="1"/>
  <c r="W386" i="39"/>
  <c r="W280" i="39" s="1"/>
  <c r="V386" i="39"/>
  <c r="U386" i="39"/>
  <c r="T386" i="39"/>
  <c r="S386" i="39"/>
  <c r="R386" i="39"/>
  <c r="R280" i="39" s="1"/>
  <c r="Q386" i="39"/>
  <c r="P386" i="39"/>
  <c r="P280" i="39" s="1"/>
  <c r="O386" i="39"/>
  <c r="O280" i="39" s="1"/>
  <c r="N386" i="39"/>
  <c r="M386" i="39"/>
  <c r="L386" i="39"/>
  <c r="K386" i="39"/>
  <c r="K388" i="39" s="1"/>
  <c r="J386" i="39"/>
  <c r="I386" i="39"/>
  <c r="H386" i="39"/>
  <c r="G386" i="39"/>
  <c r="F386" i="39"/>
  <c r="E386" i="39"/>
  <c r="D386" i="39"/>
  <c r="B386" i="39"/>
  <c r="X385" i="39"/>
  <c r="W385" i="39"/>
  <c r="V385" i="39"/>
  <c r="U385" i="39"/>
  <c r="T385" i="39"/>
  <c r="S385" i="39"/>
  <c r="R385" i="39"/>
  <c r="Q385" i="39"/>
  <c r="P385" i="39"/>
  <c r="O385" i="39"/>
  <c r="N385" i="39"/>
  <c r="M385" i="39"/>
  <c r="L385" i="39"/>
  <c r="K385" i="39"/>
  <c r="J385" i="39"/>
  <c r="I385" i="39"/>
  <c r="H385" i="39"/>
  <c r="G385" i="39"/>
  <c r="F385" i="39"/>
  <c r="E385" i="39"/>
  <c r="D385" i="39"/>
  <c r="B385" i="39"/>
  <c r="X384" i="39"/>
  <c r="W384" i="39"/>
  <c r="V384" i="39"/>
  <c r="V388" i="39" s="1"/>
  <c r="U384" i="39"/>
  <c r="T384" i="39"/>
  <c r="S384" i="39"/>
  <c r="R384" i="39"/>
  <c r="Q384" i="39"/>
  <c r="P384" i="39"/>
  <c r="O384" i="39"/>
  <c r="N384" i="39"/>
  <c r="N388" i="39" s="1"/>
  <c r="M384" i="39"/>
  <c r="L384" i="39"/>
  <c r="L388" i="39" s="1"/>
  <c r="K384" i="39"/>
  <c r="J384" i="39"/>
  <c r="I384" i="39"/>
  <c r="H384" i="39"/>
  <c r="H388" i="39" s="1"/>
  <c r="G384" i="39"/>
  <c r="G388" i="39" s="1"/>
  <c r="F384" i="39"/>
  <c r="F388" i="39" s="1"/>
  <c r="E384" i="39"/>
  <c r="D384" i="39"/>
  <c r="D388" i="39" s="1"/>
  <c r="B384" i="39"/>
  <c r="B380" i="39"/>
  <c r="N379" i="39"/>
  <c r="O379" i="39" s="1"/>
  <c r="P379" i="39" s="1"/>
  <c r="Q379" i="39" s="1"/>
  <c r="R379" i="39" s="1"/>
  <c r="S379" i="39" s="1"/>
  <c r="T379" i="39" s="1"/>
  <c r="U379" i="39" s="1"/>
  <c r="V379" i="39" s="1"/>
  <c r="W379" i="39" s="1"/>
  <c r="X379" i="39" s="1"/>
  <c r="M379" i="39"/>
  <c r="L379" i="39"/>
  <c r="K379" i="39"/>
  <c r="J379" i="39"/>
  <c r="I379" i="39"/>
  <c r="H379" i="39"/>
  <c r="G379" i="39"/>
  <c r="F379" i="39"/>
  <c r="E379" i="39"/>
  <c r="D379" i="39"/>
  <c r="B379" i="39"/>
  <c r="N378" i="39"/>
  <c r="M378" i="39"/>
  <c r="L378" i="39"/>
  <c r="K378" i="39"/>
  <c r="J378" i="39"/>
  <c r="I378" i="39"/>
  <c r="H378" i="39"/>
  <c r="G378" i="39"/>
  <c r="F378" i="39"/>
  <c r="E378" i="39"/>
  <c r="D378" i="39"/>
  <c r="B378" i="39"/>
  <c r="B376" i="39"/>
  <c r="B371" i="39"/>
  <c r="N370" i="39"/>
  <c r="M370" i="39"/>
  <c r="L370" i="39"/>
  <c r="K370" i="39"/>
  <c r="J370" i="39"/>
  <c r="I370" i="39"/>
  <c r="H370" i="39"/>
  <c r="G370" i="39"/>
  <c r="F370" i="39"/>
  <c r="E370" i="39"/>
  <c r="D370" i="39"/>
  <c r="B370" i="39"/>
  <c r="N369" i="39"/>
  <c r="M369" i="39"/>
  <c r="L369" i="39"/>
  <c r="K369" i="39"/>
  <c r="J369" i="39"/>
  <c r="I369" i="39"/>
  <c r="H369" i="39"/>
  <c r="G369" i="39"/>
  <c r="F369" i="39"/>
  <c r="E369" i="39"/>
  <c r="D369" i="39"/>
  <c r="B369" i="39"/>
  <c r="B367" i="39"/>
  <c r="N363" i="39"/>
  <c r="M363" i="39"/>
  <c r="L363" i="39"/>
  <c r="K363" i="39"/>
  <c r="J363" i="39"/>
  <c r="I363" i="39"/>
  <c r="H363" i="39"/>
  <c r="G363" i="39"/>
  <c r="F363" i="39"/>
  <c r="E363" i="39"/>
  <c r="D363" i="39"/>
  <c r="B363" i="39"/>
  <c r="B361" i="39"/>
  <c r="N360" i="39"/>
  <c r="M360" i="39"/>
  <c r="L360" i="39"/>
  <c r="K360" i="39"/>
  <c r="J360" i="39"/>
  <c r="I360" i="39"/>
  <c r="H360" i="39"/>
  <c r="G360" i="39"/>
  <c r="F360" i="39"/>
  <c r="E360" i="39"/>
  <c r="D360" i="39"/>
  <c r="B360" i="39"/>
  <c r="N356" i="39"/>
  <c r="M356" i="39"/>
  <c r="L356" i="39"/>
  <c r="K356" i="39"/>
  <c r="J356" i="39"/>
  <c r="I356" i="39"/>
  <c r="H356" i="39"/>
  <c r="G356" i="39"/>
  <c r="F356" i="39"/>
  <c r="E356" i="39"/>
  <c r="D356" i="39"/>
  <c r="B356" i="39"/>
  <c r="B354" i="39"/>
  <c r="N350" i="39"/>
  <c r="M350" i="39"/>
  <c r="L350" i="39"/>
  <c r="K350" i="39"/>
  <c r="J350" i="39"/>
  <c r="I350" i="39"/>
  <c r="H350" i="39"/>
  <c r="G350" i="39"/>
  <c r="G37" i="39" s="1"/>
  <c r="F350" i="39"/>
  <c r="E350" i="39"/>
  <c r="D350" i="39"/>
  <c r="B350" i="39"/>
  <c r="N349" i="39"/>
  <c r="M349" i="39"/>
  <c r="L349" i="39"/>
  <c r="K349" i="39"/>
  <c r="J349" i="39"/>
  <c r="I349" i="39"/>
  <c r="H349" i="39"/>
  <c r="G349" i="39"/>
  <c r="F349" i="39"/>
  <c r="E349" i="39"/>
  <c r="D349" i="39"/>
  <c r="B349" i="39"/>
  <c r="B345" i="39"/>
  <c r="N344" i="39"/>
  <c r="M344" i="39"/>
  <c r="L344" i="39"/>
  <c r="K344" i="39"/>
  <c r="J344" i="39"/>
  <c r="I344" i="39"/>
  <c r="H344" i="39"/>
  <c r="G344" i="39"/>
  <c r="F344" i="39"/>
  <c r="E344" i="39"/>
  <c r="D344" i="39"/>
  <c r="B344" i="39"/>
  <c r="N343" i="39"/>
  <c r="O343" i="39" s="1"/>
  <c r="P343" i="39" s="1"/>
  <c r="Q343" i="39" s="1"/>
  <c r="R343" i="39" s="1"/>
  <c r="S343" i="39" s="1"/>
  <c r="T343" i="39" s="1"/>
  <c r="U343" i="39" s="1"/>
  <c r="V343" i="39" s="1"/>
  <c r="W343" i="39" s="1"/>
  <c r="X343" i="39" s="1"/>
  <c r="M343" i="39"/>
  <c r="L343" i="39"/>
  <c r="K343" i="39"/>
  <c r="J343" i="39"/>
  <c r="I343" i="39"/>
  <c r="H343" i="39"/>
  <c r="G343" i="39"/>
  <c r="F343" i="39"/>
  <c r="E343" i="39"/>
  <c r="D343" i="39"/>
  <c r="B343" i="39"/>
  <c r="K341" i="39"/>
  <c r="D341" i="39"/>
  <c r="D342" i="39" s="1"/>
  <c r="B341" i="39"/>
  <c r="X340" i="39"/>
  <c r="W340" i="39"/>
  <c r="V340" i="39"/>
  <c r="S340" i="39"/>
  <c r="P340" i="39"/>
  <c r="O340" i="39"/>
  <c r="N340" i="39"/>
  <c r="N341" i="39" s="1"/>
  <c r="L340" i="39"/>
  <c r="K340" i="39"/>
  <c r="J340" i="39"/>
  <c r="I340" i="39"/>
  <c r="I341" i="39" s="1"/>
  <c r="H340" i="39"/>
  <c r="G340" i="39"/>
  <c r="G341" i="39" s="1"/>
  <c r="F340" i="39"/>
  <c r="F341" i="39" s="1"/>
  <c r="D340" i="39"/>
  <c r="N337" i="39"/>
  <c r="M337" i="39"/>
  <c r="L337" i="39"/>
  <c r="K337" i="39"/>
  <c r="J337" i="39"/>
  <c r="I337" i="39"/>
  <c r="H337" i="39"/>
  <c r="G337" i="39"/>
  <c r="F337" i="39"/>
  <c r="E337" i="39"/>
  <c r="D337" i="39"/>
  <c r="B337" i="39"/>
  <c r="N336" i="39"/>
  <c r="M336" i="39"/>
  <c r="L336" i="39"/>
  <c r="K336" i="39"/>
  <c r="J336" i="39"/>
  <c r="I336" i="39"/>
  <c r="H336" i="39"/>
  <c r="G336" i="39"/>
  <c r="F336" i="39"/>
  <c r="E336" i="39"/>
  <c r="D336" i="39"/>
  <c r="B336" i="39"/>
  <c r="N335" i="39"/>
  <c r="M335" i="39"/>
  <c r="L335" i="39"/>
  <c r="K335" i="39"/>
  <c r="J335" i="39"/>
  <c r="I335" i="39"/>
  <c r="H335" i="39"/>
  <c r="G335" i="39"/>
  <c r="F335" i="39"/>
  <c r="E335" i="39"/>
  <c r="D335" i="39"/>
  <c r="B335" i="39"/>
  <c r="N329" i="39"/>
  <c r="M329" i="39"/>
  <c r="L329" i="39"/>
  <c r="K329" i="39"/>
  <c r="J329" i="39"/>
  <c r="I329" i="39"/>
  <c r="H329" i="39"/>
  <c r="G329" i="39"/>
  <c r="F329" i="39"/>
  <c r="E329" i="39"/>
  <c r="D329" i="39"/>
  <c r="B329" i="39"/>
  <c r="N328" i="39"/>
  <c r="M328" i="39"/>
  <c r="L328" i="39"/>
  <c r="K328" i="39"/>
  <c r="J328" i="39"/>
  <c r="I328" i="39"/>
  <c r="H328" i="39"/>
  <c r="G328" i="39"/>
  <c r="F328" i="39"/>
  <c r="E328" i="39"/>
  <c r="D328" i="39"/>
  <c r="B328" i="39"/>
  <c r="I325" i="39"/>
  <c r="H325" i="39"/>
  <c r="G325" i="39"/>
  <c r="F325" i="39"/>
  <c r="E325" i="39"/>
  <c r="D325" i="39"/>
  <c r="B325" i="39"/>
  <c r="I324" i="39"/>
  <c r="B323" i="39"/>
  <c r="N322" i="39"/>
  <c r="M322" i="39"/>
  <c r="L322" i="39"/>
  <c r="K322" i="39"/>
  <c r="J322" i="39"/>
  <c r="I322" i="39"/>
  <c r="I323" i="39" s="1"/>
  <c r="H322" i="39"/>
  <c r="H323" i="39" s="1"/>
  <c r="H324" i="39" s="1"/>
  <c r="G322" i="39"/>
  <c r="F322" i="39"/>
  <c r="E322" i="39"/>
  <c r="E323" i="39" s="1"/>
  <c r="D322" i="39"/>
  <c r="D323" i="39" s="1"/>
  <c r="D324" i="39" s="1"/>
  <c r="B322" i="39"/>
  <c r="I319" i="39"/>
  <c r="H319" i="39"/>
  <c r="G319" i="39"/>
  <c r="F319" i="39"/>
  <c r="E319" i="39"/>
  <c r="D319" i="39"/>
  <c r="B319" i="39"/>
  <c r="I318" i="39"/>
  <c r="H318" i="39"/>
  <c r="G318" i="39"/>
  <c r="F318" i="39"/>
  <c r="E318" i="39"/>
  <c r="D318" i="39"/>
  <c r="B318" i="39"/>
  <c r="I315" i="39"/>
  <c r="H315" i="39"/>
  <c r="G315" i="39"/>
  <c r="F315" i="39"/>
  <c r="E315" i="39"/>
  <c r="D315" i="39"/>
  <c r="B315" i="39"/>
  <c r="I314" i="39"/>
  <c r="H314" i="39"/>
  <c r="G314" i="39"/>
  <c r="F314" i="39"/>
  <c r="E314" i="39"/>
  <c r="D314" i="39"/>
  <c r="B314" i="39"/>
  <c r="I311" i="39"/>
  <c r="H311" i="39"/>
  <c r="G311" i="39"/>
  <c r="F311" i="39"/>
  <c r="E311" i="39"/>
  <c r="D311" i="39"/>
  <c r="B311" i="39"/>
  <c r="I310" i="39"/>
  <c r="H310" i="39"/>
  <c r="G310" i="39"/>
  <c r="F310" i="39"/>
  <c r="E310" i="39"/>
  <c r="D310" i="39"/>
  <c r="B310" i="39"/>
  <c r="I307" i="39"/>
  <c r="H307" i="39"/>
  <c r="G307" i="39"/>
  <c r="F307" i="39"/>
  <c r="E307" i="39"/>
  <c r="D307" i="39"/>
  <c r="B307" i="39"/>
  <c r="I306" i="39"/>
  <c r="H306" i="39"/>
  <c r="G306" i="39"/>
  <c r="F306" i="39"/>
  <c r="E306" i="39"/>
  <c r="D306" i="39"/>
  <c r="B306" i="39"/>
  <c r="I303" i="39"/>
  <c r="H303" i="39"/>
  <c r="G303" i="39"/>
  <c r="F303" i="39"/>
  <c r="E303" i="39"/>
  <c r="D303" i="39"/>
  <c r="B303" i="39"/>
  <c r="B301" i="39"/>
  <c r="B295" i="39"/>
  <c r="N294" i="39"/>
  <c r="M294" i="39"/>
  <c r="L294" i="39"/>
  <c r="K294" i="39"/>
  <c r="J294" i="39"/>
  <c r="I294" i="39"/>
  <c r="H294" i="39"/>
  <c r="G294" i="39"/>
  <c r="F294" i="39"/>
  <c r="E294" i="39"/>
  <c r="D294" i="39"/>
  <c r="B294" i="39"/>
  <c r="N293" i="39"/>
  <c r="M293" i="39"/>
  <c r="L293" i="39"/>
  <c r="K293" i="39"/>
  <c r="J293" i="39"/>
  <c r="I293" i="39"/>
  <c r="H293" i="39"/>
  <c r="G293" i="39"/>
  <c r="F293" i="39"/>
  <c r="E293" i="39"/>
  <c r="E295" i="39" s="1"/>
  <c r="D293" i="39"/>
  <c r="B293" i="39"/>
  <c r="N292" i="39"/>
  <c r="M292" i="39"/>
  <c r="L292" i="39"/>
  <c r="K292" i="39"/>
  <c r="K295" i="39" s="1"/>
  <c r="J292" i="39"/>
  <c r="I292" i="39"/>
  <c r="H292" i="39"/>
  <c r="G292" i="39"/>
  <c r="F292" i="39"/>
  <c r="F295" i="39" s="1"/>
  <c r="E292" i="39"/>
  <c r="D292" i="39"/>
  <c r="B292" i="39"/>
  <c r="I289" i="39"/>
  <c r="H289" i="39"/>
  <c r="G289" i="39"/>
  <c r="F289" i="39"/>
  <c r="E289" i="39"/>
  <c r="D289" i="39"/>
  <c r="B289" i="39"/>
  <c r="I288" i="39"/>
  <c r="H288" i="39"/>
  <c r="G288" i="39"/>
  <c r="F288" i="39"/>
  <c r="E288" i="39"/>
  <c r="D288" i="39"/>
  <c r="B288" i="39"/>
  <c r="I285" i="39"/>
  <c r="H285" i="39"/>
  <c r="G285" i="39"/>
  <c r="F285" i="39"/>
  <c r="E285" i="39"/>
  <c r="D285" i="39"/>
  <c r="B285" i="39"/>
  <c r="B283" i="39"/>
  <c r="N282" i="39"/>
  <c r="M282" i="39"/>
  <c r="L282" i="39"/>
  <c r="K282" i="39"/>
  <c r="J282" i="39"/>
  <c r="I282" i="39"/>
  <c r="H282" i="39"/>
  <c r="G282" i="39"/>
  <c r="F282" i="39"/>
  <c r="E282" i="39"/>
  <c r="D282" i="39"/>
  <c r="V280" i="39"/>
  <c r="U280" i="39"/>
  <c r="T280" i="39"/>
  <c r="Q280" i="39"/>
  <c r="N280" i="39"/>
  <c r="M280" i="39"/>
  <c r="L280" i="39"/>
  <c r="J280" i="39"/>
  <c r="I280" i="39"/>
  <c r="H280" i="39"/>
  <c r="G280" i="39"/>
  <c r="F280" i="39"/>
  <c r="E280" i="39"/>
  <c r="D280" i="39"/>
  <c r="B276" i="39"/>
  <c r="N275" i="39"/>
  <c r="M275" i="39"/>
  <c r="L275" i="39"/>
  <c r="K275" i="39"/>
  <c r="J275" i="39"/>
  <c r="I275" i="39"/>
  <c r="H275" i="39"/>
  <c r="G275" i="39"/>
  <c r="F275" i="39"/>
  <c r="E275" i="39"/>
  <c r="D275" i="39"/>
  <c r="B275" i="39"/>
  <c r="I273" i="39"/>
  <c r="H273" i="39"/>
  <c r="G273" i="39"/>
  <c r="F273" i="39"/>
  <c r="E273" i="39"/>
  <c r="D273" i="39"/>
  <c r="B273" i="39"/>
  <c r="X272" i="39"/>
  <c r="T272" i="39"/>
  <c r="R272" i="39"/>
  <c r="Q272" i="39"/>
  <c r="P272" i="39"/>
  <c r="N272" i="39"/>
  <c r="M272" i="39"/>
  <c r="L272" i="39"/>
  <c r="K272" i="39"/>
  <c r="J272" i="39"/>
  <c r="I272" i="39"/>
  <c r="H272" i="39"/>
  <c r="F272" i="39"/>
  <c r="E272" i="39"/>
  <c r="D272" i="39"/>
  <c r="I270" i="39"/>
  <c r="H270" i="39"/>
  <c r="G270" i="39"/>
  <c r="F270" i="39"/>
  <c r="E270" i="39"/>
  <c r="D270" i="39"/>
  <c r="B270" i="39"/>
  <c r="I269" i="39"/>
  <c r="H269" i="39"/>
  <c r="G269" i="39"/>
  <c r="F269" i="39"/>
  <c r="E269" i="39"/>
  <c r="D269" i="39"/>
  <c r="B269" i="39"/>
  <c r="I268" i="39"/>
  <c r="H268" i="39"/>
  <c r="G268" i="39"/>
  <c r="F268" i="39"/>
  <c r="E268" i="39"/>
  <c r="D268" i="39"/>
  <c r="B268" i="39"/>
  <c r="I267" i="39"/>
  <c r="H267" i="39"/>
  <c r="G267" i="39"/>
  <c r="F267" i="39"/>
  <c r="E267" i="39"/>
  <c r="D267" i="39"/>
  <c r="B267" i="39"/>
  <c r="B263" i="39"/>
  <c r="N262" i="39"/>
  <c r="M262" i="39"/>
  <c r="L262" i="39"/>
  <c r="K262" i="39"/>
  <c r="J262" i="39"/>
  <c r="I262" i="39"/>
  <c r="H262" i="39"/>
  <c r="G262" i="39"/>
  <c r="F262" i="39"/>
  <c r="E262" i="39"/>
  <c r="D262" i="39"/>
  <c r="B262" i="39"/>
  <c r="I260" i="39"/>
  <c r="H260" i="39"/>
  <c r="G260" i="39"/>
  <c r="F260" i="39"/>
  <c r="E260" i="39"/>
  <c r="D260" i="39"/>
  <c r="B260" i="39"/>
  <c r="I259" i="39"/>
  <c r="H259" i="39"/>
  <c r="G259" i="39"/>
  <c r="F259" i="39"/>
  <c r="E259" i="39"/>
  <c r="D259" i="39"/>
  <c r="B259" i="39"/>
  <c r="I258" i="39"/>
  <c r="H258" i="39"/>
  <c r="G258" i="39"/>
  <c r="F258" i="39"/>
  <c r="E258" i="39"/>
  <c r="D258" i="39"/>
  <c r="B258" i="39"/>
  <c r="I257" i="39"/>
  <c r="H257" i="39"/>
  <c r="G257" i="39"/>
  <c r="F257" i="39"/>
  <c r="E257" i="39"/>
  <c r="D257" i="39"/>
  <c r="B257" i="39"/>
  <c r="I256" i="39"/>
  <c r="H256" i="39"/>
  <c r="G256" i="39"/>
  <c r="F256" i="39"/>
  <c r="E256" i="39"/>
  <c r="D256" i="39"/>
  <c r="B256" i="39"/>
  <c r="I255" i="39"/>
  <c r="H255" i="39"/>
  <c r="G255" i="39"/>
  <c r="F255" i="39"/>
  <c r="E255" i="39"/>
  <c r="D255" i="39"/>
  <c r="B255" i="39"/>
  <c r="O252" i="39"/>
  <c r="P252" i="39" s="1"/>
  <c r="N252" i="39"/>
  <c r="M252" i="39"/>
  <c r="L252" i="39"/>
  <c r="K252" i="39"/>
  <c r="J252" i="39"/>
  <c r="I252" i="39"/>
  <c r="H252" i="39"/>
  <c r="G252" i="39"/>
  <c r="F252" i="39"/>
  <c r="E252" i="39"/>
  <c r="D252" i="39"/>
  <c r="B252" i="39"/>
  <c r="N251" i="39"/>
  <c r="O251" i="39" s="1"/>
  <c r="P251" i="39" s="1"/>
  <c r="Q251" i="39" s="1"/>
  <c r="R251" i="39" s="1"/>
  <c r="S251" i="39" s="1"/>
  <c r="T251" i="39" s="1"/>
  <c r="U251" i="39" s="1"/>
  <c r="V251" i="39" s="1"/>
  <c r="W251" i="39" s="1"/>
  <c r="X251" i="39" s="1"/>
  <c r="M251" i="39"/>
  <c r="L251" i="39"/>
  <c r="K251" i="39"/>
  <c r="J251" i="39"/>
  <c r="I251" i="39"/>
  <c r="H251" i="39"/>
  <c r="G251" i="39"/>
  <c r="F251" i="39"/>
  <c r="E251" i="39"/>
  <c r="D251" i="39"/>
  <c r="B251" i="39"/>
  <c r="I248" i="39"/>
  <c r="H248" i="39"/>
  <c r="G248" i="39"/>
  <c r="F248" i="39"/>
  <c r="E248" i="39"/>
  <c r="D248" i="39"/>
  <c r="B248" i="39"/>
  <c r="N247" i="39"/>
  <c r="M247" i="39"/>
  <c r="L247" i="39"/>
  <c r="K247" i="39"/>
  <c r="J247" i="39"/>
  <c r="I247" i="39"/>
  <c r="H247" i="39"/>
  <c r="G247" i="39"/>
  <c r="F247" i="39"/>
  <c r="E247" i="39"/>
  <c r="D247" i="39"/>
  <c r="D245" i="39" s="1"/>
  <c r="D97" i="39" s="1"/>
  <c r="B247" i="39"/>
  <c r="N246" i="39"/>
  <c r="M246" i="39"/>
  <c r="L246" i="39"/>
  <c r="K246" i="39"/>
  <c r="J246" i="39"/>
  <c r="I246" i="39"/>
  <c r="H246" i="39"/>
  <c r="G246" i="39"/>
  <c r="F246" i="39"/>
  <c r="E246" i="39"/>
  <c r="F245" i="39" s="1"/>
  <c r="D246" i="39"/>
  <c r="B246" i="39"/>
  <c r="N242" i="39"/>
  <c r="M242" i="39"/>
  <c r="L242" i="39"/>
  <c r="K242" i="39"/>
  <c r="J242" i="39"/>
  <c r="I242" i="39"/>
  <c r="H242" i="39"/>
  <c r="G242" i="39"/>
  <c r="F242" i="39"/>
  <c r="E242" i="39"/>
  <c r="D242" i="39"/>
  <c r="B242" i="39"/>
  <c r="N241" i="39"/>
  <c r="O241" i="39" s="1"/>
  <c r="P241" i="39" s="1"/>
  <c r="Q241" i="39" s="1"/>
  <c r="R241" i="39" s="1"/>
  <c r="S241" i="39" s="1"/>
  <c r="T241" i="39" s="1"/>
  <c r="U241" i="39" s="1"/>
  <c r="V241" i="39" s="1"/>
  <c r="W241" i="39" s="1"/>
  <c r="X241" i="39" s="1"/>
  <c r="M241" i="39"/>
  <c r="L241" i="39"/>
  <c r="K241" i="39"/>
  <c r="J241" i="39"/>
  <c r="I241" i="39"/>
  <c r="H241" i="39"/>
  <c r="G241" i="39"/>
  <c r="F241" i="39"/>
  <c r="E241" i="39"/>
  <c r="D241" i="39"/>
  <c r="B241" i="39"/>
  <c r="N239" i="39"/>
  <c r="M239" i="39"/>
  <c r="L239" i="39"/>
  <c r="K239" i="39"/>
  <c r="J239" i="39"/>
  <c r="I239" i="39"/>
  <c r="H239" i="39"/>
  <c r="G239" i="39"/>
  <c r="F239" i="39"/>
  <c r="E239" i="39"/>
  <c r="D239" i="39"/>
  <c r="B239" i="39"/>
  <c r="N238" i="39"/>
  <c r="M238" i="39"/>
  <c r="L238" i="39"/>
  <c r="K238" i="39"/>
  <c r="J238" i="39"/>
  <c r="I238" i="39"/>
  <c r="H238" i="39"/>
  <c r="G238" i="39"/>
  <c r="F238" i="39"/>
  <c r="E238" i="39"/>
  <c r="D238" i="39"/>
  <c r="B238" i="39"/>
  <c r="N237" i="39"/>
  <c r="N299" i="39" s="1"/>
  <c r="M237" i="39"/>
  <c r="M299" i="39" s="1"/>
  <c r="L237" i="39"/>
  <c r="L299" i="39" s="1"/>
  <c r="K237" i="39"/>
  <c r="J237" i="39"/>
  <c r="J299" i="39" s="1"/>
  <c r="I237" i="39"/>
  <c r="I299" i="39" s="1"/>
  <c r="H237" i="39"/>
  <c r="H299" i="39" s="1"/>
  <c r="G237" i="39"/>
  <c r="G299" i="39" s="1"/>
  <c r="F237" i="39"/>
  <c r="F299" i="39" s="1"/>
  <c r="E237" i="39"/>
  <c r="E299" i="39" s="1"/>
  <c r="D237" i="39"/>
  <c r="D299" i="39" s="1"/>
  <c r="B237" i="39"/>
  <c r="N232" i="39"/>
  <c r="M232" i="39"/>
  <c r="L232" i="39"/>
  <c r="K232" i="39"/>
  <c r="J232" i="39"/>
  <c r="I232" i="39"/>
  <c r="H232" i="39"/>
  <c r="G232" i="39"/>
  <c r="F232" i="39"/>
  <c r="E232" i="39"/>
  <c r="D232" i="39"/>
  <c r="B232" i="39"/>
  <c r="N231" i="39"/>
  <c r="M231" i="39"/>
  <c r="L231" i="39"/>
  <c r="K231" i="39"/>
  <c r="J231" i="39"/>
  <c r="I231" i="39"/>
  <c r="H231" i="39"/>
  <c r="G231" i="39"/>
  <c r="F231" i="39"/>
  <c r="E231" i="39"/>
  <c r="D231" i="39"/>
  <c r="B231" i="39"/>
  <c r="N230" i="39"/>
  <c r="M230" i="39"/>
  <c r="L230" i="39"/>
  <c r="K230" i="39"/>
  <c r="J230" i="39"/>
  <c r="I230" i="39"/>
  <c r="I233" i="39" s="1"/>
  <c r="H230" i="39"/>
  <c r="G230" i="39"/>
  <c r="F230" i="39"/>
  <c r="E230" i="39"/>
  <c r="D230" i="39"/>
  <c r="B230" i="39"/>
  <c r="N229" i="39"/>
  <c r="M229" i="39"/>
  <c r="M233" i="39" s="1"/>
  <c r="L229" i="39"/>
  <c r="K229" i="39"/>
  <c r="J229" i="39"/>
  <c r="J233" i="39" s="1"/>
  <c r="I229" i="39"/>
  <c r="H229" i="39"/>
  <c r="G229" i="39"/>
  <c r="G233" i="39" s="1"/>
  <c r="F229" i="39"/>
  <c r="E229" i="39"/>
  <c r="E233" i="39" s="1"/>
  <c r="D229" i="39"/>
  <c r="D233" i="39" s="1"/>
  <c r="B229" i="39"/>
  <c r="N225" i="39"/>
  <c r="M225" i="39"/>
  <c r="L225" i="39"/>
  <c r="K225" i="39"/>
  <c r="J225" i="39"/>
  <c r="I225" i="39"/>
  <c r="H225" i="39"/>
  <c r="G225" i="39"/>
  <c r="F225" i="39"/>
  <c r="E225" i="39"/>
  <c r="D225" i="39"/>
  <c r="B225" i="39"/>
  <c r="N224" i="39"/>
  <c r="M224" i="39"/>
  <c r="L224" i="39"/>
  <c r="K224" i="39"/>
  <c r="J224" i="39"/>
  <c r="I224" i="39"/>
  <c r="H224" i="39"/>
  <c r="G224" i="39"/>
  <c r="F224" i="39"/>
  <c r="E224" i="39"/>
  <c r="D224" i="39"/>
  <c r="B224" i="39"/>
  <c r="N223" i="39"/>
  <c r="M223" i="39"/>
  <c r="L223" i="39"/>
  <c r="K223" i="39"/>
  <c r="J223" i="39"/>
  <c r="I223" i="39"/>
  <c r="H223" i="39"/>
  <c r="G223" i="39"/>
  <c r="F223" i="39"/>
  <c r="E223" i="39"/>
  <c r="D223" i="39"/>
  <c r="B223" i="39"/>
  <c r="I222" i="39"/>
  <c r="I226" i="39" s="1"/>
  <c r="H222" i="39"/>
  <c r="H226" i="39" s="1"/>
  <c r="G222" i="39"/>
  <c r="G226" i="39" s="1"/>
  <c r="F222" i="39"/>
  <c r="E222" i="39"/>
  <c r="E226" i="39" s="1"/>
  <c r="D222" i="39"/>
  <c r="D226" i="39" s="1"/>
  <c r="B222" i="39"/>
  <c r="N219" i="39"/>
  <c r="M219" i="39"/>
  <c r="L219" i="39"/>
  <c r="K219" i="39"/>
  <c r="J219" i="39"/>
  <c r="I219" i="39"/>
  <c r="H219" i="39"/>
  <c r="G219" i="39"/>
  <c r="F219" i="39"/>
  <c r="E219" i="39"/>
  <c r="D219" i="39"/>
  <c r="B219" i="39"/>
  <c r="N217" i="39"/>
  <c r="M217" i="39"/>
  <c r="L217" i="39"/>
  <c r="K217" i="39"/>
  <c r="J217" i="39"/>
  <c r="I217" i="39"/>
  <c r="H217" i="39"/>
  <c r="G217" i="39"/>
  <c r="F217" i="39"/>
  <c r="E217" i="39"/>
  <c r="D217" i="39"/>
  <c r="B217" i="39"/>
  <c r="N216" i="39"/>
  <c r="O216" i="39" s="1"/>
  <c r="M216" i="39"/>
  <c r="L216" i="39"/>
  <c r="K216" i="39"/>
  <c r="J216" i="39"/>
  <c r="I216" i="39"/>
  <c r="H216" i="39"/>
  <c r="G216" i="39"/>
  <c r="F216" i="39"/>
  <c r="E216" i="39"/>
  <c r="D216" i="39"/>
  <c r="B216" i="39"/>
  <c r="N215" i="39"/>
  <c r="M215" i="39"/>
  <c r="M431" i="39" s="1"/>
  <c r="M434" i="39" s="1"/>
  <c r="L215" i="39"/>
  <c r="L431" i="39" s="1"/>
  <c r="L434" i="39" s="1"/>
  <c r="K215" i="39"/>
  <c r="K431" i="39" s="1"/>
  <c r="K434" i="39" s="1"/>
  <c r="J215" i="39"/>
  <c r="J431" i="39" s="1"/>
  <c r="J434" i="39" s="1"/>
  <c r="I215" i="39"/>
  <c r="I431" i="39" s="1"/>
  <c r="I434" i="39" s="1"/>
  <c r="H215" i="39"/>
  <c r="H431" i="39" s="1"/>
  <c r="H434" i="39" s="1"/>
  <c r="G215" i="39"/>
  <c r="G431" i="39" s="1"/>
  <c r="G434" i="39" s="1"/>
  <c r="F215" i="39"/>
  <c r="E215" i="39"/>
  <c r="E431" i="39" s="1"/>
  <c r="E434" i="39" s="1"/>
  <c r="D215" i="39"/>
  <c r="D431" i="39" s="1"/>
  <c r="D434" i="39" s="1"/>
  <c r="B215" i="39"/>
  <c r="N211" i="39"/>
  <c r="M211" i="39"/>
  <c r="L211" i="39"/>
  <c r="K211" i="39"/>
  <c r="J211" i="39"/>
  <c r="I211" i="39"/>
  <c r="H211" i="39"/>
  <c r="G211" i="39"/>
  <c r="F211" i="39"/>
  <c r="E211" i="39"/>
  <c r="D211" i="39"/>
  <c r="B211" i="39"/>
  <c r="N210" i="39"/>
  <c r="M210" i="39"/>
  <c r="L210" i="39"/>
  <c r="K210" i="39"/>
  <c r="J210" i="39"/>
  <c r="I210" i="39"/>
  <c r="H210" i="39"/>
  <c r="G210" i="39"/>
  <c r="F210" i="39"/>
  <c r="E210" i="39"/>
  <c r="D210" i="39"/>
  <c r="B210" i="39"/>
  <c r="N209" i="39"/>
  <c r="M209" i="39"/>
  <c r="L209" i="39"/>
  <c r="K209" i="39"/>
  <c r="J209" i="39"/>
  <c r="I209" i="39"/>
  <c r="H209" i="39"/>
  <c r="G209" i="39"/>
  <c r="F209" i="39"/>
  <c r="E209" i="39"/>
  <c r="D209" i="39"/>
  <c r="B209" i="39"/>
  <c r="N208" i="39"/>
  <c r="N212" i="39" s="1"/>
  <c r="M208" i="39"/>
  <c r="L208" i="39"/>
  <c r="L212" i="39" s="1"/>
  <c r="K208" i="39"/>
  <c r="K212" i="39" s="1"/>
  <c r="J208" i="39"/>
  <c r="I208" i="39"/>
  <c r="I212" i="39" s="1"/>
  <c r="H208" i="39"/>
  <c r="H212" i="39" s="1"/>
  <c r="G208" i="39"/>
  <c r="F208" i="39"/>
  <c r="F212" i="39" s="1"/>
  <c r="E208" i="39"/>
  <c r="D208" i="39"/>
  <c r="D212" i="39" s="1"/>
  <c r="B208" i="39"/>
  <c r="N205" i="39"/>
  <c r="M205" i="39"/>
  <c r="L205" i="39"/>
  <c r="K205" i="39"/>
  <c r="J205" i="39"/>
  <c r="I205" i="39"/>
  <c r="H205" i="39"/>
  <c r="G205" i="39"/>
  <c r="F205" i="39"/>
  <c r="E205" i="39"/>
  <c r="D205" i="39"/>
  <c r="N204" i="39"/>
  <c r="M204" i="39"/>
  <c r="L204" i="39"/>
  <c r="K204" i="39"/>
  <c r="J204" i="39"/>
  <c r="I204" i="39"/>
  <c r="H204" i="39"/>
  <c r="G204" i="39"/>
  <c r="F204" i="39"/>
  <c r="E204" i="39"/>
  <c r="D204" i="39"/>
  <c r="N203" i="39"/>
  <c r="M203" i="39"/>
  <c r="L203" i="39"/>
  <c r="K203" i="39"/>
  <c r="J203" i="39"/>
  <c r="I203" i="39"/>
  <c r="H203" i="39"/>
  <c r="G203" i="39"/>
  <c r="F203" i="39"/>
  <c r="E203" i="39"/>
  <c r="D203" i="39"/>
  <c r="N202" i="39"/>
  <c r="M202" i="39"/>
  <c r="L202" i="39"/>
  <c r="K202" i="39"/>
  <c r="J202" i="39"/>
  <c r="I202" i="39"/>
  <c r="H202" i="39"/>
  <c r="G202" i="39"/>
  <c r="F202" i="39"/>
  <c r="E202" i="39"/>
  <c r="D202" i="39"/>
  <c r="B199" i="39"/>
  <c r="N198" i="39"/>
  <c r="O198" i="39" s="1"/>
  <c r="P198" i="39" s="1"/>
  <c r="Q198" i="39" s="1"/>
  <c r="R198" i="39" s="1"/>
  <c r="S198" i="39" s="1"/>
  <c r="T198" i="39" s="1"/>
  <c r="U198" i="39" s="1"/>
  <c r="V198" i="39" s="1"/>
  <c r="W198" i="39" s="1"/>
  <c r="X198" i="39" s="1"/>
  <c r="M198" i="39"/>
  <c r="L198" i="39"/>
  <c r="K198" i="39"/>
  <c r="J198" i="39"/>
  <c r="I198" i="39"/>
  <c r="H198" i="39"/>
  <c r="G198" i="39"/>
  <c r="F198" i="39"/>
  <c r="E198" i="39"/>
  <c r="D198" i="39"/>
  <c r="B198" i="39"/>
  <c r="B196" i="39"/>
  <c r="N195" i="39"/>
  <c r="M195" i="39"/>
  <c r="L195" i="39"/>
  <c r="K195" i="39"/>
  <c r="J195" i="39"/>
  <c r="I195" i="39"/>
  <c r="H195" i="39"/>
  <c r="G195" i="39"/>
  <c r="F195" i="39"/>
  <c r="F48" i="39" s="1"/>
  <c r="E195" i="39"/>
  <c r="D195" i="39"/>
  <c r="B195" i="39"/>
  <c r="N193" i="39"/>
  <c r="M193" i="39"/>
  <c r="M281" i="39" s="1"/>
  <c r="L193" i="39"/>
  <c r="L281" i="39" s="1"/>
  <c r="K193" i="39"/>
  <c r="K281" i="39" s="1"/>
  <c r="J193" i="39"/>
  <c r="J281" i="39" s="1"/>
  <c r="I193" i="39"/>
  <c r="I281" i="39" s="1"/>
  <c r="H193" i="39"/>
  <c r="H281" i="39" s="1"/>
  <c r="G193" i="39"/>
  <c r="G281" i="39" s="1"/>
  <c r="G283" i="39" s="1"/>
  <c r="F193" i="39"/>
  <c r="F281" i="39" s="1"/>
  <c r="F283" i="39" s="1"/>
  <c r="E193" i="39"/>
  <c r="E281" i="39" s="1"/>
  <c r="D193" i="39"/>
  <c r="D281" i="39" s="1"/>
  <c r="B193" i="39"/>
  <c r="Q192" i="39"/>
  <c r="Q300" i="39" s="1"/>
  <c r="P192" i="39"/>
  <c r="P300" i="39" s="1"/>
  <c r="O192" i="39"/>
  <c r="O300" i="39" s="1"/>
  <c r="N192" i="39"/>
  <c r="N300" i="39" s="1"/>
  <c r="M192" i="39"/>
  <c r="M300" i="39" s="1"/>
  <c r="L192" i="39"/>
  <c r="L300" i="39" s="1"/>
  <c r="K192" i="39"/>
  <c r="K300" i="39" s="1"/>
  <c r="J192" i="39"/>
  <c r="J300" i="39" s="1"/>
  <c r="I192" i="39"/>
  <c r="I300" i="39" s="1"/>
  <c r="H192" i="39"/>
  <c r="H300" i="39" s="1"/>
  <c r="G192" i="39"/>
  <c r="G300" i="39" s="1"/>
  <c r="F192" i="39"/>
  <c r="F300" i="39" s="1"/>
  <c r="E192" i="39"/>
  <c r="E300" i="39" s="1"/>
  <c r="D192" i="39"/>
  <c r="D300" i="39" s="1"/>
  <c r="B192" i="39"/>
  <c r="N190" i="39"/>
  <c r="N271" i="39" s="1"/>
  <c r="M190" i="39"/>
  <c r="M271" i="39" s="1"/>
  <c r="L190" i="39"/>
  <c r="L271" i="39" s="1"/>
  <c r="K190" i="39"/>
  <c r="K271" i="39" s="1"/>
  <c r="J190" i="39"/>
  <c r="J271" i="39" s="1"/>
  <c r="I190" i="39"/>
  <c r="I271" i="39" s="1"/>
  <c r="H190" i="39"/>
  <c r="H271" i="39" s="1"/>
  <c r="G190" i="39"/>
  <c r="G271" i="39" s="1"/>
  <c r="F190" i="39"/>
  <c r="F271" i="39" s="1"/>
  <c r="E190" i="39"/>
  <c r="E271" i="39" s="1"/>
  <c r="D190" i="39"/>
  <c r="D271" i="39" s="1"/>
  <c r="B190" i="39"/>
  <c r="N188" i="39"/>
  <c r="M188" i="39"/>
  <c r="L188" i="39"/>
  <c r="K188" i="39"/>
  <c r="J188" i="39"/>
  <c r="I188" i="39"/>
  <c r="H188" i="39"/>
  <c r="G188" i="39"/>
  <c r="F188" i="39"/>
  <c r="E188" i="39"/>
  <c r="D188" i="39"/>
  <c r="B188" i="39"/>
  <c r="N187" i="39"/>
  <c r="M187" i="39"/>
  <c r="L187" i="39"/>
  <c r="K187" i="39"/>
  <c r="J187" i="39"/>
  <c r="I187" i="39"/>
  <c r="H187" i="39"/>
  <c r="G187" i="39"/>
  <c r="F187" i="39"/>
  <c r="E187" i="39"/>
  <c r="D187" i="39"/>
  <c r="B187" i="39"/>
  <c r="N186" i="39"/>
  <c r="M186" i="39"/>
  <c r="L186" i="39"/>
  <c r="K186" i="39"/>
  <c r="J186" i="39"/>
  <c r="I186" i="39"/>
  <c r="H186" i="39"/>
  <c r="G186" i="39"/>
  <c r="F186" i="39"/>
  <c r="E186" i="39"/>
  <c r="D186" i="39"/>
  <c r="B186" i="39"/>
  <c r="N185" i="39"/>
  <c r="M185" i="39"/>
  <c r="L185" i="39"/>
  <c r="K185" i="39"/>
  <c r="J185" i="39"/>
  <c r="I185" i="39"/>
  <c r="H185" i="39"/>
  <c r="G185" i="39"/>
  <c r="F185" i="39"/>
  <c r="E185" i="39"/>
  <c r="D185" i="39"/>
  <c r="B185" i="39"/>
  <c r="N184" i="39"/>
  <c r="M184" i="39"/>
  <c r="L184" i="39"/>
  <c r="K184" i="39"/>
  <c r="J184" i="39"/>
  <c r="I184" i="39"/>
  <c r="H184" i="39"/>
  <c r="G184" i="39"/>
  <c r="F184" i="39"/>
  <c r="E184" i="39"/>
  <c r="D184" i="39"/>
  <c r="B184" i="39"/>
  <c r="N183" i="39"/>
  <c r="M183" i="39"/>
  <c r="L183" i="39"/>
  <c r="K183" i="39"/>
  <c r="J183" i="39"/>
  <c r="I183" i="39"/>
  <c r="H183" i="39"/>
  <c r="G183" i="39"/>
  <c r="F183" i="39"/>
  <c r="E183" i="39"/>
  <c r="D183" i="39"/>
  <c r="B183" i="39"/>
  <c r="N182" i="39"/>
  <c r="M182" i="39"/>
  <c r="M189" i="39" s="1"/>
  <c r="L182" i="39"/>
  <c r="K182" i="39"/>
  <c r="K189" i="39" s="1"/>
  <c r="J182" i="39"/>
  <c r="J189" i="39" s="1"/>
  <c r="J191" i="39" s="1"/>
  <c r="I182" i="39"/>
  <c r="I189" i="39" s="1"/>
  <c r="H182" i="39"/>
  <c r="H189" i="39" s="1"/>
  <c r="G182" i="39"/>
  <c r="F182" i="39"/>
  <c r="E182" i="39"/>
  <c r="E189" i="39" s="1"/>
  <c r="D182" i="39"/>
  <c r="B182" i="39"/>
  <c r="B179" i="39"/>
  <c r="B177" i="39"/>
  <c r="N172" i="39"/>
  <c r="M172" i="39"/>
  <c r="L172" i="39"/>
  <c r="K172" i="39"/>
  <c r="J172" i="39"/>
  <c r="I172" i="39"/>
  <c r="H172" i="39"/>
  <c r="G172" i="39"/>
  <c r="F172" i="39"/>
  <c r="E172" i="39"/>
  <c r="D172" i="39"/>
  <c r="N171" i="39"/>
  <c r="O171" i="39" s="1"/>
  <c r="P171" i="39" s="1"/>
  <c r="Q171" i="39" s="1"/>
  <c r="R171" i="39" s="1"/>
  <c r="S171" i="39" s="1"/>
  <c r="T171" i="39" s="1"/>
  <c r="U171" i="39" s="1"/>
  <c r="V171" i="39" s="1"/>
  <c r="W171" i="39" s="1"/>
  <c r="X171" i="39" s="1"/>
  <c r="M171" i="39"/>
  <c r="L171" i="39"/>
  <c r="K171" i="39"/>
  <c r="J171" i="39"/>
  <c r="I171" i="39"/>
  <c r="H171" i="39"/>
  <c r="G171" i="39"/>
  <c r="F171" i="39"/>
  <c r="E171" i="39"/>
  <c r="D171" i="39"/>
  <c r="B169" i="39"/>
  <c r="N164" i="39"/>
  <c r="M164" i="39"/>
  <c r="L164" i="39"/>
  <c r="K164" i="39"/>
  <c r="J164" i="39"/>
  <c r="I164" i="39"/>
  <c r="H164" i="39"/>
  <c r="G164" i="39"/>
  <c r="F164" i="39"/>
  <c r="E164" i="39"/>
  <c r="D164" i="39"/>
  <c r="B164" i="39"/>
  <c r="N163" i="39"/>
  <c r="M163" i="39"/>
  <c r="L163" i="39"/>
  <c r="K163" i="39"/>
  <c r="J163" i="39"/>
  <c r="I163" i="39"/>
  <c r="H163" i="39"/>
  <c r="G163" i="39"/>
  <c r="F163" i="39"/>
  <c r="E163" i="39"/>
  <c r="D163" i="39"/>
  <c r="B163" i="39"/>
  <c r="N162" i="39"/>
  <c r="M162" i="39"/>
  <c r="L162" i="39"/>
  <c r="K162" i="39"/>
  <c r="J162" i="39"/>
  <c r="I162" i="39"/>
  <c r="H162" i="39"/>
  <c r="G162" i="39"/>
  <c r="F162" i="39"/>
  <c r="E162" i="39"/>
  <c r="D162" i="39"/>
  <c r="B162" i="39"/>
  <c r="B160" i="39"/>
  <c r="X159" i="39"/>
  <c r="V159" i="39"/>
  <c r="U159" i="39"/>
  <c r="T159" i="39"/>
  <c r="Q159" i="39"/>
  <c r="P159" i="39"/>
  <c r="N159" i="39"/>
  <c r="M159" i="39"/>
  <c r="L159" i="39"/>
  <c r="K159" i="39"/>
  <c r="J159" i="39"/>
  <c r="I159" i="39"/>
  <c r="H159" i="39"/>
  <c r="G159" i="39"/>
  <c r="F159" i="39"/>
  <c r="E159" i="39"/>
  <c r="D159" i="39"/>
  <c r="N155" i="39"/>
  <c r="M155" i="39"/>
  <c r="L155" i="39"/>
  <c r="K155" i="39"/>
  <c r="J155" i="39"/>
  <c r="I155" i="39"/>
  <c r="H155" i="39"/>
  <c r="G155" i="39"/>
  <c r="F155" i="39"/>
  <c r="E155" i="39"/>
  <c r="D155" i="39"/>
  <c r="B155" i="39"/>
  <c r="N154" i="39"/>
  <c r="M154" i="39"/>
  <c r="L154" i="39"/>
  <c r="K154" i="39"/>
  <c r="J154" i="39"/>
  <c r="I154" i="39"/>
  <c r="H154" i="39"/>
  <c r="G154" i="39"/>
  <c r="F154" i="39"/>
  <c r="E154" i="39"/>
  <c r="D154" i="39"/>
  <c r="B154" i="39"/>
  <c r="N151" i="39"/>
  <c r="O151" i="39" s="1"/>
  <c r="P151" i="39" s="1"/>
  <c r="Q151" i="39" s="1"/>
  <c r="R151" i="39" s="1"/>
  <c r="S151" i="39" s="1"/>
  <c r="T151" i="39" s="1"/>
  <c r="U151" i="39" s="1"/>
  <c r="V151" i="39" s="1"/>
  <c r="W151" i="39" s="1"/>
  <c r="X151" i="39" s="1"/>
  <c r="M151" i="39"/>
  <c r="L151" i="39"/>
  <c r="K151" i="39"/>
  <c r="J151" i="39"/>
  <c r="I151" i="39"/>
  <c r="H151" i="39"/>
  <c r="G151" i="39"/>
  <c r="F151" i="39"/>
  <c r="E151" i="39"/>
  <c r="D151" i="39"/>
  <c r="B151" i="39"/>
  <c r="B149" i="39"/>
  <c r="N148" i="39"/>
  <c r="O148" i="39" s="1"/>
  <c r="P148" i="39" s="1"/>
  <c r="Q148" i="39" s="1"/>
  <c r="R148" i="39" s="1"/>
  <c r="S148" i="39" s="1"/>
  <c r="T148" i="39" s="1"/>
  <c r="U148" i="39" s="1"/>
  <c r="V148" i="39" s="1"/>
  <c r="W148" i="39" s="1"/>
  <c r="X148" i="39" s="1"/>
  <c r="M148" i="39"/>
  <c r="L148" i="39"/>
  <c r="K148" i="39"/>
  <c r="J148" i="39"/>
  <c r="I148" i="39"/>
  <c r="H148" i="39"/>
  <c r="G148" i="39"/>
  <c r="F148" i="39"/>
  <c r="E148" i="39"/>
  <c r="D148" i="39"/>
  <c r="B148" i="39"/>
  <c r="E146" i="39"/>
  <c r="B146" i="39"/>
  <c r="N145" i="39"/>
  <c r="N146" i="39" s="1"/>
  <c r="M145" i="39"/>
  <c r="M146" i="39" s="1"/>
  <c r="L145" i="39"/>
  <c r="K145" i="39"/>
  <c r="J145" i="39"/>
  <c r="I145" i="39"/>
  <c r="I146" i="39" s="1"/>
  <c r="H145" i="39"/>
  <c r="G145" i="39"/>
  <c r="G146" i="39" s="1"/>
  <c r="F145" i="39"/>
  <c r="F146" i="39" s="1"/>
  <c r="E145" i="39"/>
  <c r="D145" i="39"/>
  <c r="B145" i="39"/>
  <c r="B141" i="39"/>
  <c r="N140" i="39"/>
  <c r="N139" i="39"/>
  <c r="M139" i="39"/>
  <c r="L139" i="39"/>
  <c r="K139" i="39"/>
  <c r="J139" i="39"/>
  <c r="I139" i="39"/>
  <c r="H139" i="39"/>
  <c r="G139" i="39"/>
  <c r="F139" i="39"/>
  <c r="E139" i="39"/>
  <c r="D139" i="39"/>
  <c r="B139" i="39"/>
  <c r="N138" i="39"/>
  <c r="M138" i="39"/>
  <c r="M432" i="39" s="1"/>
  <c r="L138" i="39"/>
  <c r="L432" i="39" s="1"/>
  <c r="K138" i="39"/>
  <c r="K432" i="39" s="1"/>
  <c r="J138" i="39"/>
  <c r="J432" i="39" s="1"/>
  <c r="I138" i="39"/>
  <c r="I432" i="39" s="1"/>
  <c r="H138" i="39"/>
  <c r="H432" i="39" s="1"/>
  <c r="G138" i="39"/>
  <c r="G432" i="39" s="1"/>
  <c r="F138" i="39"/>
  <c r="E138" i="39"/>
  <c r="E432" i="39" s="1"/>
  <c r="D138" i="39"/>
  <c r="D432" i="39" s="1"/>
  <c r="B138" i="39"/>
  <c r="N137" i="39"/>
  <c r="M137" i="39"/>
  <c r="L137" i="39"/>
  <c r="K137" i="39"/>
  <c r="J137" i="39"/>
  <c r="I137" i="39"/>
  <c r="H137" i="39"/>
  <c r="G137" i="39"/>
  <c r="F137" i="39"/>
  <c r="E137" i="39"/>
  <c r="D137" i="39"/>
  <c r="B137" i="39"/>
  <c r="N136" i="39"/>
  <c r="M136" i="39"/>
  <c r="L136" i="39"/>
  <c r="K136" i="39"/>
  <c r="J136" i="39"/>
  <c r="I136" i="39"/>
  <c r="H136" i="39"/>
  <c r="G136" i="39"/>
  <c r="F136" i="39"/>
  <c r="E136" i="39"/>
  <c r="D136" i="39"/>
  <c r="B136" i="39"/>
  <c r="N135" i="39"/>
  <c r="M135" i="39"/>
  <c r="L135" i="39"/>
  <c r="K135" i="39"/>
  <c r="J135" i="39"/>
  <c r="I135" i="39"/>
  <c r="H135" i="39"/>
  <c r="G135" i="39"/>
  <c r="F135" i="39"/>
  <c r="E135" i="39"/>
  <c r="D135" i="39"/>
  <c r="B135" i="39"/>
  <c r="N134" i="39"/>
  <c r="M134" i="39"/>
  <c r="M140" i="39" s="1"/>
  <c r="L134" i="39"/>
  <c r="L140" i="39" s="1"/>
  <c r="K134" i="39"/>
  <c r="K140" i="39" s="1"/>
  <c r="J134" i="39"/>
  <c r="J140" i="39" s="1"/>
  <c r="I134" i="39"/>
  <c r="H134" i="39"/>
  <c r="H140" i="39" s="1"/>
  <c r="G134" i="39"/>
  <c r="G140" i="39" s="1"/>
  <c r="F134" i="39"/>
  <c r="F140" i="39" s="1"/>
  <c r="F141" i="39" s="1"/>
  <c r="E134" i="39"/>
  <c r="E140" i="39" s="1"/>
  <c r="D134" i="39"/>
  <c r="D140" i="39" s="1"/>
  <c r="B134" i="39"/>
  <c r="N127" i="39"/>
  <c r="M127" i="39"/>
  <c r="L127" i="39"/>
  <c r="K127" i="39"/>
  <c r="J127" i="39"/>
  <c r="I127" i="39"/>
  <c r="H127" i="39"/>
  <c r="G127" i="39"/>
  <c r="F127" i="39"/>
  <c r="E127" i="39"/>
  <c r="D127" i="39"/>
  <c r="B127" i="39"/>
  <c r="N126" i="39"/>
  <c r="M126" i="39"/>
  <c r="L126" i="39"/>
  <c r="K126" i="39"/>
  <c r="J126" i="39"/>
  <c r="I126" i="39"/>
  <c r="H126" i="39"/>
  <c r="G126" i="39"/>
  <c r="F126" i="39"/>
  <c r="E126" i="39"/>
  <c r="D126" i="39"/>
  <c r="B126" i="39"/>
  <c r="N125" i="39"/>
  <c r="M125" i="39"/>
  <c r="L125" i="39"/>
  <c r="K125" i="39"/>
  <c r="J125" i="39"/>
  <c r="I125" i="39"/>
  <c r="H125" i="39"/>
  <c r="G125" i="39"/>
  <c r="F125" i="39"/>
  <c r="E125" i="39"/>
  <c r="D125" i="39"/>
  <c r="B125" i="39"/>
  <c r="N124" i="39"/>
  <c r="M124" i="39"/>
  <c r="L124" i="39"/>
  <c r="K124" i="39"/>
  <c r="J124" i="39"/>
  <c r="I124" i="39"/>
  <c r="H124" i="39"/>
  <c r="G124" i="39"/>
  <c r="F124" i="39"/>
  <c r="E124" i="39"/>
  <c r="D124" i="39"/>
  <c r="B124" i="39"/>
  <c r="N123" i="39"/>
  <c r="M123" i="39"/>
  <c r="L123" i="39"/>
  <c r="K123" i="39"/>
  <c r="J123" i="39"/>
  <c r="I123" i="39"/>
  <c r="H123" i="39"/>
  <c r="G123" i="39"/>
  <c r="F123" i="39"/>
  <c r="E123" i="39"/>
  <c r="D123" i="39"/>
  <c r="B123" i="39"/>
  <c r="N122" i="39"/>
  <c r="M122" i="39"/>
  <c r="M128" i="39" s="1"/>
  <c r="L122" i="39"/>
  <c r="K122" i="39"/>
  <c r="K128" i="39" s="1"/>
  <c r="J122" i="39"/>
  <c r="I122" i="39"/>
  <c r="H122" i="39"/>
  <c r="H128" i="39" s="1"/>
  <c r="G122" i="39"/>
  <c r="G128" i="39" s="1"/>
  <c r="F122" i="39"/>
  <c r="E122" i="39"/>
  <c r="E128" i="39" s="1"/>
  <c r="D122" i="39"/>
  <c r="B122" i="39"/>
  <c r="N120" i="39"/>
  <c r="M120" i="39"/>
  <c r="L120" i="39"/>
  <c r="K120" i="39"/>
  <c r="J120" i="39"/>
  <c r="I120" i="39"/>
  <c r="H120" i="39"/>
  <c r="G120" i="39"/>
  <c r="F120" i="39"/>
  <c r="E120" i="39"/>
  <c r="D120" i="39"/>
  <c r="B120" i="39"/>
  <c r="N119" i="39"/>
  <c r="M119" i="39"/>
  <c r="L119" i="39"/>
  <c r="K119" i="39"/>
  <c r="J119" i="39"/>
  <c r="I119" i="39"/>
  <c r="H119" i="39"/>
  <c r="G119" i="39"/>
  <c r="F119" i="39"/>
  <c r="E119" i="39"/>
  <c r="D119" i="39"/>
  <c r="B119" i="39"/>
  <c r="N118" i="39"/>
  <c r="M118" i="39"/>
  <c r="L118" i="39"/>
  <c r="K118" i="39"/>
  <c r="J118" i="39"/>
  <c r="I118" i="39"/>
  <c r="H118" i="39"/>
  <c r="G118" i="39"/>
  <c r="F118" i="39"/>
  <c r="E118" i="39"/>
  <c r="D118" i="39"/>
  <c r="B118" i="39"/>
  <c r="N117" i="39"/>
  <c r="M117" i="39"/>
  <c r="L117" i="39"/>
  <c r="K117" i="39"/>
  <c r="J117" i="39"/>
  <c r="I117" i="39"/>
  <c r="H117" i="39"/>
  <c r="G117" i="39"/>
  <c r="F117" i="39"/>
  <c r="E117" i="39"/>
  <c r="D117" i="39"/>
  <c r="B117" i="39"/>
  <c r="X116" i="39"/>
  <c r="T116" i="39"/>
  <c r="R116" i="39"/>
  <c r="Q116" i="39"/>
  <c r="P116" i="39"/>
  <c r="N116" i="39"/>
  <c r="M116" i="39"/>
  <c r="L116" i="39"/>
  <c r="K116" i="39"/>
  <c r="J116" i="39"/>
  <c r="I116" i="39"/>
  <c r="H116" i="39"/>
  <c r="G116" i="39"/>
  <c r="F116" i="39"/>
  <c r="E116" i="39"/>
  <c r="D116" i="39"/>
  <c r="B116" i="39"/>
  <c r="N115" i="39"/>
  <c r="M115" i="39"/>
  <c r="L115" i="39"/>
  <c r="K115" i="39"/>
  <c r="J115" i="39"/>
  <c r="I115" i="39"/>
  <c r="H115" i="39"/>
  <c r="G115" i="39"/>
  <c r="F115" i="39"/>
  <c r="E115" i="39"/>
  <c r="D115" i="39"/>
  <c r="B115" i="39"/>
  <c r="N109" i="39"/>
  <c r="M109" i="39"/>
  <c r="L109" i="39"/>
  <c r="K109" i="39"/>
  <c r="J109" i="39"/>
  <c r="I109" i="39"/>
  <c r="H109" i="39"/>
  <c r="G109" i="39"/>
  <c r="F109" i="39"/>
  <c r="E109" i="39"/>
  <c r="D109" i="39"/>
  <c r="B109" i="39"/>
  <c r="N108" i="39"/>
  <c r="M108" i="39"/>
  <c r="L108" i="39"/>
  <c r="K108" i="39"/>
  <c r="J108" i="39"/>
  <c r="I108" i="39"/>
  <c r="H108" i="39"/>
  <c r="G108" i="39"/>
  <c r="F108" i="39"/>
  <c r="E108" i="39"/>
  <c r="D108" i="39"/>
  <c r="B108" i="39"/>
  <c r="N107" i="39"/>
  <c r="N509" i="39" s="1"/>
  <c r="M107" i="39"/>
  <c r="M509" i="39" s="1"/>
  <c r="L107" i="39"/>
  <c r="K107" i="39"/>
  <c r="K509" i="39" s="1"/>
  <c r="K511" i="39" s="1"/>
  <c r="J107" i="39"/>
  <c r="J509" i="39" s="1"/>
  <c r="I107" i="39"/>
  <c r="H107" i="39"/>
  <c r="H509" i="39" s="1"/>
  <c r="G107" i="39"/>
  <c r="G509" i="39" s="1"/>
  <c r="F107" i="39"/>
  <c r="F509" i="39" s="1"/>
  <c r="E107" i="39"/>
  <c r="E509" i="39" s="1"/>
  <c r="D107" i="39"/>
  <c r="B107" i="39"/>
  <c r="N105" i="39"/>
  <c r="K105" i="39"/>
  <c r="J105" i="39"/>
  <c r="G105" i="39"/>
  <c r="F105" i="39"/>
  <c r="N104" i="39"/>
  <c r="M104" i="39"/>
  <c r="L104" i="39"/>
  <c r="K104" i="39"/>
  <c r="J104" i="39"/>
  <c r="I104" i="39"/>
  <c r="H104" i="39"/>
  <c r="G104" i="39"/>
  <c r="F104" i="39"/>
  <c r="E104" i="39"/>
  <c r="D104" i="39"/>
  <c r="B104" i="39"/>
  <c r="N103" i="39"/>
  <c r="M103" i="39"/>
  <c r="L103" i="39"/>
  <c r="K103" i="39"/>
  <c r="J103" i="39"/>
  <c r="I103" i="39"/>
  <c r="H103" i="39"/>
  <c r="G103" i="39"/>
  <c r="F103" i="39"/>
  <c r="E103" i="39"/>
  <c r="D103" i="39"/>
  <c r="B103" i="39"/>
  <c r="N102" i="39"/>
  <c r="M102" i="39"/>
  <c r="L102" i="39"/>
  <c r="K102" i="39"/>
  <c r="J102" i="39"/>
  <c r="I102" i="39"/>
  <c r="H102" i="39"/>
  <c r="G102" i="39"/>
  <c r="F102" i="39"/>
  <c r="E102" i="39"/>
  <c r="D102" i="39"/>
  <c r="B102" i="39"/>
  <c r="N101" i="39"/>
  <c r="M101" i="39"/>
  <c r="L101" i="39"/>
  <c r="K101" i="39"/>
  <c r="J101" i="39"/>
  <c r="I101" i="39"/>
  <c r="H101" i="39"/>
  <c r="G101" i="39"/>
  <c r="F101" i="39"/>
  <c r="E101" i="39"/>
  <c r="D101" i="39"/>
  <c r="B101" i="39"/>
  <c r="N100" i="39"/>
  <c r="M100" i="39"/>
  <c r="L100" i="39"/>
  <c r="K100" i="39"/>
  <c r="K106" i="39" s="1"/>
  <c r="J100" i="39"/>
  <c r="J106" i="39" s="1"/>
  <c r="I100" i="39"/>
  <c r="H100" i="39"/>
  <c r="G100" i="39"/>
  <c r="F100" i="39"/>
  <c r="E100" i="39"/>
  <c r="D100" i="39"/>
  <c r="B100" i="39"/>
  <c r="N96" i="39"/>
  <c r="M96" i="39"/>
  <c r="L96" i="39"/>
  <c r="K96" i="39"/>
  <c r="J96" i="39"/>
  <c r="I96" i="39"/>
  <c r="H96" i="39"/>
  <c r="G96" i="39"/>
  <c r="F96" i="39"/>
  <c r="E96" i="39"/>
  <c r="D96" i="39"/>
  <c r="B96" i="39"/>
  <c r="I95" i="39"/>
  <c r="H95" i="39"/>
  <c r="G95" i="39"/>
  <c r="F95" i="39"/>
  <c r="E95" i="39"/>
  <c r="D95" i="39"/>
  <c r="B95" i="39"/>
  <c r="N94" i="39"/>
  <c r="M94" i="39"/>
  <c r="L94" i="39"/>
  <c r="K94" i="39"/>
  <c r="J94" i="39"/>
  <c r="I94" i="39"/>
  <c r="H94" i="39"/>
  <c r="G94" i="39"/>
  <c r="F94" i="39"/>
  <c r="E94" i="39"/>
  <c r="D94" i="39"/>
  <c r="D98" i="39" s="1"/>
  <c r="B94" i="39"/>
  <c r="N92" i="39"/>
  <c r="M92" i="39"/>
  <c r="L92" i="39"/>
  <c r="K92" i="39"/>
  <c r="J92" i="39"/>
  <c r="I92" i="39"/>
  <c r="H92" i="39"/>
  <c r="G92" i="39"/>
  <c r="F92" i="39"/>
  <c r="E92" i="39"/>
  <c r="D92" i="39"/>
  <c r="B92" i="39"/>
  <c r="N91" i="39"/>
  <c r="M91" i="39"/>
  <c r="L91" i="39"/>
  <c r="K91" i="39"/>
  <c r="J91" i="39"/>
  <c r="I91" i="39"/>
  <c r="H91" i="39"/>
  <c r="G91" i="39"/>
  <c r="F91" i="39"/>
  <c r="E91" i="39"/>
  <c r="D91" i="39"/>
  <c r="B91" i="39"/>
  <c r="N90" i="39"/>
  <c r="M90" i="39"/>
  <c r="L90" i="39"/>
  <c r="K90" i="39"/>
  <c r="J90" i="39"/>
  <c r="I90" i="39"/>
  <c r="H90" i="39"/>
  <c r="G90" i="39"/>
  <c r="F90" i="39"/>
  <c r="E90" i="39"/>
  <c r="D90" i="39"/>
  <c r="B90" i="39"/>
  <c r="N89" i="39"/>
  <c r="M89" i="39"/>
  <c r="L89" i="39"/>
  <c r="K89" i="39"/>
  <c r="J89" i="39"/>
  <c r="J93" i="39" s="1"/>
  <c r="I89" i="39"/>
  <c r="H89" i="39"/>
  <c r="G89" i="39"/>
  <c r="F89" i="39"/>
  <c r="E89" i="39"/>
  <c r="D89" i="39"/>
  <c r="B89" i="39"/>
  <c r="N88" i="39"/>
  <c r="M88" i="39"/>
  <c r="M93" i="39" s="1"/>
  <c r="L88" i="39"/>
  <c r="L93" i="39" s="1"/>
  <c r="K88" i="39"/>
  <c r="J88" i="39"/>
  <c r="I88" i="39"/>
  <c r="I93" i="39" s="1"/>
  <c r="H88" i="39"/>
  <c r="H93" i="39" s="1"/>
  <c r="G88" i="39"/>
  <c r="G93" i="39" s="1"/>
  <c r="F88" i="39"/>
  <c r="E88" i="39"/>
  <c r="E93" i="39" s="1"/>
  <c r="D88" i="39"/>
  <c r="D93" i="39" s="1"/>
  <c r="B88" i="39"/>
  <c r="N84" i="39"/>
  <c r="M84" i="39"/>
  <c r="L84" i="39"/>
  <c r="K84" i="39"/>
  <c r="J84" i="39"/>
  <c r="I84" i="39"/>
  <c r="H84" i="39"/>
  <c r="G84" i="39"/>
  <c r="F84" i="39"/>
  <c r="E84" i="39"/>
  <c r="D84" i="39"/>
  <c r="B84" i="39"/>
  <c r="B83" i="39"/>
  <c r="N80" i="39"/>
  <c r="M80" i="39"/>
  <c r="L80" i="39"/>
  <c r="K80" i="39"/>
  <c r="J80" i="39"/>
  <c r="I80" i="39"/>
  <c r="H80" i="39"/>
  <c r="G80" i="39"/>
  <c r="F80" i="39"/>
  <c r="E80" i="39"/>
  <c r="D80" i="39"/>
  <c r="B80" i="39"/>
  <c r="N79" i="39"/>
  <c r="M79" i="39"/>
  <c r="L79" i="39"/>
  <c r="K79" i="39"/>
  <c r="J79" i="39"/>
  <c r="I79" i="39"/>
  <c r="H79" i="39"/>
  <c r="G79" i="39"/>
  <c r="F79" i="39"/>
  <c r="E79" i="39"/>
  <c r="D79" i="39"/>
  <c r="B79" i="39"/>
  <c r="N77" i="39"/>
  <c r="M77" i="39"/>
  <c r="L77" i="39"/>
  <c r="K77" i="39"/>
  <c r="J77" i="39"/>
  <c r="I77" i="39"/>
  <c r="H77" i="39"/>
  <c r="G77" i="39"/>
  <c r="F77" i="39"/>
  <c r="E77" i="39"/>
  <c r="D77" i="39"/>
  <c r="B77" i="39"/>
  <c r="N76" i="39"/>
  <c r="M76" i="39"/>
  <c r="L76" i="39"/>
  <c r="K76" i="39"/>
  <c r="J76" i="39"/>
  <c r="I76" i="39"/>
  <c r="H76" i="39"/>
  <c r="G76" i="39"/>
  <c r="F76" i="39"/>
  <c r="E76" i="39"/>
  <c r="D76" i="39"/>
  <c r="B76" i="39"/>
  <c r="N75" i="39"/>
  <c r="M75" i="39"/>
  <c r="L75" i="39"/>
  <c r="K75" i="39"/>
  <c r="J75" i="39"/>
  <c r="I75" i="39"/>
  <c r="H75" i="39"/>
  <c r="G75" i="39"/>
  <c r="F75" i="39"/>
  <c r="E75" i="39"/>
  <c r="D75" i="39"/>
  <c r="B75" i="39"/>
  <c r="N74" i="39"/>
  <c r="M74" i="39"/>
  <c r="L74" i="39"/>
  <c r="K74" i="39"/>
  <c r="J74" i="39"/>
  <c r="I74" i="39"/>
  <c r="H74" i="39"/>
  <c r="G74" i="39"/>
  <c r="F74" i="39"/>
  <c r="E74" i="39"/>
  <c r="D74" i="39"/>
  <c r="B74" i="39"/>
  <c r="N73" i="39"/>
  <c r="M73" i="39"/>
  <c r="L73" i="39"/>
  <c r="K73" i="39"/>
  <c r="J73" i="39"/>
  <c r="I73" i="39"/>
  <c r="H73" i="39"/>
  <c r="G73" i="39"/>
  <c r="G457" i="39" s="1"/>
  <c r="F73" i="39"/>
  <c r="E73" i="39"/>
  <c r="D73" i="39"/>
  <c r="B73" i="39"/>
  <c r="N72" i="39"/>
  <c r="M72" i="39"/>
  <c r="L72" i="39"/>
  <c r="K72" i="39"/>
  <c r="K78" i="39" s="1"/>
  <c r="K81" i="39" s="1"/>
  <c r="J72" i="39"/>
  <c r="I72" i="39"/>
  <c r="H72" i="39"/>
  <c r="G72" i="39"/>
  <c r="F72" i="39"/>
  <c r="F85" i="39" s="1"/>
  <c r="E72" i="39"/>
  <c r="D72" i="39"/>
  <c r="B72" i="39"/>
  <c r="N71" i="39"/>
  <c r="M71" i="39"/>
  <c r="M78" i="39" s="1"/>
  <c r="M81" i="39" s="1"/>
  <c r="M82" i="39" s="1"/>
  <c r="M83" i="39" s="1"/>
  <c r="L71" i="39"/>
  <c r="K71" i="39"/>
  <c r="J71" i="39"/>
  <c r="I71" i="39"/>
  <c r="H71" i="39"/>
  <c r="G71" i="39"/>
  <c r="G85" i="39" s="1"/>
  <c r="F71" i="39"/>
  <c r="E71" i="39"/>
  <c r="E78" i="39" s="1"/>
  <c r="E81" i="39" s="1"/>
  <c r="E82" i="39" s="1"/>
  <c r="E83" i="39" s="1"/>
  <c r="D71" i="39"/>
  <c r="B71" i="39"/>
  <c r="N70" i="39"/>
  <c r="M70" i="39"/>
  <c r="L70" i="39"/>
  <c r="K70" i="39"/>
  <c r="J70" i="39"/>
  <c r="I70" i="39"/>
  <c r="H70" i="39"/>
  <c r="G70" i="39"/>
  <c r="F70" i="39"/>
  <c r="E70" i="39"/>
  <c r="D70" i="39"/>
  <c r="B70" i="39"/>
  <c r="B67" i="39"/>
  <c r="B66" i="39"/>
  <c r="B61" i="39"/>
  <c r="N59" i="39"/>
  <c r="M59" i="39"/>
  <c r="L59" i="39"/>
  <c r="K59" i="39"/>
  <c r="J59" i="39"/>
  <c r="I59" i="39"/>
  <c r="H59" i="39"/>
  <c r="G59" i="39"/>
  <c r="F59" i="39"/>
  <c r="E59" i="39"/>
  <c r="D59" i="39"/>
  <c r="B59" i="39"/>
  <c r="B52" i="39"/>
  <c r="N44" i="39"/>
  <c r="M44" i="39"/>
  <c r="L44" i="39"/>
  <c r="K44" i="39"/>
  <c r="J44" i="39"/>
  <c r="I44" i="39"/>
  <c r="H44" i="39"/>
  <c r="G44" i="39"/>
  <c r="F44" i="39"/>
  <c r="E44" i="39"/>
  <c r="D44" i="39"/>
  <c r="B44" i="39"/>
  <c r="N43" i="39"/>
  <c r="M43" i="39"/>
  <c r="L43" i="39"/>
  <c r="K43" i="39"/>
  <c r="J43" i="39"/>
  <c r="I43" i="39"/>
  <c r="H43" i="39"/>
  <c r="G43" i="39"/>
  <c r="F43" i="39"/>
  <c r="E43" i="39"/>
  <c r="D43" i="39"/>
  <c r="B43" i="39"/>
  <c r="N40" i="39"/>
  <c r="M40" i="39"/>
  <c r="L40" i="39"/>
  <c r="K40" i="39"/>
  <c r="J40" i="39"/>
  <c r="I40" i="39"/>
  <c r="H40" i="39"/>
  <c r="G40" i="39"/>
  <c r="F40" i="39"/>
  <c r="E40" i="39"/>
  <c r="D40" i="39"/>
  <c r="B40" i="39"/>
  <c r="N38" i="39"/>
  <c r="M38" i="39"/>
  <c r="L38" i="39"/>
  <c r="K38" i="39"/>
  <c r="J38" i="39"/>
  <c r="I38" i="39"/>
  <c r="H38" i="39"/>
  <c r="G38" i="39"/>
  <c r="F38" i="39"/>
  <c r="E38" i="39"/>
  <c r="D38" i="39"/>
  <c r="N37" i="39"/>
  <c r="M37" i="39"/>
  <c r="L37" i="39"/>
  <c r="K37" i="39"/>
  <c r="J37" i="39"/>
  <c r="I37" i="39"/>
  <c r="H37" i="39"/>
  <c r="F37" i="39"/>
  <c r="E37" i="39"/>
  <c r="D37" i="39"/>
  <c r="N30" i="39"/>
  <c r="M30" i="39"/>
  <c r="L30" i="39"/>
  <c r="K30" i="39"/>
  <c r="J30" i="39"/>
  <c r="I30" i="39"/>
  <c r="H30" i="39"/>
  <c r="G30" i="39"/>
  <c r="F30" i="39"/>
  <c r="E30" i="39"/>
  <c r="D30" i="39"/>
  <c r="A29" i="39"/>
  <c r="N28" i="39"/>
  <c r="M28" i="39"/>
  <c r="N29" i="39" s="1"/>
  <c r="L28" i="39"/>
  <c r="L29" i="39" s="1"/>
  <c r="K28" i="39"/>
  <c r="K29" i="39" s="1"/>
  <c r="J28" i="39"/>
  <c r="J29" i="39" s="1"/>
  <c r="I28" i="39"/>
  <c r="I29" i="39" s="1"/>
  <c r="H28" i="39"/>
  <c r="G28" i="39"/>
  <c r="F28" i="39"/>
  <c r="E28" i="39"/>
  <c r="F29" i="39" s="1"/>
  <c r="D28" i="39"/>
  <c r="N26" i="39"/>
  <c r="M26" i="39"/>
  <c r="L26" i="39"/>
  <c r="K26" i="39"/>
  <c r="J26" i="39"/>
  <c r="I26" i="39"/>
  <c r="H26" i="39"/>
  <c r="G26" i="39"/>
  <c r="F26" i="39"/>
  <c r="E26" i="39"/>
  <c r="D26" i="39"/>
  <c r="N25" i="39"/>
  <c r="M25" i="39"/>
  <c r="L25" i="39"/>
  <c r="K25" i="39"/>
  <c r="J25" i="39"/>
  <c r="I25" i="39"/>
  <c r="H25" i="39"/>
  <c r="G25" i="39"/>
  <c r="F25" i="39"/>
  <c r="E25" i="39"/>
  <c r="D25" i="39"/>
  <c r="N24" i="39"/>
  <c r="M24" i="39"/>
  <c r="L24" i="39"/>
  <c r="K24" i="39"/>
  <c r="J24" i="39"/>
  <c r="I24" i="39"/>
  <c r="H24" i="39"/>
  <c r="G24" i="39"/>
  <c r="F24" i="39"/>
  <c r="E24" i="39"/>
  <c r="D24" i="39"/>
  <c r="N23" i="39"/>
  <c r="M23" i="39"/>
  <c r="L23" i="39"/>
  <c r="K23" i="39"/>
  <c r="J23" i="39"/>
  <c r="I23" i="39"/>
  <c r="H23" i="39"/>
  <c r="G23" i="39"/>
  <c r="F23" i="39"/>
  <c r="E23" i="39"/>
  <c r="D23" i="39"/>
  <c r="H22" i="39"/>
  <c r="A22" i="39"/>
  <c r="N21" i="39"/>
  <c r="O21" i="39" s="1"/>
  <c r="O22" i="39" s="1"/>
  <c r="M21" i="39"/>
  <c r="L21" i="39"/>
  <c r="K21" i="39"/>
  <c r="K22" i="39" s="1"/>
  <c r="J21" i="39"/>
  <c r="J22" i="39" s="1"/>
  <c r="I21" i="39"/>
  <c r="I22" i="39" s="1"/>
  <c r="H21" i="39"/>
  <c r="G21" i="39"/>
  <c r="G22" i="39" s="1"/>
  <c r="F21" i="39"/>
  <c r="E21" i="39"/>
  <c r="D21" i="39"/>
  <c r="A19" i="39"/>
  <c r="N18" i="39"/>
  <c r="M18" i="39"/>
  <c r="M20" i="39" s="1"/>
  <c r="L18" i="39"/>
  <c r="K18" i="39"/>
  <c r="J18" i="39"/>
  <c r="I18" i="39"/>
  <c r="I19" i="39" s="1"/>
  <c r="H18" i="39"/>
  <c r="G18" i="39"/>
  <c r="G19" i="39" s="1"/>
  <c r="F18" i="39"/>
  <c r="E18" i="39"/>
  <c r="E20" i="39" s="1"/>
  <c r="D18" i="39"/>
  <c r="A17" i="39"/>
  <c r="N16" i="39"/>
  <c r="M16" i="39"/>
  <c r="L16" i="39"/>
  <c r="M17" i="39" s="1"/>
  <c r="K16" i="39"/>
  <c r="K17" i="39" s="1"/>
  <c r="J16" i="39"/>
  <c r="J17" i="39" s="1"/>
  <c r="I16" i="39"/>
  <c r="I20" i="39" s="1"/>
  <c r="H16" i="39"/>
  <c r="H17" i="39" s="1"/>
  <c r="G16" i="39"/>
  <c r="G20" i="39" s="1"/>
  <c r="F16" i="39"/>
  <c r="E16" i="39"/>
  <c r="D16" i="39"/>
  <c r="A14" i="39"/>
  <c r="N13" i="39"/>
  <c r="N14" i="39" s="1"/>
  <c r="M13" i="39"/>
  <c r="M14" i="39" s="1"/>
  <c r="L13" i="39"/>
  <c r="K13" i="39"/>
  <c r="K14" i="39" s="1"/>
  <c r="J13" i="39"/>
  <c r="J14" i="39" s="1"/>
  <c r="I13" i="39"/>
  <c r="H13" i="39"/>
  <c r="G13" i="39"/>
  <c r="G14" i="39" s="1"/>
  <c r="F13" i="39"/>
  <c r="F14" i="39" s="1"/>
  <c r="E13" i="39"/>
  <c r="E14" i="39" s="1"/>
  <c r="D13" i="39"/>
  <c r="N11" i="39"/>
  <c r="N12" i="39" s="1"/>
  <c r="M11" i="39"/>
  <c r="L11" i="39"/>
  <c r="L12" i="39" s="1"/>
  <c r="K11" i="39"/>
  <c r="J11" i="39"/>
  <c r="I11" i="39"/>
  <c r="I12" i="39" s="1"/>
  <c r="H11" i="39"/>
  <c r="H12" i="39" s="1"/>
  <c r="G11" i="39"/>
  <c r="G12" i="39" s="1"/>
  <c r="F11" i="39"/>
  <c r="F12" i="39" s="1"/>
  <c r="E11" i="39"/>
  <c r="E12" i="39" s="1"/>
  <c r="D11" i="39"/>
  <c r="C1" i="39"/>
  <c r="B514" i="38"/>
  <c r="N510" i="38"/>
  <c r="M510" i="38"/>
  <c r="L510" i="38"/>
  <c r="K510" i="38"/>
  <c r="J510" i="38"/>
  <c r="I510" i="38"/>
  <c r="H510" i="38"/>
  <c r="G510" i="38"/>
  <c r="F510" i="38"/>
  <c r="E510" i="38"/>
  <c r="D510" i="38"/>
  <c r="B510" i="38"/>
  <c r="N508" i="38"/>
  <c r="M508" i="38"/>
  <c r="L508" i="38"/>
  <c r="K508" i="38"/>
  <c r="J508" i="38"/>
  <c r="I508" i="38"/>
  <c r="H508" i="38"/>
  <c r="G508" i="38"/>
  <c r="F508" i="38"/>
  <c r="E508" i="38"/>
  <c r="D508" i="38"/>
  <c r="B508" i="38"/>
  <c r="N507" i="38"/>
  <c r="M507" i="38"/>
  <c r="L507" i="38"/>
  <c r="K507" i="38"/>
  <c r="J507" i="38"/>
  <c r="I507" i="38"/>
  <c r="H507" i="38"/>
  <c r="G507" i="38"/>
  <c r="F507" i="38"/>
  <c r="E507" i="38"/>
  <c r="D507" i="38"/>
  <c r="B507" i="38"/>
  <c r="B505" i="38"/>
  <c r="N500" i="38"/>
  <c r="M500" i="38"/>
  <c r="L500" i="38"/>
  <c r="K500" i="38"/>
  <c r="J500" i="38"/>
  <c r="I500" i="38"/>
  <c r="H500" i="38"/>
  <c r="G500" i="38"/>
  <c r="F500" i="38"/>
  <c r="E500" i="38"/>
  <c r="D500" i="38"/>
  <c r="B500" i="38"/>
  <c r="N499" i="38"/>
  <c r="M499" i="38"/>
  <c r="L499" i="38"/>
  <c r="K499" i="38"/>
  <c r="J499" i="38"/>
  <c r="I499" i="38"/>
  <c r="H499" i="38"/>
  <c r="G499" i="38"/>
  <c r="F499" i="38"/>
  <c r="E499" i="38"/>
  <c r="D499" i="38"/>
  <c r="B499" i="38"/>
  <c r="N498" i="38"/>
  <c r="M498" i="38"/>
  <c r="L498" i="38"/>
  <c r="K498" i="38"/>
  <c r="J498" i="38"/>
  <c r="I498" i="38"/>
  <c r="H498" i="38"/>
  <c r="G498" i="38"/>
  <c r="F498" i="38"/>
  <c r="E498" i="38"/>
  <c r="D498" i="38"/>
  <c r="B498" i="38"/>
  <c r="N495" i="38"/>
  <c r="M495" i="38"/>
  <c r="L495" i="38"/>
  <c r="K495" i="38"/>
  <c r="J495" i="38"/>
  <c r="I495" i="38"/>
  <c r="H495" i="38"/>
  <c r="G495" i="38"/>
  <c r="F495" i="38"/>
  <c r="E495" i="38"/>
  <c r="D495" i="38"/>
  <c r="B495" i="38"/>
  <c r="I494" i="38"/>
  <c r="H494" i="38"/>
  <c r="G494" i="38"/>
  <c r="F494" i="38"/>
  <c r="E494" i="38"/>
  <c r="D494" i="38"/>
  <c r="B494" i="38"/>
  <c r="N493" i="38"/>
  <c r="M493" i="38"/>
  <c r="L493" i="38"/>
  <c r="K493" i="38"/>
  <c r="J493" i="38"/>
  <c r="I493" i="38"/>
  <c r="H493" i="38"/>
  <c r="G493" i="38"/>
  <c r="F493" i="38"/>
  <c r="E493" i="38"/>
  <c r="D493" i="38"/>
  <c r="B493" i="38"/>
  <c r="N492" i="38"/>
  <c r="M492" i="38"/>
  <c r="L492" i="38"/>
  <c r="K492" i="38"/>
  <c r="J492" i="38"/>
  <c r="I492" i="38"/>
  <c r="H492" i="38"/>
  <c r="G492" i="38"/>
  <c r="F492" i="38"/>
  <c r="E492" i="38"/>
  <c r="D492" i="38"/>
  <c r="B492" i="38"/>
  <c r="N491" i="38"/>
  <c r="M491" i="38"/>
  <c r="L491" i="38"/>
  <c r="K491" i="38"/>
  <c r="J491" i="38"/>
  <c r="I491" i="38"/>
  <c r="H491" i="38"/>
  <c r="G491" i="38"/>
  <c r="F491" i="38"/>
  <c r="E491" i="38"/>
  <c r="D491" i="38"/>
  <c r="B491" i="38"/>
  <c r="N490" i="38"/>
  <c r="M490" i="38"/>
  <c r="L490" i="38"/>
  <c r="K490" i="38"/>
  <c r="J490" i="38"/>
  <c r="I490" i="38"/>
  <c r="H490" i="38"/>
  <c r="G490" i="38"/>
  <c r="F490" i="38"/>
  <c r="E490" i="38"/>
  <c r="D490" i="38"/>
  <c r="B490" i="38"/>
  <c r="N489" i="38"/>
  <c r="M489" i="38"/>
  <c r="L489" i="38"/>
  <c r="K489" i="38"/>
  <c r="J489" i="38"/>
  <c r="I489" i="38"/>
  <c r="H489" i="38"/>
  <c r="G489" i="38"/>
  <c r="F489" i="38"/>
  <c r="E489" i="38"/>
  <c r="D489" i="38"/>
  <c r="B489" i="38"/>
  <c r="N486" i="38"/>
  <c r="M486" i="38"/>
  <c r="L486" i="38"/>
  <c r="K486" i="38"/>
  <c r="J486" i="38"/>
  <c r="I486" i="38"/>
  <c r="H486" i="38"/>
  <c r="G486" i="38"/>
  <c r="F486" i="38"/>
  <c r="E486" i="38"/>
  <c r="D486" i="38"/>
  <c r="B486" i="38"/>
  <c r="B484" i="38"/>
  <c r="J480" i="38"/>
  <c r="B479" i="38"/>
  <c r="N478" i="38"/>
  <c r="O478" i="38" s="1"/>
  <c r="M478" i="38"/>
  <c r="L478" i="38"/>
  <c r="K478" i="38"/>
  <c r="J478" i="38"/>
  <c r="J479" i="38" s="1"/>
  <c r="I478" i="38"/>
  <c r="H478" i="38"/>
  <c r="G478" i="38"/>
  <c r="F478" i="38"/>
  <c r="E478" i="38"/>
  <c r="D478" i="38"/>
  <c r="B478" i="38"/>
  <c r="B474" i="38"/>
  <c r="N473" i="38"/>
  <c r="O473" i="38" s="1"/>
  <c r="P473" i="38" s="1"/>
  <c r="Q473" i="38" s="1"/>
  <c r="R473" i="38" s="1"/>
  <c r="S473" i="38" s="1"/>
  <c r="T473" i="38" s="1"/>
  <c r="U473" i="38" s="1"/>
  <c r="V473" i="38" s="1"/>
  <c r="W473" i="38" s="1"/>
  <c r="X473" i="38" s="1"/>
  <c r="M473" i="38"/>
  <c r="L473" i="38"/>
  <c r="K473" i="38"/>
  <c r="J473" i="38"/>
  <c r="I473" i="38"/>
  <c r="H473" i="38"/>
  <c r="G473" i="38"/>
  <c r="F473" i="38"/>
  <c r="E473" i="38"/>
  <c r="D473" i="38"/>
  <c r="B473" i="38"/>
  <c r="N472" i="38"/>
  <c r="N474" i="38" s="1"/>
  <c r="M472" i="38"/>
  <c r="M474" i="38" s="1"/>
  <c r="L472" i="38"/>
  <c r="L474" i="38" s="1"/>
  <c r="K472" i="38"/>
  <c r="J472" i="38"/>
  <c r="J474" i="38" s="1"/>
  <c r="I472" i="38"/>
  <c r="H472" i="38"/>
  <c r="G472" i="38"/>
  <c r="G474" i="38" s="1"/>
  <c r="F472" i="38"/>
  <c r="F474" i="38" s="1"/>
  <c r="E472" i="38"/>
  <c r="E474" i="38" s="1"/>
  <c r="D472" i="38"/>
  <c r="D474" i="38" s="1"/>
  <c r="B472" i="38"/>
  <c r="N469" i="38"/>
  <c r="M469" i="38"/>
  <c r="L469" i="38"/>
  <c r="K469" i="38"/>
  <c r="J469" i="38"/>
  <c r="I469" i="38"/>
  <c r="H469" i="38"/>
  <c r="G469" i="38"/>
  <c r="F469" i="38"/>
  <c r="E469" i="38"/>
  <c r="D469" i="38"/>
  <c r="B469" i="38"/>
  <c r="N468" i="38"/>
  <c r="M468" i="38"/>
  <c r="L468" i="38"/>
  <c r="K468" i="38"/>
  <c r="J468" i="38"/>
  <c r="I468" i="38"/>
  <c r="H468" i="38"/>
  <c r="G468" i="38"/>
  <c r="F468" i="38"/>
  <c r="E468" i="38"/>
  <c r="D468" i="38"/>
  <c r="B468" i="38"/>
  <c r="N465" i="38"/>
  <c r="M465" i="38"/>
  <c r="L465" i="38"/>
  <c r="K465" i="38"/>
  <c r="J465" i="38"/>
  <c r="I465" i="38"/>
  <c r="H465" i="38"/>
  <c r="G465" i="38"/>
  <c r="F465" i="38"/>
  <c r="E465" i="38"/>
  <c r="D465" i="38"/>
  <c r="B465" i="38"/>
  <c r="N464" i="38"/>
  <c r="M464" i="38"/>
  <c r="L464" i="38"/>
  <c r="K464" i="38"/>
  <c r="J464" i="38"/>
  <c r="I464" i="38"/>
  <c r="H464" i="38"/>
  <c r="G464" i="38"/>
  <c r="F464" i="38"/>
  <c r="E464" i="38"/>
  <c r="D464" i="38"/>
  <c r="B464" i="38"/>
  <c r="N461" i="38"/>
  <c r="M461" i="38"/>
  <c r="L461" i="38"/>
  <c r="K461" i="38"/>
  <c r="J461" i="38"/>
  <c r="I461" i="38"/>
  <c r="H461" i="38"/>
  <c r="G461" i="38"/>
  <c r="F461" i="38"/>
  <c r="E461" i="38"/>
  <c r="D461" i="38"/>
  <c r="B461" i="38"/>
  <c r="B459" i="38"/>
  <c r="N458" i="38"/>
  <c r="M458" i="38"/>
  <c r="L458" i="38"/>
  <c r="K458" i="38"/>
  <c r="J458" i="38"/>
  <c r="I458" i="38"/>
  <c r="H458" i="38"/>
  <c r="G458" i="38"/>
  <c r="F458" i="38"/>
  <c r="E458" i="38"/>
  <c r="D458" i="38"/>
  <c r="B458" i="38"/>
  <c r="N454" i="38"/>
  <c r="M454" i="38"/>
  <c r="L454" i="38"/>
  <c r="K454" i="38"/>
  <c r="J454" i="38"/>
  <c r="I454" i="38"/>
  <c r="H454" i="38"/>
  <c r="G454" i="38"/>
  <c r="F454" i="38"/>
  <c r="E454" i="38"/>
  <c r="D454" i="38"/>
  <c r="B454" i="38"/>
  <c r="N451" i="38"/>
  <c r="O451" i="38" s="1"/>
  <c r="P451" i="38" s="1"/>
  <c r="Q451" i="38" s="1"/>
  <c r="R451" i="38" s="1"/>
  <c r="S451" i="38" s="1"/>
  <c r="T451" i="38" s="1"/>
  <c r="U451" i="38" s="1"/>
  <c r="V451" i="38" s="1"/>
  <c r="W451" i="38" s="1"/>
  <c r="X451" i="38" s="1"/>
  <c r="M451" i="38"/>
  <c r="L451" i="38"/>
  <c r="K451" i="38"/>
  <c r="J451" i="38"/>
  <c r="K105" i="38" s="1"/>
  <c r="I451" i="38"/>
  <c r="H451" i="38"/>
  <c r="G451" i="38"/>
  <c r="F451" i="38"/>
  <c r="E451" i="38"/>
  <c r="D451" i="38"/>
  <c r="E105" i="38" s="1"/>
  <c r="B451" i="38"/>
  <c r="N450" i="38"/>
  <c r="N105" i="38" s="1"/>
  <c r="M450" i="38"/>
  <c r="L450" i="38"/>
  <c r="K450" i="38"/>
  <c r="J450" i="38"/>
  <c r="I450" i="38"/>
  <c r="H450" i="38"/>
  <c r="I105" i="38" s="1"/>
  <c r="G450" i="38"/>
  <c r="F450" i="38"/>
  <c r="G105" i="38" s="1"/>
  <c r="E450" i="38"/>
  <c r="D450" i="38"/>
  <c r="B450" i="38"/>
  <c r="N448" i="38"/>
  <c r="M448" i="38"/>
  <c r="L448" i="38"/>
  <c r="K448" i="38"/>
  <c r="J448" i="38"/>
  <c r="I448" i="38"/>
  <c r="H448" i="38"/>
  <c r="G448" i="38"/>
  <c r="F448" i="38"/>
  <c r="E448" i="38"/>
  <c r="D448" i="38"/>
  <c r="B448" i="38"/>
  <c r="N447" i="38"/>
  <c r="M447" i="38"/>
  <c r="M449" i="38" s="1"/>
  <c r="L447" i="38"/>
  <c r="K447" i="38"/>
  <c r="J447" i="38"/>
  <c r="I447" i="38"/>
  <c r="H447" i="38"/>
  <c r="G447" i="38"/>
  <c r="F447" i="38"/>
  <c r="F449" i="38" s="1"/>
  <c r="E447" i="38"/>
  <c r="E449" i="38" s="1"/>
  <c r="D447" i="38"/>
  <c r="B447" i="38"/>
  <c r="N443" i="38"/>
  <c r="M443" i="38"/>
  <c r="L443" i="38"/>
  <c r="K443" i="38"/>
  <c r="J443" i="38"/>
  <c r="I443" i="38"/>
  <c r="H443" i="38"/>
  <c r="G443" i="38"/>
  <c r="F443" i="38"/>
  <c r="E443" i="38"/>
  <c r="D443" i="38"/>
  <c r="B443" i="38"/>
  <c r="N442" i="38"/>
  <c r="M442" i="38"/>
  <c r="L442" i="38"/>
  <c r="K442" i="38"/>
  <c r="J442" i="38"/>
  <c r="I442" i="38"/>
  <c r="H442" i="38"/>
  <c r="H444" i="38" s="1"/>
  <c r="G442" i="38"/>
  <c r="F442" i="38"/>
  <c r="E442" i="38"/>
  <c r="D442" i="38"/>
  <c r="B442" i="38"/>
  <c r="N441" i="38"/>
  <c r="M441" i="38"/>
  <c r="L441" i="38"/>
  <c r="L444" i="38" s="1"/>
  <c r="K441" i="38"/>
  <c r="J441" i="38"/>
  <c r="I441" i="38"/>
  <c r="I444" i="38" s="1"/>
  <c r="H441" i="38"/>
  <c r="G441" i="38"/>
  <c r="G444" i="38" s="1"/>
  <c r="F441" i="38"/>
  <c r="E441" i="38"/>
  <c r="D441" i="38"/>
  <c r="D444" i="38" s="1"/>
  <c r="B441" i="38"/>
  <c r="N438" i="38"/>
  <c r="M438" i="38"/>
  <c r="L438" i="38"/>
  <c r="K438" i="38"/>
  <c r="J438" i="38"/>
  <c r="I438" i="38"/>
  <c r="H438" i="38"/>
  <c r="G438" i="38"/>
  <c r="F438" i="38"/>
  <c r="E438" i="38"/>
  <c r="D438" i="38"/>
  <c r="B438" i="38"/>
  <c r="N437" i="38"/>
  <c r="M437" i="38"/>
  <c r="L437" i="38"/>
  <c r="K437" i="38"/>
  <c r="J437" i="38"/>
  <c r="I437" i="38"/>
  <c r="H437" i="38"/>
  <c r="G437" i="38"/>
  <c r="F437" i="38"/>
  <c r="E437" i="38"/>
  <c r="D437" i="38"/>
  <c r="B437" i="38"/>
  <c r="B434" i="38"/>
  <c r="N433" i="38"/>
  <c r="M433" i="38"/>
  <c r="L433" i="38"/>
  <c r="K433" i="38"/>
  <c r="J433" i="38"/>
  <c r="I433" i="38"/>
  <c r="H433" i="38"/>
  <c r="G433" i="38"/>
  <c r="F433" i="38"/>
  <c r="E433" i="38"/>
  <c r="D433" i="38"/>
  <c r="B433" i="38"/>
  <c r="N428" i="38"/>
  <c r="M428" i="38"/>
  <c r="L428" i="38"/>
  <c r="K428" i="38"/>
  <c r="J428" i="38"/>
  <c r="I428" i="38"/>
  <c r="H428" i="38"/>
  <c r="G428" i="38"/>
  <c r="F428" i="38"/>
  <c r="E428" i="38"/>
  <c r="D428" i="38"/>
  <c r="B428" i="38"/>
  <c r="N427" i="38"/>
  <c r="N429" i="38" s="1"/>
  <c r="M427" i="38"/>
  <c r="L427" i="38"/>
  <c r="L429" i="38" s="1"/>
  <c r="K427" i="38"/>
  <c r="J427" i="38"/>
  <c r="I427" i="38"/>
  <c r="I430" i="38" s="1"/>
  <c r="H427" i="38"/>
  <c r="G427" i="38"/>
  <c r="G429" i="38" s="1"/>
  <c r="F427" i="38"/>
  <c r="F429" i="38" s="1"/>
  <c r="E427" i="38"/>
  <c r="D427" i="38"/>
  <c r="D429" i="38" s="1"/>
  <c r="B427" i="38"/>
  <c r="N424" i="38"/>
  <c r="M424" i="38"/>
  <c r="L424" i="38"/>
  <c r="K424" i="38"/>
  <c r="J424" i="38"/>
  <c r="I424" i="38"/>
  <c r="H424" i="38"/>
  <c r="G424" i="38"/>
  <c r="F424" i="38"/>
  <c r="E424" i="38"/>
  <c r="E419" i="38" s="1"/>
  <c r="E423" i="38" s="1"/>
  <c r="D424" i="38"/>
  <c r="B424" i="38"/>
  <c r="B423" i="38"/>
  <c r="N420" i="38"/>
  <c r="M420" i="38"/>
  <c r="L420" i="38"/>
  <c r="K420" i="38"/>
  <c r="J420" i="38"/>
  <c r="J419" i="38" s="1"/>
  <c r="J423" i="38" s="1"/>
  <c r="I420" i="38"/>
  <c r="H420" i="38"/>
  <c r="H419" i="38" s="1"/>
  <c r="H423" i="38" s="1"/>
  <c r="G420" i="38"/>
  <c r="F420" i="38"/>
  <c r="E420" i="38"/>
  <c r="D420" i="38"/>
  <c r="B420" i="38"/>
  <c r="N419" i="38"/>
  <c r="N423" i="38" s="1"/>
  <c r="O423" i="38" s="1"/>
  <c r="L419" i="38"/>
  <c r="L423" i="38" s="1"/>
  <c r="K419" i="38"/>
  <c r="K423" i="38" s="1"/>
  <c r="I419" i="38"/>
  <c r="I423" i="38" s="1"/>
  <c r="G419" i="38"/>
  <c r="G423" i="38" s="1"/>
  <c r="F419" i="38"/>
  <c r="F423" i="38" s="1"/>
  <c r="D419" i="38"/>
  <c r="D423" i="38" s="1"/>
  <c r="B419" i="38"/>
  <c r="C416" i="38"/>
  <c r="X415" i="38"/>
  <c r="W415" i="38"/>
  <c r="V415" i="38"/>
  <c r="U415" i="38"/>
  <c r="T415" i="38"/>
  <c r="S415" i="38"/>
  <c r="R415" i="38"/>
  <c r="Q415" i="38"/>
  <c r="P415" i="38"/>
  <c r="O415" i="38"/>
  <c r="N415" i="38"/>
  <c r="M415" i="38"/>
  <c r="L415" i="38"/>
  <c r="K415" i="38"/>
  <c r="J415" i="38"/>
  <c r="I415" i="38"/>
  <c r="H415" i="38"/>
  <c r="G415" i="38"/>
  <c r="F415" i="38"/>
  <c r="E415" i="38"/>
  <c r="D415" i="38"/>
  <c r="B415" i="38"/>
  <c r="X414" i="38"/>
  <c r="W414" i="38"/>
  <c r="V414" i="38"/>
  <c r="U414" i="38"/>
  <c r="T414" i="38"/>
  <c r="S414" i="38"/>
  <c r="R414" i="38"/>
  <c r="Q414" i="38"/>
  <c r="P414" i="38"/>
  <c r="O414" i="38"/>
  <c r="N414" i="38"/>
  <c r="M414" i="38"/>
  <c r="L414" i="38"/>
  <c r="K414" i="38"/>
  <c r="J414" i="38"/>
  <c r="I414" i="38"/>
  <c r="H414" i="38"/>
  <c r="G414" i="38"/>
  <c r="F414" i="38"/>
  <c r="E414" i="38"/>
  <c r="D414" i="38"/>
  <c r="B414" i="38"/>
  <c r="X413" i="38"/>
  <c r="X159" i="38" s="1"/>
  <c r="W413" i="38"/>
  <c r="V413" i="38"/>
  <c r="V159" i="38" s="1"/>
  <c r="U413" i="38"/>
  <c r="U159" i="38" s="1"/>
  <c r="T413" i="38"/>
  <c r="T159" i="38" s="1"/>
  <c r="S413" i="38"/>
  <c r="S159" i="38" s="1"/>
  <c r="R413" i="38"/>
  <c r="Q413" i="38"/>
  <c r="P413" i="38"/>
  <c r="P159" i="38" s="1"/>
  <c r="O413" i="38"/>
  <c r="N413" i="38"/>
  <c r="M413" i="38"/>
  <c r="L413" i="38"/>
  <c r="L159" i="38" s="1"/>
  <c r="K413" i="38"/>
  <c r="J413" i="38"/>
  <c r="I413" i="38"/>
  <c r="H413" i="38"/>
  <c r="G413" i="38"/>
  <c r="F413" i="38"/>
  <c r="E413" i="38"/>
  <c r="D413" i="38"/>
  <c r="D159" i="38" s="1"/>
  <c r="B413" i="38"/>
  <c r="X412" i="38"/>
  <c r="W412" i="38"/>
  <c r="V412" i="38"/>
  <c r="U412" i="38"/>
  <c r="T412" i="38"/>
  <c r="S412" i="38"/>
  <c r="R412" i="38"/>
  <c r="Q412" i="38"/>
  <c r="P412" i="38"/>
  <c r="O412" i="38"/>
  <c r="N412" i="38"/>
  <c r="M412" i="38"/>
  <c r="L412" i="38"/>
  <c r="K412" i="38"/>
  <c r="J412" i="38"/>
  <c r="I412" i="38"/>
  <c r="H412" i="38"/>
  <c r="G412" i="38"/>
  <c r="F412" i="38"/>
  <c r="E412" i="38"/>
  <c r="D412" i="38"/>
  <c r="B412" i="38"/>
  <c r="X411" i="38"/>
  <c r="X524" i="38" s="1"/>
  <c r="W411" i="38"/>
  <c r="W524" i="38" s="1"/>
  <c r="V411" i="38"/>
  <c r="V524" i="38" s="1"/>
  <c r="U411" i="38"/>
  <c r="U524" i="38" s="1"/>
  <c r="T411" i="38"/>
  <c r="T524" i="38" s="1"/>
  <c r="S411" i="38"/>
  <c r="S524" i="38" s="1"/>
  <c r="R411" i="38"/>
  <c r="R524" i="38" s="1"/>
  <c r="Q411" i="38"/>
  <c r="Q524" i="38" s="1"/>
  <c r="P411" i="38"/>
  <c r="P524" i="38" s="1"/>
  <c r="O411" i="38"/>
  <c r="O524" i="38" s="1"/>
  <c r="N411" i="38"/>
  <c r="M411" i="38"/>
  <c r="L411" i="38"/>
  <c r="L272" i="38" s="1"/>
  <c r="K411" i="38"/>
  <c r="J411" i="38"/>
  <c r="I411" i="38"/>
  <c r="H411" i="38"/>
  <c r="H272" i="38" s="1"/>
  <c r="G411" i="38"/>
  <c r="F411" i="38"/>
  <c r="E411" i="38"/>
  <c r="D411" i="38"/>
  <c r="D272" i="38" s="1"/>
  <c r="B411" i="38"/>
  <c r="X410" i="38"/>
  <c r="W410" i="38"/>
  <c r="V410" i="38"/>
  <c r="U410" i="38"/>
  <c r="T410" i="38"/>
  <c r="S410" i="38"/>
  <c r="R410" i="38"/>
  <c r="Q410" i="38"/>
  <c r="P410" i="38"/>
  <c r="O410" i="38"/>
  <c r="N410" i="38"/>
  <c r="M410" i="38"/>
  <c r="L410" i="38"/>
  <c r="K410" i="38"/>
  <c r="J410" i="38"/>
  <c r="I410" i="38"/>
  <c r="H410" i="38"/>
  <c r="G410" i="38"/>
  <c r="F410" i="38"/>
  <c r="E410" i="38"/>
  <c r="D410" i="38"/>
  <c r="B410" i="38"/>
  <c r="X409" i="38"/>
  <c r="W409" i="38"/>
  <c r="V409" i="38"/>
  <c r="U409" i="38"/>
  <c r="T409" i="38"/>
  <c r="S409" i="38"/>
  <c r="R409" i="38"/>
  <c r="Q409" i="38"/>
  <c r="P409" i="38"/>
  <c r="O409" i="38"/>
  <c r="N409" i="38"/>
  <c r="M409" i="38"/>
  <c r="L409" i="38"/>
  <c r="K409" i="38"/>
  <c r="J409" i="38"/>
  <c r="I409" i="38"/>
  <c r="H409" i="38"/>
  <c r="G409" i="38"/>
  <c r="F409" i="38"/>
  <c r="E409" i="38"/>
  <c r="D409" i="38"/>
  <c r="B409" i="38"/>
  <c r="B405" i="38"/>
  <c r="N404" i="38"/>
  <c r="M404" i="38"/>
  <c r="L404" i="38"/>
  <c r="K404" i="38"/>
  <c r="J404" i="38"/>
  <c r="I404" i="38"/>
  <c r="H404" i="38"/>
  <c r="G404" i="38"/>
  <c r="F404" i="38"/>
  <c r="E404" i="38"/>
  <c r="D404" i="38"/>
  <c r="B404" i="38"/>
  <c r="B400" i="38"/>
  <c r="N397" i="38"/>
  <c r="M397" i="38"/>
  <c r="L397" i="38"/>
  <c r="K397" i="38"/>
  <c r="J397" i="38"/>
  <c r="I397" i="38"/>
  <c r="H397" i="38"/>
  <c r="G397" i="38"/>
  <c r="F397" i="38"/>
  <c r="E397" i="38"/>
  <c r="D397" i="38"/>
  <c r="B397" i="38"/>
  <c r="N395" i="38"/>
  <c r="N483" i="38" s="1"/>
  <c r="M395" i="38"/>
  <c r="M483" i="38" s="1"/>
  <c r="L395" i="38"/>
  <c r="L483" i="38" s="1"/>
  <c r="K395" i="38"/>
  <c r="K483" i="38" s="1"/>
  <c r="J395" i="38"/>
  <c r="J483" i="38" s="1"/>
  <c r="I395" i="38"/>
  <c r="I483" i="38" s="1"/>
  <c r="H395" i="38"/>
  <c r="H483" i="38" s="1"/>
  <c r="G395" i="38"/>
  <c r="G483" i="38" s="1"/>
  <c r="G484" i="38" s="1"/>
  <c r="F395" i="38"/>
  <c r="F483" i="38" s="1"/>
  <c r="E395" i="38"/>
  <c r="E483" i="38" s="1"/>
  <c r="D395" i="38"/>
  <c r="D483" i="38" s="1"/>
  <c r="B395" i="38"/>
  <c r="N394" i="38"/>
  <c r="M394" i="38"/>
  <c r="L394" i="38"/>
  <c r="K394" i="38"/>
  <c r="J394" i="38"/>
  <c r="I394" i="38"/>
  <c r="H394" i="38"/>
  <c r="G394" i="38"/>
  <c r="F394" i="38"/>
  <c r="E394" i="38"/>
  <c r="D394" i="38"/>
  <c r="B394" i="38"/>
  <c r="N393" i="38"/>
  <c r="M393" i="38"/>
  <c r="L393" i="38"/>
  <c r="K393" i="38"/>
  <c r="J393" i="38"/>
  <c r="I393" i="38"/>
  <c r="H393" i="38"/>
  <c r="G393" i="38"/>
  <c r="F393" i="38"/>
  <c r="E393" i="38"/>
  <c r="D393" i="38"/>
  <c r="B393" i="38"/>
  <c r="C391" i="38"/>
  <c r="X390" i="38"/>
  <c r="W390" i="38"/>
  <c r="V390" i="38"/>
  <c r="U390" i="38"/>
  <c r="T390" i="38"/>
  <c r="S390" i="38"/>
  <c r="R390" i="38"/>
  <c r="Q390" i="38"/>
  <c r="P390" i="38"/>
  <c r="O390" i="38"/>
  <c r="N390" i="38"/>
  <c r="M390" i="38"/>
  <c r="L390" i="38"/>
  <c r="K390" i="38"/>
  <c r="J390" i="38"/>
  <c r="I390" i="38"/>
  <c r="H390" i="38"/>
  <c r="G390" i="38"/>
  <c r="F390" i="38"/>
  <c r="E390" i="38"/>
  <c r="D390" i="38"/>
  <c r="B390" i="38"/>
  <c r="X389" i="38"/>
  <c r="X501" i="38" s="1"/>
  <c r="W389" i="38"/>
  <c r="W501" i="38" s="1"/>
  <c r="V389" i="38"/>
  <c r="V501" i="38" s="1"/>
  <c r="U389" i="38"/>
  <c r="U501" i="38" s="1"/>
  <c r="T389" i="38"/>
  <c r="T501" i="38" s="1"/>
  <c r="S389" i="38"/>
  <c r="S501" i="38" s="1"/>
  <c r="R389" i="38"/>
  <c r="R501" i="38" s="1"/>
  <c r="Q389" i="38"/>
  <c r="Q501" i="38" s="1"/>
  <c r="P389" i="38"/>
  <c r="P501" i="38" s="1"/>
  <c r="O389" i="38"/>
  <c r="O501" i="38" s="1"/>
  <c r="N389" i="38"/>
  <c r="N501" i="38" s="1"/>
  <c r="M389" i="38"/>
  <c r="M501" i="38" s="1"/>
  <c r="L389" i="38"/>
  <c r="L501" i="38" s="1"/>
  <c r="K389" i="38"/>
  <c r="K501" i="38" s="1"/>
  <c r="J389" i="38"/>
  <c r="J501" i="38" s="1"/>
  <c r="I389" i="38"/>
  <c r="I501" i="38" s="1"/>
  <c r="H389" i="38"/>
  <c r="H501" i="38" s="1"/>
  <c r="G389" i="38"/>
  <c r="G501" i="38" s="1"/>
  <c r="F389" i="38"/>
  <c r="F501" i="38" s="1"/>
  <c r="E389" i="38"/>
  <c r="E501" i="38" s="1"/>
  <c r="D389" i="38"/>
  <c r="D501" i="38" s="1"/>
  <c r="B389" i="38"/>
  <c r="X387" i="38"/>
  <c r="W387" i="38"/>
  <c r="W340" i="38" s="1"/>
  <c r="V387" i="38"/>
  <c r="V340" i="38" s="1"/>
  <c r="U387" i="38"/>
  <c r="U340" i="38" s="1"/>
  <c r="T387" i="38"/>
  <c r="T340" i="38" s="1"/>
  <c r="S387" i="38"/>
  <c r="R387" i="38"/>
  <c r="R340" i="38" s="1"/>
  <c r="Q387" i="38"/>
  <c r="Q340" i="38" s="1"/>
  <c r="P387" i="38"/>
  <c r="O387" i="38"/>
  <c r="O340" i="38" s="1"/>
  <c r="N387" i="38"/>
  <c r="M387" i="38"/>
  <c r="L387" i="38"/>
  <c r="K387" i="38"/>
  <c r="J387" i="38"/>
  <c r="I387" i="38"/>
  <c r="H387" i="38"/>
  <c r="G387" i="38"/>
  <c r="G340" i="38" s="1"/>
  <c r="G341" i="38" s="1"/>
  <c r="F387" i="38"/>
  <c r="E387" i="38"/>
  <c r="E340" i="38" s="1"/>
  <c r="E341" i="38" s="1"/>
  <c r="E342" i="38" s="1"/>
  <c r="D387" i="38"/>
  <c r="B387" i="38"/>
  <c r="X386" i="38"/>
  <c r="X280" i="38" s="1"/>
  <c r="W386" i="38"/>
  <c r="W280" i="38" s="1"/>
  <c r="V386" i="38"/>
  <c r="U386" i="38"/>
  <c r="U280" i="38" s="1"/>
  <c r="T386" i="38"/>
  <c r="T280" i="38" s="1"/>
  <c r="S386" i="38"/>
  <c r="S280" i="38" s="1"/>
  <c r="R386" i="38"/>
  <c r="Q386" i="38"/>
  <c r="P386" i="38"/>
  <c r="O386" i="38"/>
  <c r="O280" i="38" s="1"/>
  <c r="N386" i="38"/>
  <c r="M386" i="38"/>
  <c r="M280" i="38" s="1"/>
  <c r="L386" i="38"/>
  <c r="K386" i="38"/>
  <c r="K280" i="38" s="1"/>
  <c r="J386" i="38"/>
  <c r="I386" i="38"/>
  <c r="H386" i="38"/>
  <c r="G386" i="38"/>
  <c r="G280" i="38" s="1"/>
  <c r="F386" i="38"/>
  <c r="E386" i="38"/>
  <c r="E280" i="38" s="1"/>
  <c r="D386" i="38"/>
  <c r="B386" i="38"/>
  <c r="X385" i="38"/>
  <c r="W385" i="38"/>
  <c r="V385" i="38"/>
  <c r="U385" i="38"/>
  <c r="T385" i="38"/>
  <c r="S385" i="38"/>
  <c r="R385" i="38"/>
  <c r="Q385" i="38"/>
  <c r="P385" i="38"/>
  <c r="O385" i="38"/>
  <c r="N385" i="38"/>
  <c r="M385" i="38"/>
  <c r="L385" i="38"/>
  <c r="K385" i="38"/>
  <c r="J385" i="38"/>
  <c r="I385" i="38"/>
  <c r="H385" i="38"/>
  <c r="G385" i="38"/>
  <c r="F385" i="38"/>
  <c r="E385" i="38"/>
  <c r="D385" i="38"/>
  <c r="B385" i="38"/>
  <c r="X384" i="38"/>
  <c r="W384" i="38"/>
  <c r="V384" i="38"/>
  <c r="U384" i="38"/>
  <c r="T384" i="38"/>
  <c r="S384" i="38"/>
  <c r="R384" i="38"/>
  <c r="Q384" i="38"/>
  <c r="P384" i="38"/>
  <c r="O384" i="38"/>
  <c r="N384" i="38"/>
  <c r="N388" i="38" s="1"/>
  <c r="M384" i="38"/>
  <c r="L384" i="38"/>
  <c r="L388" i="38" s="1"/>
  <c r="K384" i="38"/>
  <c r="J384" i="38"/>
  <c r="I384" i="38"/>
  <c r="H384" i="38"/>
  <c r="H388" i="38" s="1"/>
  <c r="G384" i="38"/>
  <c r="F384" i="38"/>
  <c r="F388" i="38" s="1"/>
  <c r="E384" i="38"/>
  <c r="D384" i="38"/>
  <c r="D388" i="38" s="1"/>
  <c r="B384" i="38"/>
  <c r="B380" i="38"/>
  <c r="N379" i="38"/>
  <c r="O379" i="38" s="1"/>
  <c r="P379" i="38" s="1"/>
  <c r="Q379" i="38" s="1"/>
  <c r="R379" i="38" s="1"/>
  <c r="S379" i="38" s="1"/>
  <c r="T379" i="38" s="1"/>
  <c r="U379" i="38" s="1"/>
  <c r="V379" i="38" s="1"/>
  <c r="W379" i="38" s="1"/>
  <c r="X379" i="38" s="1"/>
  <c r="M379" i="38"/>
  <c r="L379" i="38"/>
  <c r="K379" i="38"/>
  <c r="J379" i="38"/>
  <c r="I379" i="38"/>
  <c r="H379" i="38"/>
  <c r="G379" i="38"/>
  <c r="F379" i="38"/>
  <c r="E379" i="38"/>
  <c r="D379" i="38"/>
  <c r="B379" i="38"/>
  <c r="N378" i="38"/>
  <c r="M378" i="38"/>
  <c r="L378" i="38"/>
  <c r="K378" i="38"/>
  <c r="J378" i="38"/>
  <c r="I378" i="38"/>
  <c r="H378" i="38"/>
  <c r="G378" i="38"/>
  <c r="F378" i="38"/>
  <c r="E378" i="38"/>
  <c r="D378" i="38"/>
  <c r="B378" i="38"/>
  <c r="B376" i="38"/>
  <c r="B371" i="38"/>
  <c r="N370" i="38"/>
  <c r="M370" i="38"/>
  <c r="L370" i="38"/>
  <c r="K370" i="38"/>
  <c r="J370" i="38"/>
  <c r="I370" i="38"/>
  <c r="H370" i="38"/>
  <c r="G370" i="38"/>
  <c r="F370" i="38"/>
  <c r="E370" i="38"/>
  <c r="D370" i="38"/>
  <c r="B370" i="38"/>
  <c r="N369" i="38"/>
  <c r="M369" i="38"/>
  <c r="L369" i="38"/>
  <c r="K369" i="38"/>
  <c r="J369" i="38"/>
  <c r="I369" i="38"/>
  <c r="H369" i="38"/>
  <c r="G369" i="38"/>
  <c r="F369" i="38"/>
  <c r="E369" i="38"/>
  <c r="D369" i="38"/>
  <c r="B369" i="38"/>
  <c r="B367" i="38"/>
  <c r="N363" i="38"/>
  <c r="M363" i="38"/>
  <c r="L363" i="38"/>
  <c r="K363" i="38"/>
  <c r="J363" i="38"/>
  <c r="I363" i="38"/>
  <c r="H363" i="38"/>
  <c r="G363" i="38"/>
  <c r="F363" i="38"/>
  <c r="E363" i="38"/>
  <c r="D363" i="38"/>
  <c r="B363" i="38"/>
  <c r="B361" i="38"/>
  <c r="N360" i="38"/>
  <c r="M360" i="38"/>
  <c r="L360" i="38"/>
  <c r="K360" i="38"/>
  <c r="J360" i="38"/>
  <c r="I360" i="38"/>
  <c r="H360" i="38"/>
  <c r="G360" i="38"/>
  <c r="F360" i="38"/>
  <c r="E360" i="38"/>
  <c r="D360" i="38"/>
  <c r="B360" i="38"/>
  <c r="N356" i="38"/>
  <c r="M356" i="38"/>
  <c r="L356" i="38"/>
  <c r="K356" i="38"/>
  <c r="J356" i="38"/>
  <c r="I356" i="38"/>
  <c r="H356" i="38"/>
  <c r="G356" i="38"/>
  <c r="F356" i="38"/>
  <c r="E356" i="38"/>
  <c r="D356" i="38"/>
  <c r="B356" i="38"/>
  <c r="B354" i="38"/>
  <c r="N350" i="38"/>
  <c r="M350" i="38"/>
  <c r="M37" i="38" s="1"/>
  <c r="L350" i="38"/>
  <c r="K350" i="38"/>
  <c r="J350" i="38"/>
  <c r="I350" i="38"/>
  <c r="I37" i="38" s="1"/>
  <c r="H350" i="38"/>
  <c r="G350" i="38"/>
  <c r="G37" i="38" s="1"/>
  <c r="F350" i="38"/>
  <c r="E350" i="38"/>
  <c r="E37" i="38" s="1"/>
  <c r="D350" i="38"/>
  <c r="B350" i="38"/>
  <c r="N349" i="38"/>
  <c r="M349" i="38"/>
  <c r="L349" i="38"/>
  <c r="K349" i="38"/>
  <c r="J349" i="38"/>
  <c r="I349" i="38"/>
  <c r="H349" i="38"/>
  <c r="G349" i="38"/>
  <c r="F349" i="38"/>
  <c r="E349" i="38"/>
  <c r="D349" i="38"/>
  <c r="B349" i="38"/>
  <c r="B345" i="38"/>
  <c r="N344" i="38"/>
  <c r="M344" i="38"/>
  <c r="L344" i="38"/>
  <c r="K344" i="38"/>
  <c r="J344" i="38"/>
  <c r="I344" i="38"/>
  <c r="H344" i="38"/>
  <c r="G344" i="38"/>
  <c r="F344" i="38"/>
  <c r="E344" i="38"/>
  <c r="D344" i="38"/>
  <c r="B344" i="38"/>
  <c r="N343" i="38"/>
  <c r="O343" i="38" s="1"/>
  <c r="P343" i="38" s="1"/>
  <c r="Q343" i="38" s="1"/>
  <c r="R343" i="38" s="1"/>
  <c r="S343" i="38" s="1"/>
  <c r="T343" i="38" s="1"/>
  <c r="U343" i="38" s="1"/>
  <c r="V343" i="38" s="1"/>
  <c r="W343" i="38" s="1"/>
  <c r="X343" i="38" s="1"/>
  <c r="M343" i="38"/>
  <c r="L343" i="38"/>
  <c r="K343" i="38"/>
  <c r="J343" i="38"/>
  <c r="I343" i="38"/>
  <c r="H343" i="38"/>
  <c r="G343" i="38"/>
  <c r="F343" i="38"/>
  <c r="E343" i="38"/>
  <c r="D343" i="38"/>
  <c r="B343" i="38"/>
  <c r="B341" i="38"/>
  <c r="X340" i="38"/>
  <c r="S340" i="38"/>
  <c r="P340" i="38"/>
  <c r="N340" i="38"/>
  <c r="M340" i="38"/>
  <c r="M341" i="38" s="1"/>
  <c r="M342" i="38" s="1"/>
  <c r="L340" i="38"/>
  <c r="L341" i="38" s="1"/>
  <c r="K340" i="38"/>
  <c r="J340" i="38"/>
  <c r="J341" i="38" s="1"/>
  <c r="I340" i="38"/>
  <c r="H340" i="38"/>
  <c r="F340" i="38"/>
  <c r="D340" i="38"/>
  <c r="D341" i="38" s="1"/>
  <c r="N337" i="38"/>
  <c r="M337" i="38"/>
  <c r="L337" i="38"/>
  <c r="K337" i="38"/>
  <c r="J337" i="38"/>
  <c r="I337" i="38"/>
  <c r="H337" i="38"/>
  <c r="G337" i="38"/>
  <c r="F337" i="38"/>
  <c r="E337" i="38"/>
  <c r="D337" i="38"/>
  <c r="B337" i="38"/>
  <c r="N336" i="38"/>
  <c r="M336" i="38"/>
  <c r="L336" i="38"/>
  <c r="K336" i="38"/>
  <c r="J336" i="38"/>
  <c r="I336" i="38"/>
  <c r="H336" i="38"/>
  <c r="G336" i="38"/>
  <c r="F336" i="38"/>
  <c r="E336" i="38"/>
  <c r="D336" i="38"/>
  <c r="B336" i="38"/>
  <c r="N335" i="38"/>
  <c r="M335" i="38"/>
  <c r="L335" i="38"/>
  <c r="K335" i="38"/>
  <c r="J335" i="38"/>
  <c r="I335" i="38"/>
  <c r="H335" i="38"/>
  <c r="G335" i="38"/>
  <c r="F335" i="38"/>
  <c r="E335" i="38"/>
  <c r="D335" i="38"/>
  <c r="B335" i="38"/>
  <c r="N329" i="38"/>
  <c r="M329" i="38"/>
  <c r="L329" i="38"/>
  <c r="K329" i="38"/>
  <c r="J329" i="38"/>
  <c r="I329" i="38"/>
  <c r="H329" i="38"/>
  <c r="G329" i="38"/>
  <c r="F329" i="38"/>
  <c r="E329" i="38"/>
  <c r="D329" i="38"/>
  <c r="B329" i="38"/>
  <c r="N328" i="38"/>
  <c r="M328" i="38"/>
  <c r="L328" i="38"/>
  <c r="K328" i="38"/>
  <c r="J328" i="38"/>
  <c r="I328" i="38"/>
  <c r="H328" i="38"/>
  <c r="G328" i="38"/>
  <c r="F328" i="38"/>
  <c r="E328" i="38"/>
  <c r="D328" i="38"/>
  <c r="B328" i="38"/>
  <c r="I325" i="38"/>
  <c r="H325" i="38"/>
  <c r="G325" i="38"/>
  <c r="F325" i="38"/>
  <c r="E325" i="38"/>
  <c r="D325" i="38"/>
  <c r="B325" i="38"/>
  <c r="B323" i="38"/>
  <c r="N322" i="38"/>
  <c r="M322" i="38"/>
  <c r="L322" i="38"/>
  <c r="K322" i="38"/>
  <c r="J322" i="38"/>
  <c r="I322" i="38"/>
  <c r="I323" i="38" s="1"/>
  <c r="I324" i="38" s="1"/>
  <c r="H322" i="38"/>
  <c r="G322" i="38"/>
  <c r="F322" i="38"/>
  <c r="F323" i="38" s="1"/>
  <c r="E322" i="38"/>
  <c r="E323" i="38" s="1"/>
  <c r="D322" i="38"/>
  <c r="D323" i="38" s="1"/>
  <c r="D324" i="38" s="1"/>
  <c r="B322" i="38"/>
  <c r="I319" i="38"/>
  <c r="H319" i="38"/>
  <c r="G319" i="38"/>
  <c r="F319" i="38"/>
  <c r="E319" i="38"/>
  <c r="D319" i="38"/>
  <c r="B319" i="38"/>
  <c r="I318" i="38"/>
  <c r="H318" i="38"/>
  <c r="G318" i="38"/>
  <c r="F318" i="38"/>
  <c r="E318" i="38"/>
  <c r="D318" i="38"/>
  <c r="B318" i="38"/>
  <c r="I315" i="38"/>
  <c r="H315" i="38"/>
  <c r="G315" i="38"/>
  <c r="F315" i="38"/>
  <c r="E315" i="38"/>
  <c r="D315" i="38"/>
  <c r="B315" i="38"/>
  <c r="I314" i="38"/>
  <c r="H314" i="38"/>
  <c r="G314" i="38"/>
  <c r="F314" i="38"/>
  <c r="E314" i="38"/>
  <c r="D314" i="38"/>
  <c r="B314" i="38"/>
  <c r="I311" i="38"/>
  <c r="H311" i="38"/>
  <c r="G311" i="38"/>
  <c r="F311" i="38"/>
  <c r="E311" i="38"/>
  <c r="D311" i="38"/>
  <c r="B311" i="38"/>
  <c r="I310" i="38"/>
  <c r="H310" i="38"/>
  <c r="G310" i="38"/>
  <c r="F310" i="38"/>
  <c r="E310" i="38"/>
  <c r="D310" i="38"/>
  <c r="B310" i="38"/>
  <c r="I307" i="38"/>
  <c r="H307" i="38"/>
  <c r="G307" i="38"/>
  <c r="F307" i="38"/>
  <c r="E307" i="38"/>
  <c r="D307" i="38"/>
  <c r="B307" i="38"/>
  <c r="I306" i="38"/>
  <c r="H306" i="38"/>
  <c r="G306" i="38"/>
  <c r="F306" i="38"/>
  <c r="E306" i="38"/>
  <c r="D306" i="38"/>
  <c r="B306" i="38"/>
  <c r="I303" i="38"/>
  <c r="H303" i="38"/>
  <c r="G303" i="38"/>
  <c r="F303" i="38"/>
  <c r="E303" i="38"/>
  <c r="D303" i="38"/>
  <c r="B303" i="38"/>
  <c r="B301" i="38"/>
  <c r="B295" i="38"/>
  <c r="N294" i="38"/>
  <c r="M294" i="38"/>
  <c r="L294" i="38"/>
  <c r="K294" i="38"/>
  <c r="J294" i="38"/>
  <c r="I294" i="38"/>
  <c r="H294" i="38"/>
  <c r="G294" i="38"/>
  <c r="F294" i="38"/>
  <c r="E294" i="38"/>
  <c r="D294" i="38"/>
  <c r="B294" i="38"/>
  <c r="N293" i="38"/>
  <c r="M293" i="38"/>
  <c r="L293" i="38"/>
  <c r="K293" i="38"/>
  <c r="J293" i="38"/>
  <c r="I293" i="38"/>
  <c r="H293" i="38"/>
  <c r="G293" i="38"/>
  <c r="F293" i="38"/>
  <c r="E293" i="38"/>
  <c r="D293" i="38"/>
  <c r="B293" i="38"/>
  <c r="N292" i="38"/>
  <c r="N295" i="38" s="1"/>
  <c r="M292" i="38"/>
  <c r="L292" i="38"/>
  <c r="K292" i="38"/>
  <c r="J292" i="38"/>
  <c r="J295" i="38" s="1"/>
  <c r="I292" i="38"/>
  <c r="H292" i="38"/>
  <c r="G292" i="38"/>
  <c r="F292" i="38"/>
  <c r="F295" i="38" s="1"/>
  <c r="E292" i="38"/>
  <c r="D292" i="38"/>
  <c r="B292" i="38"/>
  <c r="I289" i="38"/>
  <c r="H289" i="38"/>
  <c r="G289" i="38"/>
  <c r="F289" i="38"/>
  <c r="E289" i="38"/>
  <c r="D289" i="38"/>
  <c r="B289" i="38"/>
  <c r="I288" i="38"/>
  <c r="H288" i="38"/>
  <c r="G288" i="38"/>
  <c r="F288" i="38"/>
  <c r="E288" i="38"/>
  <c r="D288" i="38"/>
  <c r="B288" i="38"/>
  <c r="I285" i="38"/>
  <c r="H285" i="38"/>
  <c r="G285" i="38"/>
  <c r="F285" i="38"/>
  <c r="E285" i="38"/>
  <c r="D285" i="38"/>
  <c r="B285" i="38"/>
  <c r="B283" i="38"/>
  <c r="N282" i="38"/>
  <c r="M282" i="38"/>
  <c r="L282" i="38"/>
  <c r="K282" i="38"/>
  <c r="J282" i="38"/>
  <c r="I282" i="38"/>
  <c r="H282" i="38"/>
  <c r="G282" i="38"/>
  <c r="F282" i="38"/>
  <c r="E282" i="38"/>
  <c r="D282" i="38"/>
  <c r="V280" i="38"/>
  <c r="R280" i="38"/>
  <c r="Q280" i="38"/>
  <c r="N280" i="38"/>
  <c r="L280" i="38"/>
  <c r="J280" i="38"/>
  <c r="I280" i="38"/>
  <c r="H280" i="38"/>
  <c r="F280" i="38"/>
  <c r="D280" i="38"/>
  <c r="B276" i="38"/>
  <c r="N275" i="38"/>
  <c r="M275" i="38"/>
  <c r="L275" i="38"/>
  <c r="K275" i="38"/>
  <c r="J275" i="38"/>
  <c r="I275" i="38"/>
  <c r="H275" i="38"/>
  <c r="G275" i="38"/>
  <c r="F275" i="38"/>
  <c r="E275" i="38"/>
  <c r="D275" i="38"/>
  <c r="B275" i="38"/>
  <c r="I273" i="38"/>
  <c r="H273" i="38"/>
  <c r="G273" i="38"/>
  <c r="F273" i="38"/>
  <c r="E273" i="38"/>
  <c r="D273" i="38"/>
  <c r="B273" i="38"/>
  <c r="X272" i="38"/>
  <c r="V272" i="38"/>
  <c r="U272" i="38"/>
  <c r="S272" i="38"/>
  <c r="O272" i="38"/>
  <c r="N272" i="38"/>
  <c r="M272" i="38"/>
  <c r="K272" i="38"/>
  <c r="J272" i="38"/>
  <c r="I272" i="38"/>
  <c r="G272" i="38"/>
  <c r="F272" i="38"/>
  <c r="E272" i="38"/>
  <c r="I270" i="38"/>
  <c r="H270" i="38"/>
  <c r="G270" i="38"/>
  <c r="F270" i="38"/>
  <c r="E270" i="38"/>
  <c r="D270" i="38"/>
  <c r="B270" i="38"/>
  <c r="I269" i="38"/>
  <c r="H269" i="38"/>
  <c r="G269" i="38"/>
  <c r="F269" i="38"/>
  <c r="E269" i="38"/>
  <c r="D269" i="38"/>
  <c r="B269" i="38"/>
  <c r="I268" i="38"/>
  <c r="H268" i="38"/>
  <c r="G268" i="38"/>
  <c r="F268" i="38"/>
  <c r="E268" i="38"/>
  <c r="D268" i="38"/>
  <c r="B268" i="38"/>
  <c r="I267" i="38"/>
  <c r="H267" i="38"/>
  <c r="G267" i="38"/>
  <c r="F267" i="38"/>
  <c r="E267" i="38"/>
  <c r="D267" i="38"/>
  <c r="B267" i="38"/>
  <c r="B263" i="38"/>
  <c r="N262" i="38"/>
  <c r="M262" i="38"/>
  <c r="L262" i="38"/>
  <c r="K262" i="38"/>
  <c r="J262" i="38"/>
  <c r="I262" i="38"/>
  <c r="H262" i="38"/>
  <c r="G262" i="38"/>
  <c r="F262" i="38"/>
  <c r="E262" i="38"/>
  <c r="D262" i="38"/>
  <c r="B262" i="38"/>
  <c r="I260" i="38"/>
  <c r="H260" i="38"/>
  <c r="G260" i="38"/>
  <c r="F260" i="38"/>
  <c r="E260" i="38"/>
  <c r="D260" i="38"/>
  <c r="B260" i="38"/>
  <c r="I259" i="38"/>
  <c r="H259" i="38"/>
  <c r="G259" i="38"/>
  <c r="F259" i="38"/>
  <c r="E259" i="38"/>
  <c r="D259" i="38"/>
  <c r="B259" i="38"/>
  <c r="I258" i="38"/>
  <c r="H258" i="38"/>
  <c r="G258" i="38"/>
  <c r="F258" i="38"/>
  <c r="E258" i="38"/>
  <c r="D258" i="38"/>
  <c r="B258" i="38"/>
  <c r="I257" i="38"/>
  <c r="H257" i="38"/>
  <c r="G257" i="38"/>
  <c r="F257" i="38"/>
  <c r="E257" i="38"/>
  <c r="D257" i="38"/>
  <c r="B257" i="38"/>
  <c r="I256" i="38"/>
  <c r="H256" i="38"/>
  <c r="G256" i="38"/>
  <c r="F256" i="38"/>
  <c r="E256" i="38"/>
  <c r="D256" i="38"/>
  <c r="B256" i="38"/>
  <c r="I255" i="38"/>
  <c r="H255" i="38"/>
  <c r="G255" i="38"/>
  <c r="F255" i="38"/>
  <c r="E255" i="38"/>
  <c r="D255" i="38"/>
  <c r="B255" i="38"/>
  <c r="N252" i="38"/>
  <c r="O252" i="38" s="1"/>
  <c r="M252" i="38"/>
  <c r="L252" i="38"/>
  <c r="K252" i="38"/>
  <c r="J252" i="38"/>
  <c r="I252" i="38"/>
  <c r="H252" i="38"/>
  <c r="G252" i="38"/>
  <c r="F252" i="38"/>
  <c r="E252" i="38"/>
  <c r="D252" i="38"/>
  <c r="B252" i="38"/>
  <c r="N251" i="38"/>
  <c r="O251" i="38" s="1"/>
  <c r="P251" i="38" s="1"/>
  <c r="Q251" i="38" s="1"/>
  <c r="R251" i="38" s="1"/>
  <c r="S251" i="38" s="1"/>
  <c r="T251" i="38" s="1"/>
  <c r="U251" i="38" s="1"/>
  <c r="V251" i="38" s="1"/>
  <c r="W251" i="38" s="1"/>
  <c r="X251" i="38" s="1"/>
  <c r="M251" i="38"/>
  <c r="L251" i="38"/>
  <c r="K251" i="38"/>
  <c r="J251" i="38"/>
  <c r="I251" i="38"/>
  <c r="H251" i="38"/>
  <c r="G251" i="38"/>
  <c r="F251" i="38"/>
  <c r="E251" i="38"/>
  <c r="D251" i="38"/>
  <c r="B251" i="38"/>
  <c r="I248" i="38"/>
  <c r="H248" i="38"/>
  <c r="G248" i="38"/>
  <c r="F248" i="38"/>
  <c r="E248" i="38"/>
  <c r="D248" i="38"/>
  <c r="B248" i="38"/>
  <c r="N247" i="38"/>
  <c r="M247" i="38"/>
  <c r="L247" i="38"/>
  <c r="K247" i="38"/>
  <c r="J247" i="38"/>
  <c r="I247" i="38"/>
  <c r="H247" i="38"/>
  <c r="G247" i="38"/>
  <c r="F247" i="38"/>
  <c r="E247" i="38"/>
  <c r="D247" i="38"/>
  <c r="B247" i="38"/>
  <c r="N246" i="38"/>
  <c r="M246" i="38"/>
  <c r="L246" i="38"/>
  <c r="K246" i="38"/>
  <c r="J246" i="38"/>
  <c r="I246" i="38"/>
  <c r="H246" i="38"/>
  <c r="G246" i="38"/>
  <c r="F246" i="38"/>
  <c r="E246" i="38"/>
  <c r="D246" i="38"/>
  <c r="D245" i="38" s="1"/>
  <c r="B246" i="38"/>
  <c r="N242" i="38"/>
  <c r="M242" i="38"/>
  <c r="L242" i="38"/>
  <c r="K242" i="38"/>
  <c r="J242" i="38"/>
  <c r="I242" i="38"/>
  <c r="H242" i="38"/>
  <c r="G242" i="38"/>
  <c r="F242" i="38"/>
  <c r="E242" i="38"/>
  <c r="D242" i="38"/>
  <c r="B242" i="38"/>
  <c r="N241" i="38"/>
  <c r="O241" i="38" s="1"/>
  <c r="P241" i="38" s="1"/>
  <c r="Q241" i="38" s="1"/>
  <c r="R241" i="38" s="1"/>
  <c r="S241" i="38" s="1"/>
  <c r="T241" i="38" s="1"/>
  <c r="U241" i="38" s="1"/>
  <c r="V241" i="38" s="1"/>
  <c r="W241" i="38" s="1"/>
  <c r="X241" i="38" s="1"/>
  <c r="M241" i="38"/>
  <c r="L241" i="38"/>
  <c r="K241" i="38"/>
  <c r="J241" i="38"/>
  <c r="I241" i="38"/>
  <c r="H241" i="38"/>
  <c r="G241" i="38"/>
  <c r="F241" i="38"/>
  <c r="E241" i="38"/>
  <c r="D241" i="38"/>
  <c r="B241" i="38"/>
  <c r="N239" i="38"/>
  <c r="M239" i="38"/>
  <c r="L239" i="38"/>
  <c r="K239" i="38"/>
  <c r="J239" i="38"/>
  <c r="I239" i="38"/>
  <c r="H239" i="38"/>
  <c r="G239" i="38"/>
  <c r="F239" i="38"/>
  <c r="E239" i="38"/>
  <c r="D239" i="38"/>
  <c r="B239" i="38"/>
  <c r="N238" i="38"/>
  <c r="M238" i="38"/>
  <c r="L238" i="38"/>
  <c r="K238" i="38"/>
  <c r="J238" i="38"/>
  <c r="I238" i="38"/>
  <c r="H238" i="38"/>
  <c r="G238" i="38"/>
  <c r="F238" i="38"/>
  <c r="E238" i="38"/>
  <c r="E240" i="38" s="1"/>
  <c r="D238" i="38"/>
  <c r="B238" i="38"/>
  <c r="N237" i="38"/>
  <c r="N299" i="38" s="1"/>
  <c r="M237" i="38"/>
  <c r="M299" i="38" s="1"/>
  <c r="L237" i="38"/>
  <c r="L240" i="38" s="1"/>
  <c r="K237" i="38"/>
  <c r="J237" i="38"/>
  <c r="J299" i="38" s="1"/>
  <c r="I237" i="38"/>
  <c r="I299" i="38" s="1"/>
  <c r="H237" i="38"/>
  <c r="H299" i="38" s="1"/>
  <c r="G237" i="38"/>
  <c r="G299" i="38" s="1"/>
  <c r="F237" i="38"/>
  <c r="F299" i="38" s="1"/>
  <c r="E237" i="38"/>
  <c r="E299" i="38" s="1"/>
  <c r="D237" i="38"/>
  <c r="D299" i="38" s="1"/>
  <c r="B237" i="38"/>
  <c r="N232" i="38"/>
  <c r="M232" i="38"/>
  <c r="L232" i="38"/>
  <c r="K232" i="38"/>
  <c r="J232" i="38"/>
  <c r="I232" i="38"/>
  <c r="H232" i="38"/>
  <c r="G232" i="38"/>
  <c r="F232" i="38"/>
  <c r="E232" i="38"/>
  <c r="D232" i="38"/>
  <c r="B232" i="38"/>
  <c r="N231" i="38"/>
  <c r="M231" i="38"/>
  <c r="L231" i="38"/>
  <c r="K231" i="38"/>
  <c r="J231" i="38"/>
  <c r="I231" i="38"/>
  <c r="H231" i="38"/>
  <c r="G231" i="38"/>
  <c r="F231" i="38"/>
  <c r="E231" i="38"/>
  <c r="D231" i="38"/>
  <c r="B231" i="38"/>
  <c r="N230" i="38"/>
  <c r="M230" i="38"/>
  <c r="L230" i="38"/>
  <c r="K230" i="38"/>
  <c r="J230" i="38"/>
  <c r="I230" i="38"/>
  <c r="H230" i="38"/>
  <c r="G230" i="38"/>
  <c r="F230" i="38"/>
  <c r="E230" i="38"/>
  <c r="D230" i="38"/>
  <c r="B230" i="38"/>
  <c r="N229" i="38"/>
  <c r="M229" i="38"/>
  <c r="L229" i="38"/>
  <c r="K229" i="38"/>
  <c r="J229" i="38"/>
  <c r="I229" i="38"/>
  <c r="I233" i="38" s="1"/>
  <c r="H229" i="38"/>
  <c r="G229" i="38"/>
  <c r="F229" i="38"/>
  <c r="E229" i="38"/>
  <c r="D229" i="38"/>
  <c r="D233" i="38" s="1"/>
  <c r="B229" i="38"/>
  <c r="N225" i="38"/>
  <c r="M225" i="38"/>
  <c r="L225" i="38"/>
  <c r="K225" i="38"/>
  <c r="J225" i="38"/>
  <c r="I225" i="38"/>
  <c r="H225" i="38"/>
  <c r="G225" i="38"/>
  <c r="F225" i="38"/>
  <c r="E225" i="38"/>
  <c r="D225" i="38"/>
  <c r="B225" i="38"/>
  <c r="N224" i="38"/>
  <c r="M224" i="38"/>
  <c r="L224" i="38"/>
  <c r="K224" i="38"/>
  <c r="J224" i="38"/>
  <c r="I224" i="38"/>
  <c r="H224" i="38"/>
  <c r="G224" i="38"/>
  <c r="F224" i="38"/>
  <c r="E224" i="38"/>
  <c r="D224" i="38"/>
  <c r="B224" i="38"/>
  <c r="N223" i="38"/>
  <c r="M223" i="38"/>
  <c r="L223" i="38"/>
  <c r="K223" i="38"/>
  <c r="J223" i="38"/>
  <c r="I223" i="38"/>
  <c r="H223" i="38"/>
  <c r="G223" i="38"/>
  <c r="F223" i="38"/>
  <c r="E223" i="38"/>
  <c r="D223" i="38"/>
  <c r="B223" i="38"/>
  <c r="I222" i="38"/>
  <c r="H222" i="38"/>
  <c r="H226" i="38" s="1"/>
  <c r="G222" i="38"/>
  <c r="F222" i="38"/>
  <c r="E222" i="38"/>
  <c r="D222" i="38"/>
  <c r="D226" i="38" s="1"/>
  <c r="B222" i="38"/>
  <c r="N219" i="38"/>
  <c r="M219" i="38"/>
  <c r="L219" i="38"/>
  <c r="K219" i="38"/>
  <c r="J219" i="38"/>
  <c r="I219" i="38"/>
  <c r="H219" i="38"/>
  <c r="G219" i="38"/>
  <c r="F219" i="38"/>
  <c r="E219" i="38"/>
  <c r="D219" i="38"/>
  <c r="B219" i="38"/>
  <c r="N217" i="38"/>
  <c r="M217" i="38"/>
  <c r="L217" i="38"/>
  <c r="K217" i="38"/>
  <c r="J217" i="38"/>
  <c r="I217" i="38"/>
  <c r="H217" i="38"/>
  <c r="G217" i="38"/>
  <c r="F217" i="38"/>
  <c r="E217" i="38"/>
  <c r="D217" i="38"/>
  <c r="B217" i="38"/>
  <c r="N216" i="38"/>
  <c r="O216" i="38" s="1"/>
  <c r="P216" i="38" s="1"/>
  <c r="M216" i="38"/>
  <c r="L216" i="38"/>
  <c r="K216" i="38"/>
  <c r="J216" i="38"/>
  <c r="I216" i="38"/>
  <c r="H216" i="38"/>
  <c r="G216" i="38"/>
  <c r="F216" i="38"/>
  <c r="E216" i="38"/>
  <c r="D216" i="38"/>
  <c r="B216" i="38"/>
  <c r="N215" i="38"/>
  <c r="M215" i="38"/>
  <c r="M431" i="38" s="1"/>
  <c r="M434" i="38" s="1"/>
  <c r="L215" i="38"/>
  <c r="L431" i="38" s="1"/>
  <c r="L434" i="38" s="1"/>
  <c r="K215" i="38"/>
  <c r="K431" i="38" s="1"/>
  <c r="K434" i="38" s="1"/>
  <c r="J215" i="38"/>
  <c r="J431" i="38" s="1"/>
  <c r="J434" i="38" s="1"/>
  <c r="I215" i="38"/>
  <c r="I431" i="38" s="1"/>
  <c r="I434" i="38" s="1"/>
  <c r="H215" i="38"/>
  <c r="H431" i="38" s="1"/>
  <c r="H434" i="38" s="1"/>
  <c r="G215" i="38"/>
  <c r="G431" i="38" s="1"/>
  <c r="G434" i="38" s="1"/>
  <c r="F215" i="38"/>
  <c r="E215" i="38"/>
  <c r="E431" i="38" s="1"/>
  <c r="E434" i="38" s="1"/>
  <c r="D215" i="38"/>
  <c r="D431" i="38" s="1"/>
  <c r="D434" i="38" s="1"/>
  <c r="B215" i="38"/>
  <c r="N211" i="38"/>
  <c r="M211" i="38"/>
  <c r="L211" i="38"/>
  <c r="K211" i="38"/>
  <c r="J211" i="38"/>
  <c r="I211" i="38"/>
  <c r="H211" i="38"/>
  <c r="G211" i="38"/>
  <c r="F211" i="38"/>
  <c r="E211" i="38"/>
  <c r="D211" i="38"/>
  <c r="B211" i="38"/>
  <c r="N210" i="38"/>
  <c r="M210" i="38"/>
  <c r="L210" i="38"/>
  <c r="K210" i="38"/>
  <c r="J210" i="38"/>
  <c r="I210" i="38"/>
  <c r="H210" i="38"/>
  <c r="G210" i="38"/>
  <c r="F210" i="38"/>
  <c r="E210" i="38"/>
  <c r="D210" i="38"/>
  <c r="B210" i="38"/>
  <c r="N209" i="38"/>
  <c r="M209" i="38"/>
  <c r="L209" i="38"/>
  <c r="K209" i="38"/>
  <c r="J209" i="38"/>
  <c r="I209" i="38"/>
  <c r="H209" i="38"/>
  <c r="G209" i="38"/>
  <c r="F209" i="38"/>
  <c r="E209" i="38"/>
  <c r="D209" i="38"/>
  <c r="B209" i="38"/>
  <c r="N208" i="38"/>
  <c r="M208" i="38"/>
  <c r="M212" i="38" s="1"/>
  <c r="L208" i="38"/>
  <c r="L212" i="38" s="1"/>
  <c r="K208" i="38"/>
  <c r="J208" i="38"/>
  <c r="I208" i="38"/>
  <c r="H208" i="38"/>
  <c r="G208" i="38"/>
  <c r="F208" i="38"/>
  <c r="E208" i="38"/>
  <c r="E212" i="38" s="1"/>
  <c r="D208" i="38"/>
  <c r="D212" i="38" s="1"/>
  <c r="B208" i="38"/>
  <c r="N205" i="38"/>
  <c r="M205" i="38"/>
  <c r="L205" i="38"/>
  <c r="K205" i="38"/>
  <c r="J205" i="38"/>
  <c r="I205" i="38"/>
  <c r="H205" i="38"/>
  <c r="G205" i="38"/>
  <c r="F205" i="38"/>
  <c r="E205" i="38"/>
  <c r="D205" i="38"/>
  <c r="N204" i="38"/>
  <c r="M204" i="38"/>
  <c r="L204" i="38"/>
  <c r="K204" i="38"/>
  <c r="J204" i="38"/>
  <c r="I204" i="38"/>
  <c r="H204" i="38"/>
  <c r="G204" i="38"/>
  <c r="F204" i="38"/>
  <c r="E204" i="38"/>
  <c r="D204" i="38"/>
  <c r="N203" i="38"/>
  <c r="M203" i="38"/>
  <c r="L203" i="38"/>
  <c r="K203" i="38"/>
  <c r="J203" i="38"/>
  <c r="I203" i="38"/>
  <c r="H203" i="38"/>
  <c r="G203" i="38"/>
  <c r="F203" i="38"/>
  <c r="E203" i="38"/>
  <c r="D203" i="38"/>
  <c r="N202" i="38"/>
  <c r="M202" i="38"/>
  <c r="L202" i="38"/>
  <c r="K202" i="38"/>
  <c r="J202" i="38"/>
  <c r="I202" i="38"/>
  <c r="H202" i="38"/>
  <c r="G202" i="38"/>
  <c r="F202" i="38"/>
  <c r="E202" i="38"/>
  <c r="D202" i="38"/>
  <c r="B199" i="38"/>
  <c r="N198" i="38"/>
  <c r="O198" i="38" s="1"/>
  <c r="P198" i="38" s="1"/>
  <c r="Q198" i="38" s="1"/>
  <c r="R198" i="38" s="1"/>
  <c r="S198" i="38" s="1"/>
  <c r="T198" i="38" s="1"/>
  <c r="U198" i="38" s="1"/>
  <c r="V198" i="38" s="1"/>
  <c r="W198" i="38" s="1"/>
  <c r="X198" i="38" s="1"/>
  <c r="M198" i="38"/>
  <c r="L198" i="38"/>
  <c r="K198" i="38"/>
  <c r="J198" i="38"/>
  <c r="I198" i="38"/>
  <c r="H198" i="38"/>
  <c r="G198" i="38"/>
  <c r="F198" i="38"/>
  <c r="E198" i="38"/>
  <c r="D198" i="38"/>
  <c r="B198" i="38"/>
  <c r="B196" i="38"/>
  <c r="N195" i="38"/>
  <c r="M195" i="38"/>
  <c r="L195" i="38"/>
  <c r="K195" i="38"/>
  <c r="J195" i="38"/>
  <c r="I195" i="38"/>
  <c r="H195" i="38"/>
  <c r="G195" i="38"/>
  <c r="F195" i="38"/>
  <c r="E195" i="38"/>
  <c r="D195" i="38"/>
  <c r="B195" i="38"/>
  <c r="N193" i="38"/>
  <c r="M193" i="38"/>
  <c r="M281" i="38" s="1"/>
  <c r="L193" i="38"/>
  <c r="L281" i="38" s="1"/>
  <c r="K193" i="38"/>
  <c r="K281" i="38" s="1"/>
  <c r="J193" i="38"/>
  <c r="J281" i="38" s="1"/>
  <c r="I193" i="38"/>
  <c r="I281" i="38" s="1"/>
  <c r="H193" i="38"/>
  <c r="H281" i="38" s="1"/>
  <c r="G193" i="38"/>
  <c r="G281" i="38" s="1"/>
  <c r="F193" i="38"/>
  <c r="F281" i="38" s="1"/>
  <c r="F283" i="38" s="1"/>
  <c r="E193" i="38"/>
  <c r="E281" i="38" s="1"/>
  <c r="D193" i="38"/>
  <c r="D281" i="38" s="1"/>
  <c r="B193" i="38"/>
  <c r="Q192" i="38"/>
  <c r="Q300" i="38" s="1"/>
  <c r="P192" i="38"/>
  <c r="P300" i="38" s="1"/>
  <c r="O192" i="38"/>
  <c r="O300" i="38" s="1"/>
  <c r="N192" i="38"/>
  <c r="N300" i="38" s="1"/>
  <c r="M192" i="38"/>
  <c r="M300" i="38" s="1"/>
  <c r="L192" i="38"/>
  <c r="L300" i="38" s="1"/>
  <c r="K192" i="38"/>
  <c r="K300" i="38" s="1"/>
  <c r="J192" i="38"/>
  <c r="J300" i="38" s="1"/>
  <c r="I192" i="38"/>
  <c r="I300" i="38" s="1"/>
  <c r="H192" i="38"/>
  <c r="H300" i="38" s="1"/>
  <c r="G192" i="38"/>
  <c r="G300" i="38" s="1"/>
  <c r="F192" i="38"/>
  <c r="F300" i="38" s="1"/>
  <c r="E192" i="38"/>
  <c r="E300" i="38" s="1"/>
  <c r="D192" i="38"/>
  <c r="D300" i="38" s="1"/>
  <c r="B192" i="38"/>
  <c r="N190" i="38"/>
  <c r="N271" i="38" s="1"/>
  <c r="M190" i="38"/>
  <c r="M271" i="38" s="1"/>
  <c r="L190" i="38"/>
  <c r="L271" i="38" s="1"/>
  <c r="K190" i="38"/>
  <c r="K271" i="38" s="1"/>
  <c r="J190" i="38"/>
  <c r="J271" i="38" s="1"/>
  <c r="I190" i="38"/>
  <c r="I271" i="38" s="1"/>
  <c r="H190" i="38"/>
  <c r="H271" i="38" s="1"/>
  <c r="G190" i="38"/>
  <c r="G271" i="38" s="1"/>
  <c r="F190" i="38"/>
  <c r="F271" i="38" s="1"/>
  <c r="E190" i="38"/>
  <c r="E271" i="38" s="1"/>
  <c r="D190" i="38"/>
  <c r="D271" i="38" s="1"/>
  <c r="B190" i="38"/>
  <c r="N188" i="38"/>
  <c r="M188" i="38"/>
  <c r="L188" i="38"/>
  <c r="K188" i="38"/>
  <c r="J188" i="38"/>
  <c r="I188" i="38"/>
  <c r="H188" i="38"/>
  <c r="G188" i="38"/>
  <c r="F188" i="38"/>
  <c r="E188" i="38"/>
  <c r="D188" i="38"/>
  <c r="B188" i="38"/>
  <c r="N187" i="38"/>
  <c r="M187" i="38"/>
  <c r="L187" i="38"/>
  <c r="K187" i="38"/>
  <c r="J187" i="38"/>
  <c r="I187" i="38"/>
  <c r="H187" i="38"/>
  <c r="G187" i="38"/>
  <c r="F187" i="38"/>
  <c r="E187" i="38"/>
  <c r="D187" i="38"/>
  <c r="B187" i="38"/>
  <c r="N186" i="38"/>
  <c r="M186" i="38"/>
  <c r="L186" i="38"/>
  <c r="K186" i="38"/>
  <c r="J186" i="38"/>
  <c r="I186" i="38"/>
  <c r="H186" i="38"/>
  <c r="G186" i="38"/>
  <c r="F186" i="38"/>
  <c r="E186" i="38"/>
  <c r="D186" i="38"/>
  <c r="B186" i="38"/>
  <c r="N185" i="38"/>
  <c r="M185" i="38"/>
  <c r="L185" i="38"/>
  <c r="K185" i="38"/>
  <c r="J185" i="38"/>
  <c r="I185" i="38"/>
  <c r="H185" i="38"/>
  <c r="G185" i="38"/>
  <c r="F185" i="38"/>
  <c r="E185" i="38"/>
  <c r="D185" i="38"/>
  <c r="B185" i="38"/>
  <c r="N184" i="38"/>
  <c r="M184" i="38"/>
  <c r="L184" i="38"/>
  <c r="K184" i="38"/>
  <c r="J184" i="38"/>
  <c r="I184" i="38"/>
  <c r="H184" i="38"/>
  <c r="G184" i="38"/>
  <c r="F184" i="38"/>
  <c r="E184" i="38"/>
  <c r="D184" i="38"/>
  <c r="B184" i="38"/>
  <c r="N183" i="38"/>
  <c r="M183" i="38"/>
  <c r="L183" i="38"/>
  <c r="K183" i="38"/>
  <c r="J183" i="38"/>
  <c r="I183" i="38"/>
  <c r="H183" i="38"/>
  <c r="G183" i="38"/>
  <c r="F183" i="38"/>
  <c r="E183" i="38"/>
  <c r="D183" i="38"/>
  <c r="B183" i="38"/>
  <c r="N182" i="38"/>
  <c r="M182" i="38"/>
  <c r="L182" i="38"/>
  <c r="K182" i="38"/>
  <c r="J182" i="38"/>
  <c r="I182" i="38"/>
  <c r="H182" i="38"/>
  <c r="H189" i="38" s="1"/>
  <c r="G182" i="38"/>
  <c r="F182" i="38"/>
  <c r="F189" i="38" s="1"/>
  <c r="E182" i="38"/>
  <c r="D182" i="38"/>
  <c r="B182" i="38"/>
  <c r="B179" i="38"/>
  <c r="B177" i="38"/>
  <c r="N172" i="38"/>
  <c r="M172" i="38"/>
  <c r="L172" i="38"/>
  <c r="K172" i="38"/>
  <c r="J172" i="38"/>
  <c r="I172" i="38"/>
  <c r="H172" i="38"/>
  <c r="G172" i="38"/>
  <c r="F172" i="38"/>
  <c r="E172" i="38"/>
  <c r="D172" i="38"/>
  <c r="O171" i="38"/>
  <c r="P171" i="38" s="1"/>
  <c r="Q171" i="38" s="1"/>
  <c r="R171" i="38" s="1"/>
  <c r="S171" i="38" s="1"/>
  <c r="T171" i="38" s="1"/>
  <c r="U171" i="38" s="1"/>
  <c r="V171" i="38" s="1"/>
  <c r="W171" i="38" s="1"/>
  <c r="X171" i="38" s="1"/>
  <c r="N171" i="38"/>
  <c r="M171" i="38"/>
  <c r="L171" i="38"/>
  <c r="K171" i="38"/>
  <c r="J171" i="38"/>
  <c r="I171" i="38"/>
  <c r="H171" i="38"/>
  <c r="G171" i="38"/>
  <c r="F171" i="38"/>
  <c r="E171" i="38"/>
  <c r="D171" i="38"/>
  <c r="B169" i="38"/>
  <c r="N164" i="38"/>
  <c r="M164" i="38"/>
  <c r="L164" i="38"/>
  <c r="K164" i="38"/>
  <c r="J164" i="38"/>
  <c r="I164" i="38"/>
  <c r="H164" i="38"/>
  <c r="G164" i="38"/>
  <c r="F164" i="38"/>
  <c r="E164" i="38"/>
  <c r="D164" i="38"/>
  <c r="B164" i="38"/>
  <c r="N163" i="38"/>
  <c r="M163" i="38"/>
  <c r="L163" i="38"/>
  <c r="K163" i="38"/>
  <c r="J163" i="38"/>
  <c r="I163" i="38"/>
  <c r="H163" i="38"/>
  <c r="G163" i="38"/>
  <c r="F163" i="38"/>
  <c r="E163" i="38"/>
  <c r="D163" i="38"/>
  <c r="B163" i="38"/>
  <c r="N162" i="38"/>
  <c r="M162" i="38"/>
  <c r="L162" i="38"/>
  <c r="K162" i="38"/>
  <c r="J162" i="38"/>
  <c r="I162" i="38"/>
  <c r="H162" i="38"/>
  <c r="G162" i="38"/>
  <c r="F162" i="38"/>
  <c r="E162" i="38"/>
  <c r="D162" i="38"/>
  <c r="B162" i="38"/>
  <c r="B160" i="38"/>
  <c r="W159" i="38"/>
  <c r="R159" i="38"/>
  <c r="Q159" i="38"/>
  <c r="O159" i="38"/>
  <c r="N159" i="38"/>
  <c r="M159" i="38"/>
  <c r="K159" i="38"/>
  <c r="J159" i="38"/>
  <c r="I159" i="38"/>
  <c r="H159" i="38"/>
  <c r="G159" i="38"/>
  <c r="F159" i="38"/>
  <c r="E159" i="38"/>
  <c r="N155" i="38"/>
  <c r="M155" i="38"/>
  <c r="L155" i="38"/>
  <c r="K155" i="38"/>
  <c r="J155" i="38"/>
  <c r="I155" i="38"/>
  <c r="H155" i="38"/>
  <c r="G155" i="38"/>
  <c r="F155" i="38"/>
  <c r="E155" i="38"/>
  <c r="D155" i="38"/>
  <c r="B155" i="38"/>
  <c r="N154" i="38"/>
  <c r="M154" i="38"/>
  <c r="L154" i="38"/>
  <c r="K154" i="38"/>
  <c r="J154" i="38"/>
  <c r="I154" i="38"/>
  <c r="H154" i="38"/>
  <c r="G154" i="38"/>
  <c r="F154" i="38"/>
  <c r="E154" i="38"/>
  <c r="D154" i="38"/>
  <c r="B154" i="38"/>
  <c r="N151" i="38"/>
  <c r="O151" i="38" s="1"/>
  <c r="P151" i="38" s="1"/>
  <c r="Q151" i="38" s="1"/>
  <c r="R151" i="38" s="1"/>
  <c r="S151" i="38" s="1"/>
  <c r="T151" i="38" s="1"/>
  <c r="U151" i="38" s="1"/>
  <c r="V151" i="38" s="1"/>
  <c r="W151" i="38" s="1"/>
  <c r="X151" i="38" s="1"/>
  <c r="M151" i="38"/>
  <c r="L151" i="38"/>
  <c r="K151" i="38"/>
  <c r="J151" i="38"/>
  <c r="I151" i="38"/>
  <c r="H151" i="38"/>
  <c r="G151" i="38"/>
  <c r="F151" i="38"/>
  <c r="E151" i="38"/>
  <c r="D151" i="38"/>
  <c r="B151" i="38"/>
  <c r="B149" i="38"/>
  <c r="N148" i="38"/>
  <c r="O148" i="38" s="1"/>
  <c r="P148" i="38" s="1"/>
  <c r="Q148" i="38" s="1"/>
  <c r="R148" i="38" s="1"/>
  <c r="S148" i="38" s="1"/>
  <c r="T148" i="38" s="1"/>
  <c r="U148" i="38" s="1"/>
  <c r="V148" i="38" s="1"/>
  <c r="W148" i="38" s="1"/>
  <c r="X148" i="38" s="1"/>
  <c r="M148" i="38"/>
  <c r="L148" i="38"/>
  <c r="K148" i="38"/>
  <c r="J148" i="38"/>
  <c r="I148" i="38"/>
  <c r="H148" i="38"/>
  <c r="G148" i="38"/>
  <c r="F148" i="38"/>
  <c r="E148" i="38"/>
  <c r="D148" i="38"/>
  <c r="B148" i="38"/>
  <c r="B146" i="38"/>
  <c r="N145" i="38"/>
  <c r="M145" i="38"/>
  <c r="L145" i="38"/>
  <c r="K145" i="38"/>
  <c r="K146" i="38" s="1"/>
  <c r="J145" i="38"/>
  <c r="I145" i="38"/>
  <c r="H145" i="38"/>
  <c r="H146" i="38" s="1"/>
  <c r="H147" i="38" s="1"/>
  <c r="G145" i="38"/>
  <c r="F145" i="38"/>
  <c r="E145" i="38"/>
  <c r="D145" i="38"/>
  <c r="B145" i="38"/>
  <c r="B141" i="38"/>
  <c r="N139" i="38"/>
  <c r="M139" i="38"/>
  <c r="L139" i="38"/>
  <c r="K139" i="38"/>
  <c r="J139" i="38"/>
  <c r="I139" i="38"/>
  <c r="H139" i="38"/>
  <c r="G139" i="38"/>
  <c r="F139" i="38"/>
  <c r="E139" i="38"/>
  <c r="D139" i="38"/>
  <c r="B139" i="38"/>
  <c r="N138" i="38"/>
  <c r="N432" i="38" s="1"/>
  <c r="M138" i="38"/>
  <c r="L138" i="38"/>
  <c r="L432" i="38" s="1"/>
  <c r="K138" i="38"/>
  <c r="K432" i="38" s="1"/>
  <c r="J138" i="38"/>
  <c r="J432" i="38" s="1"/>
  <c r="I138" i="38"/>
  <c r="I432" i="38" s="1"/>
  <c r="H138" i="38"/>
  <c r="G138" i="38"/>
  <c r="F138" i="38"/>
  <c r="F432" i="38" s="1"/>
  <c r="E138" i="38"/>
  <c r="D138" i="38"/>
  <c r="D432" i="38" s="1"/>
  <c r="B138" i="38"/>
  <c r="N137" i="38"/>
  <c r="M137" i="38"/>
  <c r="L137" i="38"/>
  <c r="K137" i="38"/>
  <c r="J137" i="38"/>
  <c r="I137" i="38"/>
  <c r="H137" i="38"/>
  <c r="G137" i="38"/>
  <c r="F137" i="38"/>
  <c r="E137" i="38"/>
  <c r="D137" i="38"/>
  <c r="B137" i="38"/>
  <c r="N136" i="38"/>
  <c r="M136" i="38"/>
  <c r="L136" i="38"/>
  <c r="K136" i="38"/>
  <c r="J136" i="38"/>
  <c r="I136" i="38"/>
  <c r="H136" i="38"/>
  <c r="G136" i="38"/>
  <c r="F136" i="38"/>
  <c r="E136" i="38"/>
  <c r="D136" i="38"/>
  <c r="B136" i="38"/>
  <c r="N135" i="38"/>
  <c r="M135" i="38"/>
  <c r="L135" i="38"/>
  <c r="K135" i="38"/>
  <c r="J135" i="38"/>
  <c r="I135" i="38"/>
  <c r="H135" i="38"/>
  <c r="G135" i="38"/>
  <c r="F135" i="38"/>
  <c r="E135" i="38"/>
  <c r="D135" i="38"/>
  <c r="B135" i="38"/>
  <c r="N134" i="38"/>
  <c r="M134" i="38"/>
  <c r="L134" i="38"/>
  <c r="L140" i="38" s="1"/>
  <c r="L141" i="38" s="1"/>
  <c r="K134" i="38"/>
  <c r="J134" i="38"/>
  <c r="I134" i="38"/>
  <c r="H134" i="38"/>
  <c r="G134" i="38"/>
  <c r="G140" i="38" s="1"/>
  <c r="G141" i="38" s="1"/>
  <c r="F134" i="38"/>
  <c r="E134" i="38"/>
  <c r="D134" i="38"/>
  <c r="D140" i="38" s="1"/>
  <c r="D141" i="38" s="1"/>
  <c r="B134" i="38"/>
  <c r="N127" i="38"/>
  <c r="M127" i="38"/>
  <c r="L127" i="38"/>
  <c r="K127" i="38"/>
  <c r="J127" i="38"/>
  <c r="I127" i="38"/>
  <c r="H127" i="38"/>
  <c r="G127" i="38"/>
  <c r="F127" i="38"/>
  <c r="E127" i="38"/>
  <c r="D127" i="38"/>
  <c r="B127" i="38"/>
  <c r="N126" i="38"/>
  <c r="M126" i="38"/>
  <c r="L126" i="38"/>
  <c r="K126" i="38"/>
  <c r="J126" i="38"/>
  <c r="I126" i="38"/>
  <c r="H126" i="38"/>
  <c r="G126" i="38"/>
  <c r="F126" i="38"/>
  <c r="E126" i="38"/>
  <c r="D126" i="38"/>
  <c r="B126" i="38"/>
  <c r="N125" i="38"/>
  <c r="M125" i="38"/>
  <c r="L125" i="38"/>
  <c r="K125" i="38"/>
  <c r="J125" i="38"/>
  <c r="I125" i="38"/>
  <c r="H125" i="38"/>
  <c r="G125" i="38"/>
  <c r="F125" i="38"/>
  <c r="E125" i="38"/>
  <c r="D125" i="38"/>
  <c r="B125" i="38"/>
  <c r="N124" i="38"/>
  <c r="M124" i="38"/>
  <c r="L124" i="38"/>
  <c r="K124" i="38"/>
  <c r="J124" i="38"/>
  <c r="I124" i="38"/>
  <c r="H124" i="38"/>
  <c r="G124" i="38"/>
  <c r="F124" i="38"/>
  <c r="E124" i="38"/>
  <c r="D124" i="38"/>
  <c r="B124" i="38"/>
  <c r="N123" i="38"/>
  <c r="M123" i="38"/>
  <c r="L123" i="38"/>
  <c r="K123" i="38"/>
  <c r="J123" i="38"/>
  <c r="I123" i="38"/>
  <c r="H123" i="38"/>
  <c r="G123" i="38"/>
  <c r="F123" i="38"/>
  <c r="E123" i="38"/>
  <c r="D123" i="38"/>
  <c r="B123" i="38"/>
  <c r="N122" i="38"/>
  <c r="M122" i="38"/>
  <c r="M128" i="38" s="1"/>
  <c r="L122" i="38"/>
  <c r="K122" i="38"/>
  <c r="K128" i="38" s="1"/>
  <c r="J122" i="38"/>
  <c r="I122" i="38"/>
  <c r="I128" i="38" s="1"/>
  <c r="H122" i="38"/>
  <c r="G122" i="38"/>
  <c r="G128" i="38" s="1"/>
  <c r="F122" i="38"/>
  <c r="E122" i="38"/>
  <c r="E128" i="38" s="1"/>
  <c r="D122" i="38"/>
  <c r="B122" i="38"/>
  <c r="N120" i="38"/>
  <c r="M120" i="38"/>
  <c r="L120" i="38"/>
  <c r="K120" i="38"/>
  <c r="J120" i="38"/>
  <c r="I120" i="38"/>
  <c r="H120" i="38"/>
  <c r="G120" i="38"/>
  <c r="F120" i="38"/>
  <c r="E120" i="38"/>
  <c r="D120" i="38"/>
  <c r="B120" i="38"/>
  <c r="N119" i="38"/>
  <c r="M119" i="38"/>
  <c r="L119" i="38"/>
  <c r="K119" i="38"/>
  <c r="J119" i="38"/>
  <c r="I119" i="38"/>
  <c r="H119" i="38"/>
  <c r="G119" i="38"/>
  <c r="F119" i="38"/>
  <c r="E119" i="38"/>
  <c r="D119" i="38"/>
  <c r="B119" i="38"/>
  <c r="N118" i="38"/>
  <c r="M118" i="38"/>
  <c r="L118" i="38"/>
  <c r="K118" i="38"/>
  <c r="J118" i="38"/>
  <c r="I118" i="38"/>
  <c r="H118" i="38"/>
  <c r="G118" i="38"/>
  <c r="F118" i="38"/>
  <c r="E118" i="38"/>
  <c r="D118" i="38"/>
  <c r="B118" i="38"/>
  <c r="N117" i="38"/>
  <c r="M117" i="38"/>
  <c r="L117" i="38"/>
  <c r="K117" i="38"/>
  <c r="J117" i="38"/>
  <c r="I117" i="38"/>
  <c r="H117" i="38"/>
  <c r="G117" i="38"/>
  <c r="F117" i="38"/>
  <c r="E117" i="38"/>
  <c r="D117" i="38"/>
  <c r="B117" i="38"/>
  <c r="W116" i="38"/>
  <c r="V116" i="38"/>
  <c r="U116" i="38"/>
  <c r="S116" i="38"/>
  <c r="N116" i="38"/>
  <c r="M116" i="38"/>
  <c r="L116" i="38"/>
  <c r="K116" i="38"/>
  <c r="J116" i="38"/>
  <c r="I116" i="38"/>
  <c r="H116" i="38"/>
  <c r="G116" i="38"/>
  <c r="F116" i="38"/>
  <c r="E116" i="38"/>
  <c r="D116" i="38"/>
  <c r="B116" i="38"/>
  <c r="N115" i="38"/>
  <c r="M115" i="38"/>
  <c r="L115" i="38"/>
  <c r="K115" i="38"/>
  <c r="J115" i="38"/>
  <c r="I115" i="38"/>
  <c r="H115" i="38"/>
  <c r="G115" i="38"/>
  <c r="F115" i="38"/>
  <c r="E115" i="38"/>
  <c r="D115" i="38"/>
  <c r="B115" i="38"/>
  <c r="N109" i="38"/>
  <c r="M109" i="38"/>
  <c r="L109" i="38"/>
  <c r="K109" i="38"/>
  <c r="J109" i="38"/>
  <c r="I109" i="38"/>
  <c r="H109" i="38"/>
  <c r="G109" i="38"/>
  <c r="F109" i="38"/>
  <c r="E109" i="38"/>
  <c r="D109" i="38"/>
  <c r="B109" i="38"/>
  <c r="N108" i="38"/>
  <c r="M108" i="38"/>
  <c r="L108" i="38"/>
  <c r="K108" i="38"/>
  <c r="J108" i="38"/>
  <c r="I108" i="38"/>
  <c r="H108" i="38"/>
  <c r="G108" i="38"/>
  <c r="F108" i="38"/>
  <c r="E108" i="38"/>
  <c r="D108" i="38"/>
  <c r="B108" i="38"/>
  <c r="N107" i="38"/>
  <c r="N509" i="38" s="1"/>
  <c r="M107" i="38"/>
  <c r="M509" i="38" s="1"/>
  <c r="L107" i="38"/>
  <c r="L509" i="38" s="1"/>
  <c r="K107" i="38"/>
  <c r="K509" i="38" s="1"/>
  <c r="J107" i="38"/>
  <c r="J509" i="38" s="1"/>
  <c r="I107" i="38"/>
  <c r="I509" i="38" s="1"/>
  <c r="H107" i="38"/>
  <c r="H509" i="38" s="1"/>
  <c r="G107" i="38"/>
  <c r="F107" i="38"/>
  <c r="F509" i="38" s="1"/>
  <c r="E107" i="38"/>
  <c r="E509" i="38" s="1"/>
  <c r="D107" i="38"/>
  <c r="D509" i="38" s="1"/>
  <c r="B107" i="38"/>
  <c r="L105" i="38"/>
  <c r="D105" i="38"/>
  <c r="N104" i="38"/>
  <c r="M104" i="38"/>
  <c r="L104" i="38"/>
  <c r="K104" i="38"/>
  <c r="J104" i="38"/>
  <c r="I104" i="38"/>
  <c r="H104" i="38"/>
  <c r="G104" i="38"/>
  <c r="F104" i="38"/>
  <c r="E104" i="38"/>
  <c r="D104" i="38"/>
  <c r="B104" i="38"/>
  <c r="N103" i="38"/>
  <c r="M103" i="38"/>
  <c r="L103" i="38"/>
  <c r="K103" i="38"/>
  <c r="J103" i="38"/>
  <c r="I103" i="38"/>
  <c r="H103" i="38"/>
  <c r="G103" i="38"/>
  <c r="F103" i="38"/>
  <c r="E103" i="38"/>
  <c r="D103" i="38"/>
  <c r="B103" i="38"/>
  <c r="N102" i="38"/>
  <c r="M102" i="38"/>
  <c r="L102" i="38"/>
  <c r="K102" i="38"/>
  <c r="J102" i="38"/>
  <c r="I102" i="38"/>
  <c r="H102" i="38"/>
  <c r="G102" i="38"/>
  <c r="F102" i="38"/>
  <c r="E102" i="38"/>
  <c r="D102" i="38"/>
  <c r="B102" i="38"/>
  <c r="N101" i="38"/>
  <c r="M101" i="38"/>
  <c r="L101" i="38"/>
  <c r="K101" i="38"/>
  <c r="J101" i="38"/>
  <c r="I101" i="38"/>
  <c r="H101" i="38"/>
  <c r="G101" i="38"/>
  <c r="F101" i="38"/>
  <c r="E101" i="38"/>
  <c r="D101" i="38"/>
  <c r="B101" i="38"/>
  <c r="N100" i="38"/>
  <c r="M100" i="38"/>
  <c r="L100" i="38"/>
  <c r="K100" i="38"/>
  <c r="J100" i="38"/>
  <c r="I100" i="38"/>
  <c r="H100" i="38"/>
  <c r="G100" i="38"/>
  <c r="F100" i="38"/>
  <c r="E100" i="38"/>
  <c r="D100" i="38"/>
  <c r="B100" i="38"/>
  <c r="N96" i="38"/>
  <c r="M96" i="38"/>
  <c r="L96" i="38"/>
  <c r="K96" i="38"/>
  <c r="J96" i="38"/>
  <c r="I96" i="38"/>
  <c r="H96" i="38"/>
  <c r="G96" i="38"/>
  <c r="F96" i="38"/>
  <c r="E96" i="38"/>
  <c r="D96" i="38"/>
  <c r="B96" i="38"/>
  <c r="I95" i="38"/>
  <c r="H95" i="38"/>
  <c r="G95" i="38"/>
  <c r="F95" i="38"/>
  <c r="E95" i="38"/>
  <c r="D95" i="38"/>
  <c r="B95" i="38"/>
  <c r="N94" i="38"/>
  <c r="M94" i="38"/>
  <c r="L94" i="38"/>
  <c r="K94" i="38"/>
  <c r="J94" i="38"/>
  <c r="I94" i="38"/>
  <c r="H94" i="38"/>
  <c r="G94" i="38"/>
  <c r="F94" i="38"/>
  <c r="E94" i="38"/>
  <c r="D94" i="38"/>
  <c r="B94" i="38"/>
  <c r="N92" i="38"/>
  <c r="M92" i="38"/>
  <c r="L92" i="38"/>
  <c r="K92" i="38"/>
  <c r="J92" i="38"/>
  <c r="I92" i="38"/>
  <c r="H92" i="38"/>
  <c r="G92" i="38"/>
  <c r="F92" i="38"/>
  <c r="E92" i="38"/>
  <c r="D92" i="38"/>
  <c r="B92" i="38"/>
  <c r="N91" i="38"/>
  <c r="M91" i="38"/>
  <c r="L91" i="38"/>
  <c r="K91" i="38"/>
  <c r="J91" i="38"/>
  <c r="I91" i="38"/>
  <c r="H91" i="38"/>
  <c r="G91" i="38"/>
  <c r="F91" i="38"/>
  <c r="E91" i="38"/>
  <c r="D91" i="38"/>
  <c r="B91" i="38"/>
  <c r="N90" i="38"/>
  <c r="M90" i="38"/>
  <c r="L90" i="38"/>
  <c r="K90" i="38"/>
  <c r="J90" i="38"/>
  <c r="I90" i="38"/>
  <c r="H90" i="38"/>
  <c r="G90" i="38"/>
  <c r="F90" i="38"/>
  <c r="E90" i="38"/>
  <c r="D90" i="38"/>
  <c r="B90" i="38"/>
  <c r="N89" i="38"/>
  <c r="M89" i="38"/>
  <c r="L89" i="38"/>
  <c r="K89" i="38"/>
  <c r="J89" i="38"/>
  <c r="I89" i="38"/>
  <c r="H89" i="38"/>
  <c r="G89" i="38"/>
  <c r="F89" i="38"/>
  <c r="E89" i="38"/>
  <c r="D89" i="38"/>
  <c r="B89" i="38"/>
  <c r="N88" i="38"/>
  <c r="N93" i="38" s="1"/>
  <c r="M88" i="38"/>
  <c r="M93" i="38" s="1"/>
  <c r="L88" i="38"/>
  <c r="L93" i="38" s="1"/>
  <c r="K88" i="38"/>
  <c r="J88" i="38"/>
  <c r="J93" i="38" s="1"/>
  <c r="I88" i="38"/>
  <c r="H88" i="38"/>
  <c r="H93" i="38" s="1"/>
  <c r="G88" i="38"/>
  <c r="F88" i="38"/>
  <c r="F93" i="38" s="1"/>
  <c r="E88" i="38"/>
  <c r="E93" i="38" s="1"/>
  <c r="D88" i="38"/>
  <c r="D93" i="38" s="1"/>
  <c r="B88" i="38"/>
  <c r="N84" i="38"/>
  <c r="M84" i="38"/>
  <c r="L84" i="38"/>
  <c r="K84" i="38"/>
  <c r="J84" i="38"/>
  <c r="I84" i="38"/>
  <c r="H84" i="38"/>
  <c r="G84" i="38"/>
  <c r="F84" i="38"/>
  <c r="E84" i="38"/>
  <c r="D84" i="38"/>
  <c r="B84" i="38"/>
  <c r="B83" i="38"/>
  <c r="N80" i="38"/>
  <c r="M80" i="38"/>
  <c r="L80" i="38"/>
  <c r="K80" i="38"/>
  <c r="J80" i="38"/>
  <c r="I80" i="38"/>
  <c r="H80" i="38"/>
  <c r="G80" i="38"/>
  <c r="F80" i="38"/>
  <c r="E80" i="38"/>
  <c r="D80" i="38"/>
  <c r="B80" i="38"/>
  <c r="N79" i="38"/>
  <c r="M79" i="38"/>
  <c r="L79" i="38"/>
  <c r="K79" i="38"/>
  <c r="J79" i="38"/>
  <c r="I79" i="38"/>
  <c r="H79" i="38"/>
  <c r="G79" i="38"/>
  <c r="F79" i="38"/>
  <c r="E79" i="38"/>
  <c r="D79" i="38"/>
  <c r="B79" i="38"/>
  <c r="N77" i="38"/>
  <c r="M77" i="38"/>
  <c r="L77" i="38"/>
  <c r="K77" i="38"/>
  <c r="J77" i="38"/>
  <c r="I77" i="38"/>
  <c r="H77" i="38"/>
  <c r="G77" i="38"/>
  <c r="F77" i="38"/>
  <c r="E77" i="38"/>
  <c r="D77" i="38"/>
  <c r="B77" i="38"/>
  <c r="N76" i="38"/>
  <c r="M76" i="38"/>
  <c r="L76" i="38"/>
  <c r="K76" i="38"/>
  <c r="J76" i="38"/>
  <c r="I76" i="38"/>
  <c r="H76" i="38"/>
  <c r="G76" i="38"/>
  <c r="F76" i="38"/>
  <c r="E76" i="38"/>
  <c r="D76" i="38"/>
  <c r="B76" i="38"/>
  <c r="N75" i="38"/>
  <c r="M75" i="38"/>
  <c r="L75" i="38"/>
  <c r="K75" i="38"/>
  <c r="J75" i="38"/>
  <c r="I75" i="38"/>
  <c r="H75" i="38"/>
  <c r="G75" i="38"/>
  <c r="F75" i="38"/>
  <c r="E75" i="38"/>
  <c r="D75" i="38"/>
  <c r="B75" i="38"/>
  <c r="N74" i="38"/>
  <c r="M74" i="38"/>
  <c r="L74" i="38"/>
  <c r="K74" i="38"/>
  <c r="J74" i="38"/>
  <c r="I74" i="38"/>
  <c r="H74" i="38"/>
  <c r="G74" i="38"/>
  <c r="F74" i="38"/>
  <c r="E74" i="38"/>
  <c r="D74" i="38"/>
  <c r="B74" i="38"/>
  <c r="N73" i="38"/>
  <c r="M73" i="38"/>
  <c r="L73" i="38"/>
  <c r="K73" i="38"/>
  <c r="J73" i="38"/>
  <c r="I73" i="38"/>
  <c r="H73" i="38"/>
  <c r="G73" i="38"/>
  <c r="F73" i="38"/>
  <c r="E73" i="38"/>
  <c r="D73" i="38"/>
  <c r="B73" i="38"/>
  <c r="N72" i="38"/>
  <c r="M72" i="38"/>
  <c r="L72" i="38"/>
  <c r="K72" i="38"/>
  <c r="J72" i="38"/>
  <c r="I72" i="38"/>
  <c r="H72" i="38"/>
  <c r="G72" i="38"/>
  <c r="F72" i="38"/>
  <c r="E72" i="38"/>
  <c r="D72" i="38"/>
  <c r="B72" i="38"/>
  <c r="N71" i="38"/>
  <c r="N85" i="38" s="1"/>
  <c r="M71" i="38"/>
  <c r="M78" i="38" s="1"/>
  <c r="M81" i="38" s="1"/>
  <c r="L71" i="38"/>
  <c r="L78" i="38" s="1"/>
  <c r="L81" i="38" s="1"/>
  <c r="K71" i="38"/>
  <c r="J71" i="38"/>
  <c r="K234" i="38" s="1"/>
  <c r="I71" i="38"/>
  <c r="H71" i="38"/>
  <c r="G71" i="38"/>
  <c r="F71" i="38"/>
  <c r="F85" i="38" s="1"/>
  <c r="E71" i="38"/>
  <c r="E78" i="38" s="1"/>
  <c r="E81" i="38" s="1"/>
  <c r="D71" i="38"/>
  <c r="D78" i="38" s="1"/>
  <c r="D81" i="38" s="1"/>
  <c r="B71" i="38"/>
  <c r="N70" i="38"/>
  <c r="M70" i="38"/>
  <c r="L70" i="38"/>
  <c r="K70" i="38"/>
  <c r="J70" i="38"/>
  <c r="I70" i="38"/>
  <c r="H70" i="38"/>
  <c r="G70" i="38"/>
  <c r="F70" i="38"/>
  <c r="E70" i="38"/>
  <c r="D70" i="38"/>
  <c r="B70" i="38"/>
  <c r="B67" i="38"/>
  <c r="B66" i="38"/>
  <c r="B61" i="38"/>
  <c r="N59" i="38"/>
  <c r="M59" i="38"/>
  <c r="L59" i="38"/>
  <c r="K59" i="38"/>
  <c r="J59" i="38"/>
  <c r="I59" i="38"/>
  <c r="H59" i="38"/>
  <c r="G59" i="38"/>
  <c r="F59" i="38"/>
  <c r="E59" i="38"/>
  <c r="D59" i="38"/>
  <c r="B59" i="38"/>
  <c r="B52" i="38"/>
  <c r="N44" i="38"/>
  <c r="M44" i="38"/>
  <c r="L44" i="38"/>
  <c r="K44" i="38"/>
  <c r="J44" i="38"/>
  <c r="I44" i="38"/>
  <c r="H44" i="38"/>
  <c r="G44" i="38"/>
  <c r="F44" i="38"/>
  <c r="E44" i="38"/>
  <c r="D44" i="38"/>
  <c r="B44" i="38"/>
  <c r="N43" i="38"/>
  <c r="M43" i="38"/>
  <c r="L43" i="38"/>
  <c r="K43" i="38"/>
  <c r="J43" i="38"/>
  <c r="I43" i="38"/>
  <c r="H43" i="38"/>
  <c r="G43" i="38"/>
  <c r="F43" i="38"/>
  <c r="E43" i="38"/>
  <c r="D43" i="38"/>
  <c r="B43" i="38"/>
  <c r="N40" i="38"/>
  <c r="M40" i="38"/>
  <c r="L40" i="38"/>
  <c r="K40" i="38"/>
  <c r="J40" i="38"/>
  <c r="I40" i="38"/>
  <c r="H40" i="38"/>
  <c r="G40" i="38"/>
  <c r="F40" i="38"/>
  <c r="E40" i="38"/>
  <c r="D40" i="38"/>
  <c r="B40" i="38"/>
  <c r="N38" i="38"/>
  <c r="M38" i="38"/>
  <c r="L38" i="38"/>
  <c r="K38" i="38"/>
  <c r="J38" i="38"/>
  <c r="I38" i="38"/>
  <c r="H38" i="38"/>
  <c r="G38" i="38"/>
  <c r="F38" i="38"/>
  <c r="E38" i="38"/>
  <c r="D38" i="38"/>
  <c r="N37" i="38"/>
  <c r="L37" i="38"/>
  <c r="K37" i="38"/>
  <c r="J37" i="38"/>
  <c r="H37" i="38"/>
  <c r="F37" i="38"/>
  <c r="D37" i="38"/>
  <c r="N30" i="38"/>
  <c r="M30" i="38"/>
  <c r="L30" i="38"/>
  <c r="K30" i="38"/>
  <c r="J30" i="38"/>
  <c r="I30" i="38"/>
  <c r="H30" i="38"/>
  <c r="G30" i="38"/>
  <c r="F30" i="38"/>
  <c r="E30" i="38"/>
  <c r="D30" i="38"/>
  <c r="A29" i="38"/>
  <c r="N28" i="38"/>
  <c r="M28" i="38"/>
  <c r="M29" i="38" s="1"/>
  <c r="L28" i="38"/>
  <c r="K28" i="38"/>
  <c r="K29" i="38" s="1"/>
  <c r="J28" i="38"/>
  <c r="I28" i="38"/>
  <c r="H28" i="38"/>
  <c r="G28" i="38"/>
  <c r="F28" i="38"/>
  <c r="E28" i="38"/>
  <c r="E29" i="38" s="1"/>
  <c r="D28" i="38"/>
  <c r="N26" i="38"/>
  <c r="M26" i="38"/>
  <c r="L26" i="38"/>
  <c r="K26" i="38"/>
  <c r="J26" i="38"/>
  <c r="I26" i="38"/>
  <c r="H26" i="38"/>
  <c r="G26" i="38"/>
  <c r="F26" i="38"/>
  <c r="E26" i="38"/>
  <c r="D26" i="38"/>
  <c r="N25" i="38"/>
  <c r="M25" i="38"/>
  <c r="L25" i="38"/>
  <c r="K25" i="38"/>
  <c r="J25" i="38"/>
  <c r="I25" i="38"/>
  <c r="H25" i="38"/>
  <c r="G25" i="38"/>
  <c r="F25" i="38"/>
  <c r="E25" i="38"/>
  <c r="D25" i="38"/>
  <c r="N24" i="38"/>
  <c r="M24" i="38"/>
  <c r="L24" i="38"/>
  <c r="K24" i="38"/>
  <c r="J24" i="38"/>
  <c r="I24" i="38"/>
  <c r="H24" i="38"/>
  <c r="G24" i="38"/>
  <c r="F24" i="38"/>
  <c r="E24" i="38"/>
  <c r="D24" i="38"/>
  <c r="N23" i="38"/>
  <c r="M23" i="38"/>
  <c r="L23" i="38"/>
  <c r="K23" i="38"/>
  <c r="J23" i="38"/>
  <c r="I23" i="38"/>
  <c r="H23" i="38"/>
  <c r="G23" i="38"/>
  <c r="F23" i="38"/>
  <c r="E23" i="38"/>
  <c r="D23" i="38"/>
  <c r="A22" i="38"/>
  <c r="N21" i="38"/>
  <c r="M21" i="38"/>
  <c r="L21" i="38"/>
  <c r="K21" i="38"/>
  <c r="J21" i="38"/>
  <c r="J22" i="38" s="1"/>
  <c r="I21" i="38"/>
  <c r="H21" i="38"/>
  <c r="G21" i="38"/>
  <c r="F21" i="38"/>
  <c r="E21" i="38"/>
  <c r="D21" i="38"/>
  <c r="A19" i="38"/>
  <c r="N18" i="38"/>
  <c r="O18" i="38" s="1"/>
  <c r="M18" i="38"/>
  <c r="L18" i="38"/>
  <c r="K18" i="38"/>
  <c r="K19" i="38" s="1"/>
  <c r="J18" i="38"/>
  <c r="I18" i="38"/>
  <c r="I19" i="38" s="1"/>
  <c r="H18" i="38"/>
  <c r="G18" i="38"/>
  <c r="F18" i="38"/>
  <c r="E18" i="38"/>
  <c r="E19" i="38" s="1"/>
  <c r="D18" i="38"/>
  <c r="A17" i="38"/>
  <c r="N16" i="38"/>
  <c r="M16" i="38"/>
  <c r="M17" i="38" s="1"/>
  <c r="L16" i="38"/>
  <c r="K16" i="38"/>
  <c r="J16" i="38"/>
  <c r="J20" i="38" s="1"/>
  <c r="I16" i="38"/>
  <c r="H16" i="38"/>
  <c r="G16" i="38"/>
  <c r="G17" i="38" s="1"/>
  <c r="F16" i="38"/>
  <c r="E16" i="38"/>
  <c r="E17" i="38" s="1"/>
  <c r="D16" i="38"/>
  <c r="D20" i="38" s="1"/>
  <c r="A14" i="38"/>
  <c r="N13" i="38"/>
  <c r="M13" i="38"/>
  <c r="L13" i="38"/>
  <c r="K13" i="38"/>
  <c r="J13" i="38"/>
  <c r="I13" i="38"/>
  <c r="H13" i="38"/>
  <c r="G13" i="38"/>
  <c r="G14" i="38" s="1"/>
  <c r="F13" i="38"/>
  <c r="E13" i="38"/>
  <c r="D13" i="38"/>
  <c r="N11" i="38"/>
  <c r="N12" i="38" s="1"/>
  <c r="M11" i="38"/>
  <c r="M12" i="38" s="1"/>
  <c r="L11" i="38"/>
  <c r="K11" i="38"/>
  <c r="J11" i="38"/>
  <c r="J12" i="38" s="1"/>
  <c r="I11" i="38"/>
  <c r="H11" i="38"/>
  <c r="H12" i="38" s="1"/>
  <c r="G11" i="38"/>
  <c r="F11" i="38"/>
  <c r="E11" i="38"/>
  <c r="D11" i="38"/>
  <c r="C1" i="38"/>
  <c r="C1" i="36"/>
  <c r="K500" i="36"/>
  <c r="L500" i="36"/>
  <c r="M500" i="36"/>
  <c r="N500" i="36"/>
  <c r="J500" i="36"/>
  <c r="K498" i="36"/>
  <c r="L498" i="36"/>
  <c r="M498" i="36"/>
  <c r="N498" i="36"/>
  <c r="J498" i="36"/>
  <c r="K100" i="36"/>
  <c r="L100" i="36"/>
  <c r="M100" i="36"/>
  <c r="N100" i="36"/>
  <c r="K101" i="36"/>
  <c r="L101" i="36"/>
  <c r="M101" i="36"/>
  <c r="N101" i="36"/>
  <c r="K102" i="36"/>
  <c r="L102" i="36"/>
  <c r="M102" i="36"/>
  <c r="N102" i="36"/>
  <c r="K103" i="36"/>
  <c r="L103" i="36"/>
  <c r="M103" i="36"/>
  <c r="N103" i="36"/>
  <c r="K104" i="36"/>
  <c r="L104" i="36"/>
  <c r="M104" i="36"/>
  <c r="N104" i="36"/>
  <c r="J100" i="36"/>
  <c r="J101" i="36"/>
  <c r="J102" i="36"/>
  <c r="J103" i="36"/>
  <c r="J104" i="36"/>
  <c r="K447" i="36"/>
  <c r="L447" i="36"/>
  <c r="M447" i="36"/>
  <c r="N447" i="36"/>
  <c r="K448" i="36"/>
  <c r="L448" i="36"/>
  <c r="L449" i="36" s="1"/>
  <c r="M448" i="36"/>
  <c r="N448" i="36"/>
  <c r="N449" i="36" s="1"/>
  <c r="K450" i="36"/>
  <c r="K105" i="36" s="1"/>
  <c r="L450" i="36"/>
  <c r="M450" i="36"/>
  <c r="N450" i="36"/>
  <c r="K451" i="36"/>
  <c r="L451" i="36"/>
  <c r="M451" i="36"/>
  <c r="N451" i="36"/>
  <c r="J447" i="36"/>
  <c r="J449" i="36" s="1"/>
  <c r="J448" i="36"/>
  <c r="J450" i="36"/>
  <c r="J451" i="36"/>
  <c r="K427" i="36"/>
  <c r="L427" i="36"/>
  <c r="M427" i="36"/>
  <c r="N427" i="36"/>
  <c r="K428" i="36"/>
  <c r="K429" i="36" s="1"/>
  <c r="L428" i="36"/>
  <c r="L429" i="36" s="1"/>
  <c r="M428" i="36"/>
  <c r="N428" i="36"/>
  <c r="K433" i="36"/>
  <c r="L433" i="36"/>
  <c r="M433" i="36"/>
  <c r="N433" i="36"/>
  <c r="K437" i="36"/>
  <c r="L437" i="36"/>
  <c r="M437" i="36"/>
  <c r="N437" i="36"/>
  <c r="K438" i="36"/>
  <c r="L438" i="36"/>
  <c r="M438" i="36"/>
  <c r="N438" i="36"/>
  <c r="J427" i="36"/>
  <c r="J428" i="36"/>
  <c r="J433" i="36"/>
  <c r="J437" i="36"/>
  <c r="J438" i="36"/>
  <c r="J328" i="36"/>
  <c r="U116" i="39" l="1"/>
  <c r="T116" i="40"/>
  <c r="X272" i="41"/>
  <c r="O116" i="38"/>
  <c r="W272" i="38"/>
  <c r="U272" i="39"/>
  <c r="T388" i="38"/>
  <c r="P272" i="41"/>
  <c r="G261" i="39"/>
  <c r="R116" i="40"/>
  <c r="R272" i="40"/>
  <c r="X116" i="41"/>
  <c r="L105" i="36"/>
  <c r="K449" i="36"/>
  <c r="M105" i="36"/>
  <c r="D496" i="38"/>
  <c r="D48" i="38"/>
  <c r="D97" i="38"/>
  <c r="K12" i="38"/>
  <c r="L17" i="38"/>
  <c r="H19" i="38"/>
  <c r="H432" i="38"/>
  <c r="M105" i="38"/>
  <c r="M106" i="38" s="1"/>
  <c r="K14" i="38"/>
  <c r="J234" i="38"/>
  <c r="P272" i="38"/>
  <c r="J444" i="38"/>
  <c r="F12" i="38"/>
  <c r="X116" i="38"/>
  <c r="I212" i="38"/>
  <c r="D295" i="38"/>
  <c r="D296" i="38" s="1"/>
  <c r="L295" i="38"/>
  <c r="L14" i="38"/>
  <c r="K189" i="38"/>
  <c r="J29" i="38"/>
  <c r="G19" i="38"/>
  <c r="F105" i="38"/>
  <c r="P116" i="38"/>
  <c r="E189" i="38"/>
  <c r="E196" i="38" s="1"/>
  <c r="E197" i="38" s="1"/>
  <c r="M189" i="38"/>
  <c r="H218" i="38"/>
  <c r="H114" i="38" s="1"/>
  <c r="H121" i="38" s="1"/>
  <c r="M240" i="38"/>
  <c r="K341" i="40"/>
  <c r="K342" i="40"/>
  <c r="K345" i="40" s="1"/>
  <c r="M342" i="40"/>
  <c r="M345" i="40" s="1"/>
  <c r="F12" i="40"/>
  <c r="G14" i="40"/>
  <c r="H19" i="40"/>
  <c r="F22" i="40"/>
  <c r="N22" i="40"/>
  <c r="D432" i="40"/>
  <c r="L432" i="40"/>
  <c r="H212" i="40"/>
  <c r="D218" i="40"/>
  <c r="D114" i="40" s="1"/>
  <c r="D121" i="40" s="1"/>
  <c r="L218" i="40"/>
  <c r="L114" i="40" s="1"/>
  <c r="E226" i="40"/>
  <c r="J240" i="40"/>
  <c r="V272" i="40"/>
  <c r="K296" i="40"/>
  <c r="I299" i="40"/>
  <c r="I323" i="40"/>
  <c r="I324" i="40" s="1"/>
  <c r="F388" i="40"/>
  <c r="N388" i="40"/>
  <c r="H388" i="40"/>
  <c r="L430" i="40"/>
  <c r="E429" i="40"/>
  <c r="L502" i="40"/>
  <c r="L503" i="40" s="1"/>
  <c r="I475" i="40"/>
  <c r="N503" i="40"/>
  <c r="I283" i="40"/>
  <c r="H12" i="40"/>
  <c r="I17" i="40"/>
  <c r="J19" i="40"/>
  <c r="K29" i="40"/>
  <c r="L105" i="40"/>
  <c r="K146" i="40"/>
  <c r="K147" i="40" s="1"/>
  <c r="D283" i="40"/>
  <c r="N423" i="40"/>
  <c r="O423" i="40" s="1"/>
  <c r="M429" i="40"/>
  <c r="D444" i="40"/>
  <c r="F502" i="40"/>
  <c r="F503" i="40" s="1"/>
  <c r="N502" i="40"/>
  <c r="H17" i="40"/>
  <c r="M218" i="40"/>
  <c r="M114" i="40" s="1"/>
  <c r="J17" i="40"/>
  <c r="K17" i="40"/>
  <c r="K19" i="40"/>
  <c r="N19" i="40"/>
  <c r="I22" i="40"/>
  <c r="O43" i="40"/>
  <c r="P43" i="40" s="1"/>
  <c r="Q43" i="40" s="1"/>
  <c r="R43" i="40" s="1"/>
  <c r="S43" i="40" s="1"/>
  <c r="E105" i="40"/>
  <c r="E106" i="40" s="1"/>
  <c r="M105" i="40"/>
  <c r="M106" i="40" s="1"/>
  <c r="I110" i="40"/>
  <c r="H128" i="40"/>
  <c r="N146" i="40"/>
  <c r="N147" i="40" s="1"/>
  <c r="K212" i="40"/>
  <c r="M233" i="40"/>
  <c r="P272" i="40"/>
  <c r="F295" i="40"/>
  <c r="F296" i="40" s="1"/>
  <c r="N295" i="40"/>
  <c r="N296" i="40" s="1"/>
  <c r="J341" i="40"/>
  <c r="J342" i="40" s="1"/>
  <c r="J345" i="40" s="1"/>
  <c r="J346" i="40" s="1"/>
  <c r="I388" i="40"/>
  <c r="E444" i="40"/>
  <c r="M444" i="40"/>
  <c r="D20" i="40"/>
  <c r="M85" i="40"/>
  <c r="I93" i="40"/>
  <c r="F105" i="40"/>
  <c r="N105" i="40"/>
  <c r="J110" i="40"/>
  <c r="J147" i="40"/>
  <c r="F191" i="40"/>
  <c r="F194" i="40" s="1"/>
  <c r="N191" i="40"/>
  <c r="N194" i="40" s="1"/>
  <c r="D212" i="40"/>
  <c r="L212" i="40"/>
  <c r="F444" i="40"/>
  <c r="J444" i="40"/>
  <c r="I218" i="40"/>
  <c r="I114" i="40" s="1"/>
  <c r="I121" i="40" s="1"/>
  <c r="H245" i="40"/>
  <c r="H48" i="40" s="1"/>
  <c r="G388" i="40"/>
  <c r="F474" i="40"/>
  <c r="F475" i="40" s="1"/>
  <c r="F57" i="40" s="1"/>
  <c r="J20" i="40"/>
  <c r="F93" i="40"/>
  <c r="N93" i="40"/>
  <c r="J106" i="40"/>
  <c r="G105" i="40"/>
  <c r="V116" i="40"/>
  <c r="J128" i="40"/>
  <c r="I140" i="40"/>
  <c r="G189" i="40"/>
  <c r="G284" i="40"/>
  <c r="I212" i="40"/>
  <c r="F274" i="40"/>
  <c r="H295" i="40"/>
  <c r="J295" i="40"/>
  <c r="J296" i="40" s="1"/>
  <c r="J449" i="40"/>
  <c r="K105" i="40"/>
  <c r="E218" i="40"/>
  <c r="E114" i="40" s="1"/>
  <c r="L22" i="40"/>
  <c r="O22" i="40"/>
  <c r="G93" i="40"/>
  <c r="K128" i="40"/>
  <c r="J140" i="40"/>
  <c r="J141" i="40" s="1"/>
  <c r="J432" i="40"/>
  <c r="G147" i="40"/>
  <c r="X168" i="40"/>
  <c r="H189" i="40"/>
  <c r="G274" i="40"/>
  <c r="I295" i="40"/>
  <c r="K295" i="40"/>
  <c r="H324" i="40"/>
  <c r="L342" i="40"/>
  <c r="L345" i="40" s="1"/>
  <c r="G419" i="40"/>
  <c r="G423" i="40" s="1"/>
  <c r="J429" i="40"/>
  <c r="H444" i="40"/>
  <c r="F496" i="39"/>
  <c r="F497" i="39" s="1"/>
  <c r="F97" i="39"/>
  <c r="K475" i="39"/>
  <c r="H147" i="39"/>
  <c r="H149" i="39" s="1"/>
  <c r="E17" i="39"/>
  <c r="F19" i="39"/>
  <c r="N19" i="39"/>
  <c r="L22" i="39"/>
  <c r="E29" i="39"/>
  <c r="H78" i="39"/>
  <c r="H81" i="39" s="1"/>
  <c r="K85" i="39"/>
  <c r="K93" i="39"/>
  <c r="F432" i="39"/>
  <c r="N432" i="39"/>
  <c r="D189" i="39"/>
  <c r="L189" i="39"/>
  <c r="E245" i="39"/>
  <c r="K430" i="39"/>
  <c r="E429" i="39"/>
  <c r="M430" i="39"/>
  <c r="G449" i="39"/>
  <c r="N480" i="39"/>
  <c r="M106" i="39"/>
  <c r="D105" i="39"/>
  <c r="L105" i="39"/>
  <c r="K110" i="39"/>
  <c r="J110" i="39"/>
  <c r="H146" i="39"/>
  <c r="J212" i="39"/>
  <c r="H240" i="39"/>
  <c r="K280" i="39"/>
  <c r="L341" i="39"/>
  <c r="L342" i="39" s="1"/>
  <c r="L345" i="39" s="1"/>
  <c r="L346" i="39" s="1"/>
  <c r="H419" i="39"/>
  <c r="H423" i="39" s="1"/>
  <c r="N430" i="39"/>
  <c r="H475" i="39"/>
  <c r="K474" i="39"/>
  <c r="H19" i="39"/>
  <c r="D48" i="39"/>
  <c r="E105" i="39"/>
  <c r="M105" i="39"/>
  <c r="H110" i="39"/>
  <c r="I128" i="39"/>
  <c r="J146" i="39"/>
  <c r="J147" i="39" s="1"/>
  <c r="F189" i="39"/>
  <c r="K218" i="39"/>
  <c r="K114" i="39" s="1"/>
  <c r="K121" i="39" s="1"/>
  <c r="E218" i="39"/>
  <c r="E114" i="39" s="1"/>
  <c r="E121" i="39" s="1"/>
  <c r="M295" i="39"/>
  <c r="N295" i="39"/>
  <c r="N296" i="39" s="1"/>
  <c r="F342" i="39"/>
  <c r="F419" i="39"/>
  <c r="F423" i="39" s="1"/>
  <c r="N419" i="39"/>
  <c r="O419" i="39" s="1"/>
  <c r="O530" i="39" s="1"/>
  <c r="J429" i="39"/>
  <c r="I245" i="39"/>
  <c r="I17" i="39"/>
  <c r="M29" i="39"/>
  <c r="E48" i="39"/>
  <c r="J128" i="39"/>
  <c r="G189" i="39"/>
  <c r="G191" i="39" s="1"/>
  <c r="G194" i="39" s="1"/>
  <c r="G218" i="39"/>
  <c r="G114" i="39" s="1"/>
  <c r="F226" i="39"/>
  <c r="J295" i="39"/>
  <c r="G342" i="39"/>
  <c r="K429" i="39"/>
  <c r="J449" i="39"/>
  <c r="N449" i="39"/>
  <c r="F475" i="39"/>
  <c r="N475" i="39"/>
  <c r="E106" i="39"/>
  <c r="K19" i="39"/>
  <c r="J19" i="39"/>
  <c r="E147" i="39"/>
  <c r="M147" i="39"/>
  <c r="M218" i="39"/>
  <c r="M114" i="39" s="1"/>
  <c r="D240" i="39"/>
  <c r="L475" i="39"/>
  <c r="J480" i="39"/>
  <c r="M12" i="39"/>
  <c r="L17" i="39"/>
  <c r="D99" i="39"/>
  <c r="G106" i="39"/>
  <c r="H105" i="39"/>
  <c r="H106" i="39" s="1"/>
  <c r="K233" i="39"/>
  <c r="J240" i="39"/>
  <c r="L503" i="39"/>
  <c r="J502" i="39"/>
  <c r="F296" i="39"/>
  <c r="K12" i="39"/>
  <c r="L14" i="39"/>
  <c r="K20" i="39"/>
  <c r="J20" i="39"/>
  <c r="D106" i="39"/>
  <c r="L106" i="39"/>
  <c r="J194" i="39"/>
  <c r="L240" i="39"/>
  <c r="I295" i="39"/>
  <c r="I296" i="39" s="1"/>
  <c r="P388" i="39"/>
  <c r="X388" i="39"/>
  <c r="I429" i="39"/>
  <c r="J444" i="39"/>
  <c r="E449" i="39"/>
  <c r="M449" i="39"/>
  <c r="K502" i="39"/>
  <c r="G12" i="38"/>
  <c r="J19" i="38"/>
  <c r="E22" i="38"/>
  <c r="M22" i="38"/>
  <c r="L29" i="38"/>
  <c r="R116" i="38"/>
  <c r="E140" i="38"/>
  <c r="E141" i="38" s="1"/>
  <c r="E142" i="38" s="1"/>
  <c r="M140" i="38"/>
  <c r="E432" i="38"/>
  <c r="M432" i="38"/>
  <c r="R272" i="38"/>
  <c r="H430" i="38"/>
  <c r="G449" i="38"/>
  <c r="E14" i="38"/>
  <c r="M14" i="38"/>
  <c r="F29" i="38"/>
  <c r="N29" i="38"/>
  <c r="G432" i="38"/>
  <c r="G283" i="38"/>
  <c r="T272" i="38"/>
  <c r="J430" i="38"/>
  <c r="I502" i="38"/>
  <c r="I503" i="38" s="1"/>
  <c r="I20" i="38"/>
  <c r="M19" i="38"/>
  <c r="G29" i="38"/>
  <c r="H85" i="38"/>
  <c r="G93" i="38"/>
  <c r="K106" i="38"/>
  <c r="H105" i="38"/>
  <c r="H106" i="38" s="1"/>
  <c r="H140" i="38"/>
  <c r="H141" i="38" s="1"/>
  <c r="H142" i="38" s="1"/>
  <c r="G189" i="38"/>
  <c r="F212" i="38"/>
  <c r="N212" i="38"/>
  <c r="K233" i="38"/>
  <c r="E388" i="38"/>
  <c r="M388" i="38"/>
  <c r="K429" i="38"/>
  <c r="J449" i="38"/>
  <c r="I22" i="38"/>
  <c r="H29" i="38"/>
  <c r="O43" i="38"/>
  <c r="P43" i="38" s="1"/>
  <c r="Q43" i="38" s="1"/>
  <c r="R43" i="38" s="1"/>
  <c r="S43" i="38" s="1"/>
  <c r="T43" i="38" s="1"/>
  <c r="U43" i="38" s="1"/>
  <c r="V43" i="38" s="1"/>
  <c r="W43" i="38" s="1"/>
  <c r="X43" i="38" s="1"/>
  <c r="D106" i="38"/>
  <c r="L106" i="38"/>
  <c r="G226" i="38"/>
  <c r="I106" i="38"/>
  <c r="L12" i="38"/>
  <c r="I93" i="38"/>
  <c r="E106" i="38"/>
  <c r="J105" i="38"/>
  <c r="J106" i="38" s="1"/>
  <c r="J128" i="38"/>
  <c r="J140" i="38"/>
  <c r="F140" i="38"/>
  <c r="N140" i="38"/>
  <c r="I189" i="38"/>
  <c r="I191" i="38" s="1"/>
  <c r="I194" i="38" s="1"/>
  <c r="H212" i="38"/>
  <c r="E233" i="38"/>
  <c r="M233" i="38"/>
  <c r="K295" i="38"/>
  <c r="K296" i="38" s="1"/>
  <c r="G388" i="38"/>
  <c r="D449" i="38"/>
  <c r="L449" i="38"/>
  <c r="H449" i="38"/>
  <c r="D502" i="38"/>
  <c r="E12" i="38"/>
  <c r="N19" i="38"/>
  <c r="K22" i="38"/>
  <c r="F106" i="38"/>
  <c r="N106" i="38"/>
  <c r="I226" i="38"/>
  <c r="I449" i="38"/>
  <c r="M449" i="36"/>
  <c r="J429" i="36"/>
  <c r="N105" i="36"/>
  <c r="N430" i="36"/>
  <c r="M430" i="36"/>
  <c r="L12" i="41"/>
  <c r="G19" i="41"/>
  <c r="J29" i="41"/>
  <c r="I78" i="41"/>
  <c r="I81" i="41" s="1"/>
  <c r="E98" i="41"/>
  <c r="F106" i="41"/>
  <c r="D388" i="41"/>
  <c r="D391" i="41" s="1"/>
  <c r="E391" i="41" s="1"/>
  <c r="M299" i="41"/>
  <c r="M301" i="41" s="1"/>
  <c r="M302" i="41" s="1"/>
  <c r="H261" i="41"/>
  <c r="E388" i="41"/>
  <c r="N511" i="41"/>
  <c r="F20" i="41"/>
  <c r="N20" i="41"/>
  <c r="L22" i="41"/>
  <c r="H140" i="41"/>
  <c r="H141" i="41" s="1"/>
  <c r="D147" i="41"/>
  <c r="D149" i="41" s="1"/>
  <c r="I105" i="41"/>
  <c r="I106" i="41" s="1"/>
  <c r="K419" i="41"/>
  <c r="K423" i="41" s="1"/>
  <c r="L17" i="41"/>
  <c r="G93" i="41"/>
  <c r="K511" i="41"/>
  <c r="D105" i="41"/>
  <c r="D106" i="41" s="1"/>
  <c r="J475" i="41"/>
  <c r="M444" i="41"/>
  <c r="G14" i="41"/>
  <c r="F19" i="41"/>
  <c r="N19" i="41"/>
  <c r="F245" i="41"/>
  <c r="L444" i="41"/>
  <c r="I12" i="38"/>
  <c r="H14" i="38"/>
  <c r="H20" i="38"/>
  <c r="H17" i="38"/>
  <c r="F22" i="38"/>
  <c r="N22" i="38"/>
  <c r="I85" i="38"/>
  <c r="K140" i="38"/>
  <c r="G212" i="38"/>
  <c r="E295" i="38"/>
  <c r="E296" i="38" s="1"/>
  <c r="M295" i="38"/>
  <c r="M296" i="38" s="1"/>
  <c r="D416" i="38"/>
  <c r="K430" i="38"/>
  <c r="J475" i="38"/>
  <c r="J57" i="38" s="1"/>
  <c r="I14" i="38"/>
  <c r="J14" i="38"/>
  <c r="J17" i="38"/>
  <c r="H22" i="38"/>
  <c r="O21" i="38"/>
  <c r="H233" i="38"/>
  <c r="L299" i="38"/>
  <c r="J342" i="38"/>
  <c r="J345" i="38" s="1"/>
  <c r="J346" i="38" s="1"/>
  <c r="K341" i="38"/>
  <c r="K342" i="38" s="1"/>
  <c r="K345" i="38" s="1"/>
  <c r="K346" i="38" s="1"/>
  <c r="F444" i="38"/>
  <c r="N444" i="38"/>
  <c r="K17" i="38"/>
  <c r="F78" i="38"/>
  <c r="F81" i="38" s="1"/>
  <c r="I140" i="38"/>
  <c r="D189" i="38"/>
  <c r="L189" i="38"/>
  <c r="L191" i="38" s="1"/>
  <c r="L194" i="38" s="1"/>
  <c r="J240" i="38"/>
  <c r="M429" i="36"/>
  <c r="K20" i="38"/>
  <c r="L19" i="38"/>
  <c r="G22" i="38"/>
  <c r="N78" i="38"/>
  <c r="N81" i="38" s="1"/>
  <c r="E110" i="38"/>
  <c r="M110" i="38"/>
  <c r="J212" i="38"/>
  <c r="E218" i="38"/>
  <c r="E114" i="38" s="1"/>
  <c r="E121" i="38" s="1"/>
  <c r="J233" i="38"/>
  <c r="I245" i="38"/>
  <c r="I48" i="38" s="1"/>
  <c r="P388" i="38"/>
  <c r="K449" i="38"/>
  <c r="H502" i="38"/>
  <c r="K430" i="36"/>
  <c r="K212" i="38"/>
  <c r="M218" i="38"/>
  <c r="M114" i="38" s="1"/>
  <c r="M121" i="38" s="1"/>
  <c r="F226" i="38"/>
  <c r="I295" i="38"/>
  <c r="I296" i="38" s="1"/>
  <c r="O419" i="38"/>
  <c r="O530" i="38" s="1"/>
  <c r="N429" i="36"/>
  <c r="L20" i="38"/>
  <c r="F110" i="38"/>
  <c r="F128" i="38"/>
  <c r="N128" i="38"/>
  <c r="J388" i="38"/>
  <c r="M419" i="38"/>
  <c r="M423" i="38" s="1"/>
  <c r="H474" i="38"/>
  <c r="H475" i="38" s="1"/>
  <c r="F14" i="38"/>
  <c r="F17" i="38"/>
  <c r="N17" i="38"/>
  <c r="L22" i="38"/>
  <c r="D98" i="38"/>
  <c r="D99" i="38" s="1"/>
  <c r="H110" i="38"/>
  <c r="E226" i="38"/>
  <c r="N449" i="38"/>
  <c r="I474" i="38"/>
  <c r="I475" i="38" s="1"/>
  <c r="F19" i="38"/>
  <c r="I29" i="38"/>
  <c r="N110" i="38"/>
  <c r="H128" i="38"/>
  <c r="L296" i="38"/>
  <c r="H341" i="38"/>
  <c r="H342" i="38" s="1"/>
  <c r="H345" i="38" s="1"/>
  <c r="H346" i="38" s="1"/>
  <c r="D391" i="38"/>
  <c r="E391" i="38" s="1"/>
  <c r="F391" i="38" s="1"/>
  <c r="G391" i="38" s="1"/>
  <c r="H391" i="38" s="1"/>
  <c r="H429" i="38"/>
  <c r="W116" i="41"/>
  <c r="O272" i="41"/>
  <c r="O43" i="39"/>
  <c r="P43" i="39" s="1"/>
  <c r="Q43" i="39" s="1"/>
  <c r="R43" i="39" s="1"/>
  <c r="S43" i="39" s="1"/>
  <c r="T43" i="39" s="1"/>
  <c r="U43" i="39" s="1"/>
  <c r="V43" i="39" s="1"/>
  <c r="W43" i="39" s="1"/>
  <c r="X43" i="39" s="1"/>
  <c r="F274" i="39"/>
  <c r="D261" i="40"/>
  <c r="O116" i="41"/>
  <c r="I261" i="38"/>
  <c r="P280" i="38"/>
  <c r="X388" i="38"/>
  <c r="S272" i="39"/>
  <c r="O388" i="39"/>
  <c r="W388" i="39"/>
  <c r="S388" i="39"/>
  <c r="O388" i="40"/>
  <c r="W388" i="40"/>
  <c r="T116" i="38"/>
  <c r="E283" i="39"/>
  <c r="O172" i="40"/>
  <c r="S116" i="39"/>
  <c r="T272" i="40"/>
  <c r="G261" i="38"/>
  <c r="G263" i="38" s="1"/>
  <c r="W272" i="41"/>
  <c r="F261" i="39"/>
  <c r="F333" i="39" s="1"/>
  <c r="E261" i="40"/>
  <c r="Q116" i="38"/>
  <c r="O172" i="38"/>
  <c r="Q272" i="38"/>
  <c r="U388" i="38"/>
  <c r="O116" i="40"/>
  <c r="W116" i="40"/>
  <c r="I274" i="40"/>
  <c r="Q388" i="40"/>
  <c r="D261" i="38"/>
  <c r="V388" i="38"/>
  <c r="R388" i="38"/>
  <c r="P116" i="40"/>
  <c r="X116" i="40"/>
  <c r="G261" i="40"/>
  <c r="G263" i="40" s="1"/>
  <c r="F261" i="38"/>
  <c r="O388" i="38"/>
  <c r="W388" i="38"/>
  <c r="S280" i="39"/>
  <c r="I261" i="40"/>
  <c r="V116" i="39"/>
  <c r="H261" i="39"/>
  <c r="O474" i="38"/>
  <c r="P474" i="38" s="1"/>
  <c r="Q474" i="38" s="1"/>
  <c r="R474" i="38" s="1"/>
  <c r="S474" i="38" s="1"/>
  <c r="T474" i="38" s="1"/>
  <c r="U474" i="38" s="1"/>
  <c r="V474" i="38" s="1"/>
  <c r="W474" i="38" s="1"/>
  <c r="X474" i="38" s="1"/>
  <c r="O116" i="39"/>
  <c r="W116" i="39"/>
  <c r="I261" i="39"/>
  <c r="V272" i="39"/>
  <c r="T388" i="39"/>
  <c r="O474" i="40"/>
  <c r="P474" i="40" s="1"/>
  <c r="F261" i="41"/>
  <c r="G274" i="38"/>
  <c r="O172" i="39"/>
  <c r="P172" i="39" s="1"/>
  <c r="Q172" i="39" s="1"/>
  <c r="R172" i="39" s="1"/>
  <c r="S172" i="39" s="1"/>
  <c r="T172" i="39" s="1"/>
  <c r="U172" i="39" s="1"/>
  <c r="V172" i="39" s="1"/>
  <c r="W172" i="39" s="1"/>
  <c r="X172" i="39" s="1"/>
  <c r="O272" i="39"/>
  <c r="W272" i="39"/>
  <c r="O272" i="40"/>
  <c r="W272" i="40"/>
  <c r="V388" i="40"/>
  <c r="X388" i="40"/>
  <c r="V116" i="41"/>
  <c r="G261" i="41"/>
  <c r="G333" i="41" s="1"/>
  <c r="V272" i="41"/>
  <c r="M189" i="41"/>
  <c r="M196" i="41" s="1"/>
  <c r="M197" i="41" s="1"/>
  <c r="N449" i="41"/>
  <c r="H274" i="41"/>
  <c r="F496" i="41"/>
  <c r="F97" i="41"/>
  <c r="F48" i="41"/>
  <c r="J14" i="41"/>
  <c r="E29" i="41"/>
  <c r="M29" i="41"/>
  <c r="D110" i="41"/>
  <c r="I140" i="41"/>
  <c r="G226" i="41"/>
  <c r="L475" i="41"/>
  <c r="K218" i="41"/>
  <c r="K114" i="41" s="1"/>
  <c r="K121" i="41" s="1"/>
  <c r="K140" i="41"/>
  <c r="K141" i="41" s="1"/>
  <c r="K142" i="41" s="1"/>
  <c r="H12" i="41"/>
  <c r="H22" i="41"/>
  <c r="T272" i="41"/>
  <c r="K475" i="41"/>
  <c r="K128" i="41"/>
  <c r="D93" i="41"/>
  <c r="G432" i="41"/>
  <c r="E189" i="41"/>
  <c r="E191" i="41" s="1"/>
  <c r="E194" i="41" s="1"/>
  <c r="M212" i="41"/>
  <c r="N128" i="41"/>
  <c r="F17" i="41"/>
  <c r="N17" i="41"/>
  <c r="M20" i="41"/>
  <c r="F98" i="41"/>
  <c r="G105" i="41"/>
  <c r="G106" i="41" s="1"/>
  <c r="D140" i="41"/>
  <c r="D141" i="41" s="1"/>
  <c r="I218" i="41"/>
  <c r="I114" i="41" s="1"/>
  <c r="D261" i="41"/>
  <c r="D263" i="41" s="1"/>
  <c r="G274" i="41"/>
  <c r="G276" i="41" s="1"/>
  <c r="D419" i="41"/>
  <c r="D423" i="41" s="1"/>
  <c r="F429" i="41"/>
  <c r="F444" i="41"/>
  <c r="M429" i="41"/>
  <c r="L240" i="41"/>
  <c r="L212" i="41"/>
  <c r="J12" i="41"/>
  <c r="I29" i="41"/>
  <c r="E93" i="41"/>
  <c r="I110" i="41"/>
  <c r="T116" i="41"/>
  <c r="G189" i="41"/>
  <c r="G191" i="41" s="1"/>
  <c r="G194" i="41" s="1"/>
  <c r="F274" i="41"/>
  <c r="F388" i="41"/>
  <c r="D480" i="41"/>
  <c r="L429" i="41"/>
  <c r="K212" i="41"/>
  <c r="N457" i="41"/>
  <c r="H106" i="41"/>
  <c r="F140" i="41"/>
  <c r="F141" i="41" s="1"/>
  <c r="F142" i="41" s="1"/>
  <c r="I147" i="41"/>
  <c r="I149" i="41" s="1"/>
  <c r="F240" i="41"/>
  <c r="I429" i="41"/>
  <c r="F502" i="41"/>
  <c r="F480" i="41"/>
  <c r="K429" i="41"/>
  <c r="M457" i="41"/>
  <c r="E17" i="41"/>
  <c r="E48" i="41"/>
  <c r="G140" i="41"/>
  <c r="G141" i="41" s="1"/>
  <c r="G142" i="41" s="1"/>
  <c r="I189" i="41"/>
  <c r="E226" i="41"/>
  <c r="H240" i="41"/>
  <c r="F296" i="41"/>
  <c r="G388" i="41"/>
  <c r="H419" i="41"/>
  <c r="H423" i="41" s="1"/>
  <c r="G430" i="41"/>
  <c r="M449" i="41"/>
  <c r="N430" i="41"/>
  <c r="M218" i="41"/>
  <c r="M114" i="41" s="1"/>
  <c r="M121" i="41" s="1"/>
  <c r="M140" i="41"/>
  <c r="G475" i="41"/>
  <c r="M475" i="41"/>
  <c r="L218" i="41"/>
  <c r="L114" i="41" s="1"/>
  <c r="L121" i="41" s="1"/>
  <c r="L140" i="41"/>
  <c r="M128" i="41"/>
  <c r="K196" i="41"/>
  <c r="K197" i="41" s="1"/>
  <c r="K199" i="41" s="1"/>
  <c r="K200" i="41" s="1"/>
  <c r="K191" i="41"/>
  <c r="K194" i="41" s="1"/>
  <c r="L189" i="41"/>
  <c r="L191" i="41" s="1"/>
  <c r="L194" i="41" s="1"/>
  <c r="N189" i="41"/>
  <c r="N196" i="41" s="1"/>
  <c r="N140" i="41"/>
  <c r="N141" i="41" s="1"/>
  <c r="N142" i="41" s="1"/>
  <c r="M459" i="41"/>
  <c r="M460" i="41" s="1"/>
  <c r="L459" i="41"/>
  <c r="L460" i="41" s="1"/>
  <c r="N485" i="41"/>
  <c r="K459" i="41"/>
  <c r="K460" i="41" s="1"/>
  <c r="L325" i="41"/>
  <c r="K318" i="41"/>
  <c r="K314" i="41"/>
  <c r="K310" i="41"/>
  <c r="K306" i="41"/>
  <c r="K301" i="41"/>
  <c r="K302" i="41" s="1"/>
  <c r="N289" i="41"/>
  <c r="N273" i="41"/>
  <c r="O273" i="41" s="1"/>
  <c r="P273" i="41" s="1"/>
  <c r="Q273" i="41" s="1"/>
  <c r="R273" i="41" s="1"/>
  <c r="S273" i="41" s="1"/>
  <c r="T273" i="41" s="1"/>
  <c r="U273" i="41" s="1"/>
  <c r="V273" i="41" s="1"/>
  <c r="W273" i="41" s="1"/>
  <c r="X273" i="41" s="1"/>
  <c r="K269" i="41"/>
  <c r="K267" i="41"/>
  <c r="M259" i="41"/>
  <c r="M257" i="41"/>
  <c r="M255" i="41"/>
  <c r="K325" i="41"/>
  <c r="N319" i="41"/>
  <c r="N315" i="41"/>
  <c r="N311" i="41"/>
  <c r="N307" i="41"/>
  <c r="N303" i="41"/>
  <c r="N301" i="41"/>
  <c r="M289" i="41"/>
  <c r="M273" i="41"/>
  <c r="N270" i="41"/>
  <c r="N268" i="41"/>
  <c r="L259" i="41"/>
  <c r="L257" i="41"/>
  <c r="L255" i="41"/>
  <c r="M323" i="41"/>
  <c r="M324" i="41" s="1"/>
  <c r="M303" i="41"/>
  <c r="K245" i="41"/>
  <c r="L323" i="41"/>
  <c r="L324" i="41" s="1"/>
  <c r="L319" i="41"/>
  <c r="L315" i="41"/>
  <c r="L311" i="41"/>
  <c r="L307" i="41"/>
  <c r="L303" i="41"/>
  <c r="K289" i="41"/>
  <c r="K273" i="41"/>
  <c r="L270" i="41"/>
  <c r="L268" i="41"/>
  <c r="N260" i="41"/>
  <c r="N258" i="41"/>
  <c r="N256" i="41"/>
  <c r="N248" i="41"/>
  <c r="N245" i="41"/>
  <c r="M311" i="41"/>
  <c r="L289" i="41"/>
  <c r="M270" i="41"/>
  <c r="K259" i="41"/>
  <c r="K257" i="41"/>
  <c r="K323" i="41"/>
  <c r="K324" i="41" s="1"/>
  <c r="K319" i="41"/>
  <c r="K315" i="41"/>
  <c r="K311" i="41"/>
  <c r="K307" i="41"/>
  <c r="K303" i="41"/>
  <c r="N288" i="41"/>
  <c r="K270" i="41"/>
  <c r="K268" i="41"/>
  <c r="M260" i="41"/>
  <c r="M258" i="41"/>
  <c r="M256" i="41"/>
  <c r="M248" i="41"/>
  <c r="M315" i="41"/>
  <c r="M307" i="41"/>
  <c r="M268" i="41"/>
  <c r="K255" i="41"/>
  <c r="N323" i="41"/>
  <c r="N324" i="41" s="1"/>
  <c r="N318" i="41"/>
  <c r="N314" i="41"/>
  <c r="N310" i="41"/>
  <c r="N306" i="41"/>
  <c r="M288" i="41"/>
  <c r="N269" i="41"/>
  <c r="N267" i="41"/>
  <c r="L260" i="41"/>
  <c r="L258" i="41"/>
  <c r="L256" i="41"/>
  <c r="L248" i="41"/>
  <c r="J301" i="41"/>
  <c r="J302" i="41" s="1"/>
  <c r="M319" i="41"/>
  <c r="L273" i="41"/>
  <c r="J303" i="41"/>
  <c r="N325" i="41"/>
  <c r="M318" i="41"/>
  <c r="M314" i="41"/>
  <c r="M310" i="41"/>
  <c r="M306" i="41"/>
  <c r="L288" i="41"/>
  <c r="M269" i="41"/>
  <c r="M267" i="41"/>
  <c r="K260" i="41"/>
  <c r="K258" i="41"/>
  <c r="K256" i="41"/>
  <c r="K248" i="41"/>
  <c r="M325" i="41"/>
  <c r="L318" i="41"/>
  <c r="L314" i="41"/>
  <c r="L310" i="41"/>
  <c r="L306" i="41"/>
  <c r="L301" i="41"/>
  <c r="L302" i="41" s="1"/>
  <c r="K288" i="41"/>
  <c r="L269" i="41"/>
  <c r="L267" i="41"/>
  <c r="N259" i="41"/>
  <c r="N257" i="41"/>
  <c r="O441" i="41"/>
  <c r="O219" i="41" s="1"/>
  <c r="N444" i="41"/>
  <c r="P171" i="41"/>
  <c r="Q171" i="41" s="1"/>
  <c r="R171" i="41" s="1"/>
  <c r="S171" i="41" s="1"/>
  <c r="T171" i="41" s="1"/>
  <c r="U171" i="41" s="1"/>
  <c r="V171" i="41" s="1"/>
  <c r="W171" i="41" s="1"/>
  <c r="X171" i="41" s="1"/>
  <c r="O172" i="41"/>
  <c r="M149" i="41"/>
  <c r="M150" i="41" s="1"/>
  <c r="O451" i="41"/>
  <c r="P451" i="41" s="1"/>
  <c r="Q451" i="41" s="1"/>
  <c r="R451" i="41" s="1"/>
  <c r="S451" i="41" s="1"/>
  <c r="T451" i="41" s="1"/>
  <c r="U451" i="41" s="1"/>
  <c r="V451" i="41" s="1"/>
  <c r="W451" i="41" s="1"/>
  <c r="X451" i="41" s="1"/>
  <c r="L150" i="41"/>
  <c r="L149" i="41"/>
  <c r="N429" i="41"/>
  <c r="K149" i="41"/>
  <c r="K150" i="41" s="1"/>
  <c r="N475" i="41"/>
  <c r="N459" i="41"/>
  <c r="N460" i="41" s="1"/>
  <c r="N191" i="41"/>
  <c r="N194" i="41" s="1"/>
  <c r="N218" i="41"/>
  <c r="N114" i="41" s="1"/>
  <c r="N121" i="41" s="1"/>
  <c r="O193" i="41"/>
  <c r="M141" i="41"/>
  <c r="M142" i="41" s="1"/>
  <c r="L141" i="41"/>
  <c r="L142" i="41" s="1"/>
  <c r="N146" i="41"/>
  <c r="N147" i="41" s="1"/>
  <c r="M245" i="41"/>
  <c r="L245" i="41"/>
  <c r="J140" i="41"/>
  <c r="J141" i="41" s="1"/>
  <c r="F29" i="14"/>
  <c r="J449" i="41"/>
  <c r="E29" i="14"/>
  <c r="G29" i="14"/>
  <c r="D29" i="14"/>
  <c r="O23" i="41"/>
  <c r="P23" i="41" s="1"/>
  <c r="Q23" i="41" s="1"/>
  <c r="R23" i="41" s="1"/>
  <c r="S23" i="41" s="1"/>
  <c r="T23" i="41" s="1"/>
  <c r="U23" i="41" s="1"/>
  <c r="V23" i="41" s="1"/>
  <c r="W23" i="41" s="1"/>
  <c r="X23" i="41" s="1"/>
  <c r="E12" i="41"/>
  <c r="F12" i="41"/>
  <c r="M12" i="41"/>
  <c r="N12" i="41"/>
  <c r="M14" i="41"/>
  <c r="L14" i="41"/>
  <c r="D78" i="41"/>
  <c r="D81" i="41" s="1"/>
  <c r="D82" i="41" s="1"/>
  <c r="D83" i="41" s="1"/>
  <c r="E234" i="41"/>
  <c r="D85" i="41"/>
  <c r="J20" i="41"/>
  <c r="K17" i="41"/>
  <c r="J17" i="41"/>
  <c r="I19" i="41"/>
  <c r="H19" i="41"/>
  <c r="P18" i="41"/>
  <c r="F400" i="41"/>
  <c r="F375" i="41" s="1"/>
  <c r="I17" i="41"/>
  <c r="I20" i="41"/>
  <c r="H29" i="41"/>
  <c r="F78" i="41"/>
  <c r="F81" i="41" s="1"/>
  <c r="F82" i="41" s="1"/>
  <c r="F83" i="41" s="1"/>
  <c r="F85" i="41"/>
  <c r="I22" i="41"/>
  <c r="O24" i="41"/>
  <c r="P24" i="41" s="1"/>
  <c r="Q24" i="41" s="1"/>
  <c r="R24" i="41" s="1"/>
  <c r="S24" i="41" s="1"/>
  <c r="T24" i="41" s="1"/>
  <c r="U24" i="41" s="1"/>
  <c r="V24" i="41" s="1"/>
  <c r="W24" i="41" s="1"/>
  <c r="X24" i="41" s="1"/>
  <c r="I121" i="41"/>
  <c r="J149" i="41"/>
  <c r="J150" i="41" s="1"/>
  <c r="P148" i="41"/>
  <c r="O43" i="41"/>
  <c r="E196" i="41"/>
  <c r="E197" i="41" s="1"/>
  <c r="O21" i="41"/>
  <c r="F29" i="41"/>
  <c r="N29" i="41"/>
  <c r="O29" i="41" s="1"/>
  <c r="O139" i="41" s="1"/>
  <c r="G20" i="41"/>
  <c r="F359" i="41"/>
  <c r="H400" i="41"/>
  <c r="F93" i="41"/>
  <c r="F99" i="41" s="1"/>
  <c r="H128" i="41"/>
  <c r="F149" i="41"/>
  <c r="F150" i="41" s="1"/>
  <c r="H168" i="41"/>
  <c r="I14" i="41"/>
  <c r="G17" i="41"/>
  <c r="E19" i="41"/>
  <c r="M19" i="41"/>
  <c r="F22" i="41"/>
  <c r="O25" i="41"/>
  <c r="O30" i="41"/>
  <c r="P30" i="41" s="1"/>
  <c r="Q30" i="41" s="1"/>
  <c r="R30" i="41" s="1"/>
  <c r="S30" i="41" s="1"/>
  <c r="T30" i="41" s="1"/>
  <c r="U30" i="41" s="1"/>
  <c r="V30" i="41" s="1"/>
  <c r="W30" i="41" s="1"/>
  <c r="X30" i="41" s="1"/>
  <c r="I85" i="41"/>
  <c r="E81" i="41"/>
  <c r="E82" i="41" s="1"/>
  <c r="E83" i="41" s="1"/>
  <c r="H78" i="41"/>
  <c r="H81" i="41" s="1"/>
  <c r="H82" i="41" s="1"/>
  <c r="H83" i="41" s="1"/>
  <c r="H93" i="41"/>
  <c r="E509" i="41"/>
  <c r="E511" i="41" s="1"/>
  <c r="E110" i="41"/>
  <c r="G212" i="41"/>
  <c r="E99" i="41"/>
  <c r="O447" i="41"/>
  <c r="C437" i="41" a="1"/>
  <c r="C437" i="41" s="1"/>
  <c r="O472" i="41"/>
  <c r="P472" i="41" s="1"/>
  <c r="O430" i="41"/>
  <c r="O427" i="41" s="1"/>
  <c r="O479" i="41"/>
  <c r="P479" i="41" s="1"/>
  <c r="Q479" i="41" s="1"/>
  <c r="R479" i="41" s="1"/>
  <c r="S479" i="41" s="1"/>
  <c r="T479" i="41" s="1"/>
  <c r="U479" i="41" s="1"/>
  <c r="V479" i="41" s="1"/>
  <c r="W479" i="41" s="1"/>
  <c r="X479" i="41" s="1"/>
  <c r="O483" i="41"/>
  <c r="P483" i="41" s="1"/>
  <c r="O448" i="41"/>
  <c r="P448" i="41" s="1"/>
  <c r="Q448" i="41" s="1"/>
  <c r="R448" i="41" s="1"/>
  <c r="S448" i="41" s="1"/>
  <c r="T448" i="41" s="1"/>
  <c r="U448" i="41" s="1"/>
  <c r="V448" i="41" s="1"/>
  <c r="W448" i="41" s="1"/>
  <c r="X448" i="41" s="1"/>
  <c r="O395" i="41"/>
  <c r="P395" i="41" s="1"/>
  <c r="Q395" i="41" s="1"/>
  <c r="R395" i="41" s="1"/>
  <c r="S395" i="41" s="1"/>
  <c r="T395" i="41" s="1"/>
  <c r="U395" i="41" s="1"/>
  <c r="V395" i="41" s="1"/>
  <c r="W395" i="41" s="1"/>
  <c r="X395" i="41" s="1"/>
  <c r="C427" i="41" a="1"/>
  <c r="C427" i="41" s="1"/>
  <c r="C428" i="41" a="1"/>
  <c r="C428" i="41" s="1"/>
  <c r="J325" i="41"/>
  <c r="J319" i="41"/>
  <c r="J306" i="41"/>
  <c r="J310" i="41"/>
  <c r="J307" i="41"/>
  <c r="J289" i="41"/>
  <c r="J288" i="41"/>
  <c r="J273" i="41"/>
  <c r="J269" i="41"/>
  <c r="J260" i="41"/>
  <c r="J256" i="41"/>
  <c r="J248" i="41"/>
  <c r="J311" i="41"/>
  <c r="O247" i="41"/>
  <c r="P247" i="41" s="1"/>
  <c r="Q247" i="41" s="1"/>
  <c r="R247" i="41" s="1"/>
  <c r="S247" i="41" s="1"/>
  <c r="T247" i="41" s="1"/>
  <c r="U247" i="41" s="1"/>
  <c r="V247" i="41" s="1"/>
  <c r="W247" i="41" s="1"/>
  <c r="X247" i="41" s="1"/>
  <c r="J315" i="41"/>
  <c r="J270" i="41"/>
  <c r="J257" i="41"/>
  <c r="J245" i="41"/>
  <c r="O248" i="41"/>
  <c r="P248" i="41" s="1"/>
  <c r="Q248" i="41" s="1"/>
  <c r="R248" i="41" s="1"/>
  <c r="S248" i="41" s="1"/>
  <c r="T248" i="41" s="1"/>
  <c r="U248" i="41" s="1"/>
  <c r="V248" i="41" s="1"/>
  <c r="W248" i="41" s="1"/>
  <c r="X248" i="41" s="1"/>
  <c r="J267" i="41"/>
  <c r="J258" i="41"/>
  <c r="O328" i="41"/>
  <c r="P328" i="41" s="1"/>
  <c r="Q328" i="41" s="1"/>
  <c r="R328" i="41" s="1"/>
  <c r="S328" i="41" s="1"/>
  <c r="T328" i="41" s="1"/>
  <c r="U328" i="41" s="1"/>
  <c r="V328" i="41" s="1"/>
  <c r="W328" i="41" s="1"/>
  <c r="X328" i="41" s="1"/>
  <c r="J318" i="41"/>
  <c r="J268" i="41"/>
  <c r="J259" i="41"/>
  <c r="J255" i="41"/>
  <c r="E168" i="41"/>
  <c r="I158" i="41"/>
  <c r="C138" i="41" a="1"/>
  <c r="C138" i="41" s="1"/>
  <c r="C137" i="41" a="1"/>
  <c r="C137" i="41" s="1"/>
  <c r="C136" i="41" a="1"/>
  <c r="C136" i="41" s="1"/>
  <c r="O329" i="41"/>
  <c r="P329" i="41" s="1"/>
  <c r="Q329" i="41" s="1"/>
  <c r="R329" i="41" s="1"/>
  <c r="S329" i="41" s="1"/>
  <c r="T329" i="41" s="1"/>
  <c r="U329" i="41" s="1"/>
  <c r="V329" i="41" s="1"/>
  <c r="W329" i="41" s="1"/>
  <c r="X329" i="41" s="1"/>
  <c r="D168" i="41"/>
  <c r="H158" i="41"/>
  <c r="O117" i="41"/>
  <c r="P117" i="41" s="1"/>
  <c r="Q117" i="41" s="1"/>
  <c r="R117" i="41" s="1"/>
  <c r="S117" i="41" s="1"/>
  <c r="T117" i="41" s="1"/>
  <c r="U117" i="41" s="1"/>
  <c r="V117" i="41" s="1"/>
  <c r="W117" i="41" s="1"/>
  <c r="X117" i="41" s="1"/>
  <c r="G158" i="41"/>
  <c r="J314" i="41"/>
  <c r="O237" i="41"/>
  <c r="P237" i="41" s="1"/>
  <c r="F158" i="41"/>
  <c r="I168" i="41"/>
  <c r="E158" i="41"/>
  <c r="G168" i="41"/>
  <c r="O246" i="41"/>
  <c r="D158" i="41"/>
  <c r="F168" i="41"/>
  <c r="D98" i="41"/>
  <c r="D99" i="41" s="1"/>
  <c r="I261" i="41"/>
  <c r="E359" i="41"/>
  <c r="G400" i="41"/>
  <c r="E85" i="41"/>
  <c r="E106" i="41"/>
  <c r="I234" i="41"/>
  <c r="I459" i="41"/>
  <c r="I460" i="41"/>
  <c r="G359" i="41"/>
  <c r="G353" i="41" s="1"/>
  <c r="I400" i="41"/>
  <c r="G85" i="41"/>
  <c r="E140" i="41"/>
  <c r="I245" i="41"/>
  <c r="H245" i="41"/>
  <c r="G245" i="41"/>
  <c r="G234" i="41"/>
  <c r="H359" i="41"/>
  <c r="J400" i="41"/>
  <c r="G82" i="41"/>
  <c r="G83" i="41" s="1"/>
  <c r="H85" i="41"/>
  <c r="D128" i="41"/>
  <c r="E146" i="41"/>
  <c r="E147" i="41" s="1"/>
  <c r="G196" i="41"/>
  <c r="G197" i="41" s="1"/>
  <c r="P193" i="41"/>
  <c r="O281" i="41"/>
  <c r="J431" i="41"/>
  <c r="J434" i="41" s="1"/>
  <c r="J218" i="41"/>
  <c r="J114" i="41" s="1"/>
  <c r="J121" i="41" s="1"/>
  <c r="I274" i="41"/>
  <c r="I359" i="41"/>
  <c r="D402" i="41"/>
  <c r="D400" i="41"/>
  <c r="I82" i="41"/>
  <c r="I83" i="41" s="1"/>
  <c r="F128" i="41"/>
  <c r="G147" i="41"/>
  <c r="P145" i="41"/>
  <c r="I191" i="41"/>
  <c r="I194" i="41" s="1"/>
  <c r="I196" i="41"/>
  <c r="I197" i="41" s="1"/>
  <c r="E400" i="41"/>
  <c r="I141" i="41"/>
  <c r="I142" i="41" s="1"/>
  <c r="F276" i="41"/>
  <c r="F277" i="41" s="1"/>
  <c r="E345" i="41"/>
  <c r="E346" i="41" s="1"/>
  <c r="H146" i="41"/>
  <c r="H147" i="41" s="1"/>
  <c r="F189" i="41"/>
  <c r="H233" i="41"/>
  <c r="H234" i="41"/>
  <c r="P252" i="41"/>
  <c r="H189" i="41"/>
  <c r="F301" i="41"/>
  <c r="F302" i="41" s="1"/>
  <c r="F333" i="41"/>
  <c r="F263" i="41"/>
  <c r="F264" i="41" s="1"/>
  <c r="F110" i="41"/>
  <c r="D431" i="41"/>
  <c r="D434" i="41" s="1"/>
  <c r="D218" i="41"/>
  <c r="D114" i="41" s="1"/>
  <c r="D121" i="41" s="1"/>
  <c r="P216" i="41"/>
  <c r="G299" i="41"/>
  <c r="G240" i="41"/>
  <c r="H333" i="41"/>
  <c r="H263" i="41"/>
  <c r="H264" i="41" s="1"/>
  <c r="I284" i="41"/>
  <c r="G110" i="41"/>
  <c r="J189" i="41"/>
  <c r="J196" i="41" s="1"/>
  <c r="D233" i="41"/>
  <c r="D333" i="41"/>
  <c r="D264" i="41"/>
  <c r="D274" i="41"/>
  <c r="H276" i="41"/>
  <c r="H277" i="41" s="1"/>
  <c r="D283" i="41"/>
  <c r="D284" i="41" s="1"/>
  <c r="H110" i="41"/>
  <c r="E212" i="41"/>
  <c r="I226" i="41"/>
  <c r="I299" i="41"/>
  <c r="I240" i="41"/>
  <c r="E261" i="41"/>
  <c r="E274" i="41"/>
  <c r="E283" i="41"/>
  <c r="D189" i="41"/>
  <c r="F233" i="41"/>
  <c r="E496" i="41"/>
  <c r="E497" i="41" s="1"/>
  <c r="F284" i="41"/>
  <c r="H283" i="41"/>
  <c r="H284" i="41" s="1"/>
  <c r="F234" i="41"/>
  <c r="H301" i="41"/>
  <c r="H302" i="41" s="1"/>
  <c r="G283" i="41"/>
  <c r="G284" i="41" s="1"/>
  <c r="F324" i="41"/>
  <c r="F341" i="41"/>
  <c r="F342" i="41" s="1"/>
  <c r="O431" i="41"/>
  <c r="E218" i="41"/>
  <c r="E114" i="41" s="1"/>
  <c r="E121" i="41" s="1"/>
  <c r="J240" i="41"/>
  <c r="H296" i="41"/>
  <c r="H295" i="41"/>
  <c r="F218" i="41"/>
  <c r="F114" i="41" s="1"/>
  <c r="F121" i="41" s="1"/>
  <c r="D299" i="41"/>
  <c r="H324" i="41"/>
  <c r="H342" i="41"/>
  <c r="F457" i="41"/>
  <c r="D401" i="41"/>
  <c r="E416" i="41"/>
  <c r="E402" i="41" s="1"/>
  <c r="O423" i="41"/>
  <c r="O419" i="41"/>
  <c r="G218" i="41"/>
  <c r="G114" i="41" s="1"/>
  <c r="G121" i="41" s="1"/>
  <c r="E301" i="41"/>
  <c r="E302" i="41" s="1"/>
  <c r="H218" i="41"/>
  <c r="H114" i="41" s="1"/>
  <c r="H121" i="41" s="1"/>
  <c r="E240" i="41"/>
  <c r="J323" i="41"/>
  <c r="J324" i="41" s="1"/>
  <c r="G295" i="41"/>
  <c r="G296" i="41" s="1"/>
  <c r="D296" i="41"/>
  <c r="D324" i="41"/>
  <c r="I342" i="41"/>
  <c r="E296" i="41"/>
  <c r="E324" i="41"/>
  <c r="H484" i="41"/>
  <c r="H485" i="41" s="1"/>
  <c r="D342" i="41"/>
  <c r="D429" i="41"/>
  <c r="D430" i="41"/>
  <c r="G341" i="41"/>
  <c r="G342" i="41" s="1"/>
  <c r="D359" i="41"/>
  <c r="H457" i="41"/>
  <c r="J511" i="41"/>
  <c r="E479" i="41"/>
  <c r="E480" i="41" s="1"/>
  <c r="H388" i="41"/>
  <c r="I388" i="41"/>
  <c r="O433" i="41"/>
  <c r="D457" i="41"/>
  <c r="F484" i="41"/>
  <c r="F485" i="41" s="1"/>
  <c r="J430" i="41"/>
  <c r="J429" i="41"/>
  <c r="G502" i="41"/>
  <c r="G503" i="41" s="1"/>
  <c r="E457" i="41"/>
  <c r="G484" i="41"/>
  <c r="G485" i="41" s="1"/>
  <c r="P441" i="41"/>
  <c r="F475" i="41"/>
  <c r="F57" i="41" s="1"/>
  <c r="G457" i="41"/>
  <c r="I484" i="41"/>
  <c r="I485" i="41" s="1"/>
  <c r="E430" i="41"/>
  <c r="D485" i="41"/>
  <c r="I502" i="41"/>
  <c r="I503" i="41" s="1"/>
  <c r="I474" i="41"/>
  <c r="I475" i="41"/>
  <c r="I57" i="41" s="1"/>
  <c r="J480" i="41"/>
  <c r="J485" i="41"/>
  <c r="F497" i="41"/>
  <c r="J457" i="41"/>
  <c r="H430" i="41"/>
  <c r="D444" i="41"/>
  <c r="H511" i="41"/>
  <c r="E484" i="41"/>
  <c r="E485" i="41" s="1"/>
  <c r="E444" i="41"/>
  <c r="D502" i="41"/>
  <c r="D503" i="41" s="1"/>
  <c r="D474" i="41"/>
  <c r="D475" i="41" s="1"/>
  <c r="D57" i="41" s="1"/>
  <c r="E475" i="41"/>
  <c r="H502" i="41"/>
  <c r="H503" i="41" s="1"/>
  <c r="F474" i="41"/>
  <c r="O474" i="41"/>
  <c r="P474" i="41" s="1"/>
  <c r="Q474" i="41" s="1"/>
  <c r="R474" i="41" s="1"/>
  <c r="S474" i="41" s="1"/>
  <c r="T474" i="41" s="1"/>
  <c r="U474" i="41" s="1"/>
  <c r="V474" i="41" s="1"/>
  <c r="W474" i="41" s="1"/>
  <c r="X474" i="41" s="1"/>
  <c r="I511" i="41"/>
  <c r="E503" i="41"/>
  <c r="D511" i="41"/>
  <c r="G480" i="41"/>
  <c r="G57" i="41" s="1"/>
  <c r="F503" i="41"/>
  <c r="E502" i="41"/>
  <c r="H479" i="41"/>
  <c r="H480" i="41" s="1"/>
  <c r="H57" i="41" s="1"/>
  <c r="P478" i="41"/>
  <c r="D497" i="41"/>
  <c r="F511" i="41"/>
  <c r="O534" i="41"/>
  <c r="I480" i="41"/>
  <c r="G511" i="41"/>
  <c r="O23" i="38"/>
  <c r="P23" i="38" s="1"/>
  <c r="Q23" i="38" s="1"/>
  <c r="R23" i="38" s="1"/>
  <c r="S23" i="38" s="1"/>
  <c r="T23" i="38" s="1"/>
  <c r="U23" i="38" s="1"/>
  <c r="V23" i="38" s="1"/>
  <c r="W23" i="38" s="1"/>
  <c r="X23" i="38" s="1"/>
  <c r="O30" i="38"/>
  <c r="P30" i="38" s="1"/>
  <c r="Q30" i="38" s="1"/>
  <c r="R30" i="38" s="1"/>
  <c r="S30" i="38" s="1"/>
  <c r="T30" i="38" s="1"/>
  <c r="U30" i="38" s="1"/>
  <c r="V30" i="38" s="1"/>
  <c r="W30" i="38" s="1"/>
  <c r="X30" i="38" s="1"/>
  <c r="X234" i="38" s="1"/>
  <c r="O29" i="38"/>
  <c r="O454" i="38" s="1"/>
  <c r="O25" i="38"/>
  <c r="P25" i="38" s="1"/>
  <c r="P22" i="40"/>
  <c r="E17" i="40"/>
  <c r="E20" i="40"/>
  <c r="M17" i="40"/>
  <c r="M20" i="40"/>
  <c r="E359" i="40"/>
  <c r="M359" i="40"/>
  <c r="D141" i="40"/>
  <c r="D142" i="40" s="1"/>
  <c r="L141" i="40"/>
  <c r="L142" i="40" s="1"/>
  <c r="I191" i="40"/>
  <c r="I194" i="40" s="1"/>
  <c r="I196" i="40"/>
  <c r="F17" i="40"/>
  <c r="F20" i="40"/>
  <c r="N17" i="40"/>
  <c r="N20" i="40"/>
  <c r="O24" i="40"/>
  <c r="P24" i="40" s="1"/>
  <c r="Q24" i="40" s="1"/>
  <c r="R24" i="40" s="1"/>
  <c r="S24" i="40" s="1"/>
  <c r="T24" i="40" s="1"/>
  <c r="U24" i="40" s="1"/>
  <c r="V24" i="40" s="1"/>
  <c r="W24" i="40" s="1"/>
  <c r="X24" i="40" s="1"/>
  <c r="O29" i="40"/>
  <c r="H496" i="40"/>
  <c r="H97" i="40"/>
  <c r="N494" i="40"/>
  <c r="M494" i="40"/>
  <c r="L494" i="40"/>
  <c r="K494" i="40"/>
  <c r="J494" i="40"/>
  <c r="O483" i="40"/>
  <c r="P483" i="40" s="1"/>
  <c r="Q483" i="40" s="1"/>
  <c r="O448" i="40"/>
  <c r="P448" i="40" s="1"/>
  <c r="Q448" i="40" s="1"/>
  <c r="R448" i="40" s="1"/>
  <c r="S448" i="40" s="1"/>
  <c r="T448" i="40" s="1"/>
  <c r="U448" i="40" s="1"/>
  <c r="V448" i="40" s="1"/>
  <c r="W448" i="40" s="1"/>
  <c r="X448" i="40" s="1"/>
  <c r="O479" i="40"/>
  <c r="P479" i="40" s="1"/>
  <c r="Q479" i="40" s="1"/>
  <c r="R479" i="40" s="1"/>
  <c r="S479" i="40" s="1"/>
  <c r="T479" i="40" s="1"/>
  <c r="U479" i="40" s="1"/>
  <c r="V479" i="40" s="1"/>
  <c r="W479" i="40" s="1"/>
  <c r="X479" i="40" s="1"/>
  <c r="O430" i="40"/>
  <c r="O427" i="40" s="1"/>
  <c r="O433" i="40"/>
  <c r="O447" i="40"/>
  <c r="O395" i="40"/>
  <c r="P395" i="40" s="1"/>
  <c r="Q395" i="40" s="1"/>
  <c r="R395" i="40" s="1"/>
  <c r="S395" i="40" s="1"/>
  <c r="T395" i="40" s="1"/>
  <c r="U395" i="40" s="1"/>
  <c r="V395" i="40" s="1"/>
  <c r="W395" i="40" s="1"/>
  <c r="X395" i="40" s="1"/>
  <c r="C428" i="40" a="1"/>
  <c r="C428" i="40" s="1"/>
  <c r="C427" i="40" a="1"/>
  <c r="C427" i="40" s="1"/>
  <c r="O472" i="40"/>
  <c r="P472" i="40" s="1"/>
  <c r="C437" i="40" a="1"/>
  <c r="C437" i="40" s="1"/>
  <c r="N318" i="40"/>
  <c r="N315" i="40"/>
  <c r="L314" i="40"/>
  <c r="L311" i="40"/>
  <c r="J310" i="40"/>
  <c r="J307" i="40"/>
  <c r="N325" i="40"/>
  <c r="L325" i="40"/>
  <c r="M319" i="40"/>
  <c r="K318" i="40"/>
  <c r="K315" i="40"/>
  <c r="M306" i="40"/>
  <c r="J319" i="40"/>
  <c r="N314" i="40"/>
  <c r="N311" i="40"/>
  <c r="L319" i="40"/>
  <c r="L318" i="40"/>
  <c r="M315" i="40"/>
  <c r="K310" i="40"/>
  <c r="N307" i="40"/>
  <c r="J301" i="40"/>
  <c r="J302" i="40" s="1"/>
  <c r="J283" i="40"/>
  <c r="J284" i="40" s="1"/>
  <c r="M325" i="40"/>
  <c r="K319" i="40"/>
  <c r="J318" i="40"/>
  <c r="L315" i="40"/>
  <c r="M314" i="40"/>
  <c r="M307" i="40"/>
  <c r="N303" i="40"/>
  <c r="N288" i="40"/>
  <c r="N285" i="40"/>
  <c r="K325" i="40"/>
  <c r="J315" i="40"/>
  <c r="K314" i="40"/>
  <c r="L307" i="40"/>
  <c r="N306" i="40"/>
  <c r="M303" i="40"/>
  <c r="M288" i="40"/>
  <c r="M285" i="40"/>
  <c r="M273" i="40"/>
  <c r="M269" i="40"/>
  <c r="K268" i="40"/>
  <c r="M260" i="40"/>
  <c r="K259" i="40"/>
  <c r="M256" i="40"/>
  <c r="K255" i="40"/>
  <c r="M248" i="40"/>
  <c r="W245" i="40"/>
  <c r="O245" i="40"/>
  <c r="J353" i="40"/>
  <c r="J325" i="40"/>
  <c r="J314" i="40"/>
  <c r="K307" i="40"/>
  <c r="L306" i="40"/>
  <c r="L303" i="40"/>
  <c r="N289" i="40"/>
  <c r="L288" i="40"/>
  <c r="L285" i="40"/>
  <c r="L273" i="40"/>
  <c r="N270" i="40"/>
  <c r="L269" i="40"/>
  <c r="J268" i="40"/>
  <c r="L260" i="40"/>
  <c r="J259" i="40"/>
  <c r="N257" i="40"/>
  <c r="L256" i="40"/>
  <c r="J255" i="40"/>
  <c r="L248" i="40"/>
  <c r="V245" i="40"/>
  <c r="N245" i="40"/>
  <c r="M311" i="40"/>
  <c r="K306" i="40"/>
  <c r="K303" i="40"/>
  <c r="N301" i="40"/>
  <c r="N302" i="40" s="1"/>
  <c r="M289" i="40"/>
  <c r="K288" i="40"/>
  <c r="K285" i="40"/>
  <c r="N283" i="40"/>
  <c r="N284" i="40" s="1"/>
  <c r="K273" i="40"/>
  <c r="M270" i="40"/>
  <c r="K269" i="40"/>
  <c r="K260" i="40"/>
  <c r="M257" i="40"/>
  <c r="K256" i="40"/>
  <c r="K248" i="40"/>
  <c r="O246" i="40"/>
  <c r="P246" i="40" s="1"/>
  <c r="Q246" i="40" s="1"/>
  <c r="R246" i="40" s="1"/>
  <c r="S246" i="40" s="1"/>
  <c r="T246" i="40" s="1"/>
  <c r="U246" i="40" s="1"/>
  <c r="V246" i="40" s="1"/>
  <c r="W246" i="40" s="1"/>
  <c r="X246" i="40" s="1"/>
  <c r="U245" i="40"/>
  <c r="M245" i="40"/>
  <c r="O237" i="40"/>
  <c r="P237" i="40" s="1"/>
  <c r="Q237" i="40" s="1"/>
  <c r="K311" i="40"/>
  <c r="N310" i="40"/>
  <c r="J306" i="40"/>
  <c r="J303" i="40"/>
  <c r="L289" i="40"/>
  <c r="J288" i="40"/>
  <c r="J285" i="40"/>
  <c r="M283" i="40"/>
  <c r="M284" i="40" s="1"/>
  <c r="J273" i="40"/>
  <c r="L270" i="40"/>
  <c r="J269" i="40"/>
  <c r="N267" i="40"/>
  <c r="J260" i="40"/>
  <c r="N258" i="40"/>
  <c r="L257" i="40"/>
  <c r="J256" i="40"/>
  <c r="J248" i="40"/>
  <c r="T245" i="40"/>
  <c r="L245" i="40"/>
  <c r="O329" i="40"/>
  <c r="P329" i="40" s="1"/>
  <c r="Q329" i="40" s="1"/>
  <c r="R329" i="40" s="1"/>
  <c r="S329" i="40" s="1"/>
  <c r="T329" i="40" s="1"/>
  <c r="U329" i="40" s="1"/>
  <c r="V329" i="40" s="1"/>
  <c r="W329" i="40" s="1"/>
  <c r="X329" i="40" s="1"/>
  <c r="N323" i="40"/>
  <c r="M267" i="40"/>
  <c r="N260" i="40"/>
  <c r="M255" i="40"/>
  <c r="K245" i="40"/>
  <c r="L222" i="40"/>
  <c r="W168" i="40"/>
  <c r="O168" i="40"/>
  <c r="G168" i="40"/>
  <c r="S158" i="40"/>
  <c r="K158" i="40"/>
  <c r="J311" i="40"/>
  <c r="L301" i="40"/>
  <c r="K289" i="40"/>
  <c r="N273" i="40"/>
  <c r="L267" i="40"/>
  <c r="L255" i="40"/>
  <c r="O248" i="40"/>
  <c r="P248" i="40" s="1"/>
  <c r="Q248" i="40" s="1"/>
  <c r="J245" i="40"/>
  <c r="K222" i="40"/>
  <c r="V168" i="40"/>
  <c r="N168" i="40"/>
  <c r="F168" i="40"/>
  <c r="R158" i="40"/>
  <c r="J158" i="40"/>
  <c r="K301" i="40"/>
  <c r="K302" i="40" s="1"/>
  <c r="J289" i="40"/>
  <c r="N268" i="40"/>
  <c r="K267" i="40"/>
  <c r="N256" i="40"/>
  <c r="N248" i="40"/>
  <c r="J222" i="40"/>
  <c r="U168" i="40"/>
  <c r="M168" i="40"/>
  <c r="E168" i="40"/>
  <c r="Q158" i="40"/>
  <c r="I158" i="40"/>
  <c r="M310" i="40"/>
  <c r="M268" i="40"/>
  <c r="J267" i="40"/>
  <c r="M258" i="40"/>
  <c r="K257" i="40"/>
  <c r="X245" i="40"/>
  <c r="T168" i="40"/>
  <c r="L168" i="40"/>
  <c r="D168" i="40"/>
  <c r="X158" i="40"/>
  <c r="P158" i="40"/>
  <c r="H158" i="40"/>
  <c r="N319" i="40"/>
  <c r="L310" i="40"/>
  <c r="L268" i="40"/>
  <c r="L258" i="40"/>
  <c r="J257" i="40"/>
  <c r="S245" i="40"/>
  <c r="S168" i="40"/>
  <c r="K168" i="40"/>
  <c r="W158" i="40"/>
  <c r="O158" i="40"/>
  <c r="G158" i="40"/>
  <c r="M318" i="40"/>
  <c r="N269" i="40"/>
  <c r="N259" i="40"/>
  <c r="K258" i="40"/>
  <c r="R245" i="40"/>
  <c r="R168" i="40"/>
  <c r="J168" i="40"/>
  <c r="V158" i="40"/>
  <c r="N158" i="40"/>
  <c r="F158" i="40"/>
  <c r="P245" i="40"/>
  <c r="N222" i="40"/>
  <c r="Q168" i="40"/>
  <c r="M158" i="40"/>
  <c r="O117" i="40"/>
  <c r="P117" i="40" s="1"/>
  <c r="Q117" i="40" s="1"/>
  <c r="R117" i="40" s="1"/>
  <c r="S117" i="40" s="1"/>
  <c r="T117" i="40" s="1"/>
  <c r="U117" i="40" s="1"/>
  <c r="V117" i="40" s="1"/>
  <c r="W117" i="40" s="1"/>
  <c r="X117" i="40" s="1"/>
  <c r="L95" i="40"/>
  <c r="N255" i="40"/>
  <c r="M222" i="40"/>
  <c r="P168" i="40"/>
  <c r="L158" i="40"/>
  <c r="K95" i="40"/>
  <c r="I168" i="40"/>
  <c r="E158" i="40"/>
  <c r="J95" i="40"/>
  <c r="K270" i="40"/>
  <c r="H168" i="40"/>
  <c r="D158" i="40"/>
  <c r="L283" i="40"/>
  <c r="L284" i="40" s="1"/>
  <c r="J270" i="40"/>
  <c r="M259" i="40"/>
  <c r="O328" i="40"/>
  <c r="P328" i="40" s="1"/>
  <c r="Q328" i="40" s="1"/>
  <c r="R328" i="40" s="1"/>
  <c r="S328" i="40" s="1"/>
  <c r="T328" i="40" s="1"/>
  <c r="U328" i="40" s="1"/>
  <c r="V328" i="40" s="1"/>
  <c r="W328" i="40" s="1"/>
  <c r="X328" i="40" s="1"/>
  <c r="K283" i="40"/>
  <c r="K284" i="40" s="1"/>
  <c r="L259" i="40"/>
  <c r="O247" i="40"/>
  <c r="P247" i="40" s="1"/>
  <c r="Q247" i="40" s="1"/>
  <c r="R247" i="40" s="1"/>
  <c r="S247" i="40" s="1"/>
  <c r="T247" i="40" s="1"/>
  <c r="U247" i="40" s="1"/>
  <c r="V247" i="40" s="1"/>
  <c r="W247" i="40" s="1"/>
  <c r="X247" i="40" s="1"/>
  <c r="U158" i="40"/>
  <c r="T158" i="40"/>
  <c r="C138" i="40" a="1"/>
  <c r="C138" i="40" s="1"/>
  <c r="C137" i="40" a="1"/>
  <c r="C137" i="40" s="1"/>
  <c r="C136" i="40" a="1"/>
  <c r="C136" i="40" s="1"/>
  <c r="O23" i="40"/>
  <c r="P23" i="40" s="1"/>
  <c r="Q23" i="40" s="1"/>
  <c r="R23" i="40" s="1"/>
  <c r="S23" i="40" s="1"/>
  <c r="T23" i="40" s="1"/>
  <c r="U23" i="40" s="1"/>
  <c r="V23" i="40" s="1"/>
  <c r="W23" i="40" s="1"/>
  <c r="X23" i="40" s="1"/>
  <c r="O30" i="40"/>
  <c r="P30" i="40" s="1"/>
  <c r="Q30" i="40" s="1"/>
  <c r="R30" i="40" s="1"/>
  <c r="S30" i="40" s="1"/>
  <c r="T30" i="40" s="1"/>
  <c r="U30" i="40" s="1"/>
  <c r="V30" i="40" s="1"/>
  <c r="W30" i="40" s="1"/>
  <c r="X30" i="40" s="1"/>
  <c r="X234" i="40" s="1"/>
  <c r="J258" i="40"/>
  <c r="N95" i="40"/>
  <c r="I12" i="40"/>
  <c r="G17" i="40"/>
  <c r="G29" i="40"/>
  <c r="I149" i="40"/>
  <c r="I150" i="40" s="1"/>
  <c r="R21" i="40"/>
  <c r="Q22" i="40"/>
  <c r="L19" i="40"/>
  <c r="L20" i="40"/>
  <c r="H29" i="40"/>
  <c r="G234" i="40"/>
  <c r="F78" i="40"/>
  <c r="F81" i="40" s="1"/>
  <c r="F82" i="40" s="1"/>
  <c r="F83" i="40" s="1"/>
  <c r="F85" i="40"/>
  <c r="M95" i="40"/>
  <c r="D299" i="40"/>
  <c r="D240" i="40"/>
  <c r="L299" i="40"/>
  <c r="L240" i="40"/>
  <c r="H98" i="40"/>
  <c r="H141" i="40"/>
  <c r="H142" i="40" s="1"/>
  <c r="W241" i="40"/>
  <c r="Q18" i="40"/>
  <c r="P19" i="40"/>
  <c r="O19" i="40"/>
  <c r="E22" i="40"/>
  <c r="M22" i="40"/>
  <c r="U148" i="40"/>
  <c r="T43" i="40"/>
  <c r="I14" i="40"/>
  <c r="O25" i="40"/>
  <c r="G400" i="40"/>
  <c r="H234" i="40"/>
  <c r="G78" i="40"/>
  <c r="G81" i="40" s="1"/>
  <c r="G85" i="40"/>
  <c r="E141" i="40"/>
  <c r="E142" i="40"/>
  <c r="M141" i="40"/>
  <c r="M142" i="40" s="1"/>
  <c r="E299" i="40"/>
  <c r="E240" i="40"/>
  <c r="M299" i="40"/>
  <c r="M301" i="40" s="1"/>
  <c r="M240" i="40"/>
  <c r="N12" i="40"/>
  <c r="I234" i="40"/>
  <c r="H78" i="40"/>
  <c r="H81" i="40" s="1"/>
  <c r="H85" i="40"/>
  <c r="F141" i="40"/>
  <c r="F142" i="40" s="1"/>
  <c r="N141" i="40"/>
  <c r="N142" i="40" s="1"/>
  <c r="G142" i="40"/>
  <c r="F149" i="40"/>
  <c r="F150" i="40" s="1"/>
  <c r="I85" i="40"/>
  <c r="H82" i="40"/>
  <c r="H83" i="40" s="1"/>
  <c r="I78" i="40"/>
  <c r="I81" i="40" s="1"/>
  <c r="I82" i="40" s="1"/>
  <c r="I83" i="40" s="1"/>
  <c r="H93" i="40"/>
  <c r="H99" i="40" s="1"/>
  <c r="K106" i="40"/>
  <c r="E128" i="40"/>
  <c r="M128" i="40"/>
  <c r="J150" i="40"/>
  <c r="J149" i="40"/>
  <c r="G196" i="40"/>
  <c r="G191" i="40"/>
  <c r="G194" i="40" s="1"/>
  <c r="G35" i="40" s="1"/>
  <c r="J212" i="40"/>
  <c r="J85" i="40"/>
  <c r="J78" i="40"/>
  <c r="J81" i="40" s="1"/>
  <c r="D106" i="40"/>
  <c r="L106" i="40"/>
  <c r="L121" i="40"/>
  <c r="F128" i="40"/>
  <c r="N128" i="40"/>
  <c r="D146" i="40"/>
  <c r="D147" i="40" s="1"/>
  <c r="L146" i="40"/>
  <c r="L147" i="40" s="1"/>
  <c r="H191" i="40"/>
  <c r="H194" i="40" s="1"/>
  <c r="H196" i="40"/>
  <c r="E121" i="40"/>
  <c r="M121" i="40"/>
  <c r="D263" i="40"/>
  <c r="D264" i="40" s="1"/>
  <c r="D333" i="40"/>
  <c r="K85" i="40"/>
  <c r="K78" i="40"/>
  <c r="K81" i="40" s="1"/>
  <c r="K82" i="40" s="1"/>
  <c r="K83" i="40" s="1"/>
  <c r="K509" i="40"/>
  <c r="K511" i="40" s="1"/>
  <c r="K110" i="40"/>
  <c r="G128" i="40"/>
  <c r="I141" i="40"/>
  <c r="I142" i="40" s="1"/>
  <c r="E146" i="40"/>
  <c r="E147" i="40" s="1"/>
  <c r="M146" i="40"/>
  <c r="M147" i="40"/>
  <c r="E333" i="40"/>
  <c r="E263" i="40"/>
  <c r="E264" i="40" s="1"/>
  <c r="G20" i="40"/>
  <c r="D78" i="40"/>
  <c r="D81" i="40" s="1"/>
  <c r="D82" i="40" s="1"/>
  <c r="D83" i="40" s="1"/>
  <c r="L78" i="40"/>
  <c r="L81" i="40" s="1"/>
  <c r="L82" i="40" s="1"/>
  <c r="L83" i="40" s="1"/>
  <c r="K93" i="40"/>
  <c r="F106" i="40"/>
  <c r="N106" i="40"/>
  <c r="P145" i="40"/>
  <c r="N149" i="40"/>
  <c r="N150" i="40"/>
  <c r="J191" i="40"/>
  <c r="J194" i="40" s="1"/>
  <c r="J196" i="40"/>
  <c r="J197" i="40" s="1"/>
  <c r="K431" i="40"/>
  <c r="K434" i="40" s="1"/>
  <c r="K218" i="40"/>
  <c r="K114" i="40" s="1"/>
  <c r="K121" i="40" s="1"/>
  <c r="F341" i="40"/>
  <c r="F342" i="40" s="1"/>
  <c r="N341" i="40"/>
  <c r="N342" i="40" s="1"/>
  <c r="E78" i="40"/>
  <c r="E81" i="40" s="1"/>
  <c r="E82" i="40" s="1"/>
  <c r="E83" i="40" s="1"/>
  <c r="M78" i="40"/>
  <c r="M81" i="40" s="1"/>
  <c r="M82" i="40" s="1"/>
  <c r="M83" i="40" s="1"/>
  <c r="D359" i="40"/>
  <c r="D375" i="40" s="1"/>
  <c r="L359" i="40"/>
  <c r="F400" i="40"/>
  <c r="N400" i="40"/>
  <c r="D93" i="40"/>
  <c r="L93" i="40"/>
  <c r="G106" i="40"/>
  <c r="K140" i="40"/>
  <c r="J142" i="40"/>
  <c r="G149" i="40"/>
  <c r="G150" i="40" s="1"/>
  <c r="F359" i="40"/>
  <c r="N359" i="40"/>
  <c r="H400" i="40"/>
  <c r="H146" i="40"/>
  <c r="H147" i="40" s="1"/>
  <c r="K234" i="40"/>
  <c r="I245" i="40"/>
  <c r="I276" i="40"/>
  <c r="I277" i="40" s="1"/>
  <c r="G359" i="40"/>
  <c r="I400" i="40"/>
  <c r="D110" i="40"/>
  <c r="L110" i="40"/>
  <c r="E212" i="40"/>
  <c r="M212" i="40"/>
  <c r="D226" i="40"/>
  <c r="D274" i="40"/>
  <c r="F283" i="40"/>
  <c r="F284" i="40" s="1"/>
  <c r="J400" i="40"/>
  <c r="G82" i="40"/>
  <c r="G83" i="40" s="1"/>
  <c r="E110" i="40"/>
  <c r="M110" i="40"/>
  <c r="K191" i="40"/>
  <c r="K194" i="40" s="1"/>
  <c r="K196" i="40"/>
  <c r="F212" i="40"/>
  <c r="N212" i="40"/>
  <c r="I359" i="40"/>
  <c r="I375" i="40" s="1"/>
  <c r="K400" i="40"/>
  <c r="N78" i="40"/>
  <c r="N81" i="40" s="1"/>
  <c r="N82" i="40" s="1"/>
  <c r="N83" i="40" s="1"/>
  <c r="F110" i="40"/>
  <c r="N110" i="40"/>
  <c r="P172" i="40"/>
  <c r="Q172" i="40" s="1"/>
  <c r="R172" i="40" s="1"/>
  <c r="S172" i="40" s="1"/>
  <c r="T172" i="40" s="1"/>
  <c r="U172" i="40" s="1"/>
  <c r="V172" i="40" s="1"/>
  <c r="W172" i="40" s="1"/>
  <c r="X172" i="40" s="1"/>
  <c r="D191" i="40"/>
  <c r="D194" i="40" s="1"/>
  <c r="D196" i="40"/>
  <c r="D197" i="40" s="1"/>
  <c r="L191" i="40"/>
  <c r="L194" i="40" s="1"/>
  <c r="L196" i="40"/>
  <c r="I226" i="40"/>
  <c r="F276" i="40"/>
  <c r="F277" i="40" s="1"/>
  <c r="L459" i="40"/>
  <c r="L460" i="40"/>
  <c r="J359" i="40"/>
  <c r="J375" i="40" s="1"/>
  <c r="D400" i="40"/>
  <c r="L400" i="40"/>
  <c r="G110" i="40"/>
  <c r="E189" i="40"/>
  <c r="M189" i="40"/>
  <c r="J218" i="40"/>
  <c r="J114" i="40" s="1"/>
  <c r="J121" i="40" s="1"/>
  <c r="I333" i="40"/>
  <c r="I263" i="40"/>
  <c r="I264" i="40" s="1"/>
  <c r="G276" i="40"/>
  <c r="G277" i="40" s="1"/>
  <c r="H301" i="40"/>
  <c r="H302" i="40" s="1"/>
  <c r="M323" i="40"/>
  <c r="M324" i="40" s="1"/>
  <c r="M459" i="40"/>
  <c r="M460" i="40" s="1"/>
  <c r="K359" i="40"/>
  <c r="E400" i="40"/>
  <c r="M400" i="40"/>
  <c r="M375" i="40" s="1"/>
  <c r="J82" i="40"/>
  <c r="J83" i="40" s="1"/>
  <c r="H110" i="40"/>
  <c r="F196" i="40"/>
  <c r="F197" i="40"/>
  <c r="N196" i="40"/>
  <c r="Q300" i="40"/>
  <c r="H233" i="40"/>
  <c r="I301" i="40"/>
  <c r="I302" i="40" s="1"/>
  <c r="I233" i="40"/>
  <c r="F301" i="40"/>
  <c r="F302" i="40" s="1"/>
  <c r="F261" i="40"/>
  <c r="H274" i="40"/>
  <c r="H283" i="40"/>
  <c r="H284" i="40" s="1"/>
  <c r="D295" i="40"/>
  <c r="D296" i="40" s="1"/>
  <c r="L295" i="40"/>
  <c r="L296" i="40" s="1"/>
  <c r="E296" i="40"/>
  <c r="G301" i="40"/>
  <c r="G302" i="40" s="1"/>
  <c r="I284" i="40"/>
  <c r="N434" i="40"/>
  <c r="O431" i="40"/>
  <c r="H261" i="40"/>
  <c r="M296" i="40"/>
  <c r="O193" i="40"/>
  <c r="Q216" i="40"/>
  <c r="F218" i="40"/>
  <c r="F114" i="40" s="1"/>
  <c r="F121" i="40" s="1"/>
  <c r="N218" i="40"/>
  <c r="N114" i="40" s="1"/>
  <c r="N121" i="40" s="1"/>
  <c r="L234" i="40"/>
  <c r="G295" i="40"/>
  <c r="K323" i="40"/>
  <c r="K324" i="40" s="1"/>
  <c r="G218" i="40"/>
  <c r="G114" i="40" s="1"/>
  <c r="G121" i="40" s="1"/>
  <c r="E234" i="40"/>
  <c r="M234" i="40"/>
  <c r="E233" i="40"/>
  <c r="J234" i="40"/>
  <c r="G245" i="40"/>
  <c r="F245" i="40"/>
  <c r="E245" i="40"/>
  <c r="D245" i="40"/>
  <c r="D284" i="40"/>
  <c r="H296" i="40"/>
  <c r="L323" i="40"/>
  <c r="L324" i="40" s="1"/>
  <c r="H218" i="40"/>
  <c r="H114" i="40" s="1"/>
  <c r="H121" i="40" s="1"/>
  <c r="F234" i="40"/>
  <c r="N234" i="40"/>
  <c r="F233" i="40"/>
  <c r="E274" i="40"/>
  <c r="E283" i="40"/>
  <c r="E284" i="40" s="1"/>
  <c r="I296" i="40"/>
  <c r="E324" i="40"/>
  <c r="E323" i="40"/>
  <c r="G296" i="40"/>
  <c r="H342" i="40"/>
  <c r="F240" i="40"/>
  <c r="N240" i="40"/>
  <c r="G240" i="40"/>
  <c r="P252" i="40"/>
  <c r="E341" i="40"/>
  <c r="E342" i="40" s="1"/>
  <c r="G345" i="40"/>
  <c r="G346" i="40" s="1"/>
  <c r="K346" i="40"/>
  <c r="K36" i="40" s="1"/>
  <c r="J323" i="40"/>
  <c r="J324" i="40" s="1"/>
  <c r="O530" i="40"/>
  <c r="P419" i="40"/>
  <c r="O464" i="40"/>
  <c r="O532" i="40" s="1"/>
  <c r="M484" i="40"/>
  <c r="M485" i="40" s="1"/>
  <c r="H359" i="40"/>
  <c r="H366" i="40" s="1"/>
  <c r="I342" i="40"/>
  <c r="E388" i="40"/>
  <c r="M388" i="40"/>
  <c r="U388" i="40"/>
  <c r="D457" i="40"/>
  <c r="D341" i="40"/>
  <c r="D342" i="40" s="1"/>
  <c r="E457" i="40"/>
  <c r="N484" i="40"/>
  <c r="N485" i="40"/>
  <c r="D416" i="40"/>
  <c r="J388" i="40"/>
  <c r="R388" i="40"/>
  <c r="D388" i="40"/>
  <c r="D391" i="40" s="1"/>
  <c r="E391" i="40" s="1"/>
  <c r="F391" i="40" s="1"/>
  <c r="L388" i="40"/>
  <c r="T388" i="40"/>
  <c r="I457" i="40"/>
  <c r="K484" i="40"/>
  <c r="K485" i="40"/>
  <c r="G429" i="40"/>
  <c r="G430" i="40"/>
  <c r="K388" i="40"/>
  <c r="S388" i="40"/>
  <c r="J457" i="40"/>
  <c r="D484" i="40"/>
  <c r="D485" i="40"/>
  <c r="L484" i="40"/>
  <c r="L485" i="40" s="1"/>
  <c r="O531" i="40"/>
  <c r="P423" i="40"/>
  <c r="H429" i="40"/>
  <c r="H430" i="40"/>
  <c r="H479" i="40"/>
  <c r="H480" i="40" s="1"/>
  <c r="K457" i="40"/>
  <c r="E484" i="40"/>
  <c r="E485" i="40" s="1"/>
  <c r="I430" i="40"/>
  <c r="I479" i="40"/>
  <c r="I480" i="40" s="1"/>
  <c r="I57" i="40" s="1"/>
  <c r="H497" i="40"/>
  <c r="G503" i="40"/>
  <c r="F484" i="40"/>
  <c r="F485" i="40" s="1"/>
  <c r="H474" i="40"/>
  <c r="H475" i="40" s="1"/>
  <c r="Q474" i="40"/>
  <c r="R474" i="40" s="1"/>
  <c r="S474" i="40" s="1"/>
  <c r="T474" i="40" s="1"/>
  <c r="U474" i="40" s="1"/>
  <c r="V474" i="40" s="1"/>
  <c r="W474" i="40" s="1"/>
  <c r="X474" i="40" s="1"/>
  <c r="H511" i="40"/>
  <c r="G484" i="40"/>
  <c r="G485" i="40" s="1"/>
  <c r="J430" i="40"/>
  <c r="N444" i="40"/>
  <c r="O441" i="40"/>
  <c r="O219" i="40" s="1"/>
  <c r="I511" i="40"/>
  <c r="F457" i="40"/>
  <c r="N457" i="40"/>
  <c r="H484" i="40"/>
  <c r="H485" i="40" s="1"/>
  <c r="K430" i="40"/>
  <c r="G457" i="40"/>
  <c r="I484" i="40"/>
  <c r="I485" i="40" s="1"/>
  <c r="K475" i="40"/>
  <c r="K503" i="40"/>
  <c r="H457" i="40"/>
  <c r="J484" i="40"/>
  <c r="J485" i="40"/>
  <c r="F430" i="40"/>
  <c r="F429" i="40"/>
  <c r="N430" i="40"/>
  <c r="N429" i="40"/>
  <c r="L429" i="40"/>
  <c r="I444" i="40"/>
  <c r="D475" i="40"/>
  <c r="L475" i="40"/>
  <c r="G475" i="40"/>
  <c r="G502" i="40"/>
  <c r="E474" i="40"/>
  <c r="E475" i="40" s="1"/>
  <c r="E57" i="40" s="1"/>
  <c r="M474" i="40"/>
  <c r="M475" i="40" s="1"/>
  <c r="J480" i="40"/>
  <c r="D503" i="40"/>
  <c r="J511" i="40"/>
  <c r="H502" i="40"/>
  <c r="H503" i="40" s="1"/>
  <c r="K479" i="40"/>
  <c r="K480" i="40" s="1"/>
  <c r="E503" i="40"/>
  <c r="M503" i="40"/>
  <c r="I502" i="40"/>
  <c r="J475" i="40"/>
  <c r="J57" i="40" s="1"/>
  <c r="D479" i="40"/>
  <c r="D480" i="40" s="1"/>
  <c r="L479" i="40"/>
  <c r="L480" i="40"/>
  <c r="J502" i="40"/>
  <c r="J503" i="40" s="1"/>
  <c r="E480" i="40"/>
  <c r="M479" i="40"/>
  <c r="M480" i="40" s="1"/>
  <c r="E511" i="40"/>
  <c r="M511" i="40"/>
  <c r="N479" i="40"/>
  <c r="N480" i="40" s="1"/>
  <c r="N57" i="40" s="1"/>
  <c r="F511" i="40"/>
  <c r="N511" i="40"/>
  <c r="G480" i="40"/>
  <c r="O478" i="40"/>
  <c r="I503" i="40"/>
  <c r="G511" i="40"/>
  <c r="L494" i="39"/>
  <c r="K494" i="39"/>
  <c r="J494" i="39"/>
  <c r="O483" i="39"/>
  <c r="P483" i="39" s="1"/>
  <c r="Q483" i="39" s="1"/>
  <c r="O447" i="39"/>
  <c r="P447" i="39" s="1"/>
  <c r="C437" i="39" a="1"/>
  <c r="C437" i="39" s="1"/>
  <c r="O479" i="39"/>
  <c r="P479" i="39" s="1"/>
  <c r="Q479" i="39" s="1"/>
  <c r="R479" i="39" s="1"/>
  <c r="S479" i="39" s="1"/>
  <c r="T479" i="39" s="1"/>
  <c r="U479" i="39" s="1"/>
  <c r="V479" i="39" s="1"/>
  <c r="W479" i="39" s="1"/>
  <c r="X479" i="39" s="1"/>
  <c r="O472" i="39"/>
  <c r="N494" i="39"/>
  <c r="O448" i="39"/>
  <c r="P448" i="39" s="1"/>
  <c r="Q448" i="39" s="1"/>
  <c r="R448" i="39" s="1"/>
  <c r="S448" i="39" s="1"/>
  <c r="T448" i="39" s="1"/>
  <c r="U448" i="39" s="1"/>
  <c r="V448" i="39" s="1"/>
  <c r="W448" i="39" s="1"/>
  <c r="X448" i="39" s="1"/>
  <c r="O433" i="39"/>
  <c r="M494" i="39"/>
  <c r="C428" i="39" a="1"/>
  <c r="C428" i="39" s="1"/>
  <c r="C427" i="39" a="1"/>
  <c r="C427" i="39" s="1"/>
  <c r="O430" i="39"/>
  <c r="O427" i="39" s="1"/>
  <c r="I353" i="39"/>
  <c r="J325" i="39"/>
  <c r="K319" i="39"/>
  <c r="M310" i="39"/>
  <c r="M307" i="39"/>
  <c r="K306" i="39"/>
  <c r="K303" i="39"/>
  <c r="N301" i="39"/>
  <c r="N302" i="39" s="1"/>
  <c r="M289" i="39"/>
  <c r="K288" i="39"/>
  <c r="K285" i="39"/>
  <c r="J319" i="39"/>
  <c r="N314" i="39"/>
  <c r="N311" i="39"/>
  <c r="L310" i="39"/>
  <c r="L307" i="39"/>
  <c r="J306" i="39"/>
  <c r="J303" i="39"/>
  <c r="M301" i="39"/>
  <c r="M302" i="39" s="1"/>
  <c r="L289" i="39"/>
  <c r="J288" i="39"/>
  <c r="J285" i="39"/>
  <c r="M283" i="39"/>
  <c r="M284" i="39" s="1"/>
  <c r="J273" i="39"/>
  <c r="L270" i="39"/>
  <c r="J269" i="39"/>
  <c r="N267" i="39"/>
  <c r="J260" i="39"/>
  <c r="N258" i="39"/>
  <c r="L257" i="39"/>
  <c r="J256" i="39"/>
  <c r="J248" i="39"/>
  <c r="T245" i="39"/>
  <c r="L245" i="39"/>
  <c r="M314" i="39"/>
  <c r="M311" i="39"/>
  <c r="K310" i="39"/>
  <c r="K307" i="39"/>
  <c r="L301" i="39"/>
  <c r="L302" i="39" s="1"/>
  <c r="K289" i="39"/>
  <c r="L283" i="39"/>
  <c r="L284" i="39" s="1"/>
  <c r="K270" i="39"/>
  <c r="M267" i="39"/>
  <c r="M258" i="39"/>
  <c r="K257" i="39"/>
  <c r="O247" i="39"/>
  <c r="P247" i="39" s="1"/>
  <c r="Q247" i="39" s="1"/>
  <c r="R247" i="39" s="1"/>
  <c r="S247" i="39" s="1"/>
  <c r="T247" i="39" s="1"/>
  <c r="U247" i="39" s="1"/>
  <c r="V247" i="39" s="1"/>
  <c r="W247" i="39" s="1"/>
  <c r="X247" i="39" s="1"/>
  <c r="S245" i="39"/>
  <c r="K245" i="39"/>
  <c r="N318" i="39"/>
  <c r="N315" i="39"/>
  <c r="L314" i="39"/>
  <c r="L311" i="39"/>
  <c r="J310" i="39"/>
  <c r="J307" i="39"/>
  <c r="J289" i="39"/>
  <c r="K283" i="39"/>
  <c r="K284" i="39" s="1"/>
  <c r="J270" i="39"/>
  <c r="N268" i="39"/>
  <c r="L267" i="39"/>
  <c r="N259" i="39"/>
  <c r="L258" i="39"/>
  <c r="J257" i="39"/>
  <c r="N255" i="39"/>
  <c r="R245" i="39"/>
  <c r="J245" i="39"/>
  <c r="N325" i="39"/>
  <c r="M318" i="39"/>
  <c r="M315" i="39"/>
  <c r="K314" i="39"/>
  <c r="K311" i="39"/>
  <c r="J301" i="39"/>
  <c r="J302" i="39" s="1"/>
  <c r="J283" i="39"/>
  <c r="J284" i="39" s="1"/>
  <c r="O328" i="39"/>
  <c r="P328" i="39" s="1"/>
  <c r="Q328" i="39" s="1"/>
  <c r="R328" i="39" s="1"/>
  <c r="S328" i="39" s="1"/>
  <c r="T328" i="39" s="1"/>
  <c r="U328" i="39" s="1"/>
  <c r="V328" i="39" s="1"/>
  <c r="W328" i="39" s="1"/>
  <c r="X328" i="39" s="1"/>
  <c r="M325" i="39"/>
  <c r="N319" i="39"/>
  <c r="L318" i="39"/>
  <c r="L315" i="39"/>
  <c r="J314" i="39"/>
  <c r="J311" i="39"/>
  <c r="N306" i="39"/>
  <c r="N303" i="39"/>
  <c r="N288" i="39"/>
  <c r="N285" i="39"/>
  <c r="N273" i="39"/>
  <c r="N269" i="39"/>
  <c r="L268" i="39"/>
  <c r="J267" i="39"/>
  <c r="N260" i="39"/>
  <c r="L259" i="39"/>
  <c r="J258" i="39"/>
  <c r="N256" i="39"/>
  <c r="L255" i="39"/>
  <c r="N248" i="39"/>
  <c r="X245" i="39"/>
  <c r="P245" i="39"/>
  <c r="O395" i="39"/>
  <c r="P395" i="39" s="1"/>
  <c r="Q395" i="39" s="1"/>
  <c r="R395" i="39" s="1"/>
  <c r="S395" i="39" s="1"/>
  <c r="T395" i="39" s="1"/>
  <c r="U395" i="39" s="1"/>
  <c r="V395" i="39" s="1"/>
  <c r="W395" i="39" s="1"/>
  <c r="X395" i="39" s="1"/>
  <c r="L325" i="39"/>
  <c r="M319" i="39"/>
  <c r="K318" i="39"/>
  <c r="K315" i="39"/>
  <c r="M306" i="39"/>
  <c r="M303" i="39"/>
  <c r="M288" i="39"/>
  <c r="M285" i="39"/>
  <c r="M273" i="39"/>
  <c r="M269" i="39"/>
  <c r="K268" i="39"/>
  <c r="M260" i="39"/>
  <c r="K259" i="39"/>
  <c r="M256" i="39"/>
  <c r="K255" i="39"/>
  <c r="M248" i="39"/>
  <c r="W245" i="39"/>
  <c r="O245" i="39"/>
  <c r="L319" i="39"/>
  <c r="L306" i="39"/>
  <c r="L273" i="39"/>
  <c r="K269" i="39"/>
  <c r="K256" i="39"/>
  <c r="L248" i="39"/>
  <c r="S168" i="39"/>
  <c r="K168" i="39"/>
  <c r="W158" i="39"/>
  <c r="O158" i="39"/>
  <c r="G158" i="39"/>
  <c r="O329" i="39"/>
  <c r="P329" i="39" s="1"/>
  <c r="Q329" i="39" s="1"/>
  <c r="R329" i="39" s="1"/>
  <c r="S329" i="39" s="1"/>
  <c r="T329" i="39" s="1"/>
  <c r="U329" i="39" s="1"/>
  <c r="V329" i="39" s="1"/>
  <c r="W329" i="39" s="1"/>
  <c r="X329" i="39" s="1"/>
  <c r="J318" i="39"/>
  <c r="L303" i="39"/>
  <c r="K273" i="39"/>
  <c r="K267" i="39"/>
  <c r="M259" i="39"/>
  <c r="K248" i="39"/>
  <c r="V245" i="39"/>
  <c r="R168" i="39"/>
  <c r="J168" i="39"/>
  <c r="V158" i="39"/>
  <c r="N158" i="39"/>
  <c r="F158" i="39"/>
  <c r="N270" i="39"/>
  <c r="J259" i="39"/>
  <c r="N257" i="39"/>
  <c r="U245" i="39"/>
  <c r="N222" i="39"/>
  <c r="Q168" i="39"/>
  <c r="I168" i="39"/>
  <c r="U158" i="39"/>
  <c r="M158" i="39"/>
  <c r="E158" i="39"/>
  <c r="J315" i="39"/>
  <c r="M270" i="39"/>
  <c r="M268" i="39"/>
  <c r="M257" i="39"/>
  <c r="M255" i="39"/>
  <c r="Q245" i="39"/>
  <c r="O237" i="39"/>
  <c r="M222" i="39"/>
  <c r="X168" i="39"/>
  <c r="P168" i="39"/>
  <c r="H168" i="39"/>
  <c r="T158" i="39"/>
  <c r="L158" i="39"/>
  <c r="D158" i="39"/>
  <c r="K325" i="39"/>
  <c r="N289" i="39"/>
  <c r="J268" i="39"/>
  <c r="J255" i="39"/>
  <c r="O246" i="39"/>
  <c r="P246" i="39" s="1"/>
  <c r="Q246" i="39" s="1"/>
  <c r="R246" i="39" s="1"/>
  <c r="S246" i="39" s="1"/>
  <c r="T246" i="39" s="1"/>
  <c r="U246" i="39" s="1"/>
  <c r="V246" i="39" s="1"/>
  <c r="W246" i="39" s="1"/>
  <c r="X246" i="39" s="1"/>
  <c r="N245" i="39"/>
  <c r="L222" i="39"/>
  <c r="W168" i="39"/>
  <c r="O168" i="39"/>
  <c r="G168" i="39"/>
  <c r="S158" i="39"/>
  <c r="K158" i="39"/>
  <c r="L288" i="39"/>
  <c r="L260" i="39"/>
  <c r="M245" i="39"/>
  <c r="K222" i="39"/>
  <c r="V168" i="39"/>
  <c r="N168" i="39"/>
  <c r="F168" i="39"/>
  <c r="R158" i="39"/>
  <c r="J158" i="39"/>
  <c r="N310" i="39"/>
  <c r="L285" i="39"/>
  <c r="K260" i="39"/>
  <c r="J222" i="39"/>
  <c r="U168" i="39"/>
  <c r="M168" i="39"/>
  <c r="E168" i="39"/>
  <c r="Q158" i="39"/>
  <c r="I158" i="39"/>
  <c r="K95" i="39"/>
  <c r="J95" i="39"/>
  <c r="K258" i="39"/>
  <c r="L256" i="39"/>
  <c r="T168" i="39"/>
  <c r="X158" i="39"/>
  <c r="L269" i="39"/>
  <c r="O248" i="39"/>
  <c r="P248" i="39" s="1"/>
  <c r="Q248" i="39" s="1"/>
  <c r="R248" i="39" s="1"/>
  <c r="S248" i="39" s="1"/>
  <c r="T248" i="39" s="1"/>
  <c r="U248" i="39" s="1"/>
  <c r="V248" i="39" s="1"/>
  <c r="W248" i="39" s="1"/>
  <c r="X248" i="39" s="1"/>
  <c r="L168" i="39"/>
  <c r="P158" i="39"/>
  <c r="D168" i="39"/>
  <c r="H158" i="39"/>
  <c r="N95" i="39"/>
  <c r="N323" i="39"/>
  <c r="N324" i="39" s="1"/>
  <c r="C138" i="39" a="1"/>
  <c r="C138" i="39" s="1"/>
  <c r="C137" i="39" a="1"/>
  <c r="C137" i="39" s="1"/>
  <c r="C136" i="39" a="1"/>
  <c r="C136" i="39" s="1"/>
  <c r="M95" i="39"/>
  <c r="N307" i="39"/>
  <c r="O25" i="39"/>
  <c r="L95" i="39"/>
  <c r="O30" i="39"/>
  <c r="P30" i="39" s="1"/>
  <c r="Q30" i="39" s="1"/>
  <c r="R30" i="39" s="1"/>
  <c r="S30" i="39" s="1"/>
  <c r="T30" i="39" s="1"/>
  <c r="U30" i="39" s="1"/>
  <c r="V30" i="39" s="1"/>
  <c r="W30" i="39" s="1"/>
  <c r="X30" i="39" s="1"/>
  <c r="X234" i="39" s="1"/>
  <c r="O117" i="39"/>
  <c r="P117" i="39" s="1"/>
  <c r="Q117" i="39" s="1"/>
  <c r="R117" i="39" s="1"/>
  <c r="S117" i="39" s="1"/>
  <c r="T117" i="39" s="1"/>
  <c r="U117" i="39" s="1"/>
  <c r="V117" i="39" s="1"/>
  <c r="W117" i="39" s="1"/>
  <c r="X117" i="39" s="1"/>
  <c r="H29" i="39"/>
  <c r="G29" i="39"/>
  <c r="I14" i="39"/>
  <c r="H14" i="39"/>
  <c r="F22" i="39"/>
  <c r="E22" i="39"/>
  <c r="N22" i="39"/>
  <c r="M22" i="39"/>
  <c r="O24" i="39"/>
  <c r="P24" i="39" s="1"/>
  <c r="Q24" i="39" s="1"/>
  <c r="R24" i="39" s="1"/>
  <c r="S24" i="39" s="1"/>
  <c r="T24" i="39" s="1"/>
  <c r="U24" i="39" s="1"/>
  <c r="V24" i="39" s="1"/>
  <c r="W24" i="39" s="1"/>
  <c r="X24" i="39" s="1"/>
  <c r="J12" i="39"/>
  <c r="E19" i="39"/>
  <c r="D20" i="39"/>
  <c r="M19" i="39"/>
  <c r="L20" i="39"/>
  <c r="L19" i="39"/>
  <c r="G17" i="39"/>
  <c r="F17" i="39"/>
  <c r="F20" i="39"/>
  <c r="N17" i="39"/>
  <c r="N20" i="39"/>
  <c r="O29" i="39"/>
  <c r="O185" i="39" s="1"/>
  <c r="O23" i="39"/>
  <c r="P23" i="39" s="1"/>
  <c r="Q23" i="39" s="1"/>
  <c r="R23" i="39" s="1"/>
  <c r="S23" i="39" s="1"/>
  <c r="T23" i="39" s="1"/>
  <c r="U23" i="39" s="1"/>
  <c r="V23" i="39" s="1"/>
  <c r="W23" i="39" s="1"/>
  <c r="X23" i="39" s="1"/>
  <c r="K141" i="39"/>
  <c r="K142" i="39" s="1"/>
  <c r="K359" i="39"/>
  <c r="K366" i="39" s="1"/>
  <c r="K82" i="39"/>
  <c r="K83" i="39" s="1"/>
  <c r="E400" i="39"/>
  <c r="M400" i="39"/>
  <c r="F98" i="39"/>
  <c r="G121" i="39"/>
  <c r="D141" i="39"/>
  <c r="D142" i="39"/>
  <c r="L141" i="39"/>
  <c r="L142" i="39" s="1"/>
  <c r="K146" i="39"/>
  <c r="K147" i="39" s="1"/>
  <c r="L78" i="39"/>
  <c r="L81" i="39" s="1"/>
  <c r="L82" i="39" s="1"/>
  <c r="L83" i="39" s="1"/>
  <c r="L85" i="39"/>
  <c r="E141" i="39"/>
  <c r="E142" i="39" s="1"/>
  <c r="O18" i="39"/>
  <c r="P21" i="39"/>
  <c r="E149" i="39"/>
  <c r="E150" i="39" s="1"/>
  <c r="M149" i="39"/>
  <c r="M150" i="39" s="1"/>
  <c r="H191" i="39"/>
  <c r="H194" i="39" s="1"/>
  <c r="H35" i="39" s="1"/>
  <c r="H196" i="39"/>
  <c r="D78" i="39"/>
  <c r="D81" i="39" s="1"/>
  <c r="D82" i="39" s="1"/>
  <c r="D83" i="39" s="1"/>
  <c r="D85" i="39"/>
  <c r="F78" i="39"/>
  <c r="F81" i="39" s="1"/>
  <c r="F82" i="39" s="1"/>
  <c r="F83" i="39" s="1"/>
  <c r="F359" i="39"/>
  <c r="F366" i="39" s="1"/>
  <c r="N359" i="39"/>
  <c r="H400" i="39"/>
  <c r="F106" i="39"/>
  <c r="N106" i="39"/>
  <c r="D128" i="39"/>
  <c r="L128" i="39"/>
  <c r="G142" i="39"/>
  <c r="G141" i="39"/>
  <c r="E191" i="39"/>
  <c r="E194" i="39" s="1"/>
  <c r="E196" i="39"/>
  <c r="E197" i="39" s="1"/>
  <c r="F93" i="39"/>
  <c r="F99" i="39" s="1"/>
  <c r="N93" i="39"/>
  <c r="D509" i="39"/>
  <c r="D511" i="39" s="1"/>
  <c r="D110" i="39"/>
  <c r="D111" i="39" s="1"/>
  <c r="L509" i="39"/>
  <c r="L110" i="39"/>
  <c r="M121" i="39"/>
  <c r="N141" i="39"/>
  <c r="N142" i="39" s="1"/>
  <c r="F431" i="39"/>
  <c r="F434" i="39" s="1"/>
  <c r="F218" i="39"/>
  <c r="F114" i="39" s="1"/>
  <c r="F121" i="39" s="1"/>
  <c r="N431" i="39"/>
  <c r="N218" i="39"/>
  <c r="N114" i="39" s="1"/>
  <c r="N121" i="39" s="1"/>
  <c r="M141" i="39"/>
  <c r="M142" i="39" s="1"/>
  <c r="H20" i="39"/>
  <c r="H85" i="39"/>
  <c r="F128" i="39"/>
  <c r="N128" i="39"/>
  <c r="I140" i="39"/>
  <c r="K196" i="39"/>
  <c r="K197" i="39" s="1"/>
  <c r="K199" i="39" s="1"/>
  <c r="I509" i="39"/>
  <c r="I110" i="39"/>
  <c r="I85" i="39"/>
  <c r="I78" i="39"/>
  <c r="I81" i="39" s="1"/>
  <c r="I82" i="39" s="1"/>
  <c r="I83" i="39" s="1"/>
  <c r="N85" i="39"/>
  <c r="I106" i="39"/>
  <c r="J141" i="39"/>
  <c r="J142" i="39"/>
  <c r="F142" i="39"/>
  <c r="K234" i="39"/>
  <c r="D359" i="39"/>
  <c r="L359" i="39"/>
  <c r="F400" i="39"/>
  <c r="N400" i="39"/>
  <c r="I191" i="39"/>
  <c r="I194" i="39" s="1"/>
  <c r="I196" i="39"/>
  <c r="I197" i="39" s="1"/>
  <c r="M191" i="39"/>
  <c r="M194" i="39" s="1"/>
  <c r="M196" i="39"/>
  <c r="M197" i="39" s="1"/>
  <c r="G301" i="39"/>
  <c r="G302" i="39" s="1"/>
  <c r="G274" i="39"/>
  <c r="G459" i="39"/>
  <c r="G460" i="39" s="1"/>
  <c r="E359" i="39"/>
  <c r="M359" i="39"/>
  <c r="M366" i="39" s="1"/>
  <c r="G400" i="39"/>
  <c r="J78" i="39"/>
  <c r="J81" i="39" s="1"/>
  <c r="J82" i="39" s="1"/>
  <c r="J83" i="39" s="1"/>
  <c r="E85" i="39"/>
  <c r="M85" i="39"/>
  <c r="H141" i="39"/>
  <c r="J196" i="39"/>
  <c r="J197" i="39" s="1"/>
  <c r="F147" i="39"/>
  <c r="N147" i="39"/>
  <c r="K191" i="39"/>
  <c r="K194" i="39" s="1"/>
  <c r="L233" i="39"/>
  <c r="L234" i="39"/>
  <c r="I234" i="39"/>
  <c r="F263" i="39"/>
  <c r="F264" i="39" s="1"/>
  <c r="J323" i="39"/>
  <c r="J324" i="39" s="1"/>
  <c r="I400" i="39"/>
  <c r="G147" i="39"/>
  <c r="O145" i="39"/>
  <c r="D191" i="39"/>
  <c r="D194" i="39" s="1"/>
  <c r="D196" i="39"/>
  <c r="L191" i="39"/>
  <c r="L194" i="39" s="1"/>
  <c r="L196" i="39"/>
  <c r="L197" i="39" s="1"/>
  <c r="L199" i="39" s="1"/>
  <c r="E234" i="39"/>
  <c r="M234" i="39"/>
  <c r="H359" i="39"/>
  <c r="J400" i="39"/>
  <c r="E110" i="39"/>
  <c r="M110" i="39"/>
  <c r="E212" i="39"/>
  <c r="M212" i="39"/>
  <c r="F234" i="39"/>
  <c r="N234" i="39"/>
  <c r="K299" i="39"/>
  <c r="K240" i="39"/>
  <c r="I264" i="39"/>
  <c r="G263" i="39"/>
  <c r="G264" i="39" s="1"/>
  <c r="G333" i="39"/>
  <c r="I359" i="39"/>
  <c r="I366" i="39" s="1"/>
  <c r="K400" i="39"/>
  <c r="N78" i="39"/>
  <c r="N81" i="39" s="1"/>
  <c r="N82" i="39" s="1"/>
  <c r="N83" i="39" s="1"/>
  <c r="H82" i="39"/>
  <c r="H83" i="39" s="1"/>
  <c r="F110" i="39"/>
  <c r="N110" i="39"/>
  <c r="I147" i="39"/>
  <c r="F191" i="39"/>
  <c r="F194" i="39" s="1"/>
  <c r="F196" i="39"/>
  <c r="N189" i="39"/>
  <c r="N281" i="39"/>
  <c r="N283" i="39" s="1"/>
  <c r="O193" i="39"/>
  <c r="P216" i="39"/>
  <c r="G234" i="39"/>
  <c r="D301" i="39"/>
  <c r="D302" i="39" s="1"/>
  <c r="Q252" i="39"/>
  <c r="D274" i="39"/>
  <c r="D345" i="39"/>
  <c r="D346" i="39" s="1"/>
  <c r="J359" i="39"/>
  <c r="D402" i="39"/>
  <c r="D400" i="39"/>
  <c r="L400" i="39"/>
  <c r="G78" i="39"/>
  <c r="G81" i="39" s="1"/>
  <c r="G82" i="39" s="1"/>
  <c r="G83" i="39" s="1"/>
  <c r="J85" i="39"/>
  <c r="G110" i="39"/>
  <c r="D146" i="39"/>
  <c r="D147" i="39" s="1"/>
  <c r="L146" i="39"/>
  <c r="L147" i="39" s="1"/>
  <c r="G212" i="39"/>
  <c r="H234" i="39"/>
  <c r="F276" i="39"/>
  <c r="F277" i="39" s="1"/>
  <c r="F233" i="39"/>
  <c r="N233" i="39"/>
  <c r="J234" i="39"/>
  <c r="H263" i="39"/>
  <c r="H264" i="39" s="1"/>
  <c r="H333" i="39"/>
  <c r="E274" i="39"/>
  <c r="F284" i="39"/>
  <c r="D296" i="39"/>
  <c r="K323" i="39"/>
  <c r="K324" i="39" s="1"/>
  <c r="J341" i="39"/>
  <c r="J342" i="39" s="1"/>
  <c r="E301" i="39"/>
  <c r="I263" i="39"/>
  <c r="I333" i="39"/>
  <c r="G284" i="39"/>
  <c r="H296" i="39"/>
  <c r="H295" i="39"/>
  <c r="L323" i="39"/>
  <c r="L324" i="39" s="1"/>
  <c r="H218" i="39"/>
  <c r="H114" i="39" s="1"/>
  <c r="H121" i="39" s="1"/>
  <c r="H233" i="39"/>
  <c r="F301" i="39"/>
  <c r="F302" i="39"/>
  <c r="E240" i="39"/>
  <c r="M240" i="39"/>
  <c r="H245" i="39"/>
  <c r="G245" i="39"/>
  <c r="M323" i="39"/>
  <c r="M324" i="39" s="1"/>
  <c r="I218" i="39"/>
  <c r="I114" i="39" s="1"/>
  <c r="I121" i="39" s="1"/>
  <c r="F240" i="39"/>
  <c r="N240" i="39"/>
  <c r="H274" i="39"/>
  <c r="I283" i="39"/>
  <c r="I284" i="39" s="1"/>
  <c r="F324" i="39"/>
  <c r="J218" i="39"/>
  <c r="H302" i="39"/>
  <c r="H301" i="39"/>
  <c r="G240" i="39"/>
  <c r="D261" i="39"/>
  <c r="I274" i="39"/>
  <c r="G359" i="39"/>
  <c r="G375" i="39" s="1"/>
  <c r="I302" i="39"/>
  <c r="I301" i="39"/>
  <c r="E261" i="39"/>
  <c r="D295" i="39"/>
  <c r="L295" i="39"/>
  <c r="L296" i="39" s="1"/>
  <c r="E284" i="39"/>
  <c r="D218" i="39"/>
  <c r="D114" i="39" s="1"/>
  <c r="D121" i="39" s="1"/>
  <c r="L218" i="39"/>
  <c r="L114" i="39" s="1"/>
  <c r="L121" i="39" s="1"/>
  <c r="I240" i="39"/>
  <c r="D283" i="39"/>
  <c r="D284" i="39" s="1"/>
  <c r="E296" i="39"/>
  <c r="M296" i="39"/>
  <c r="F323" i="39"/>
  <c r="H283" i="39"/>
  <c r="H284" i="39" s="1"/>
  <c r="G295" i="39"/>
  <c r="G296" i="39" s="1"/>
  <c r="J296" i="39"/>
  <c r="G323" i="39"/>
  <c r="G324" i="39" s="1"/>
  <c r="K342" i="39"/>
  <c r="F345" i="39"/>
  <c r="F346" i="39" s="1"/>
  <c r="G484" i="39"/>
  <c r="G485" i="39"/>
  <c r="K296" i="39"/>
  <c r="E346" i="39"/>
  <c r="E36" i="39" s="1"/>
  <c r="E324" i="39"/>
  <c r="N342" i="39"/>
  <c r="M346" i="39"/>
  <c r="M36" i="39" s="1"/>
  <c r="D496" i="39"/>
  <c r="H341" i="39"/>
  <c r="H342" i="39" s="1"/>
  <c r="I342" i="39"/>
  <c r="I457" i="39"/>
  <c r="E388" i="39"/>
  <c r="M388" i="39"/>
  <c r="U388" i="39"/>
  <c r="D391" i="39"/>
  <c r="J484" i="39"/>
  <c r="J485" i="39" s="1"/>
  <c r="J457" i="39"/>
  <c r="K484" i="39"/>
  <c r="K485" i="39" s="1"/>
  <c r="I388" i="39"/>
  <c r="Q388" i="39"/>
  <c r="D484" i="39"/>
  <c r="D485" i="39" s="1"/>
  <c r="H484" i="39"/>
  <c r="H485" i="39"/>
  <c r="J388" i="39"/>
  <c r="R388" i="39"/>
  <c r="D416" i="39"/>
  <c r="G429" i="39"/>
  <c r="G430" i="39"/>
  <c r="E457" i="39"/>
  <c r="M457" i="39"/>
  <c r="K419" i="39"/>
  <c r="K423" i="39" s="1"/>
  <c r="H429" i="39"/>
  <c r="I430" i="39"/>
  <c r="H430" i="39"/>
  <c r="F479" i="39"/>
  <c r="F480" i="39" s="1"/>
  <c r="L484" i="39"/>
  <c r="L485" i="39" s="1"/>
  <c r="K457" i="39"/>
  <c r="E484" i="39"/>
  <c r="E485" i="39" s="1"/>
  <c r="M484" i="39"/>
  <c r="M485" i="39" s="1"/>
  <c r="D429" i="39"/>
  <c r="L429" i="39"/>
  <c r="K449" i="39"/>
  <c r="O474" i="39"/>
  <c r="P474" i="39" s="1"/>
  <c r="Q474" i="39" s="1"/>
  <c r="R474" i="39" s="1"/>
  <c r="S474" i="39" s="1"/>
  <c r="T474" i="39" s="1"/>
  <c r="U474" i="39" s="1"/>
  <c r="V474" i="39" s="1"/>
  <c r="W474" i="39" s="1"/>
  <c r="X474" i="39" s="1"/>
  <c r="D457" i="39"/>
  <c r="L457" i="39"/>
  <c r="N484" i="39"/>
  <c r="D503" i="39"/>
  <c r="E480" i="39"/>
  <c r="F457" i="39"/>
  <c r="N457" i="39"/>
  <c r="D444" i="39"/>
  <c r="L444" i="39"/>
  <c r="H502" i="39"/>
  <c r="H503" i="39" s="1"/>
  <c r="I502" i="39"/>
  <c r="I503" i="39" s="1"/>
  <c r="J474" i="39"/>
  <c r="J475" i="39" s="1"/>
  <c r="M480" i="39"/>
  <c r="I484" i="39"/>
  <c r="I485" i="39" s="1"/>
  <c r="K479" i="39"/>
  <c r="K480" i="39" s="1"/>
  <c r="K57" i="39" s="1"/>
  <c r="H511" i="39"/>
  <c r="H457" i="39"/>
  <c r="D475" i="39"/>
  <c r="F484" i="39"/>
  <c r="F485" i="39" s="1"/>
  <c r="I511" i="39"/>
  <c r="E474" i="39"/>
  <c r="E475" i="39" s="1"/>
  <c r="M474" i="39"/>
  <c r="M475" i="39" s="1"/>
  <c r="G480" i="39"/>
  <c r="D497" i="39"/>
  <c r="E502" i="39"/>
  <c r="E503" i="39" s="1"/>
  <c r="M502" i="39"/>
  <c r="M503" i="39" s="1"/>
  <c r="H480" i="39"/>
  <c r="J511" i="39"/>
  <c r="F502" i="39"/>
  <c r="F503" i="39" s="1"/>
  <c r="F504" i="39" s="1"/>
  <c r="N502" i="39"/>
  <c r="N503" i="39" s="1"/>
  <c r="G475" i="39"/>
  <c r="G57" i="39" s="1"/>
  <c r="I480" i="39"/>
  <c r="I57" i="39" s="1"/>
  <c r="O441" i="39"/>
  <c r="O219" i="39" s="1"/>
  <c r="G502" i="39"/>
  <c r="G503" i="39" s="1"/>
  <c r="L511" i="39"/>
  <c r="E511" i="39"/>
  <c r="M511" i="39"/>
  <c r="D480" i="39"/>
  <c r="L480" i="39"/>
  <c r="L57" i="39" s="1"/>
  <c r="J503" i="39"/>
  <c r="F511" i="39"/>
  <c r="N511" i="39"/>
  <c r="K503" i="39"/>
  <c r="G511" i="39"/>
  <c r="O478" i="39"/>
  <c r="P18" i="38"/>
  <c r="O19" i="38"/>
  <c r="N494" i="38"/>
  <c r="M494" i="38"/>
  <c r="L494" i="38"/>
  <c r="K494" i="38"/>
  <c r="J494" i="38"/>
  <c r="O483" i="38"/>
  <c r="O447" i="38"/>
  <c r="P447" i="38" s="1"/>
  <c r="Q447" i="38" s="1"/>
  <c r="C437" i="38" a="1"/>
  <c r="C437" i="38" s="1"/>
  <c r="C428" i="38" a="1"/>
  <c r="C428" i="38" s="1"/>
  <c r="C427" i="38" a="1"/>
  <c r="C427" i="38" s="1"/>
  <c r="O472" i="38"/>
  <c r="P472" i="38" s="1"/>
  <c r="O430" i="38"/>
  <c r="P430" i="38" s="1"/>
  <c r="Q430" i="38" s="1"/>
  <c r="R430" i="38" s="1"/>
  <c r="S430" i="38" s="1"/>
  <c r="T430" i="38" s="1"/>
  <c r="U430" i="38" s="1"/>
  <c r="V430" i="38" s="1"/>
  <c r="W430" i="38" s="1"/>
  <c r="X430" i="38" s="1"/>
  <c r="O448" i="38"/>
  <c r="P448" i="38" s="1"/>
  <c r="Q448" i="38" s="1"/>
  <c r="R448" i="38" s="1"/>
  <c r="S448" i="38" s="1"/>
  <c r="T448" i="38" s="1"/>
  <c r="U448" i="38" s="1"/>
  <c r="V448" i="38" s="1"/>
  <c r="W448" i="38" s="1"/>
  <c r="X448" i="38" s="1"/>
  <c r="O479" i="38"/>
  <c r="P479" i="38" s="1"/>
  <c r="Q479" i="38" s="1"/>
  <c r="R479" i="38" s="1"/>
  <c r="S479" i="38" s="1"/>
  <c r="T479" i="38" s="1"/>
  <c r="U479" i="38" s="1"/>
  <c r="V479" i="38" s="1"/>
  <c r="W479" i="38" s="1"/>
  <c r="X479" i="38" s="1"/>
  <c r="O395" i="38"/>
  <c r="P395" i="38" s="1"/>
  <c r="Q395" i="38" s="1"/>
  <c r="R395" i="38" s="1"/>
  <c r="S395" i="38" s="1"/>
  <c r="T395" i="38" s="1"/>
  <c r="U395" i="38" s="1"/>
  <c r="V395" i="38" s="1"/>
  <c r="W395" i="38" s="1"/>
  <c r="X395" i="38" s="1"/>
  <c r="J325" i="38"/>
  <c r="K319" i="38"/>
  <c r="M310" i="38"/>
  <c r="M307" i="38"/>
  <c r="K306" i="38"/>
  <c r="K303" i="38"/>
  <c r="N301" i="38"/>
  <c r="J319" i="38"/>
  <c r="N314" i="38"/>
  <c r="N311" i="38"/>
  <c r="L310" i="38"/>
  <c r="L307" i="38"/>
  <c r="J306" i="38"/>
  <c r="J303" i="38"/>
  <c r="M301" i="38"/>
  <c r="M314" i="38"/>
  <c r="M311" i="38"/>
  <c r="K310" i="38"/>
  <c r="K307" i="38"/>
  <c r="L301" i="38"/>
  <c r="L302" i="38" s="1"/>
  <c r="N318" i="38"/>
  <c r="N315" i="38"/>
  <c r="L314" i="38"/>
  <c r="L311" i="38"/>
  <c r="J310" i="38"/>
  <c r="J307" i="38"/>
  <c r="N325" i="38"/>
  <c r="M318" i="38"/>
  <c r="M315" i="38"/>
  <c r="K314" i="38"/>
  <c r="K311" i="38"/>
  <c r="J301" i="38"/>
  <c r="O328" i="38"/>
  <c r="P328" i="38" s="1"/>
  <c r="Q328" i="38" s="1"/>
  <c r="R328" i="38" s="1"/>
  <c r="S328" i="38" s="1"/>
  <c r="T328" i="38" s="1"/>
  <c r="U328" i="38" s="1"/>
  <c r="V328" i="38" s="1"/>
  <c r="W328" i="38" s="1"/>
  <c r="X328" i="38" s="1"/>
  <c r="M325" i="38"/>
  <c r="N319" i="38"/>
  <c r="L318" i="38"/>
  <c r="L315" i="38"/>
  <c r="J314" i="38"/>
  <c r="J311" i="38"/>
  <c r="N306" i="38"/>
  <c r="N303" i="38"/>
  <c r="L325" i="38"/>
  <c r="M319" i="38"/>
  <c r="K318" i="38"/>
  <c r="K315" i="38"/>
  <c r="M306" i="38"/>
  <c r="M303" i="38"/>
  <c r="J315" i="38"/>
  <c r="M289" i="38"/>
  <c r="K288" i="38"/>
  <c r="K285" i="38"/>
  <c r="K273" i="38"/>
  <c r="M270" i="38"/>
  <c r="K325" i="38"/>
  <c r="L289" i="38"/>
  <c r="J288" i="38"/>
  <c r="J285" i="38"/>
  <c r="M283" i="38"/>
  <c r="J273" i="38"/>
  <c r="L270" i="38"/>
  <c r="J269" i="38"/>
  <c r="N267" i="38"/>
  <c r="J260" i="38"/>
  <c r="N258" i="38"/>
  <c r="O258" i="38" s="1"/>
  <c r="L257" i="38"/>
  <c r="J256" i="38"/>
  <c r="K289" i="38"/>
  <c r="L283" i="38"/>
  <c r="K270" i="38"/>
  <c r="M267" i="38"/>
  <c r="M258" i="38"/>
  <c r="K257" i="38"/>
  <c r="N310" i="38"/>
  <c r="J289" i="38"/>
  <c r="K283" i="38"/>
  <c r="J270" i="38"/>
  <c r="N268" i="38"/>
  <c r="O268" i="38" s="1"/>
  <c r="L267" i="38"/>
  <c r="N259" i="38"/>
  <c r="O259" i="38" s="1"/>
  <c r="L258" i="38"/>
  <c r="J257" i="38"/>
  <c r="N255" i="38"/>
  <c r="N307" i="38"/>
  <c r="J283" i="38"/>
  <c r="L319" i="38"/>
  <c r="L306" i="38"/>
  <c r="N288" i="38"/>
  <c r="N285" i="38"/>
  <c r="N273" i="38"/>
  <c r="O329" i="38"/>
  <c r="P329" i="38" s="1"/>
  <c r="Q329" i="38" s="1"/>
  <c r="R329" i="38" s="1"/>
  <c r="S329" i="38" s="1"/>
  <c r="T329" i="38" s="1"/>
  <c r="U329" i="38" s="1"/>
  <c r="V329" i="38" s="1"/>
  <c r="W329" i="38" s="1"/>
  <c r="X329" i="38" s="1"/>
  <c r="J318" i="38"/>
  <c r="L303" i="38"/>
  <c r="M288" i="38"/>
  <c r="M285" i="38"/>
  <c r="M273" i="38"/>
  <c r="M269" i="38"/>
  <c r="K268" i="38"/>
  <c r="M260" i="38"/>
  <c r="K259" i="38"/>
  <c r="M256" i="38"/>
  <c r="K255" i="38"/>
  <c r="N289" i="38"/>
  <c r="L269" i="38"/>
  <c r="N257" i="38"/>
  <c r="O257" i="38" s="1"/>
  <c r="K256" i="38"/>
  <c r="N248" i="38"/>
  <c r="S168" i="38"/>
  <c r="K168" i="38"/>
  <c r="W158" i="38"/>
  <c r="O158" i="38"/>
  <c r="G158" i="38"/>
  <c r="L288" i="38"/>
  <c r="K269" i="38"/>
  <c r="M257" i="38"/>
  <c r="M248" i="38"/>
  <c r="R168" i="38"/>
  <c r="J168" i="38"/>
  <c r="V158" i="38"/>
  <c r="N158" i="38"/>
  <c r="F158" i="38"/>
  <c r="L285" i="38"/>
  <c r="M259" i="38"/>
  <c r="K258" i="38"/>
  <c r="L248" i="38"/>
  <c r="N245" i="38"/>
  <c r="N222" i="38"/>
  <c r="Q168" i="38"/>
  <c r="I168" i="38"/>
  <c r="U158" i="38"/>
  <c r="M158" i="38"/>
  <c r="E158" i="38"/>
  <c r="L259" i="38"/>
  <c r="J258" i="38"/>
  <c r="K248" i="38"/>
  <c r="O246" i="38"/>
  <c r="P246" i="38" s="1"/>
  <c r="Q246" i="38" s="1"/>
  <c r="R246" i="38" s="1"/>
  <c r="S246" i="38" s="1"/>
  <c r="T246" i="38" s="1"/>
  <c r="U246" i="38" s="1"/>
  <c r="V246" i="38" s="1"/>
  <c r="W246" i="38" s="1"/>
  <c r="X246" i="38" s="1"/>
  <c r="M245" i="38"/>
  <c r="O237" i="38"/>
  <c r="M222" i="38"/>
  <c r="X168" i="38"/>
  <c r="P168" i="38"/>
  <c r="H168" i="38"/>
  <c r="T158" i="38"/>
  <c r="L158" i="38"/>
  <c r="D158" i="38"/>
  <c r="L273" i="38"/>
  <c r="N270" i="38"/>
  <c r="O270" i="38" s="1"/>
  <c r="N260" i="38"/>
  <c r="O260" i="38" s="1"/>
  <c r="J259" i="38"/>
  <c r="M255" i="38"/>
  <c r="J248" i="38"/>
  <c r="L245" i="38"/>
  <c r="L222" i="38"/>
  <c r="W168" i="38"/>
  <c r="O168" i="38"/>
  <c r="G168" i="38"/>
  <c r="M268" i="38"/>
  <c r="K267" i="38"/>
  <c r="L260" i="38"/>
  <c r="L255" i="38"/>
  <c r="O247" i="38"/>
  <c r="P247" i="38" s="1"/>
  <c r="Q247" i="38" s="1"/>
  <c r="R247" i="38" s="1"/>
  <c r="S247" i="38" s="1"/>
  <c r="T247" i="38" s="1"/>
  <c r="U247" i="38" s="1"/>
  <c r="V247" i="38" s="1"/>
  <c r="W247" i="38" s="1"/>
  <c r="X247" i="38" s="1"/>
  <c r="K245" i="38"/>
  <c r="K222" i="38"/>
  <c r="V168" i="38"/>
  <c r="N168" i="38"/>
  <c r="F168" i="38"/>
  <c r="R158" i="38"/>
  <c r="J158" i="38"/>
  <c r="L268" i="38"/>
  <c r="J267" i="38"/>
  <c r="K260" i="38"/>
  <c r="N256" i="38"/>
  <c r="O256" i="38" s="1"/>
  <c r="J255" i="38"/>
  <c r="J245" i="38"/>
  <c r="J222" i="38"/>
  <c r="U168" i="38"/>
  <c r="M168" i="38"/>
  <c r="E168" i="38"/>
  <c r="Q158" i="38"/>
  <c r="I158" i="38"/>
  <c r="S158" i="38"/>
  <c r="L256" i="38"/>
  <c r="P158" i="38"/>
  <c r="T168" i="38"/>
  <c r="K158" i="38"/>
  <c r="O248" i="38"/>
  <c r="P248" i="38" s="1"/>
  <c r="Q248" i="38" s="1"/>
  <c r="R248" i="38" s="1"/>
  <c r="S248" i="38" s="1"/>
  <c r="T248" i="38" s="1"/>
  <c r="U248" i="38" s="1"/>
  <c r="V248" i="38" s="1"/>
  <c r="W248" i="38" s="1"/>
  <c r="X248" i="38" s="1"/>
  <c r="L168" i="38"/>
  <c r="H158" i="38"/>
  <c r="N95" i="38"/>
  <c r="D168" i="38"/>
  <c r="C138" i="38" a="1"/>
  <c r="C138" i="38" s="1"/>
  <c r="C137" i="38" a="1"/>
  <c r="C137" i="38" s="1"/>
  <c r="C136" i="38" a="1"/>
  <c r="C136" i="38" s="1"/>
  <c r="M95" i="38"/>
  <c r="O117" i="38"/>
  <c r="P117" i="38" s="1"/>
  <c r="Q117" i="38" s="1"/>
  <c r="R117" i="38" s="1"/>
  <c r="S117" i="38" s="1"/>
  <c r="T117" i="38" s="1"/>
  <c r="U117" i="38" s="1"/>
  <c r="V117" i="38" s="1"/>
  <c r="W117" i="38" s="1"/>
  <c r="X117" i="38" s="1"/>
  <c r="L95" i="38"/>
  <c r="K95" i="38"/>
  <c r="I17" i="38"/>
  <c r="G85" i="38"/>
  <c r="G78" i="38"/>
  <c r="G81" i="38" s="1"/>
  <c r="J95" i="38"/>
  <c r="K141" i="38"/>
  <c r="K142" i="38" s="1"/>
  <c r="O24" i="38"/>
  <c r="P24" i="38" s="1"/>
  <c r="Q24" i="38" s="1"/>
  <c r="R24" i="38" s="1"/>
  <c r="S24" i="38" s="1"/>
  <c r="T24" i="38" s="1"/>
  <c r="U24" i="38" s="1"/>
  <c r="V24" i="38" s="1"/>
  <c r="W24" i="38" s="1"/>
  <c r="X24" i="38" s="1"/>
  <c r="I141" i="38"/>
  <c r="I142" i="38" s="1"/>
  <c r="X158" i="38"/>
  <c r="F191" i="38"/>
  <c r="F194" i="38" s="1"/>
  <c r="F196" i="38"/>
  <c r="F197" i="38" s="1"/>
  <c r="N189" i="38"/>
  <c r="D128" i="38"/>
  <c r="L128" i="38"/>
  <c r="J141" i="38"/>
  <c r="J142" i="38" s="1"/>
  <c r="N281" i="38"/>
  <c r="N283" i="38" s="1"/>
  <c r="O193" i="38"/>
  <c r="N14" i="38"/>
  <c r="E20" i="38"/>
  <c r="M20" i="38"/>
  <c r="F141" i="38"/>
  <c r="F142" i="38" s="1"/>
  <c r="N141" i="38"/>
  <c r="N142" i="38" s="1"/>
  <c r="F20" i="38"/>
  <c r="N20" i="38"/>
  <c r="K78" i="38"/>
  <c r="K81" i="38" s="1"/>
  <c r="K82" i="38" s="1"/>
  <c r="K83" i="38" s="1"/>
  <c r="K400" i="38"/>
  <c r="G106" i="38"/>
  <c r="G142" i="38"/>
  <c r="H149" i="38"/>
  <c r="H150" i="38" s="1"/>
  <c r="I496" i="38"/>
  <c r="I497" i="38" s="1"/>
  <c r="I97" i="38"/>
  <c r="I98" i="38" s="1"/>
  <c r="I99" i="38" s="1"/>
  <c r="G20" i="38"/>
  <c r="I359" i="38"/>
  <c r="M141" i="38"/>
  <c r="M142" i="38" s="1"/>
  <c r="D142" i="38"/>
  <c r="I146" i="38"/>
  <c r="I147" i="38" s="1"/>
  <c r="J268" i="38"/>
  <c r="N269" i="38"/>
  <c r="O269" i="38" s="1"/>
  <c r="K93" i="38"/>
  <c r="G509" i="38"/>
  <c r="G110" i="38"/>
  <c r="L142" i="38"/>
  <c r="K196" i="38"/>
  <c r="J359" i="38"/>
  <c r="D402" i="38"/>
  <c r="D400" i="38"/>
  <c r="L400" i="38"/>
  <c r="J85" i="38"/>
  <c r="J146" i="38"/>
  <c r="J147" i="38" s="1"/>
  <c r="G191" i="38"/>
  <c r="G194" i="38" s="1"/>
  <c r="G196" i="38"/>
  <c r="G197" i="38" s="1"/>
  <c r="G276" i="38"/>
  <c r="G277" i="38" s="1"/>
  <c r="F431" i="38"/>
  <c r="F434" i="38" s="1"/>
  <c r="F218" i="38"/>
  <c r="F114" i="38" s="1"/>
  <c r="F121" i="38" s="1"/>
  <c r="N431" i="38"/>
  <c r="N218" i="38"/>
  <c r="N114" i="38" s="1"/>
  <c r="N121" i="38" s="1"/>
  <c r="I234" i="38"/>
  <c r="K359" i="38"/>
  <c r="E400" i="38"/>
  <c r="M400" i="38"/>
  <c r="H78" i="38"/>
  <c r="H81" i="38" s="1"/>
  <c r="H82" i="38" s="1"/>
  <c r="H83" i="38" s="1"/>
  <c r="K85" i="38"/>
  <c r="H191" i="38"/>
  <c r="H194" i="38" s="1"/>
  <c r="H196" i="38"/>
  <c r="H197" i="38" s="1"/>
  <c r="E191" i="38"/>
  <c r="E194" i="38" s="1"/>
  <c r="L233" i="38"/>
  <c r="L234" i="38"/>
  <c r="F333" i="38"/>
  <c r="F263" i="38"/>
  <c r="F264" i="38" s="1"/>
  <c r="D359" i="38"/>
  <c r="L359" i="38"/>
  <c r="F400" i="38"/>
  <c r="N400" i="38"/>
  <c r="I78" i="38"/>
  <c r="I81" i="38" s="1"/>
  <c r="I82" i="38" s="1"/>
  <c r="I83" i="38" s="1"/>
  <c r="D85" i="38"/>
  <c r="L85" i="38"/>
  <c r="I110" i="38"/>
  <c r="D146" i="38"/>
  <c r="D147" i="38" s="1"/>
  <c r="L146" i="38"/>
  <c r="L147" i="38" s="1"/>
  <c r="K147" i="38"/>
  <c r="M191" i="38"/>
  <c r="M194" i="38" s="1"/>
  <c r="M196" i="38"/>
  <c r="E234" i="38"/>
  <c r="M234" i="38"/>
  <c r="K299" i="38"/>
  <c r="K301" i="38" s="1"/>
  <c r="K240" i="38"/>
  <c r="G333" i="38"/>
  <c r="E359" i="38"/>
  <c r="M359" i="38"/>
  <c r="G400" i="38"/>
  <c r="J78" i="38"/>
  <c r="J81" i="38" s="1"/>
  <c r="J82" i="38" s="1"/>
  <c r="J83" i="38" s="1"/>
  <c r="D82" i="38"/>
  <c r="D83" i="38" s="1"/>
  <c r="L82" i="38"/>
  <c r="L83" i="38" s="1"/>
  <c r="E85" i="38"/>
  <c r="M85" i="38"/>
  <c r="J110" i="38"/>
  <c r="E147" i="38"/>
  <c r="E146" i="38"/>
  <c r="P172" i="38"/>
  <c r="Q172" i="38" s="1"/>
  <c r="R172" i="38" s="1"/>
  <c r="S172" i="38" s="1"/>
  <c r="T172" i="38" s="1"/>
  <c r="U172" i="38" s="1"/>
  <c r="V172" i="38" s="1"/>
  <c r="W172" i="38" s="1"/>
  <c r="X172" i="38" s="1"/>
  <c r="J189" i="38"/>
  <c r="F234" i="38"/>
  <c r="N234" i="38"/>
  <c r="D301" i="38"/>
  <c r="D302" i="38" s="1"/>
  <c r="H245" i="38"/>
  <c r="F359" i="38"/>
  <c r="N359" i="38"/>
  <c r="H400" i="38"/>
  <c r="E82" i="38"/>
  <c r="E83" i="38" s="1"/>
  <c r="M82" i="38"/>
  <c r="M83" i="38" s="1"/>
  <c r="K110" i="38"/>
  <c r="F146" i="38"/>
  <c r="F147" i="38" s="1"/>
  <c r="N147" i="38"/>
  <c r="O145" i="38"/>
  <c r="N146" i="38"/>
  <c r="K191" i="38"/>
  <c r="K194" i="38" s="1"/>
  <c r="G234" i="38"/>
  <c r="G359" i="38"/>
  <c r="I400" i="38"/>
  <c r="F82" i="38"/>
  <c r="F83" i="38" s="1"/>
  <c r="N82" i="38"/>
  <c r="N83" i="38" s="1"/>
  <c r="D110" i="38"/>
  <c r="L110" i="38"/>
  <c r="G146" i="38"/>
  <c r="G147" i="38" s="1"/>
  <c r="M146" i="38"/>
  <c r="M147" i="38" s="1"/>
  <c r="D191" i="38"/>
  <c r="D194" i="38" s="1"/>
  <c r="D196" i="38"/>
  <c r="H234" i="38"/>
  <c r="P252" i="38"/>
  <c r="I333" i="38"/>
  <c r="I263" i="38"/>
  <c r="I264" i="38" s="1"/>
  <c r="H359" i="38"/>
  <c r="J400" i="38"/>
  <c r="G82" i="38"/>
  <c r="G83" i="38" s="1"/>
  <c r="Q216" i="38"/>
  <c r="I283" i="38"/>
  <c r="I284" i="38" s="1"/>
  <c r="F233" i="38"/>
  <c r="N233" i="38"/>
  <c r="G218" i="38"/>
  <c r="G114" i="38" s="1"/>
  <c r="G121" i="38" s="1"/>
  <c r="G233" i="38"/>
  <c r="E301" i="38"/>
  <c r="E302" i="38" s="1"/>
  <c r="D240" i="38"/>
  <c r="F274" i="38"/>
  <c r="N323" i="38"/>
  <c r="F301" i="38"/>
  <c r="F302" i="38" s="1"/>
  <c r="D333" i="38"/>
  <c r="D263" i="38"/>
  <c r="D264" i="38" s="1"/>
  <c r="D274" i="38"/>
  <c r="D283" i="38"/>
  <c r="D284" i="38" s="1"/>
  <c r="I218" i="38"/>
  <c r="I114" i="38" s="1"/>
  <c r="I121" i="38" s="1"/>
  <c r="G301" i="38"/>
  <c r="G302" i="38" s="1"/>
  <c r="F240" i="38"/>
  <c r="N240" i="38"/>
  <c r="E245" i="38"/>
  <c r="E261" i="38"/>
  <c r="E274" i="38"/>
  <c r="E283" i="38"/>
  <c r="E284" i="38" s="1"/>
  <c r="F296" i="38"/>
  <c r="N296" i="38"/>
  <c r="J218" i="38"/>
  <c r="J114" i="38" s="1"/>
  <c r="J121" i="38" s="1"/>
  <c r="H301" i="38"/>
  <c r="H302" i="38" s="1"/>
  <c r="G240" i="38"/>
  <c r="F245" i="38"/>
  <c r="F284" i="38"/>
  <c r="K218" i="38"/>
  <c r="K114" i="38" s="1"/>
  <c r="K121" i="38" s="1"/>
  <c r="I301" i="38"/>
  <c r="I302" i="38" s="1"/>
  <c r="H240" i="38"/>
  <c r="G245" i="38"/>
  <c r="G284" i="38"/>
  <c r="H295" i="38"/>
  <c r="H296" i="38" s="1"/>
  <c r="D218" i="38"/>
  <c r="D114" i="38" s="1"/>
  <c r="D121" i="38" s="1"/>
  <c r="L218" i="38"/>
  <c r="L114" i="38" s="1"/>
  <c r="L121" i="38" s="1"/>
  <c r="I240" i="38"/>
  <c r="H261" i="38"/>
  <c r="H274" i="38"/>
  <c r="I274" i="38"/>
  <c r="H283" i="38"/>
  <c r="H284" i="38" s="1"/>
  <c r="G295" i="38"/>
  <c r="G296" i="38" s="1"/>
  <c r="J296" i="38"/>
  <c r="E345" i="38"/>
  <c r="E346" i="38" s="1"/>
  <c r="M345" i="38"/>
  <c r="M346" i="38" s="1"/>
  <c r="F341" i="38"/>
  <c r="F342" i="38" s="1"/>
  <c r="N341" i="38"/>
  <c r="N342" i="38" s="1"/>
  <c r="J323" i="38"/>
  <c r="K323" i="38"/>
  <c r="L323" i="38"/>
  <c r="M323" i="38"/>
  <c r="D484" i="38"/>
  <c r="D485" i="38" s="1"/>
  <c r="L484" i="38"/>
  <c r="L485" i="38" s="1"/>
  <c r="F324" i="38"/>
  <c r="G323" i="38"/>
  <c r="G324" i="38" s="1"/>
  <c r="I341" i="38"/>
  <c r="I342" i="38" s="1"/>
  <c r="D342" i="38"/>
  <c r="L342" i="38"/>
  <c r="J457" i="38"/>
  <c r="H323" i="38"/>
  <c r="H324" i="38" s="1"/>
  <c r="E416" i="38"/>
  <c r="D401" i="38"/>
  <c r="E324" i="38"/>
  <c r="G342" i="38"/>
  <c r="I388" i="38"/>
  <c r="I391" i="38" s="1"/>
  <c r="J391" i="38" s="1"/>
  <c r="Q388" i="38"/>
  <c r="K388" i="38"/>
  <c r="S388" i="38"/>
  <c r="H457" i="38"/>
  <c r="K457" i="38"/>
  <c r="E484" i="38"/>
  <c r="E485" i="38" s="1"/>
  <c r="M484" i="38"/>
  <c r="M485" i="38" s="1"/>
  <c r="G475" i="38"/>
  <c r="D479" i="38"/>
  <c r="D480" i="38" s="1"/>
  <c r="L479" i="38"/>
  <c r="L480" i="38" s="1"/>
  <c r="J511" i="38"/>
  <c r="D457" i="38"/>
  <c r="L457" i="38"/>
  <c r="F484" i="38"/>
  <c r="F485" i="38" s="1"/>
  <c r="N484" i="38"/>
  <c r="N485" i="38" s="1"/>
  <c r="K511" i="38"/>
  <c r="E457" i="38"/>
  <c r="M457" i="38"/>
  <c r="G485" i="38"/>
  <c r="O531" i="38"/>
  <c r="P423" i="38"/>
  <c r="O433" i="38"/>
  <c r="F457" i="38"/>
  <c r="N457" i="38"/>
  <c r="H484" i="38"/>
  <c r="H485" i="38" s="1"/>
  <c r="K444" i="38"/>
  <c r="G457" i="38"/>
  <c r="I484" i="38"/>
  <c r="I485" i="38" s="1"/>
  <c r="K474" i="38"/>
  <c r="K475" i="38" s="1"/>
  <c r="J484" i="38"/>
  <c r="J485" i="38" s="1"/>
  <c r="E429" i="38"/>
  <c r="E430" i="38"/>
  <c r="M429" i="38"/>
  <c r="M430" i="38"/>
  <c r="E444" i="38"/>
  <c r="M444" i="38"/>
  <c r="L502" i="38"/>
  <c r="L503" i="38" s="1"/>
  <c r="I457" i="38"/>
  <c r="K484" i="38"/>
  <c r="K485" i="38" s="1"/>
  <c r="I429" i="38"/>
  <c r="D430" i="38"/>
  <c r="L430" i="38"/>
  <c r="J502" i="38"/>
  <c r="J503" i="38" s="1"/>
  <c r="M479" i="38"/>
  <c r="M480" i="38" s="1"/>
  <c r="D503" i="38"/>
  <c r="J429" i="38"/>
  <c r="K502" i="38"/>
  <c r="K503" i="38" s="1"/>
  <c r="D475" i="38"/>
  <c r="L475" i="38"/>
  <c r="F479" i="38"/>
  <c r="F480" i="38" s="1"/>
  <c r="N479" i="38"/>
  <c r="N480" i="38" s="1"/>
  <c r="D511" i="38"/>
  <c r="L511" i="38"/>
  <c r="F430" i="38"/>
  <c r="N430" i="38"/>
  <c r="E475" i="38"/>
  <c r="M475" i="38"/>
  <c r="D497" i="38"/>
  <c r="E511" i="38"/>
  <c r="M511" i="38"/>
  <c r="O534" i="38"/>
  <c r="G430" i="38"/>
  <c r="E502" i="38"/>
  <c r="E503" i="38" s="1"/>
  <c r="M502" i="38"/>
  <c r="M503" i="38" s="1"/>
  <c r="F475" i="38"/>
  <c r="N475" i="38"/>
  <c r="H479" i="38"/>
  <c r="H480" i="38" s="1"/>
  <c r="P478" i="38"/>
  <c r="F511" i="38"/>
  <c r="N511" i="38"/>
  <c r="F502" i="38"/>
  <c r="F503" i="38" s="1"/>
  <c r="N502" i="38"/>
  <c r="N503" i="38" s="1"/>
  <c r="I479" i="38"/>
  <c r="I480" i="38" s="1"/>
  <c r="E479" i="38"/>
  <c r="E480" i="38" s="1"/>
  <c r="H503" i="38"/>
  <c r="G511" i="38"/>
  <c r="O441" i="38"/>
  <c r="O219" i="38" s="1"/>
  <c r="G502" i="38"/>
  <c r="G503" i="38" s="1"/>
  <c r="G479" i="38"/>
  <c r="G480" i="38" s="1"/>
  <c r="H511" i="38"/>
  <c r="K479" i="38"/>
  <c r="K480" i="38" s="1"/>
  <c r="I511" i="38"/>
  <c r="N273" i="36"/>
  <c r="K222" i="36"/>
  <c r="L256" i="36"/>
  <c r="M303" i="36"/>
  <c r="N260" i="36"/>
  <c r="L222" i="36"/>
  <c r="M257" i="36"/>
  <c r="L267" i="36"/>
  <c r="N306" i="36"/>
  <c r="J256" i="36"/>
  <c r="N222" i="36"/>
  <c r="L258" i="36"/>
  <c r="K268" i="36"/>
  <c r="K315" i="36"/>
  <c r="K95" i="36"/>
  <c r="N258" i="36"/>
  <c r="K269" i="36"/>
  <c r="L318" i="36"/>
  <c r="L95" i="36"/>
  <c r="L259" i="36"/>
  <c r="L269" i="36"/>
  <c r="J222" i="36"/>
  <c r="N95" i="36"/>
  <c r="M259" i="36"/>
  <c r="L270" i="36"/>
  <c r="O117" i="36"/>
  <c r="P117" i="36" s="1"/>
  <c r="Q117" i="36" s="1"/>
  <c r="R117" i="36" s="1"/>
  <c r="S117" i="36" s="1"/>
  <c r="T117" i="36" s="1"/>
  <c r="U117" i="36" s="1"/>
  <c r="V117" i="36" s="1"/>
  <c r="W117" i="36" s="1"/>
  <c r="X117" i="36" s="1"/>
  <c r="O247" i="36"/>
  <c r="P247" i="36" s="1"/>
  <c r="Q247" i="36" s="1"/>
  <c r="R247" i="36" s="1"/>
  <c r="S247" i="36" s="1"/>
  <c r="T247" i="36" s="1"/>
  <c r="U247" i="36" s="1"/>
  <c r="V247" i="36" s="1"/>
  <c r="W247" i="36" s="1"/>
  <c r="X247" i="36" s="1"/>
  <c r="M260" i="36"/>
  <c r="M270" i="36"/>
  <c r="N494" i="36"/>
  <c r="O479" i="36"/>
  <c r="P479" i="36" s="1"/>
  <c r="Q479" i="36" s="1"/>
  <c r="R479" i="36" s="1"/>
  <c r="S479" i="36" s="1"/>
  <c r="T479" i="36" s="1"/>
  <c r="U479" i="36" s="1"/>
  <c r="V479" i="36" s="1"/>
  <c r="W479" i="36" s="1"/>
  <c r="X479" i="36" s="1"/>
  <c r="N325" i="36"/>
  <c r="L319" i="36"/>
  <c r="K318" i="36"/>
  <c r="J315" i="36"/>
  <c r="N307" i="36"/>
  <c r="M306" i="36"/>
  <c r="L303" i="36"/>
  <c r="J289" i="36"/>
  <c r="M273" i="36"/>
  <c r="N270" i="36"/>
  <c r="M269" i="36"/>
  <c r="L268" i="36"/>
  <c r="K267" i="36"/>
  <c r="N259" i="36"/>
  <c r="M258" i="36"/>
  <c r="L257" i="36"/>
  <c r="K256" i="36"/>
  <c r="J255" i="36"/>
  <c r="M494" i="36"/>
  <c r="M325" i="36"/>
  <c r="K319" i="36"/>
  <c r="J318" i="36"/>
  <c r="N310" i="36"/>
  <c r="M307" i="36"/>
  <c r="L306" i="36"/>
  <c r="K303" i="36"/>
  <c r="L494" i="36"/>
  <c r="O472" i="36"/>
  <c r="P472" i="36" s="1"/>
  <c r="Q472" i="36" s="1"/>
  <c r="R472" i="36" s="1"/>
  <c r="S472" i="36" s="1"/>
  <c r="T472" i="36" s="1"/>
  <c r="U472" i="36" s="1"/>
  <c r="V472" i="36" s="1"/>
  <c r="W472" i="36" s="1"/>
  <c r="X472" i="36" s="1"/>
  <c r="O433" i="36"/>
  <c r="P433" i="36" s="1"/>
  <c r="Q433" i="36" s="1"/>
  <c r="R433" i="36" s="1"/>
  <c r="S433" i="36" s="1"/>
  <c r="T433" i="36" s="1"/>
  <c r="U433" i="36" s="1"/>
  <c r="V433" i="36" s="1"/>
  <c r="W433" i="36" s="1"/>
  <c r="X433" i="36" s="1"/>
  <c r="L325" i="36"/>
  <c r="J319" i="36"/>
  <c r="N311" i="36"/>
  <c r="M310" i="36"/>
  <c r="L307" i="36"/>
  <c r="K306" i="36"/>
  <c r="J303" i="36"/>
  <c r="N285" i="36"/>
  <c r="K494" i="36"/>
  <c r="K325" i="36"/>
  <c r="N314" i="36"/>
  <c r="M311" i="36"/>
  <c r="L310" i="36"/>
  <c r="K307" i="36"/>
  <c r="J306" i="36"/>
  <c r="N288" i="36"/>
  <c r="M285" i="36"/>
  <c r="J273" i="36"/>
  <c r="K270" i="36"/>
  <c r="J269" i="36"/>
  <c r="L260" i="36"/>
  <c r="K259" i="36"/>
  <c r="J258" i="36"/>
  <c r="N248" i="36"/>
  <c r="O246" i="36"/>
  <c r="P246" i="36" s="1"/>
  <c r="Q246" i="36" s="1"/>
  <c r="R246" i="36" s="1"/>
  <c r="J494" i="36"/>
  <c r="O448" i="36"/>
  <c r="P448" i="36" s="1"/>
  <c r="Q448" i="36" s="1"/>
  <c r="R448" i="36" s="1"/>
  <c r="S448" i="36" s="1"/>
  <c r="T448" i="36" s="1"/>
  <c r="U448" i="36" s="1"/>
  <c r="V448" i="36" s="1"/>
  <c r="W448" i="36" s="1"/>
  <c r="X448" i="36" s="1"/>
  <c r="O430" i="36"/>
  <c r="P430" i="36" s="1"/>
  <c r="Q430" i="36" s="1"/>
  <c r="R430" i="36" s="1"/>
  <c r="S430" i="36" s="1"/>
  <c r="T430" i="36" s="1"/>
  <c r="U430" i="36" s="1"/>
  <c r="V430" i="36" s="1"/>
  <c r="W430" i="36" s="1"/>
  <c r="X430" i="36" s="1"/>
  <c r="J325" i="36"/>
  <c r="N315" i="36"/>
  <c r="M314" i="36"/>
  <c r="L311" i="36"/>
  <c r="K310" i="36"/>
  <c r="J307" i="36"/>
  <c r="N289" i="36"/>
  <c r="M288" i="36"/>
  <c r="L285" i="36"/>
  <c r="J270" i="36"/>
  <c r="K260" i="36"/>
  <c r="J259" i="36"/>
  <c r="N255" i="36"/>
  <c r="M248" i="36"/>
  <c r="O329" i="36"/>
  <c r="P329" i="36" s="1"/>
  <c r="Q329" i="36" s="1"/>
  <c r="R329" i="36" s="1"/>
  <c r="S329" i="36" s="1"/>
  <c r="T329" i="36" s="1"/>
  <c r="U329" i="36" s="1"/>
  <c r="V329" i="36" s="1"/>
  <c r="W329" i="36" s="1"/>
  <c r="X329" i="36" s="1"/>
  <c r="N318" i="36"/>
  <c r="M315" i="36"/>
  <c r="L314" i="36"/>
  <c r="K311" i="36"/>
  <c r="J310" i="36"/>
  <c r="M289" i="36"/>
  <c r="L288" i="36"/>
  <c r="K285" i="36"/>
  <c r="N267" i="36"/>
  <c r="J260" i="36"/>
  <c r="N256" i="36"/>
  <c r="M255" i="36"/>
  <c r="L248" i="36"/>
  <c r="O483" i="36"/>
  <c r="P483" i="36" s="1"/>
  <c r="Q483" i="36" s="1"/>
  <c r="R483" i="36" s="1"/>
  <c r="S483" i="36" s="1"/>
  <c r="T483" i="36" s="1"/>
  <c r="U483" i="36" s="1"/>
  <c r="V483" i="36" s="1"/>
  <c r="W483" i="36" s="1"/>
  <c r="X483" i="36" s="1"/>
  <c r="O447" i="36"/>
  <c r="P447" i="36" s="1"/>
  <c r="Q447" i="36" s="1"/>
  <c r="R447" i="36" s="1"/>
  <c r="S447" i="36" s="1"/>
  <c r="T447" i="36" s="1"/>
  <c r="U447" i="36" s="1"/>
  <c r="V447" i="36" s="1"/>
  <c r="W447" i="36" s="1"/>
  <c r="X447" i="36" s="1"/>
  <c r="O395" i="36"/>
  <c r="P395" i="36" s="1"/>
  <c r="Q395" i="36" s="1"/>
  <c r="R395" i="36" s="1"/>
  <c r="S395" i="36" s="1"/>
  <c r="T395" i="36" s="1"/>
  <c r="U395" i="36" s="1"/>
  <c r="V395" i="36" s="1"/>
  <c r="W395" i="36" s="1"/>
  <c r="X395" i="36" s="1"/>
  <c r="N319" i="36"/>
  <c r="M318" i="36"/>
  <c r="L315" i="36"/>
  <c r="K314" i="36"/>
  <c r="J311" i="36"/>
  <c r="N303" i="36"/>
  <c r="L289" i="36"/>
  <c r="K288" i="36"/>
  <c r="J285" i="36"/>
  <c r="N268" i="36"/>
  <c r="M267" i="36"/>
  <c r="N257" i="36"/>
  <c r="M256" i="36"/>
  <c r="L255" i="36"/>
  <c r="K248" i="36"/>
  <c r="O237" i="36"/>
  <c r="P237" i="36" s="1"/>
  <c r="Q237" i="36" s="1"/>
  <c r="R237" i="36" s="1"/>
  <c r="S237" i="36" s="1"/>
  <c r="T237" i="36" s="1"/>
  <c r="U237" i="36" s="1"/>
  <c r="V237" i="36" s="1"/>
  <c r="W237" i="36" s="1"/>
  <c r="X237" i="36" s="1"/>
  <c r="J95" i="36"/>
  <c r="M222" i="36"/>
  <c r="K255" i="36"/>
  <c r="K258" i="36"/>
  <c r="J268" i="36"/>
  <c r="N269" i="36"/>
  <c r="J288" i="36"/>
  <c r="M319" i="36"/>
  <c r="J248" i="36"/>
  <c r="J257" i="36"/>
  <c r="M268" i="36"/>
  <c r="K273" i="36"/>
  <c r="K289" i="36"/>
  <c r="M95" i="36"/>
  <c r="O248" i="36"/>
  <c r="P248" i="36" s="1"/>
  <c r="Q248" i="36" s="1"/>
  <c r="R248" i="36" s="1"/>
  <c r="S248" i="36" s="1"/>
  <c r="T248" i="36" s="1"/>
  <c r="U248" i="36" s="1"/>
  <c r="V248" i="36" s="1"/>
  <c r="W248" i="36" s="1"/>
  <c r="X248" i="36" s="1"/>
  <c r="K257" i="36"/>
  <c r="J267" i="36"/>
  <c r="L273" i="36"/>
  <c r="J314" i="36"/>
  <c r="O328" i="36"/>
  <c r="P328" i="36" s="1"/>
  <c r="Q328" i="36" s="1"/>
  <c r="R328" i="36" s="1"/>
  <c r="S328" i="36" s="1"/>
  <c r="T328" i="36" s="1"/>
  <c r="U328" i="36" s="1"/>
  <c r="V328" i="36" s="1"/>
  <c r="W328" i="36" s="1"/>
  <c r="X328" i="36" s="1"/>
  <c r="L430" i="36"/>
  <c r="B514" i="36"/>
  <c r="N510" i="36"/>
  <c r="M510" i="36"/>
  <c r="L510" i="36"/>
  <c r="K510" i="36"/>
  <c r="J510" i="36"/>
  <c r="I510" i="36"/>
  <c r="H510" i="36"/>
  <c r="G510" i="36"/>
  <c r="F510" i="36"/>
  <c r="E510" i="36"/>
  <c r="D510" i="36"/>
  <c r="B510" i="36"/>
  <c r="N508" i="36"/>
  <c r="M508" i="36"/>
  <c r="L508" i="36"/>
  <c r="K508" i="36"/>
  <c r="J508" i="36"/>
  <c r="I508" i="36"/>
  <c r="H508" i="36"/>
  <c r="G508" i="36"/>
  <c r="F508" i="36"/>
  <c r="E508" i="36"/>
  <c r="D508" i="36"/>
  <c r="B508" i="36"/>
  <c r="N507" i="36"/>
  <c r="M507" i="36"/>
  <c r="L507" i="36"/>
  <c r="K507" i="36"/>
  <c r="J507" i="36"/>
  <c r="I507" i="36"/>
  <c r="H507" i="36"/>
  <c r="G507" i="36"/>
  <c r="F507" i="36"/>
  <c r="E507" i="36"/>
  <c r="D507" i="36"/>
  <c r="B507" i="36"/>
  <c r="B505" i="36"/>
  <c r="I500" i="36"/>
  <c r="H500" i="36"/>
  <c r="G500" i="36"/>
  <c r="F500" i="36"/>
  <c r="E500" i="36"/>
  <c r="D500" i="36"/>
  <c r="B500" i="36"/>
  <c r="N499" i="36"/>
  <c r="M499" i="36"/>
  <c r="L499" i="36"/>
  <c r="K499" i="36"/>
  <c r="J499" i="36"/>
  <c r="I499" i="36"/>
  <c r="H499" i="36"/>
  <c r="G499" i="36"/>
  <c r="F499" i="36"/>
  <c r="E499" i="36"/>
  <c r="D499" i="36"/>
  <c r="B499" i="36"/>
  <c r="I498" i="36"/>
  <c r="H498" i="36"/>
  <c r="G498" i="36"/>
  <c r="F498" i="36"/>
  <c r="E498" i="36"/>
  <c r="D498" i="36"/>
  <c r="B498" i="36"/>
  <c r="N495" i="36"/>
  <c r="M495" i="36"/>
  <c r="L495" i="36"/>
  <c r="K495" i="36"/>
  <c r="J495" i="36"/>
  <c r="I495" i="36"/>
  <c r="H495" i="36"/>
  <c r="G495" i="36"/>
  <c r="F495" i="36"/>
  <c r="E495" i="36"/>
  <c r="D495" i="36"/>
  <c r="B495" i="36"/>
  <c r="I494" i="36"/>
  <c r="H494" i="36"/>
  <c r="G494" i="36"/>
  <c r="F494" i="36"/>
  <c r="E494" i="36"/>
  <c r="D494" i="36"/>
  <c r="B494" i="36"/>
  <c r="N493" i="36"/>
  <c r="M493" i="36"/>
  <c r="L493" i="36"/>
  <c r="K493" i="36"/>
  <c r="J493" i="36"/>
  <c r="I493" i="36"/>
  <c r="H493" i="36"/>
  <c r="G493" i="36"/>
  <c r="F493" i="36"/>
  <c r="E493" i="36"/>
  <c r="D493" i="36"/>
  <c r="B493" i="36"/>
  <c r="N492" i="36"/>
  <c r="M492" i="36"/>
  <c r="L492" i="36"/>
  <c r="K492" i="36"/>
  <c r="J492" i="36"/>
  <c r="I492" i="36"/>
  <c r="H492" i="36"/>
  <c r="G492" i="36"/>
  <c r="F492" i="36"/>
  <c r="E492" i="36"/>
  <c r="D492" i="36"/>
  <c r="B492" i="36"/>
  <c r="N491" i="36"/>
  <c r="M491" i="36"/>
  <c r="L491" i="36"/>
  <c r="K491" i="36"/>
  <c r="J491" i="36"/>
  <c r="I491" i="36"/>
  <c r="H491" i="36"/>
  <c r="G491" i="36"/>
  <c r="F491" i="36"/>
  <c r="E491" i="36"/>
  <c r="D491" i="36"/>
  <c r="B491" i="36"/>
  <c r="N490" i="36"/>
  <c r="M490" i="36"/>
  <c r="L490" i="36"/>
  <c r="K490" i="36"/>
  <c r="J490" i="36"/>
  <c r="I490" i="36"/>
  <c r="H490" i="36"/>
  <c r="G490" i="36"/>
  <c r="F490" i="36"/>
  <c r="E490" i="36"/>
  <c r="D490" i="36"/>
  <c r="B490" i="36"/>
  <c r="N489" i="36"/>
  <c r="M489" i="36"/>
  <c r="L489" i="36"/>
  <c r="K489" i="36"/>
  <c r="J489" i="36"/>
  <c r="I489" i="36"/>
  <c r="H489" i="36"/>
  <c r="G489" i="36"/>
  <c r="F489" i="36"/>
  <c r="E489" i="36"/>
  <c r="D489" i="36"/>
  <c r="B489" i="36"/>
  <c r="N486" i="36"/>
  <c r="M486" i="36"/>
  <c r="L486" i="36"/>
  <c r="K486" i="36"/>
  <c r="J486" i="36"/>
  <c r="I486" i="36"/>
  <c r="H486" i="36"/>
  <c r="G486" i="36"/>
  <c r="F486" i="36"/>
  <c r="E486" i="36"/>
  <c r="D486" i="36"/>
  <c r="B486" i="36"/>
  <c r="B484" i="36"/>
  <c r="B479" i="36"/>
  <c r="N478" i="36"/>
  <c r="M478" i="36"/>
  <c r="M479" i="36" s="1"/>
  <c r="L478" i="36"/>
  <c r="K478" i="36"/>
  <c r="J478" i="36"/>
  <c r="J479" i="36" s="1"/>
  <c r="I478" i="36"/>
  <c r="H478" i="36"/>
  <c r="H479" i="36" s="1"/>
  <c r="G478" i="36"/>
  <c r="G479" i="36" s="1"/>
  <c r="F478" i="36"/>
  <c r="E478" i="36"/>
  <c r="E479" i="36" s="1"/>
  <c r="D478" i="36"/>
  <c r="B478" i="36"/>
  <c r="B474" i="36"/>
  <c r="N473" i="36"/>
  <c r="O473" i="36" s="1"/>
  <c r="P473" i="36" s="1"/>
  <c r="Q473" i="36" s="1"/>
  <c r="R473" i="36" s="1"/>
  <c r="S473" i="36" s="1"/>
  <c r="T473" i="36" s="1"/>
  <c r="U473" i="36" s="1"/>
  <c r="V473" i="36" s="1"/>
  <c r="W473" i="36" s="1"/>
  <c r="X473" i="36" s="1"/>
  <c r="M473" i="36"/>
  <c r="L473" i="36"/>
  <c r="K473" i="36"/>
  <c r="J473" i="36"/>
  <c r="I473" i="36"/>
  <c r="H473" i="36"/>
  <c r="G473" i="36"/>
  <c r="F473" i="36"/>
  <c r="E473" i="36"/>
  <c r="D473" i="36"/>
  <c r="B473" i="36"/>
  <c r="N472" i="36"/>
  <c r="N474" i="36" s="1"/>
  <c r="M472" i="36"/>
  <c r="M474" i="36" s="1"/>
  <c r="L472" i="36"/>
  <c r="L474" i="36" s="1"/>
  <c r="K472" i="36"/>
  <c r="J472" i="36"/>
  <c r="I472" i="36"/>
  <c r="I474" i="36" s="1"/>
  <c r="H472" i="36"/>
  <c r="G472" i="36"/>
  <c r="F472" i="36"/>
  <c r="F474" i="36" s="1"/>
  <c r="F475" i="36" s="1"/>
  <c r="E472" i="36"/>
  <c r="E474" i="36" s="1"/>
  <c r="D472" i="36"/>
  <c r="D474" i="36" s="1"/>
  <c r="B472" i="36"/>
  <c r="N469" i="36"/>
  <c r="M469" i="36"/>
  <c r="L469" i="36"/>
  <c r="K469" i="36"/>
  <c r="J469" i="36"/>
  <c r="I469" i="36"/>
  <c r="H469" i="36"/>
  <c r="G469" i="36"/>
  <c r="F469" i="36"/>
  <c r="E469" i="36"/>
  <c r="D469" i="36"/>
  <c r="B469" i="36"/>
  <c r="N468" i="36"/>
  <c r="M468" i="36"/>
  <c r="L468" i="36"/>
  <c r="K468" i="36"/>
  <c r="J468" i="36"/>
  <c r="I468" i="36"/>
  <c r="H468" i="36"/>
  <c r="G468" i="36"/>
  <c r="F468" i="36"/>
  <c r="E468" i="36"/>
  <c r="D468" i="36"/>
  <c r="B468" i="36"/>
  <c r="N465" i="36"/>
  <c r="M465" i="36"/>
  <c r="L465" i="36"/>
  <c r="K465" i="36"/>
  <c r="J465" i="36"/>
  <c r="I465" i="36"/>
  <c r="H465" i="36"/>
  <c r="G465" i="36"/>
  <c r="F465" i="36"/>
  <c r="E465" i="36"/>
  <c r="D465" i="36"/>
  <c r="B465" i="36"/>
  <c r="N464" i="36"/>
  <c r="M464" i="36"/>
  <c r="L464" i="36"/>
  <c r="K464" i="36"/>
  <c r="J464" i="36"/>
  <c r="I464" i="36"/>
  <c r="H464" i="36"/>
  <c r="G464" i="36"/>
  <c r="F464" i="36"/>
  <c r="E464" i="36"/>
  <c r="D464" i="36"/>
  <c r="B464" i="36"/>
  <c r="N461" i="36"/>
  <c r="M461" i="36"/>
  <c r="L461" i="36"/>
  <c r="K461" i="36"/>
  <c r="J461" i="36"/>
  <c r="I461" i="36"/>
  <c r="H461" i="36"/>
  <c r="G461" i="36"/>
  <c r="F461" i="36"/>
  <c r="E461" i="36"/>
  <c r="D461" i="36"/>
  <c r="B461" i="36"/>
  <c r="B459" i="36"/>
  <c r="N458" i="36"/>
  <c r="M458" i="36"/>
  <c r="L458" i="36"/>
  <c r="K458" i="36"/>
  <c r="J458" i="36"/>
  <c r="I458" i="36"/>
  <c r="H458" i="36"/>
  <c r="G458" i="36"/>
  <c r="F458" i="36"/>
  <c r="E458" i="36"/>
  <c r="D458" i="36"/>
  <c r="B458" i="36"/>
  <c r="N454" i="36"/>
  <c r="M454" i="36"/>
  <c r="L454" i="36"/>
  <c r="K454" i="36"/>
  <c r="J454" i="36"/>
  <c r="I454" i="36"/>
  <c r="H454" i="36"/>
  <c r="G454" i="36"/>
  <c r="F454" i="36"/>
  <c r="E454" i="36"/>
  <c r="D454" i="36"/>
  <c r="B454" i="36"/>
  <c r="I451" i="36"/>
  <c r="H451" i="36"/>
  <c r="I105" i="36" s="1"/>
  <c r="G451" i="36"/>
  <c r="F451" i="36"/>
  <c r="E451" i="36"/>
  <c r="D451" i="36"/>
  <c r="B451" i="36"/>
  <c r="I450" i="36"/>
  <c r="H450" i="36"/>
  <c r="G450" i="36"/>
  <c r="F450" i="36"/>
  <c r="E450" i="36"/>
  <c r="D450" i="36"/>
  <c r="D105" i="36" s="1"/>
  <c r="B450" i="36"/>
  <c r="I448" i="36"/>
  <c r="H448" i="36"/>
  <c r="G448" i="36"/>
  <c r="F448" i="36"/>
  <c r="E448" i="36"/>
  <c r="D448" i="36"/>
  <c r="B448" i="36"/>
  <c r="I447" i="36"/>
  <c r="H447" i="36"/>
  <c r="H449" i="36" s="1"/>
  <c r="G447" i="36"/>
  <c r="F447" i="36"/>
  <c r="E447" i="36"/>
  <c r="D447" i="36"/>
  <c r="B447" i="36"/>
  <c r="N443" i="36"/>
  <c r="M443" i="36"/>
  <c r="L443" i="36"/>
  <c r="K443" i="36"/>
  <c r="J443" i="36"/>
  <c r="I443" i="36"/>
  <c r="H443" i="36"/>
  <c r="G443" i="36"/>
  <c r="F443" i="36"/>
  <c r="E443" i="36"/>
  <c r="D443" i="36"/>
  <c r="B443" i="36"/>
  <c r="N442" i="36"/>
  <c r="M442" i="36"/>
  <c r="L442" i="36"/>
  <c r="K442" i="36"/>
  <c r="J442" i="36"/>
  <c r="I442" i="36"/>
  <c r="H442" i="36"/>
  <c r="G442" i="36"/>
  <c r="F442" i="36"/>
  <c r="E442" i="36"/>
  <c r="D442" i="36"/>
  <c r="B442" i="36"/>
  <c r="N441" i="36"/>
  <c r="N444" i="36" s="1"/>
  <c r="M441" i="36"/>
  <c r="L441" i="36"/>
  <c r="K441" i="36"/>
  <c r="J441" i="36"/>
  <c r="I441" i="36"/>
  <c r="I444" i="36" s="1"/>
  <c r="H441" i="36"/>
  <c r="G441" i="36"/>
  <c r="F441" i="36"/>
  <c r="F444" i="36" s="1"/>
  <c r="E441" i="36"/>
  <c r="D441" i="36"/>
  <c r="B441" i="36"/>
  <c r="I438" i="36"/>
  <c r="H438" i="36"/>
  <c r="G438" i="36"/>
  <c r="F438" i="36"/>
  <c r="E438" i="36"/>
  <c r="D438" i="36"/>
  <c r="B438" i="36"/>
  <c r="I437" i="36"/>
  <c r="H437" i="36"/>
  <c r="G437" i="36"/>
  <c r="F437" i="36"/>
  <c r="E437" i="36"/>
  <c r="D437" i="36"/>
  <c r="B437" i="36"/>
  <c r="B434" i="36"/>
  <c r="I433" i="36"/>
  <c r="H433" i="36"/>
  <c r="G433" i="36"/>
  <c r="F433" i="36"/>
  <c r="E433" i="36"/>
  <c r="D433" i="36"/>
  <c r="B433" i="36"/>
  <c r="I428" i="36"/>
  <c r="H428" i="36"/>
  <c r="G428" i="36"/>
  <c r="F428" i="36"/>
  <c r="E428" i="36"/>
  <c r="D428" i="36"/>
  <c r="B428" i="36"/>
  <c r="I427" i="36"/>
  <c r="J430" i="36" s="1"/>
  <c r="H427" i="36"/>
  <c r="H429" i="36" s="1"/>
  <c r="G427" i="36"/>
  <c r="F427" i="36"/>
  <c r="E427" i="36"/>
  <c r="D427" i="36"/>
  <c r="D430" i="36" s="1"/>
  <c r="B427" i="36"/>
  <c r="N424" i="36"/>
  <c r="M424" i="36"/>
  <c r="L424" i="36"/>
  <c r="K424" i="36"/>
  <c r="J424" i="36"/>
  <c r="J419" i="36" s="1"/>
  <c r="J423" i="36" s="1"/>
  <c r="I424" i="36"/>
  <c r="H424" i="36"/>
  <c r="G424" i="36"/>
  <c r="F424" i="36"/>
  <c r="E424" i="36"/>
  <c r="D424" i="36"/>
  <c r="B424" i="36"/>
  <c r="B423" i="36"/>
  <c r="N420" i="36"/>
  <c r="M420" i="36"/>
  <c r="L420" i="36"/>
  <c r="K420" i="36"/>
  <c r="J420" i="36"/>
  <c r="I420" i="36"/>
  <c r="H420" i="36"/>
  <c r="G420" i="36"/>
  <c r="F420" i="36"/>
  <c r="E420" i="36"/>
  <c r="D420" i="36"/>
  <c r="B420" i="36"/>
  <c r="B419" i="36"/>
  <c r="C416" i="36"/>
  <c r="X415" i="36"/>
  <c r="W415" i="36"/>
  <c r="V415" i="36"/>
  <c r="U415" i="36"/>
  <c r="T415" i="36"/>
  <c r="S415" i="36"/>
  <c r="R415" i="36"/>
  <c r="Q415" i="36"/>
  <c r="P415" i="36"/>
  <c r="O415" i="36"/>
  <c r="N415" i="36"/>
  <c r="M415" i="36"/>
  <c r="L415" i="36"/>
  <c r="K415" i="36"/>
  <c r="J415" i="36"/>
  <c r="I415" i="36"/>
  <c r="H415" i="36"/>
  <c r="G415" i="36"/>
  <c r="F415" i="36"/>
  <c r="E415" i="36"/>
  <c r="D415" i="36"/>
  <c r="B415" i="36"/>
  <c r="X414" i="36"/>
  <c r="W414" i="36"/>
  <c r="V414" i="36"/>
  <c r="U414" i="36"/>
  <c r="T414" i="36"/>
  <c r="S414" i="36"/>
  <c r="R414" i="36"/>
  <c r="Q414" i="36"/>
  <c r="P414" i="36"/>
  <c r="O414" i="36"/>
  <c r="N414" i="36"/>
  <c r="M414" i="36"/>
  <c r="L414" i="36"/>
  <c r="K414" i="36"/>
  <c r="J414" i="36"/>
  <c r="I414" i="36"/>
  <c r="H414" i="36"/>
  <c r="G414" i="36"/>
  <c r="F414" i="36"/>
  <c r="E414" i="36"/>
  <c r="D414" i="36"/>
  <c r="B414" i="36"/>
  <c r="X413" i="36"/>
  <c r="W413" i="36"/>
  <c r="V413" i="36"/>
  <c r="V159" i="36" s="1"/>
  <c r="U413" i="36"/>
  <c r="U159" i="36" s="1"/>
  <c r="T413" i="36"/>
  <c r="S413" i="36"/>
  <c r="R413" i="36"/>
  <c r="Q413" i="36"/>
  <c r="P413" i="36"/>
  <c r="P159" i="36" s="1"/>
  <c r="O413" i="36"/>
  <c r="N413" i="36"/>
  <c r="M413" i="36"/>
  <c r="M159" i="36" s="1"/>
  <c r="L413" i="36"/>
  <c r="K413" i="36"/>
  <c r="J413" i="36"/>
  <c r="I413" i="36"/>
  <c r="H413" i="36"/>
  <c r="H159" i="36" s="1"/>
  <c r="G413" i="36"/>
  <c r="F413" i="36"/>
  <c r="F159" i="36" s="1"/>
  <c r="E413" i="36"/>
  <c r="E159" i="36" s="1"/>
  <c r="D413" i="36"/>
  <c r="B413" i="36"/>
  <c r="X412" i="36"/>
  <c r="W412" i="36"/>
  <c r="V412" i="36"/>
  <c r="U412" i="36"/>
  <c r="T412" i="36"/>
  <c r="S412" i="36"/>
  <c r="R412" i="36"/>
  <c r="Q412" i="36"/>
  <c r="P412" i="36"/>
  <c r="O412" i="36"/>
  <c r="N412" i="36"/>
  <c r="M412" i="36"/>
  <c r="L412" i="36"/>
  <c r="K412" i="36"/>
  <c r="J412" i="36"/>
  <c r="I412" i="36"/>
  <c r="H412" i="36"/>
  <c r="G412" i="36"/>
  <c r="F412" i="36"/>
  <c r="E412" i="36"/>
  <c r="D412" i="36"/>
  <c r="B412" i="36"/>
  <c r="X411" i="36"/>
  <c r="X524" i="36" s="1"/>
  <c r="W411" i="36"/>
  <c r="W524" i="36" s="1"/>
  <c r="V411" i="36"/>
  <c r="V524" i="36" s="1"/>
  <c r="U411" i="36"/>
  <c r="U524" i="36" s="1"/>
  <c r="T411" i="36"/>
  <c r="T524" i="36" s="1"/>
  <c r="S411" i="36"/>
  <c r="S524" i="36" s="1"/>
  <c r="R411" i="36"/>
  <c r="R524" i="36" s="1"/>
  <c r="Q411" i="36"/>
  <c r="Q524" i="36" s="1"/>
  <c r="P411" i="36"/>
  <c r="P524" i="36" s="1"/>
  <c r="O411" i="36"/>
  <c r="O524" i="36" s="1"/>
  <c r="N411" i="36"/>
  <c r="M411" i="36"/>
  <c r="M272" i="36" s="1"/>
  <c r="L411" i="36"/>
  <c r="L272" i="36" s="1"/>
  <c r="K411" i="36"/>
  <c r="J411" i="36"/>
  <c r="I411" i="36"/>
  <c r="I272" i="36" s="1"/>
  <c r="H411" i="36"/>
  <c r="G411" i="36"/>
  <c r="F411" i="36"/>
  <c r="E411" i="36"/>
  <c r="D411" i="36"/>
  <c r="D272" i="36" s="1"/>
  <c r="B411" i="36"/>
  <c r="X410" i="36"/>
  <c r="W410" i="36"/>
  <c r="V410" i="36"/>
  <c r="U410" i="36"/>
  <c r="T410" i="36"/>
  <c r="S410" i="36"/>
  <c r="R410" i="36"/>
  <c r="Q410" i="36"/>
  <c r="P410" i="36"/>
  <c r="O410" i="36"/>
  <c r="N410" i="36"/>
  <c r="M410" i="36"/>
  <c r="L410" i="36"/>
  <c r="K410" i="36"/>
  <c r="J410" i="36"/>
  <c r="I410" i="36"/>
  <c r="H410" i="36"/>
  <c r="G410" i="36"/>
  <c r="F410" i="36"/>
  <c r="E410" i="36"/>
  <c r="D410" i="36"/>
  <c r="B410" i="36"/>
  <c r="X409" i="36"/>
  <c r="W409" i="36"/>
  <c r="V409" i="36"/>
  <c r="U409" i="36"/>
  <c r="T409" i="36"/>
  <c r="S409" i="36"/>
  <c r="R409" i="36"/>
  <c r="Q409" i="36"/>
  <c r="P409" i="36"/>
  <c r="O409" i="36"/>
  <c r="N409" i="36"/>
  <c r="M409" i="36"/>
  <c r="L409" i="36"/>
  <c r="K409" i="36"/>
  <c r="J409" i="36"/>
  <c r="I409" i="36"/>
  <c r="H409" i="36"/>
  <c r="G409" i="36"/>
  <c r="F409" i="36"/>
  <c r="E409" i="36"/>
  <c r="D409" i="36"/>
  <c r="B409" i="36"/>
  <c r="B405" i="36"/>
  <c r="N404" i="36"/>
  <c r="M404" i="36"/>
  <c r="L404" i="36"/>
  <c r="K404" i="36"/>
  <c r="J404" i="36"/>
  <c r="I404" i="36"/>
  <c r="H404" i="36"/>
  <c r="G404" i="36"/>
  <c r="F404" i="36"/>
  <c r="E404" i="36"/>
  <c r="D404" i="36"/>
  <c r="B404" i="36"/>
  <c r="B400" i="36"/>
  <c r="N397" i="36"/>
  <c r="M397" i="36"/>
  <c r="L397" i="36"/>
  <c r="K397" i="36"/>
  <c r="J397" i="36"/>
  <c r="I397" i="36"/>
  <c r="H397" i="36"/>
  <c r="G397" i="36"/>
  <c r="F397" i="36"/>
  <c r="E397" i="36"/>
  <c r="D397" i="36"/>
  <c r="B397" i="36"/>
  <c r="N395" i="36"/>
  <c r="N483" i="36" s="1"/>
  <c r="M395" i="36"/>
  <c r="M483" i="36" s="1"/>
  <c r="L395" i="36"/>
  <c r="L483" i="36" s="1"/>
  <c r="K395" i="36"/>
  <c r="K483" i="36" s="1"/>
  <c r="J395" i="36"/>
  <c r="J483" i="36" s="1"/>
  <c r="I395" i="36"/>
  <c r="I483" i="36" s="1"/>
  <c r="H395" i="36"/>
  <c r="H483" i="36" s="1"/>
  <c r="G395" i="36"/>
  <c r="G483" i="36" s="1"/>
  <c r="F395" i="36"/>
  <c r="F483" i="36" s="1"/>
  <c r="E395" i="36"/>
  <c r="E483" i="36" s="1"/>
  <c r="D395" i="36"/>
  <c r="D483" i="36" s="1"/>
  <c r="B395" i="36"/>
  <c r="N394" i="36"/>
  <c r="M394" i="36"/>
  <c r="L394" i="36"/>
  <c r="K394" i="36"/>
  <c r="J394" i="36"/>
  <c r="I394" i="36"/>
  <c r="H394" i="36"/>
  <c r="G394" i="36"/>
  <c r="F394" i="36"/>
  <c r="E394" i="36"/>
  <c r="D394" i="36"/>
  <c r="B394" i="36"/>
  <c r="N393" i="36"/>
  <c r="M393" i="36"/>
  <c r="L393" i="36"/>
  <c r="K393" i="36"/>
  <c r="J393" i="36"/>
  <c r="I393" i="36"/>
  <c r="H393" i="36"/>
  <c r="G393" i="36"/>
  <c r="F393" i="36"/>
  <c r="E393" i="36"/>
  <c r="D393" i="36"/>
  <c r="B393" i="36"/>
  <c r="C391" i="36"/>
  <c r="X390" i="36"/>
  <c r="W390" i="36"/>
  <c r="V390" i="36"/>
  <c r="U390" i="36"/>
  <c r="T390" i="36"/>
  <c r="S390" i="36"/>
  <c r="R390" i="36"/>
  <c r="Q390" i="36"/>
  <c r="P390" i="36"/>
  <c r="O390" i="36"/>
  <c r="N390" i="36"/>
  <c r="M390" i="36"/>
  <c r="L390" i="36"/>
  <c r="K390" i="36"/>
  <c r="J390" i="36"/>
  <c r="I390" i="36"/>
  <c r="H390" i="36"/>
  <c r="G390" i="36"/>
  <c r="F390" i="36"/>
  <c r="E390" i="36"/>
  <c r="D390" i="36"/>
  <c r="B390" i="36"/>
  <c r="X389" i="36"/>
  <c r="X501" i="36" s="1"/>
  <c r="W389" i="36"/>
  <c r="W501" i="36" s="1"/>
  <c r="V389" i="36"/>
  <c r="V501" i="36" s="1"/>
  <c r="U389" i="36"/>
  <c r="U501" i="36" s="1"/>
  <c r="T389" i="36"/>
  <c r="T501" i="36" s="1"/>
  <c r="S389" i="36"/>
  <c r="S501" i="36" s="1"/>
  <c r="R389" i="36"/>
  <c r="R501" i="36" s="1"/>
  <c r="Q389" i="36"/>
  <c r="Q501" i="36" s="1"/>
  <c r="P389" i="36"/>
  <c r="P501" i="36" s="1"/>
  <c r="O389" i="36"/>
  <c r="O501" i="36" s="1"/>
  <c r="N389" i="36"/>
  <c r="N501" i="36" s="1"/>
  <c r="M389" i="36"/>
  <c r="M501" i="36" s="1"/>
  <c r="L389" i="36"/>
  <c r="L501" i="36" s="1"/>
  <c r="K389" i="36"/>
  <c r="K501" i="36" s="1"/>
  <c r="J389" i="36"/>
  <c r="J501" i="36" s="1"/>
  <c r="I389" i="36"/>
  <c r="I501" i="36" s="1"/>
  <c r="H389" i="36"/>
  <c r="H501" i="36" s="1"/>
  <c r="G389" i="36"/>
  <c r="G501" i="36" s="1"/>
  <c r="F389" i="36"/>
  <c r="F501" i="36" s="1"/>
  <c r="E389" i="36"/>
  <c r="E501" i="36" s="1"/>
  <c r="D389" i="36"/>
  <c r="D501" i="36" s="1"/>
  <c r="B389" i="36"/>
  <c r="X387" i="36"/>
  <c r="W387" i="36"/>
  <c r="W340" i="36" s="1"/>
  <c r="V387" i="36"/>
  <c r="V340" i="36" s="1"/>
  <c r="U387" i="36"/>
  <c r="U340" i="36" s="1"/>
  <c r="T387" i="36"/>
  <c r="S387" i="36"/>
  <c r="S340" i="36" s="1"/>
  <c r="R387" i="36"/>
  <c r="R340" i="36" s="1"/>
  <c r="Q387" i="36"/>
  <c r="Q340" i="36" s="1"/>
  <c r="P387" i="36"/>
  <c r="O387" i="36"/>
  <c r="O340" i="36" s="1"/>
  <c r="N387" i="36"/>
  <c r="N340" i="36" s="1"/>
  <c r="M387" i="36"/>
  <c r="M340" i="36" s="1"/>
  <c r="L387" i="36"/>
  <c r="K387" i="36"/>
  <c r="J387" i="36"/>
  <c r="J340" i="36" s="1"/>
  <c r="I387" i="36"/>
  <c r="I340" i="36" s="1"/>
  <c r="I341" i="36" s="1"/>
  <c r="H387" i="36"/>
  <c r="G387" i="36"/>
  <c r="G340" i="36" s="1"/>
  <c r="G341" i="36" s="1"/>
  <c r="F387" i="36"/>
  <c r="F340" i="36" s="1"/>
  <c r="E387" i="36"/>
  <c r="E340" i="36" s="1"/>
  <c r="D387" i="36"/>
  <c r="B387" i="36"/>
  <c r="X386" i="36"/>
  <c r="X280" i="36" s="1"/>
  <c r="W386" i="36"/>
  <c r="W280" i="36" s="1"/>
  <c r="V386" i="36"/>
  <c r="U386" i="36"/>
  <c r="U280" i="36" s="1"/>
  <c r="T386" i="36"/>
  <c r="T280" i="36" s="1"/>
  <c r="S386" i="36"/>
  <c r="S280" i="36" s="1"/>
  <c r="R386" i="36"/>
  <c r="Q386" i="36"/>
  <c r="P386" i="36"/>
  <c r="P280" i="36" s="1"/>
  <c r="O386" i="36"/>
  <c r="O280" i="36" s="1"/>
  <c r="N386" i="36"/>
  <c r="M386" i="36"/>
  <c r="M280" i="36" s="1"/>
  <c r="L386" i="36"/>
  <c r="L280" i="36" s="1"/>
  <c r="K386" i="36"/>
  <c r="J386" i="36"/>
  <c r="I386" i="36"/>
  <c r="H386" i="36"/>
  <c r="H280" i="36" s="1"/>
  <c r="G386" i="36"/>
  <c r="G280" i="36" s="1"/>
  <c r="F386" i="36"/>
  <c r="E386" i="36"/>
  <c r="E280" i="36" s="1"/>
  <c r="D386" i="36"/>
  <c r="D280" i="36" s="1"/>
  <c r="B386" i="36"/>
  <c r="X385" i="36"/>
  <c r="W385" i="36"/>
  <c r="V385" i="36"/>
  <c r="U385" i="36"/>
  <c r="T385" i="36"/>
  <c r="S385" i="36"/>
  <c r="R385" i="36"/>
  <c r="Q385" i="36"/>
  <c r="P385" i="36"/>
  <c r="O385" i="36"/>
  <c r="N385" i="36"/>
  <c r="M385" i="36"/>
  <c r="L385" i="36"/>
  <c r="K385" i="36"/>
  <c r="J385" i="36"/>
  <c r="I385" i="36"/>
  <c r="H385" i="36"/>
  <c r="G385" i="36"/>
  <c r="F385" i="36"/>
  <c r="E385" i="36"/>
  <c r="D385" i="36"/>
  <c r="B385" i="36"/>
  <c r="X384" i="36"/>
  <c r="X158" i="36" s="1"/>
  <c r="W384" i="36"/>
  <c r="V384" i="36"/>
  <c r="V168" i="36" s="1"/>
  <c r="U384" i="36"/>
  <c r="U158" i="36" s="1"/>
  <c r="T384" i="36"/>
  <c r="T158" i="36" s="1"/>
  <c r="S384" i="36"/>
  <c r="S158" i="36" s="1"/>
  <c r="R384" i="36"/>
  <c r="R168" i="36" s="1"/>
  <c r="Q384" i="36"/>
  <c r="Q158" i="36" s="1"/>
  <c r="P384" i="36"/>
  <c r="P158" i="36" s="1"/>
  <c r="O384" i="36"/>
  <c r="N384" i="36"/>
  <c r="N158" i="36" s="1"/>
  <c r="M384" i="36"/>
  <c r="M158" i="36" s="1"/>
  <c r="L384" i="36"/>
  <c r="L168" i="36" s="1"/>
  <c r="K384" i="36"/>
  <c r="K168" i="36" s="1"/>
  <c r="J384" i="36"/>
  <c r="J158" i="36" s="1"/>
  <c r="I384" i="36"/>
  <c r="I158" i="36" s="1"/>
  <c r="H384" i="36"/>
  <c r="H388" i="36" s="1"/>
  <c r="G384" i="36"/>
  <c r="F384" i="36"/>
  <c r="F168" i="36" s="1"/>
  <c r="E384" i="36"/>
  <c r="E158" i="36" s="1"/>
  <c r="D384" i="36"/>
  <c r="D168" i="36" s="1"/>
  <c r="B384" i="36"/>
  <c r="B380" i="36"/>
  <c r="N379" i="36"/>
  <c r="O379" i="36" s="1"/>
  <c r="P379" i="36" s="1"/>
  <c r="Q379" i="36" s="1"/>
  <c r="R379" i="36" s="1"/>
  <c r="S379" i="36" s="1"/>
  <c r="T379" i="36" s="1"/>
  <c r="U379" i="36" s="1"/>
  <c r="V379" i="36" s="1"/>
  <c r="W379" i="36" s="1"/>
  <c r="X379" i="36" s="1"/>
  <c r="M379" i="36"/>
  <c r="L379" i="36"/>
  <c r="K379" i="36"/>
  <c r="J379" i="36"/>
  <c r="I379" i="36"/>
  <c r="H379" i="36"/>
  <c r="G379" i="36"/>
  <c r="F379" i="36"/>
  <c r="E379" i="36"/>
  <c r="D379" i="36"/>
  <c r="B379" i="36"/>
  <c r="N378" i="36"/>
  <c r="M378" i="36"/>
  <c r="L378" i="36"/>
  <c r="K378" i="36"/>
  <c r="J378" i="36"/>
  <c r="I378" i="36"/>
  <c r="H378" i="36"/>
  <c r="G378" i="36"/>
  <c r="F378" i="36"/>
  <c r="E378" i="36"/>
  <c r="D378" i="36"/>
  <c r="B378" i="36"/>
  <c r="B376" i="36"/>
  <c r="B371" i="36"/>
  <c r="N370" i="36"/>
  <c r="M370" i="36"/>
  <c r="L370" i="36"/>
  <c r="K370" i="36"/>
  <c r="J370" i="36"/>
  <c r="I370" i="36"/>
  <c r="H370" i="36"/>
  <c r="G370" i="36"/>
  <c r="F370" i="36"/>
  <c r="E370" i="36"/>
  <c r="D370" i="36"/>
  <c r="B370" i="36"/>
  <c r="N369" i="36"/>
  <c r="M369" i="36"/>
  <c r="L369" i="36"/>
  <c r="K369" i="36"/>
  <c r="J369" i="36"/>
  <c r="I369" i="36"/>
  <c r="H369" i="36"/>
  <c r="G369" i="36"/>
  <c r="F369" i="36"/>
  <c r="E369" i="36"/>
  <c r="D369" i="36"/>
  <c r="B369" i="36"/>
  <c r="B367" i="36"/>
  <c r="N363" i="36"/>
  <c r="M363" i="36"/>
  <c r="L363" i="36"/>
  <c r="K363" i="36"/>
  <c r="J363" i="36"/>
  <c r="I363" i="36"/>
  <c r="H363" i="36"/>
  <c r="G363" i="36"/>
  <c r="F363" i="36"/>
  <c r="E363" i="36"/>
  <c r="D363" i="36"/>
  <c r="B363" i="36"/>
  <c r="B361" i="36"/>
  <c r="N360" i="36"/>
  <c r="M360" i="36"/>
  <c r="L360" i="36"/>
  <c r="K360" i="36"/>
  <c r="J360" i="36"/>
  <c r="I360" i="36"/>
  <c r="H360" i="36"/>
  <c r="G360" i="36"/>
  <c r="F360" i="36"/>
  <c r="E360" i="36"/>
  <c r="D360" i="36"/>
  <c r="B360" i="36"/>
  <c r="N356" i="36"/>
  <c r="M356" i="36"/>
  <c r="L356" i="36"/>
  <c r="K356" i="36"/>
  <c r="J356" i="36"/>
  <c r="I356" i="36"/>
  <c r="H356" i="36"/>
  <c r="G356" i="36"/>
  <c r="F356" i="36"/>
  <c r="E356" i="36"/>
  <c r="D356" i="36"/>
  <c r="B356" i="36"/>
  <c r="B354" i="36"/>
  <c r="N350" i="36"/>
  <c r="N37" i="36" s="1"/>
  <c r="M350" i="36"/>
  <c r="L350" i="36"/>
  <c r="K350" i="36"/>
  <c r="J350" i="36"/>
  <c r="I350" i="36"/>
  <c r="I37" i="36" s="1"/>
  <c r="H350" i="36"/>
  <c r="G350" i="36"/>
  <c r="G37" i="36" s="1"/>
  <c r="F350" i="36"/>
  <c r="F37" i="36" s="1"/>
  <c r="E350" i="36"/>
  <c r="D350" i="36"/>
  <c r="B350" i="36"/>
  <c r="N349" i="36"/>
  <c r="M349" i="36"/>
  <c r="L349" i="36"/>
  <c r="K349" i="36"/>
  <c r="J349" i="36"/>
  <c r="I349" i="36"/>
  <c r="H349" i="36"/>
  <c r="G349" i="36"/>
  <c r="F349" i="36"/>
  <c r="E349" i="36"/>
  <c r="D349" i="36"/>
  <c r="B349" i="36"/>
  <c r="B345" i="36"/>
  <c r="N344" i="36"/>
  <c r="M344" i="36"/>
  <c r="L344" i="36"/>
  <c r="K344" i="36"/>
  <c r="J344" i="36"/>
  <c r="I344" i="36"/>
  <c r="H344" i="36"/>
  <c r="G344" i="36"/>
  <c r="F344" i="36"/>
  <c r="E344" i="36"/>
  <c r="D344" i="36"/>
  <c r="B344" i="36"/>
  <c r="N343" i="36"/>
  <c r="O343" i="36" s="1"/>
  <c r="P343" i="36" s="1"/>
  <c r="Q343" i="36" s="1"/>
  <c r="R343" i="36" s="1"/>
  <c r="S343" i="36" s="1"/>
  <c r="T343" i="36" s="1"/>
  <c r="U343" i="36" s="1"/>
  <c r="V343" i="36" s="1"/>
  <c r="W343" i="36" s="1"/>
  <c r="X343" i="36" s="1"/>
  <c r="M343" i="36"/>
  <c r="L343" i="36"/>
  <c r="K343" i="36"/>
  <c r="J343" i="36"/>
  <c r="I343" i="36"/>
  <c r="H343" i="36"/>
  <c r="G343" i="36"/>
  <c r="F343" i="36"/>
  <c r="E343" i="36"/>
  <c r="D343" i="36"/>
  <c r="B343" i="36"/>
  <c r="B341" i="36"/>
  <c r="X340" i="36"/>
  <c r="T340" i="36"/>
  <c r="P340" i="36"/>
  <c r="L340" i="36"/>
  <c r="K340" i="36"/>
  <c r="H340" i="36"/>
  <c r="H341" i="36" s="1"/>
  <c r="H342" i="36" s="1"/>
  <c r="D340" i="36"/>
  <c r="D341" i="36" s="1"/>
  <c r="N337" i="36"/>
  <c r="M337" i="36"/>
  <c r="L337" i="36"/>
  <c r="K337" i="36"/>
  <c r="J337" i="36"/>
  <c r="I337" i="36"/>
  <c r="H337" i="36"/>
  <c r="G337" i="36"/>
  <c r="F337" i="36"/>
  <c r="E337" i="36"/>
  <c r="D337" i="36"/>
  <c r="B337" i="36"/>
  <c r="N336" i="36"/>
  <c r="M336" i="36"/>
  <c r="L336" i="36"/>
  <c r="K336" i="36"/>
  <c r="J336" i="36"/>
  <c r="I336" i="36"/>
  <c r="H336" i="36"/>
  <c r="G336" i="36"/>
  <c r="F336" i="36"/>
  <c r="E336" i="36"/>
  <c r="D336" i="36"/>
  <c r="B336" i="36"/>
  <c r="N335" i="36"/>
  <c r="M335" i="36"/>
  <c r="L335" i="36"/>
  <c r="K335" i="36"/>
  <c r="J335" i="36"/>
  <c r="I335" i="36"/>
  <c r="H335" i="36"/>
  <c r="G335" i="36"/>
  <c r="F335" i="36"/>
  <c r="E335" i="36"/>
  <c r="D335" i="36"/>
  <c r="B335" i="36"/>
  <c r="N329" i="36"/>
  <c r="M329" i="36"/>
  <c r="L329" i="36"/>
  <c r="K329" i="36"/>
  <c r="J329" i="36"/>
  <c r="I329" i="36"/>
  <c r="H329" i="36"/>
  <c r="G329" i="36"/>
  <c r="F329" i="36"/>
  <c r="E329" i="36"/>
  <c r="D329" i="36"/>
  <c r="B329" i="36"/>
  <c r="N328" i="36"/>
  <c r="M328" i="36"/>
  <c r="L328" i="36"/>
  <c r="K328" i="36"/>
  <c r="I328" i="36"/>
  <c r="H328" i="36"/>
  <c r="G328" i="36"/>
  <c r="F328" i="36"/>
  <c r="E328" i="36"/>
  <c r="D328" i="36"/>
  <c r="B328" i="36"/>
  <c r="I325" i="36"/>
  <c r="H325" i="36"/>
  <c r="G325" i="36"/>
  <c r="F325" i="36"/>
  <c r="E325" i="36"/>
  <c r="D325" i="36"/>
  <c r="B325" i="36"/>
  <c r="B323" i="36"/>
  <c r="N322" i="36"/>
  <c r="N323" i="36" s="1"/>
  <c r="M322" i="36"/>
  <c r="M323" i="36" s="1"/>
  <c r="L322" i="36"/>
  <c r="L323" i="36" s="1"/>
  <c r="K322" i="36"/>
  <c r="K323" i="36" s="1"/>
  <c r="J322" i="36"/>
  <c r="J323" i="36" s="1"/>
  <c r="I322" i="36"/>
  <c r="H322" i="36"/>
  <c r="H323" i="36" s="1"/>
  <c r="G322" i="36"/>
  <c r="G323" i="36" s="1"/>
  <c r="G324" i="36" s="1"/>
  <c r="F322" i="36"/>
  <c r="F323" i="36" s="1"/>
  <c r="F324" i="36" s="1"/>
  <c r="E322" i="36"/>
  <c r="E323" i="36" s="1"/>
  <c r="D322" i="36"/>
  <c r="D323" i="36" s="1"/>
  <c r="B322" i="36"/>
  <c r="I319" i="36"/>
  <c r="H319" i="36"/>
  <c r="G319" i="36"/>
  <c r="F319" i="36"/>
  <c r="E319" i="36"/>
  <c r="D319" i="36"/>
  <c r="B319" i="36"/>
  <c r="I318" i="36"/>
  <c r="H318" i="36"/>
  <c r="G318" i="36"/>
  <c r="F318" i="36"/>
  <c r="E318" i="36"/>
  <c r="D318" i="36"/>
  <c r="B318" i="36"/>
  <c r="I315" i="36"/>
  <c r="H315" i="36"/>
  <c r="G315" i="36"/>
  <c r="F315" i="36"/>
  <c r="E315" i="36"/>
  <c r="D315" i="36"/>
  <c r="B315" i="36"/>
  <c r="I314" i="36"/>
  <c r="H314" i="36"/>
  <c r="G314" i="36"/>
  <c r="F314" i="36"/>
  <c r="E314" i="36"/>
  <c r="D314" i="36"/>
  <c r="B314" i="36"/>
  <c r="I311" i="36"/>
  <c r="H311" i="36"/>
  <c r="G311" i="36"/>
  <c r="F311" i="36"/>
  <c r="E311" i="36"/>
  <c r="D311" i="36"/>
  <c r="B311" i="36"/>
  <c r="I310" i="36"/>
  <c r="H310" i="36"/>
  <c r="G310" i="36"/>
  <c r="F310" i="36"/>
  <c r="E310" i="36"/>
  <c r="D310" i="36"/>
  <c r="B310" i="36"/>
  <c r="I307" i="36"/>
  <c r="H307" i="36"/>
  <c r="G307" i="36"/>
  <c r="F307" i="36"/>
  <c r="E307" i="36"/>
  <c r="D307" i="36"/>
  <c r="B307" i="36"/>
  <c r="I306" i="36"/>
  <c r="H306" i="36"/>
  <c r="G306" i="36"/>
  <c r="F306" i="36"/>
  <c r="E306" i="36"/>
  <c r="D306" i="36"/>
  <c r="B306" i="36"/>
  <c r="I303" i="36"/>
  <c r="H303" i="36"/>
  <c r="G303" i="36"/>
  <c r="F303" i="36"/>
  <c r="E303" i="36"/>
  <c r="D303" i="36"/>
  <c r="B303" i="36"/>
  <c r="B301" i="36"/>
  <c r="B295" i="36"/>
  <c r="N294" i="36"/>
  <c r="M294" i="36"/>
  <c r="L294" i="36"/>
  <c r="K294" i="36"/>
  <c r="J294" i="36"/>
  <c r="I294" i="36"/>
  <c r="H294" i="36"/>
  <c r="G294" i="36"/>
  <c r="F294" i="36"/>
  <c r="E294" i="36"/>
  <c r="D294" i="36"/>
  <c r="B294" i="36"/>
  <c r="N293" i="36"/>
  <c r="M293" i="36"/>
  <c r="L293" i="36"/>
  <c r="K293" i="36"/>
  <c r="J293" i="36"/>
  <c r="I293" i="36"/>
  <c r="H293" i="36"/>
  <c r="G293" i="36"/>
  <c r="F293" i="36"/>
  <c r="E293" i="36"/>
  <c r="D293" i="36"/>
  <c r="B293" i="36"/>
  <c r="N292" i="36"/>
  <c r="M292" i="36"/>
  <c r="M295" i="36" s="1"/>
  <c r="L292" i="36"/>
  <c r="K292" i="36"/>
  <c r="J292" i="36"/>
  <c r="I292" i="36"/>
  <c r="H292" i="36"/>
  <c r="G292" i="36"/>
  <c r="F292" i="36"/>
  <c r="E292" i="36"/>
  <c r="D292" i="36"/>
  <c r="B292" i="36"/>
  <c r="I289" i="36"/>
  <c r="H289" i="36"/>
  <c r="G289" i="36"/>
  <c r="F289" i="36"/>
  <c r="E289" i="36"/>
  <c r="D289" i="36"/>
  <c r="B289" i="36"/>
  <c r="I288" i="36"/>
  <c r="H288" i="36"/>
  <c r="G288" i="36"/>
  <c r="F288" i="36"/>
  <c r="E288" i="36"/>
  <c r="D288" i="36"/>
  <c r="B288" i="36"/>
  <c r="I285" i="36"/>
  <c r="H285" i="36"/>
  <c r="G285" i="36"/>
  <c r="F285" i="36"/>
  <c r="E285" i="36"/>
  <c r="D285" i="36"/>
  <c r="B285" i="36"/>
  <c r="B283" i="36"/>
  <c r="N282" i="36"/>
  <c r="M282" i="36"/>
  <c r="L282" i="36"/>
  <c r="K282" i="36"/>
  <c r="J282" i="36"/>
  <c r="I282" i="36"/>
  <c r="H282" i="36"/>
  <c r="G282" i="36"/>
  <c r="F282" i="36"/>
  <c r="E282" i="36"/>
  <c r="D282" i="36"/>
  <c r="V280" i="36"/>
  <c r="R280" i="36"/>
  <c r="Q280" i="36"/>
  <c r="N280" i="36"/>
  <c r="K280" i="36"/>
  <c r="J280" i="36"/>
  <c r="I280" i="36"/>
  <c r="F280" i="36"/>
  <c r="B276" i="36"/>
  <c r="N275" i="36"/>
  <c r="M275" i="36"/>
  <c r="L275" i="36"/>
  <c r="K275" i="36"/>
  <c r="J275" i="36"/>
  <c r="I275" i="36"/>
  <c r="H275" i="36"/>
  <c r="G275" i="36"/>
  <c r="F275" i="36"/>
  <c r="E275" i="36"/>
  <c r="D275" i="36"/>
  <c r="B275" i="36"/>
  <c r="I273" i="36"/>
  <c r="H273" i="36"/>
  <c r="G273" i="36"/>
  <c r="F273" i="36"/>
  <c r="E273" i="36"/>
  <c r="D273" i="36"/>
  <c r="B273" i="36"/>
  <c r="W272" i="36"/>
  <c r="S272" i="36"/>
  <c r="O272" i="36"/>
  <c r="N272" i="36"/>
  <c r="K272" i="36"/>
  <c r="J272" i="36"/>
  <c r="H272" i="36"/>
  <c r="G272" i="36"/>
  <c r="F272" i="36"/>
  <c r="E272" i="36"/>
  <c r="I270" i="36"/>
  <c r="H270" i="36"/>
  <c r="G270" i="36"/>
  <c r="F270" i="36"/>
  <c r="E270" i="36"/>
  <c r="D270" i="36"/>
  <c r="B270" i="36"/>
  <c r="I269" i="36"/>
  <c r="H269" i="36"/>
  <c r="G269" i="36"/>
  <c r="F269" i="36"/>
  <c r="E269" i="36"/>
  <c r="D269" i="36"/>
  <c r="B269" i="36"/>
  <c r="I268" i="36"/>
  <c r="H268" i="36"/>
  <c r="G268" i="36"/>
  <c r="F268" i="36"/>
  <c r="E268" i="36"/>
  <c r="D268" i="36"/>
  <c r="B268" i="36"/>
  <c r="I267" i="36"/>
  <c r="H267" i="36"/>
  <c r="G267" i="36"/>
  <c r="F267" i="36"/>
  <c r="E267" i="36"/>
  <c r="D267" i="36"/>
  <c r="B267" i="36"/>
  <c r="B263" i="36"/>
  <c r="N262" i="36"/>
  <c r="M262" i="36"/>
  <c r="L262" i="36"/>
  <c r="K262" i="36"/>
  <c r="J262" i="36"/>
  <c r="I262" i="36"/>
  <c r="H262" i="36"/>
  <c r="G262" i="36"/>
  <c r="F262" i="36"/>
  <c r="E262" i="36"/>
  <c r="D262" i="36"/>
  <c r="B262" i="36"/>
  <c r="I260" i="36"/>
  <c r="H260" i="36"/>
  <c r="G260" i="36"/>
  <c r="F260" i="36"/>
  <c r="E260" i="36"/>
  <c r="D260" i="36"/>
  <c r="B260" i="36"/>
  <c r="I259" i="36"/>
  <c r="H259" i="36"/>
  <c r="G259" i="36"/>
  <c r="F259" i="36"/>
  <c r="E259" i="36"/>
  <c r="D259" i="36"/>
  <c r="B259" i="36"/>
  <c r="I258" i="36"/>
  <c r="H258" i="36"/>
  <c r="G258" i="36"/>
  <c r="F258" i="36"/>
  <c r="E258" i="36"/>
  <c r="D258" i="36"/>
  <c r="B258" i="36"/>
  <c r="I257" i="36"/>
  <c r="H257" i="36"/>
  <c r="G257" i="36"/>
  <c r="F257" i="36"/>
  <c r="E257" i="36"/>
  <c r="D257" i="36"/>
  <c r="B257" i="36"/>
  <c r="I256" i="36"/>
  <c r="H256" i="36"/>
  <c r="G256" i="36"/>
  <c r="F256" i="36"/>
  <c r="E256" i="36"/>
  <c r="D256" i="36"/>
  <c r="B256" i="36"/>
  <c r="I255" i="36"/>
  <c r="H255" i="36"/>
  <c r="G255" i="36"/>
  <c r="F255" i="36"/>
  <c r="E255" i="36"/>
  <c r="D255" i="36"/>
  <c r="B255" i="36"/>
  <c r="N252" i="36"/>
  <c r="O252" i="36" s="1"/>
  <c r="P252" i="36" s="1"/>
  <c r="Q252" i="36" s="1"/>
  <c r="M252" i="36"/>
  <c r="L252" i="36"/>
  <c r="K252" i="36"/>
  <c r="J252" i="36"/>
  <c r="I252" i="36"/>
  <c r="H252" i="36"/>
  <c r="G252" i="36"/>
  <c r="F252" i="36"/>
  <c r="E252" i="36"/>
  <c r="D252" i="36"/>
  <c r="B252" i="36"/>
  <c r="N251" i="36"/>
  <c r="O251" i="36" s="1"/>
  <c r="M251" i="36"/>
  <c r="L251" i="36"/>
  <c r="K251" i="36"/>
  <c r="J251" i="36"/>
  <c r="I251" i="36"/>
  <c r="H251" i="36"/>
  <c r="G251" i="36"/>
  <c r="F251" i="36"/>
  <c r="E251" i="36"/>
  <c r="D251" i="36"/>
  <c r="B251" i="36"/>
  <c r="I248" i="36"/>
  <c r="H248" i="36"/>
  <c r="G248" i="36"/>
  <c r="F248" i="36"/>
  <c r="E248" i="36"/>
  <c r="D248" i="36"/>
  <c r="B248" i="36"/>
  <c r="N247" i="36"/>
  <c r="M247" i="36"/>
  <c r="L247" i="36"/>
  <c r="K247" i="36"/>
  <c r="J247" i="36"/>
  <c r="I247" i="36"/>
  <c r="H247" i="36"/>
  <c r="G247" i="36"/>
  <c r="F247" i="36"/>
  <c r="E247" i="36"/>
  <c r="D247" i="36"/>
  <c r="B247" i="36"/>
  <c r="N246" i="36"/>
  <c r="M246" i="36"/>
  <c r="L246" i="36"/>
  <c r="K246" i="36"/>
  <c r="J246" i="36"/>
  <c r="I246" i="36"/>
  <c r="H246" i="36"/>
  <c r="G246" i="36"/>
  <c r="F246" i="36"/>
  <c r="E246" i="36"/>
  <c r="D246" i="36"/>
  <c r="B246" i="36"/>
  <c r="N242" i="36"/>
  <c r="M242" i="36"/>
  <c r="L242" i="36"/>
  <c r="K242" i="36"/>
  <c r="J242" i="36"/>
  <c r="I242" i="36"/>
  <c r="H242" i="36"/>
  <c r="G242" i="36"/>
  <c r="F242" i="36"/>
  <c r="E242" i="36"/>
  <c r="D242" i="36"/>
  <c r="B242" i="36"/>
  <c r="N241" i="36"/>
  <c r="O241" i="36" s="1"/>
  <c r="P241" i="36" s="1"/>
  <c r="Q241" i="36" s="1"/>
  <c r="R241" i="36" s="1"/>
  <c r="S241" i="36" s="1"/>
  <c r="T241" i="36" s="1"/>
  <c r="U241" i="36" s="1"/>
  <c r="V241" i="36" s="1"/>
  <c r="W241" i="36" s="1"/>
  <c r="X241" i="36" s="1"/>
  <c r="M241" i="36"/>
  <c r="L241" i="36"/>
  <c r="K241" i="36"/>
  <c r="J241" i="36"/>
  <c r="I241" i="36"/>
  <c r="H241" i="36"/>
  <c r="G241" i="36"/>
  <c r="F241" i="36"/>
  <c r="E241" i="36"/>
  <c r="D241" i="36"/>
  <c r="B241" i="36"/>
  <c r="N239" i="36"/>
  <c r="M239" i="36"/>
  <c r="L239" i="36"/>
  <c r="K239" i="36"/>
  <c r="J239" i="36"/>
  <c r="I239" i="36"/>
  <c r="H239" i="36"/>
  <c r="G239" i="36"/>
  <c r="F239" i="36"/>
  <c r="E239" i="36"/>
  <c r="D239" i="36"/>
  <c r="B239" i="36"/>
  <c r="N238" i="36"/>
  <c r="M238" i="36"/>
  <c r="L238" i="36"/>
  <c r="K238" i="36"/>
  <c r="J238" i="36"/>
  <c r="I238" i="36"/>
  <c r="H238" i="36"/>
  <c r="G238" i="36"/>
  <c r="F238" i="36"/>
  <c r="E238" i="36"/>
  <c r="D238" i="36"/>
  <c r="B238" i="36"/>
  <c r="N237" i="36"/>
  <c r="N299" i="36" s="1"/>
  <c r="M237" i="36"/>
  <c r="M299" i="36" s="1"/>
  <c r="L237" i="36"/>
  <c r="L299" i="36" s="1"/>
  <c r="K237" i="36"/>
  <c r="K240" i="36" s="1"/>
  <c r="J237" i="36"/>
  <c r="J299" i="36" s="1"/>
  <c r="I237" i="36"/>
  <c r="H237" i="36"/>
  <c r="H299" i="36" s="1"/>
  <c r="G237" i="36"/>
  <c r="G299" i="36" s="1"/>
  <c r="F237" i="36"/>
  <c r="E237" i="36"/>
  <c r="E299" i="36" s="1"/>
  <c r="D237" i="36"/>
  <c r="D299" i="36" s="1"/>
  <c r="B237" i="36"/>
  <c r="N232" i="36"/>
  <c r="M232" i="36"/>
  <c r="L232" i="36"/>
  <c r="K232" i="36"/>
  <c r="J232" i="36"/>
  <c r="I232" i="36"/>
  <c r="H232" i="36"/>
  <c r="G232" i="36"/>
  <c r="F232" i="36"/>
  <c r="E232" i="36"/>
  <c r="D232" i="36"/>
  <c r="B232" i="36"/>
  <c r="N231" i="36"/>
  <c r="M231" i="36"/>
  <c r="L231" i="36"/>
  <c r="K231" i="36"/>
  <c r="J231" i="36"/>
  <c r="I231" i="36"/>
  <c r="H231" i="36"/>
  <c r="G231" i="36"/>
  <c r="F231" i="36"/>
  <c r="E231" i="36"/>
  <c r="D231" i="36"/>
  <c r="B231" i="36"/>
  <c r="N230" i="36"/>
  <c r="M230" i="36"/>
  <c r="L230" i="36"/>
  <c r="K230" i="36"/>
  <c r="J230" i="36"/>
  <c r="I230" i="36"/>
  <c r="H230" i="36"/>
  <c r="G230" i="36"/>
  <c r="F230" i="36"/>
  <c r="E230" i="36"/>
  <c r="D230" i="36"/>
  <c r="B230" i="36"/>
  <c r="N229" i="36"/>
  <c r="M229" i="36"/>
  <c r="L229" i="36"/>
  <c r="K229" i="36"/>
  <c r="K233" i="36" s="1"/>
  <c r="J229" i="36"/>
  <c r="I229" i="36"/>
  <c r="H229" i="36"/>
  <c r="G229" i="36"/>
  <c r="F229" i="36"/>
  <c r="E229" i="36"/>
  <c r="D229" i="36"/>
  <c r="B229" i="36"/>
  <c r="N225" i="36"/>
  <c r="M225" i="36"/>
  <c r="L225" i="36"/>
  <c r="K225" i="36"/>
  <c r="J225" i="36"/>
  <c r="I225" i="36"/>
  <c r="H225" i="36"/>
  <c r="G225" i="36"/>
  <c r="F225" i="36"/>
  <c r="E225" i="36"/>
  <c r="D225" i="36"/>
  <c r="B225" i="36"/>
  <c r="N224" i="36"/>
  <c r="M224" i="36"/>
  <c r="L224" i="36"/>
  <c r="K224" i="36"/>
  <c r="J224" i="36"/>
  <c r="I224" i="36"/>
  <c r="H224" i="36"/>
  <c r="G224" i="36"/>
  <c r="F224" i="36"/>
  <c r="E224" i="36"/>
  <c r="D224" i="36"/>
  <c r="B224" i="36"/>
  <c r="N223" i="36"/>
  <c r="M223" i="36"/>
  <c r="L223" i="36"/>
  <c r="K223" i="36"/>
  <c r="J223" i="36"/>
  <c r="I223" i="36"/>
  <c r="H223" i="36"/>
  <c r="G223" i="36"/>
  <c r="G226" i="36" s="1"/>
  <c r="F223" i="36"/>
  <c r="E223" i="36"/>
  <c r="D223" i="36"/>
  <c r="B223" i="36"/>
  <c r="I222" i="36"/>
  <c r="H222" i="36"/>
  <c r="G222" i="36"/>
  <c r="F222" i="36"/>
  <c r="E222" i="36"/>
  <c r="D222" i="36"/>
  <c r="B222" i="36"/>
  <c r="N219" i="36"/>
  <c r="M219" i="36"/>
  <c r="L219" i="36"/>
  <c r="K219" i="36"/>
  <c r="J219" i="36"/>
  <c r="I219" i="36"/>
  <c r="H219" i="36"/>
  <c r="G219" i="36"/>
  <c r="F219" i="36"/>
  <c r="E219" i="36"/>
  <c r="D219" i="36"/>
  <c r="B219" i="36"/>
  <c r="N217" i="36"/>
  <c r="M217" i="36"/>
  <c r="L217" i="36"/>
  <c r="K217" i="36"/>
  <c r="J217" i="36"/>
  <c r="I217" i="36"/>
  <c r="H217" i="36"/>
  <c r="G217" i="36"/>
  <c r="F217" i="36"/>
  <c r="E217" i="36"/>
  <c r="D217" i="36"/>
  <c r="B217" i="36"/>
  <c r="N216" i="36"/>
  <c r="O216" i="36" s="1"/>
  <c r="M216" i="36"/>
  <c r="L216" i="36"/>
  <c r="K216" i="36"/>
  <c r="J216" i="36"/>
  <c r="I216" i="36"/>
  <c r="H216" i="36"/>
  <c r="G216" i="36"/>
  <c r="F216" i="36"/>
  <c r="E216" i="36"/>
  <c r="D216" i="36"/>
  <c r="B216" i="36"/>
  <c r="N215" i="36"/>
  <c r="N431" i="36" s="1"/>
  <c r="N434" i="36" s="1"/>
  <c r="M215" i="36"/>
  <c r="M431" i="36" s="1"/>
  <c r="M434" i="36" s="1"/>
  <c r="L215" i="36"/>
  <c r="L431" i="36" s="1"/>
  <c r="L434" i="36" s="1"/>
  <c r="K215" i="36"/>
  <c r="K431" i="36" s="1"/>
  <c r="K434" i="36" s="1"/>
  <c r="J215" i="36"/>
  <c r="J431" i="36" s="1"/>
  <c r="J434" i="36" s="1"/>
  <c r="I215" i="36"/>
  <c r="I431" i="36" s="1"/>
  <c r="I434" i="36" s="1"/>
  <c r="H215" i="36"/>
  <c r="H431" i="36" s="1"/>
  <c r="H434" i="36" s="1"/>
  <c r="G215" i="36"/>
  <c r="G431" i="36" s="1"/>
  <c r="G434" i="36" s="1"/>
  <c r="F215" i="36"/>
  <c r="E215" i="36"/>
  <c r="E431" i="36" s="1"/>
  <c r="E434" i="36" s="1"/>
  <c r="D215" i="36"/>
  <c r="B215" i="36"/>
  <c r="N211" i="36"/>
  <c r="M211" i="36"/>
  <c r="L211" i="36"/>
  <c r="K211" i="36"/>
  <c r="J211" i="36"/>
  <c r="I211" i="36"/>
  <c r="H211" i="36"/>
  <c r="G211" i="36"/>
  <c r="F211" i="36"/>
  <c r="E211" i="36"/>
  <c r="D211" i="36"/>
  <c r="B211" i="36"/>
  <c r="N210" i="36"/>
  <c r="M210" i="36"/>
  <c r="L210" i="36"/>
  <c r="K210" i="36"/>
  <c r="J210" i="36"/>
  <c r="I210" i="36"/>
  <c r="H210" i="36"/>
  <c r="G210" i="36"/>
  <c r="F210" i="36"/>
  <c r="E210" i="36"/>
  <c r="D210" i="36"/>
  <c r="B210" i="36"/>
  <c r="N209" i="36"/>
  <c r="M209" i="36"/>
  <c r="L209" i="36"/>
  <c r="K209" i="36"/>
  <c r="J209" i="36"/>
  <c r="I209" i="36"/>
  <c r="H209" i="36"/>
  <c r="G209" i="36"/>
  <c r="F209" i="36"/>
  <c r="E209" i="36"/>
  <c r="D209" i="36"/>
  <c r="B209" i="36"/>
  <c r="N208" i="36"/>
  <c r="M208" i="36"/>
  <c r="L208" i="36"/>
  <c r="K208" i="36"/>
  <c r="J208" i="36"/>
  <c r="I208" i="36"/>
  <c r="H208" i="36"/>
  <c r="G208" i="36"/>
  <c r="F208" i="36"/>
  <c r="E208" i="36"/>
  <c r="D208" i="36"/>
  <c r="B208" i="36"/>
  <c r="N205" i="36"/>
  <c r="M205" i="36"/>
  <c r="L205" i="36"/>
  <c r="K205" i="36"/>
  <c r="J205" i="36"/>
  <c r="I205" i="36"/>
  <c r="H205" i="36"/>
  <c r="G205" i="36"/>
  <c r="F205" i="36"/>
  <c r="E205" i="36"/>
  <c r="D205" i="36"/>
  <c r="N204" i="36"/>
  <c r="M204" i="36"/>
  <c r="L204" i="36"/>
  <c r="K204" i="36"/>
  <c r="J204" i="36"/>
  <c r="I204" i="36"/>
  <c r="H204" i="36"/>
  <c r="G204" i="36"/>
  <c r="F204" i="36"/>
  <c r="E204" i="36"/>
  <c r="D204" i="36"/>
  <c r="N203" i="36"/>
  <c r="M203" i="36"/>
  <c r="L203" i="36"/>
  <c r="K203" i="36"/>
  <c r="J203" i="36"/>
  <c r="I203" i="36"/>
  <c r="H203" i="36"/>
  <c r="G203" i="36"/>
  <c r="F203" i="36"/>
  <c r="E203" i="36"/>
  <c r="D203" i="36"/>
  <c r="N202" i="36"/>
  <c r="M202" i="36"/>
  <c r="L202" i="36"/>
  <c r="K202" i="36"/>
  <c r="J202" i="36"/>
  <c r="I202" i="36"/>
  <c r="H202" i="36"/>
  <c r="G202" i="36"/>
  <c r="F202" i="36"/>
  <c r="E202" i="36"/>
  <c r="D202" i="36"/>
  <c r="B199" i="36"/>
  <c r="N198" i="36"/>
  <c r="O198" i="36" s="1"/>
  <c r="P198" i="36" s="1"/>
  <c r="Q198" i="36" s="1"/>
  <c r="R198" i="36" s="1"/>
  <c r="S198" i="36" s="1"/>
  <c r="T198" i="36" s="1"/>
  <c r="U198" i="36" s="1"/>
  <c r="V198" i="36" s="1"/>
  <c r="W198" i="36" s="1"/>
  <c r="X198" i="36" s="1"/>
  <c r="M198" i="36"/>
  <c r="L198" i="36"/>
  <c r="K198" i="36"/>
  <c r="J198" i="36"/>
  <c r="I198" i="36"/>
  <c r="H198" i="36"/>
  <c r="G198" i="36"/>
  <c r="F198" i="36"/>
  <c r="E198" i="36"/>
  <c r="D198" i="36"/>
  <c r="B198" i="36"/>
  <c r="B196" i="36"/>
  <c r="N195" i="36"/>
  <c r="M195" i="36"/>
  <c r="L195" i="36"/>
  <c r="K195" i="36"/>
  <c r="J195" i="36"/>
  <c r="I195" i="36"/>
  <c r="H195" i="36"/>
  <c r="G195" i="36"/>
  <c r="F195" i="36"/>
  <c r="E195" i="36"/>
  <c r="D195" i="36"/>
  <c r="B195" i="36"/>
  <c r="N193" i="36"/>
  <c r="N281" i="36" s="1"/>
  <c r="M193" i="36"/>
  <c r="M281" i="36" s="1"/>
  <c r="L193" i="36"/>
  <c r="L281" i="36" s="1"/>
  <c r="K193" i="36"/>
  <c r="K281" i="36" s="1"/>
  <c r="J193" i="36"/>
  <c r="J281" i="36" s="1"/>
  <c r="I193" i="36"/>
  <c r="I281" i="36" s="1"/>
  <c r="H193" i="36"/>
  <c r="H281" i="36" s="1"/>
  <c r="G193" i="36"/>
  <c r="G281" i="36" s="1"/>
  <c r="F193" i="36"/>
  <c r="F281" i="36" s="1"/>
  <c r="E193" i="36"/>
  <c r="E281" i="36" s="1"/>
  <c r="D193" i="36"/>
  <c r="D281" i="36" s="1"/>
  <c r="B193" i="36"/>
  <c r="Q192" i="36"/>
  <c r="Q300" i="36" s="1"/>
  <c r="P192" i="36"/>
  <c r="P300" i="36" s="1"/>
  <c r="O192" i="36"/>
  <c r="O300" i="36" s="1"/>
  <c r="N192" i="36"/>
  <c r="N300" i="36" s="1"/>
  <c r="M192" i="36"/>
  <c r="M300" i="36" s="1"/>
  <c r="L192" i="36"/>
  <c r="L300" i="36" s="1"/>
  <c r="K192" i="36"/>
  <c r="K300" i="36" s="1"/>
  <c r="J192" i="36"/>
  <c r="J300" i="36" s="1"/>
  <c r="I192" i="36"/>
  <c r="I300" i="36" s="1"/>
  <c r="H192" i="36"/>
  <c r="H300" i="36" s="1"/>
  <c r="G192" i="36"/>
  <c r="G300" i="36" s="1"/>
  <c r="F192" i="36"/>
  <c r="F300" i="36" s="1"/>
  <c r="E192" i="36"/>
  <c r="E300" i="36" s="1"/>
  <c r="D192" i="36"/>
  <c r="D300" i="36" s="1"/>
  <c r="B192" i="36"/>
  <c r="N190" i="36"/>
  <c r="N271" i="36" s="1"/>
  <c r="M190" i="36"/>
  <c r="M271" i="36" s="1"/>
  <c r="L190" i="36"/>
  <c r="L271" i="36" s="1"/>
  <c r="K190" i="36"/>
  <c r="K271" i="36" s="1"/>
  <c r="J190" i="36"/>
  <c r="J271" i="36" s="1"/>
  <c r="I190" i="36"/>
  <c r="I271" i="36" s="1"/>
  <c r="H190" i="36"/>
  <c r="H271" i="36" s="1"/>
  <c r="G190" i="36"/>
  <c r="G271" i="36" s="1"/>
  <c r="F190" i="36"/>
  <c r="F271" i="36" s="1"/>
  <c r="E190" i="36"/>
  <c r="E271" i="36" s="1"/>
  <c r="D190" i="36"/>
  <c r="D271" i="36" s="1"/>
  <c r="B190" i="36"/>
  <c r="N188" i="36"/>
  <c r="M188" i="36"/>
  <c r="L188" i="36"/>
  <c r="K188" i="36"/>
  <c r="J188" i="36"/>
  <c r="I188" i="36"/>
  <c r="H188" i="36"/>
  <c r="G188" i="36"/>
  <c r="F188" i="36"/>
  <c r="E188" i="36"/>
  <c r="D188" i="36"/>
  <c r="B188" i="36"/>
  <c r="N187" i="36"/>
  <c r="M187" i="36"/>
  <c r="L187" i="36"/>
  <c r="K187" i="36"/>
  <c r="J187" i="36"/>
  <c r="I187" i="36"/>
  <c r="H187" i="36"/>
  <c r="G187" i="36"/>
  <c r="F187" i="36"/>
  <c r="E187" i="36"/>
  <c r="D187" i="36"/>
  <c r="B187" i="36"/>
  <c r="N186" i="36"/>
  <c r="M186" i="36"/>
  <c r="L186" i="36"/>
  <c r="K186" i="36"/>
  <c r="J186" i="36"/>
  <c r="I186" i="36"/>
  <c r="H186" i="36"/>
  <c r="G186" i="36"/>
  <c r="F186" i="36"/>
  <c r="E186" i="36"/>
  <c r="D186" i="36"/>
  <c r="B186" i="36"/>
  <c r="N185" i="36"/>
  <c r="M185" i="36"/>
  <c r="L185" i="36"/>
  <c r="K185" i="36"/>
  <c r="J185" i="36"/>
  <c r="I185" i="36"/>
  <c r="H185" i="36"/>
  <c r="G185" i="36"/>
  <c r="F185" i="36"/>
  <c r="E185" i="36"/>
  <c r="D185" i="36"/>
  <c r="B185" i="36"/>
  <c r="N184" i="36"/>
  <c r="M184" i="36"/>
  <c r="L184" i="36"/>
  <c r="K184" i="36"/>
  <c r="J184" i="36"/>
  <c r="I184" i="36"/>
  <c r="H184" i="36"/>
  <c r="G184" i="36"/>
  <c r="F184" i="36"/>
  <c r="E184" i="36"/>
  <c r="D184" i="36"/>
  <c r="B184" i="36"/>
  <c r="N183" i="36"/>
  <c r="M183" i="36"/>
  <c r="L183" i="36"/>
  <c r="K183" i="36"/>
  <c r="J183" i="36"/>
  <c r="I183" i="36"/>
  <c r="H183" i="36"/>
  <c r="G183" i="36"/>
  <c r="F183" i="36"/>
  <c r="E183" i="36"/>
  <c r="D183" i="36"/>
  <c r="B183" i="36"/>
  <c r="N182" i="36"/>
  <c r="M182" i="36"/>
  <c r="L182" i="36"/>
  <c r="K182" i="36"/>
  <c r="J182" i="36"/>
  <c r="I182" i="36"/>
  <c r="I189" i="36" s="1"/>
  <c r="H182" i="36"/>
  <c r="G182" i="36"/>
  <c r="F182" i="36"/>
  <c r="E182" i="36"/>
  <c r="D182" i="36"/>
  <c r="B182" i="36"/>
  <c r="B179" i="36"/>
  <c r="B177" i="36"/>
  <c r="N172" i="36"/>
  <c r="M172" i="36"/>
  <c r="L172" i="36"/>
  <c r="K172" i="36"/>
  <c r="J172" i="36"/>
  <c r="I172" i="36"/>
  <c r="H172" i="36"/>
  <c r="G172" i="36"/>
  <c r="F172" i="36"/>
  <c r="E172" i="36"/>
  <c r="D172" i="36"/>
  <c r="N171" i="36"/>
  <c r="O171" i="36" s="1"/>
  <c r="P171" i="36" s="1"/>
  <c r="Q171" i="36" s="1"/>
  <c r="R171" i="36" s="1"/>
  <c r="S171" i="36" s="1"/>
  <c r="T171" i="36" s="1"/>
  <c r="U171" i="36" s="1"/>
  <c r="V171" i="36" s="1"/>
  <c r="W171" i="36" s="1"/>
  <c r="X171" i="36" s="1"/>
  <c r="M171" i="36"/>
  <c r="L171" i="36"/>
  <c r="K171" i="36"/>
  <c r="J171" i="36"/>
  <c r="I171" i="36"/>
  <c r="H171" i="36"/>
  <c r="G171" i="36"/>
  <c r="F171" i="36"/>
  <c r="E171" i="36"/>
  <c r="D171" i="36"/>
  <c r="B169" i="36"/>
  <c r="N164" i="36"/>
  <c r="M164" i="36"/>
  <c r="L164" i="36"/>
  <c r="K164" i="36"/>
  <c r="J164" i="36"/>
  <c r="I164" i="36"/>
  <c r="H164" i="36"/>
  <c r="G164" i="36"/>
  <c r="F164" i="36"/>
  <c r="E164" i="36"/>
  <c r="D164" i="36"/>
  <c r="B164" i="36"/>
  <c r="N163" i="36"/>
  <c r="M163" i="36"/>
  <c r="L163" i="36"/>
  <c r="K163" i="36"/>
  <c r="J163" i="36"/>
  <c r="I163" i="36"/>
  <c r="H163" i="36"/>
  <c r="G163" i="36"/>
  <c r="F163" i="36"/>
  <c r="E163" i="36"/>
  <c r="D163" i="36"/>
  <c r="B163" i="36"/>
  <c r="N162" i="36"/>
  <c r="M162" i="36"/>
  <c r="L162" i="36"/>
  <c r="K162" i="36"/>
  <c r="J162" i="36"/>
  <c r="I162" i="36"/>
  <c r="H162" i="36"/>
  <c r="G162" i="36"/>
  <c r="F162" i="36"/>
  <c r="E162" i="36"/>
  <c r="D162" i="36"/>
  <c r="B162" i="36"/>
  <c r="B160" i="36"/>
  <c r="X159" i="36"/>
  <c r="W159" i="36"/>
  <c r="T159" i="36"/>
  <c r="S159" i="36"/>
  <c r="R159" i="36"/>
  <c r="Q159" i="36"/>
  <c r="O159" i="36"/>
  <c r="N159" i="36"/>
  <c r="L159" i="36"/>
  <c r="K159" i="36"/>
  <c r="J159" i="36"/>
  <c r="I159" i="36"/>
  <c r="G159" i="36"/>
  <c r="D159" i="36"/>
  <c r="N155" i="36"/>
  <c r="M155" i="36"/>
  <c r="L155" i="36"/>
  <c r="K155" i="36"/>
  <c r="J155" i="36"/>
  <c r="I155" i="36"/>
  <c r="H155" i="36"/>
  <c r="G155" i="36"/>
  <c r="F155" i="36"/>
  <c r="E155" i="36"/>
  <c r="D155" i="36"/>
  <c r="B155" i="36"/>
  <c r="N154" i="36"/>
  <c r="M154" i="36"/>
  <c r="L154" i="36"/>
  <c r="K154" i="36"/>
  <c r="J154" i="36"/>
  <c r="I154" i="36"/>
  <c r="H154" i="36"/>
  <c r="G154" i="36"/>
  <c r="F154" i="36"/>
  <c r="E154" i="36"/>
  <c r="D154" i="36"/>
  <c r="B154" i="36"/>
  <c r="N151" i="36"/>
  <c r="O151" i="36" s="1"/>
  <c r="P151" i="36" s="1"/>
  <c r="Q151" i="36" s="1"/>
  <c r="R151" i="36" s="1"/>
  <c r="S151" i="36" s="1"/>
  <c r="T151" i="36" s="1"/>
  <c r="U151" i="36" s="1"/>
  <c r="V151" i="36" s="1"/>
  <c r="W151" i="36" s="1"/>
  <c r="X151" i="36" s="1"/>
  <c r="M151" i="36"/>
  <c r="L151" i="36"/>
  <c r="K151" i="36"/>
  <c r="J151" i="36"/>
  <c r="I151" i="36"/>
  <c r="H151" i="36"/>
  <c r="G151" i="36"/>
  <c r="F151" i="36"/>
  <c r="E151" i="36"/>
  <c r="D151" i="36"/>
  <c r="B151" i="36"/>
  <c r="B149" i="36"/>
  <c r="N148" i="36"/>
  <c r="O148" i="36" s="1"/>
  <c r="P148" i="36" s="1"/>
  <c r="Q148" i="36" s="1"/>
  <c r="R148" i="36" s="1"/>
  <c r="S148" i="36" s="1"/>
  <c r="T148" i="36" s="1"/>
  <c r="U148" i="36" s="1"/>
  <c r="V148" i="36" s="1"/>
  <c r="W148" i="36" s="1"/>
  <c r="X148" i="36" s="1"/>
  <c r="M148" i="36"/>
  <c r="L148" i="36"/>
  <c r="K148" i="36"/>
  <c r="J148" i="36"/>
  <c r="I148" i="36"/>
  <c r="H148" i="36"/>
  <c r="G148" i="36"/>
  <c r="F148" i="36"/>
  <c r="E148" i="36"/>
  <c r="D148" i="36"/>
  <c r="B148" i="36"/>
  <c r="B146" i="36"/>
  <c r="N145" i="36"/>
  <c r="M145" i="36"/>
  <c r="L145" i="36"/>
  <c r="L146" i="36" s="1"/>
  <c r="K145" i="36"/>
  <c r="K146" i="36" s="1"/>
  <c r="K147" i="36" s="1"/>
  <c r="J145" i="36"/>
  <c r="J146" i="36" s="1"/>
  <c r="J147" i="36" s="1"/>
  <c r="I145" i="36"/>
  <c r="H145" i="36"/>
  <c r="H146" i="36" s="1"/>
  <c r="G145" i="36"/>
  <c r="G146" i="36" s="1"/>
  <c r="F145" i="36"/>
  <c r="E145" i="36"/>
  <c r="D145" i="36"/>
  <c r="D146" i="36" s="1"/>
  <c r="B145" i="36"/>
  <c r="B141" i="36"/>
  <c r="N139" i="36"/>
  <c r="M139" i="36"/>
  <c r="L139" i="36"/>
  <c r="K139" i="36"/>
  <c r="J139" i="36"/>
  <c r="I139" i="36"/>
  <c r="H139" i="36"/>
  <c r="G139" i="36"/>
  <c r="F139" i="36"/>
  <c r="E139" i="36"/>
  <c r="D139" i="36"/>
  <c r="B139" i="36"/>
  <c r="N138" i="36"/>
  <c r="N432" i="36" s="1"/>
  <c r="M138" i="36"/>
  <c r="M432" i="36" s="1"/>
  <c r="L138" i="36"/>
  <c r="K138" i="36"/>
  <c r="K432" i="36" s="1"/>
  <c r="J138" i="36"/>
  <c r="I138" i="36"/>
  <c r="H138" i="36"/>
  <c r="H432" i="36" s="1"/>
  <c r="G138" i="36"/>
  <c r="G432" i="36" s="1"/>
  <c r="F138" i="36"/>
  <c r="F432" i="36" s="1"/>
  <c r="E138" i="36"/>
  <c r="E432" i="36" s="1"/>
  <c r="D138" i="36"/>
  <c r="B138" i="36"/>
  <c r="N137" i="36"/>
  <c r="M137" i="36"/>
  <c r="L137" i="36"/>
  <c r="K137" i="36"/>
  <c r="J137" i="36"/>
  <c r="I137" i="36"/>
  <c r="H137" i="36"/>
  <c r="G137" i="36"/>
  <c r="F137" i="36"/>
  <c r="E137" i="36"/>
  <c r="D137" i="36"/>
  <c r="B137" i="36"/>
  <c r="N136" i="36"/>
  <c r="M136" i="36"/>
  <c r="L136" i="36"/>
  <c r="K136" i="36"/>
  <c r="J136" i="36"/>
  <c r="I136" i="36"/>
  <c r="H136" i="36"/>
  <c r="G136" i="36"/>
  <c r="F136" i="36"/>
  <c r="E136" i="36"/>
  <c r="D136" i="36"/>
  <c r="B136" i="36"/>
  <c r="N135" i="36"/>
  <c r="M135" i="36"/>
  <c r="L135" i="36"/>
  <c r="K135" i="36"/>
  <c r="J135" i="36"/>
  <c r="I135" i="36"/>
  <c r="H135" i="36"/>
  <c r="G135" i="36"/>
  <c r="F135" i="36"/>
  <c r="E135" i="36"/>
  <c r="D135" i="36"/>
  <c r="B135" i="36"/>
  <c r="N134" i="36"/>
  <c r="M134" i="36"/>
  <c r="L134" i="36"/>
  <c r="K134" i="36"/>
  <c r="J134" i="36"/>
  <c r="I134" i="36"/>
  <c r="H134" i="36"/>
  <c r="G134" i="36"/>
  <c r="F134" i="36"/>
  <c r="E134" i="36"/>
  <c r="D134" i="36"/>
  <c r="B134" i="36"/>
  <c r="N127" i="36"/>
  <c r="M127" i="36"/>
  <c r="L127" i="36"/>
  <c r="K127" i="36"/>
  <c r="J127" i="36"/>
  <c r="I127" i="36"/>
  <c r="H127" i="36"/>
  <c r="G127" i="36"/>
  <c r="F127" i="36"/>
  <c r="E127" i="36"/>
  <c r="D127" i="36"/>
  <c r="B127" i="36"/>
  <c r="N126" i="36"/>
  <c r="M126" i="36"/>
  <c r="L126" i="36"/>
  <c r="K126" i="36"/>
  <c r="J126" i="36"/>
  <c r="I126" i="36"/>
  <c r="H126" i="36"/>
  <c r="G126" i="36"/>
  <c r="F126" i="36"/>
  <c r="E126" i="36"/>
  <c r="D126" i="36"/>
  <c r="B126" i="36"/>
  <c r="N125" i="36"/>
  <c r="M125" i="36"/>
  <c r="L125" i="36"/>
  <c r="K125" i="36"/>
  <c r="J125" i="36"/>
  <c r="I125" i="36"/>
  <c r="H125" i="36"/>
  <c r="G125" i="36"/>
  <c r="F125" i="36"/>
  <c r="E125" i="36"/>
  <c r="D125" i="36"/>
  <c r="B125" i="36"/>
  <c r="N124" i="36"/>
  <c r="M124" i="36"/>
  <c r="L124" i="36"/>
  <c r="K124" i="36"/>
  <c r="J124" i="36"/>
  <c r="I124" i="36"/>
  <c r="H124" i="36"/>
  <c r="G124" i="36"/>
  <c r="F124" i="36"/>
  <c r="E124" i="36"/>
  <c r="D124" i="36"/>
  <c r="B124" i="36"/>
  <c r="N123" i="36"/>
  <c r="M123" i="36"/>
  <c r="L123" i="36"/>
  <c r="K123" i="36"/>
  <c r="J123" i="36"/>
  <c r="I123" i="36"/>
  <c r="H123" i="36"/>
  <c r="G123" i="36"/>
  <c r="F123" i="36"/>
  <c r="E123" i="36"/>
  <c r="D123" i="36"/>
  <c r="B123" i="36"/>
  <c r="N122" i="36"/>
  <c r="M122" i="36"/>
  <c r="L122" i="36"/>
  <c r="K122" i="36"/>
  <c r="J122" i="36"/>
  <c r="I122" i="36"/>
  <c r="H122" i="36"/>
  <c r="G122" i="36"/>
  <c r="F122" i="36"/>
  <c r="E122" i="36"/>
  <c r="D122" i="36"/>
  <c r="B122" i="36"/>
  <c r="N120" i="36"/>
  <c r="M120" i="36"/>
  <c r="L120" i="36"/>
  <c r="K120" i="36"/>
  <c r="J120" i="36"/>
  <c r="I120" i="36"/>
  <c r="H120" i="36"/>
  <c r="G120" i="36"/>
  <c r="F120" i="36"/>
  <c r="E120" i="36"/>
  <c r="D120" i="36"/>
  <c r="B120" i="36"/>
  <c r="N119" i="36"/>
  <c r="M119" i="36"/>
  <c r="L119" i="36"/>
  <c r="K119" i="36"/>
  <c r="J119" i="36"/>
  <c r="I119" i="36"/>
  <c r="H119" i="36"/>
  <c r="G119" i="36"/>
  <c r="F119" i="36"/>
  <c r="E119" i="36"/>
  <c r="D119" i="36"/>
  <c r="B119" i="36"/>
  <c r="N118" i="36"/>
  <c r="M118" i="36"/>
  <c r="L118" i="36"/>
  <c r="K118" i="36"/>
  <c r="J118" i="36"/>
  <c r="I118" i="36"/>
  <c r="H118" i="36"/>
  <c r="G118" i="36"/>
  <c r="F118" i="36"/>
  <c r="E118" i="36"/>
  <c r="D118" i="36"/>
  <c r="B118" i="36"/>
  <c r="N117" i="36"/>
  <c r="M117" i="36"/>
  <c r="L117" i="36"/>
  <c r="K117" i="36"/>
  <c r="J117" i="36"/>
  <c r="I117" i="36"/>
  <c r="H117" i="36"/>
  <c r="G117" i="36"/>
  <c r="F117" i="36"/>
  <c r="E117" i="36"/>
  <c r="D117" i="36"/>
  <c r="B117" i="36"/>
  <c r="W116" i="36"/>
  <c r="V116" i="36"/>
  <c r="U116" i="36"/>
  <c r="S116" i="36"/>
  <c r="P116" i="36"/>
  <c r="O116" i="36"/>
  <c r="N116" i="36"/>
  <c r="M116" i="36"/>
  <c r="L116" i="36"/>
  <c r="K116" i="36"/>
  <c r="J116" i="36"/>
  <c r="I116" i="36"/>
  <c r="H116" i="36"/>
  <c r="G116" i="36"/>
  <c r="F116" i="36"/>
  <c r="E116" i="36"/>
  <c r="D116" i="36"/>
  <c r="B116" i="36"/>
  <c r="N115" i="36"/>
  <c r="M115" i="36"/>
  <c r="L115" i="36"/>
  <c r="K115" i="36"/>
  <c r="J115" i="36"/>
  <c r="I115" i="36"/>
  <c r="H115" i="36"/>
  <c r="G115" i="36"/>
  <c r="F115" i="36"/>
  <c r="E115" i="36"/>
  <c r="D115" i="36"/>
  <c r="B115" i="36"/>
  <c r="N109" i="36"/>
  <c r="M109" i="36"/>
  <c r="L109" i="36"/>
  <c r="K109" i="36"/>
  <c r="J109" i="36"/>
  <c r="I109" i="36"/>
  <c r="H109" i="36"/>
  <c r="G109" i="36"/>
  <c r="F109" i="36"/>
  <c r="E109" i="36"/>
  <c r="D109" i="36"/>
  <c r="B109" i="36"/>
  <c r="N108" i="36"/>
  <c r="M108" i="36"/>
  <c r="L108" i="36"/>
  <c r="K108" i="36"/>
  <c r="J108" i="36"/>
  <c r="I108" i="36"/>
  <c r="H108" i="36"/>
  <c r="G108" i="36"/>
  <c r="F108" i="36"/>
  <c r="E108" i="36"/>
  <c r="D108" i="36"/>
  <c r="B108" i="36"/>
  <c r="N107" i="36"/>
  <c r="N509" i="36" s="1"/>
  <c r="M107" i="36"/>
  <c r="M509" i="36" s="1"/>
  <c r="L107" i="36"/>
  <c r="L509" i="36" s="1"/>
  <c r="K107" i="36"/>
  <c r="J107" i="36"/>
  <c r="J509" i="36" s="1"/>
  <c r="I107" i="36"/>
  <c r="I509" i="36" s="1"/>
  <c r="H107" i="36"/>
  <c r="H509" i="36" s="1"/>
  <c r="G107" i="36"/>
  <c r="G509" i="36" s="1"/>
  <c r="F107" i="36"/>
  <c r="F509" i="36" s="1"/>
  <c r="E107" i="36"/>
  <c r="E509" i="36" s="1"/>
  <c r="D107" i="36"/>
  <c r="D509" i="36" s="1"/>
  <c r="B107" i="36"/>
  <c r="H105" i="36"/>
  <c r="I104" i="36"/>
  <c r="H104" i="36"/>
  <c r="G104" i="36"/>
  <c r="F104" i="36"/>
  <c r="E104" i="36"/>
  <c r="D104" i="36"/>
  <c r="B104" i="36"/>
  <c r="I103" i="36"/>
  <c r="H103" i="36"/>
  <c r="G103" i="36"/>
  <c r="F103" i="36"/>
  <c r="E103" i="36"/>
  <c r="D103" i="36"/>
  <c r="B103" i="36"/>
  <c r="I102" i="36"/>
  <c r="H102" i="36"/>
  <c r="G102" i="36"/>
  <c r="F102" i="36"/>
  <c r="E102" i="36"/>
  <c r="D102" i="36"/>
  <c r="B102" i="36"/>
  <c r="I101" i="36"/>
  <c r="H101" i="36"/>
  <c r="G101" i="36"/>
  <c r="F101" i="36"/>
  <c r="E101" i="36"/>
  <c r="D101" i="36"/>
  <c r="B101" i="36"/>
  <c r="I100" i="36"/>
  <c r="H100" i="36"/>
  <c r="G100" i="36"/>
  <c r="F100" i="36"/>
  <c r="E100" i="36"/>
  <c r="D100" i="36"/>
  <c r="B100" i="36"/>
  <c r="N96" i="36"/>
  <c r="M96" i="36"/>
  <c r="L96" i="36"/>
  <c r="K96" i="36"/>
  <c r="J96" i="36"/>
  <c r="I96" i="36"/>
  <c r="H96" i="36"/>
  <c r="G96" i="36"/>
  <c r="F96" i="36"/>
  <c r="E96" i="36"/>
  <c r="D96" i="36"/>
  <c r="B96" i="36"/>
  <c r="I95" i="36"/>
  <c r="H95" i="36"/>
  <c r="G95" i="36"/>
  <c r="F95" i="36"/>
  <c r="E95" i="36"/>
  <c r="D95" i="36"/>
  <c r="B95" i="36"/>
  <c r="N94" i="36"/>
  <c r="M94" i="36"/>
  <c r="L94" i="36"/>
  <c r="K94" i="36"/>
  <c r="J94" i="36"/>
  <c r="I94" i="36"/>
  <c r="H94" i="36"/>
  <c r="G94" i="36"/>
  <c r="F94" i="36"/>
  <c r="E94" i="36"/>
  <c r="D94" i="36"/>
  <c r="B94" i="36"/>
  <c r="N92" i="36"/>
  <c r="M92" i="36"/>
  <c r="L92" i="36"/>
  <c r="K92" i="36"/>
  <c r="J92" i="36"/>
  <c r="I92" i="36"/>
  <c r="H92" i="36"/>
  <c r="G92" i="36"/>
  <c r="F92" i="36"/>
  <c r="E92" i="36"/>
  <c r="D92" i="36"/>
  <c r="B92" i="36"/>
  <c r="N91" i="36"/>
  <c r="M91" i="36"/>
  <c r="L91" i="36"/>
  <c r="K91" i="36"/>
  <c r="J91" i="36"/>
  <c r="I91" i="36"/>
  <c r="H91" i="36"/>
  <c r="G91" i="36"/>
  <c r="F91" i="36"/>
  <c r="E91" i="36"/>
  <c r="D91" i="36"/>
  <c r="B91" i="36"/>
  <c r="N90" i="36"/>
  <c r="M90" i="36"/>
  <c r="L90" i="36"/>
  <c r="K90" i="36"/>
  <c r="J90" i="36"/>
  <c r="I90" i="36"/>
  <c r="H90" i="36"/>
  <c r="G90" i="36"/>
  <c r="F90" i="36"/>
  <c r="E90" i="36"/>
  <c r="D90" i="36"/>
  <c r="B90" i="36"/>
  <c r="N89" i="36"/>
  <c r="M89" i="36"/>
  <c r="L89" i="36"/>
  <c r="K89" i="36"/>
  <c r="J89" i="36"/>
  <c r="I89" i="36"/>
  <c r="H89" i="36"/>
  <c r="G89" i="36"/>
  <c r="F89" i="36"/>
  <c r="E89" i="36"/>
  <c r="D89" i="36"/>
  <c r="B89" i="36"/>
  <c r="N88" i="36"/>
  <c r="M88" i="36"/>
  <c r="L88" i="36"/>
  <c r="K88" i="36"/>
  <c r="J88" i="36"/>
  <c r="I88" i="36"/>
  <c r="H88" i="36"/>
  <c r="H93" i="36" s="1"/>
  <c r="G88" i="36"/>
  <c r="F88" i="36"/>
  <c r="E88" i="36"/>
  <c r="D88" i="36"/>
  <c r="B88" i="36"/>
  <c r="N84" i="36"/>
  <c r="M84" i="36"/>
  <c r="L84" i="36"/>
  <c r="K84" i="36"/>
  <c r="J84" i="36"/>
  <c r="I84" i="36"/>
  <c r="H84" i="36"/>
  <c r="G84" i="36"/>
  <c r="F84" i="36"/>
  <c r="E84" i="36"/>
  <c r="D84" i="36"/>
  <c r="B84" i="36"/>
  <c r="B83" i="36"/>
  <c r="N80" i="36"/>
  <c r="M80" i="36"/>
  <c r="L80" i="36"/>
  <c r="K80" i="36"/>
  <c r="J80" i="36"/>
  <c r="I80" i="36"/>
  <c r="H80" i="36"/>
  <c r="G80" i="36"/>
  <c r="F80" i="36"/>
  <c r="E80" i="36"/>
  <c r="D80" i="36"/>
  <c r="B80" i="36"/>
  <c r="N79" i="36"/>
  <c r="M79" i="36"/>
  <c r="L79" i="36"/>
  <c r="K79" i="36"/>
  <c r="J79" i="36"/>
  <c r="I79" i="36"/>
  <c r="H79" i="36"/>
  <c r="G79" i="36"/>
  <c r="F79" i="36"/>
  <c r="E79" i="36"/>
  <c r="D79" i="36"/>
  <c r="B79" i="36"/>
  <c r="N77" i="36"/>
  <c r="M77" i="36"/>
  <c r="L77" i="36"/>
  <c r="K77" i="36"/>
  <c r="J77" i="36"/>
  <c r="I77" i="36"/>
  <c r="H77" i="36"/>
  <c r="G77" i="36"/>
  <c r="F77" i="36"/>
  <c r="E77" i="36"/>
  <c r="D77" i="36"/>
  <c r="B77" i="36"/>
  <c r="N76" i="36"/>
  <c r="M76" i="36"/>
  <c r="L76" i="36"/>
  <c r="K76" i="36"/>
  <c r="J76" i="36"/>
  <c r="I76" i="36"/>
  <c r="H76" i="36"/>
  <c r="G76" i="36"/>
  <c r="F76" i="36"/>
  <c r="E76" i="36"/>
  <c r="D76" i="36"/>
  <c r="B76" i="36"/>
  <c r="N75" i="36"/>
  <c r="M75" i="36"/>
  <c r="L75" i="36"/>
  <c r="K75" i="36"/>
  <c r="J75" i="36"/>
  <c r="I75" i="36"/>
  <c r="H75" i="36"/>
  <c r="G75" i="36"/>
  <c r="F75" i="36"/>
  <c r="E75" i="36"/>
  <c r="D75" i="36"/>
  <c r="B75" i="36"/>
  <c r="N74" i="36"/>
  <c r="M74" i="36"/>
  <c r="L74" i="36"/>
  <c r="K74" i="36"/>
  <c r="J74" i="36"/>
  <c r="I74" i="36"/>
  <c r="H74" i="36"/>
  <c r="G74" i="36"/>
  <c r="F74" i="36"/>
  <c r="E74" i="36"/>
  <c r="D74" i="36"/>
  <c r="B74" i="36"/>
  <c r="N73" i="36"/>
  <c r="M73" i="36"/>
  <c r="L73" i="36"/>
  <c r="K73" i="36"/>
  <c r="J73" i="36"/>
  <c r="I73" i="36"/>
  <c r="H73" i="36"/>
  <c r="G73" i="36"/>
  <c r="F73" i="36"/>
  <c r="E73" i="36"/>
  <c r="D73" i="36"/>
  <c r="B73" i="36"/>
  <c r="N72" i="36"/>
  <c r="M72" i="36"/>
  <c r="L72" i="36"/>
  <c r="K72" i="36"/>
  <c r="J72" i="36"/>
  <c r="I72" i="36"/>
  <c r="H72" i="36"/>
  <c r="G72" i="36"/>
  <c r="F72" i="36"/>
  <c r="E72" i="36"/>
  <c r="D72" i="36"/>
  <c r="B72" i="36"/>
  <c r="N71" i="36"/>
  <c r="M71" i="36"/>
  <c r="L71" i="36"/>
  <c r="K71" i="36"/>
  <c r="J71" i="36"/>
  <c r="I71" i="36"/>
  <c r="I78" i="36" s="1"/>
  <c r="I81" i="36" s="1"/>
  <c r="H71" i="36"/>
  <c r="I234" i="36" s="1"/>
  <c r="G71" i="36"/>
  <c r="F71" i="36"/>
  <c r="E71" i="36"/>
  <c r="D71" i="36"/>
  <c r="B71" i="36"/>
  <c r="N70" i="36"/>
  <c r="M70" i="36"/>
  <c r="L70" i="36"/>
  <c r="K70" i="36"/>
  <c r="J70" i="36"/>
  <c r="I70" i="36"/>
  <c r="H70" i="36"/>
  <c r="G70" i="36"/>
  <c r="F70" i="36"/>
  <c r="E70" i="36"/>
  <c r="D70" i="36"/>
  <c r="B70" i="36"/>
  <c r="B67" i="36"/>
  <c r="B66" i="36"/>
  <c r="B61" i="36"/>
  <c r="N59" i="36"/>
  <c r="M59" i="36"/>
  <c r="L59" i="36"/>
  <c r="K59" i="36"/>
  <c r="J59" i="36"/>
  <c r="I59" i="36"/>
  <c r="H59" i="36"/>
  <c r="G59" i="36"/>
  <c r="F59" i="36"/>
  <c r="E59" i="36"/>
  <c r="D59" i="36"/>
  <c r="B59" i="36"/>
  <c r="B52" i="36"/>
  <c r="N44" i="36"/>
  <c r="M44" i="36"/>
  <c r="L44" i="36"/>
  <c r="K44" i="36"/>
  <c r="J44" i="36"/>
  <c r="I44" i="36"/>
  <c r="H44" i="36"/>
  <c r="G44" i="36"/>
  <c r="F44" i="36"/>
  <c r="E44" i="36"/>
  <c r="D44" i="36"/>
  <c r="B44" i="36"/>
  <c r="N43" i="36"/>
  <c r="M43" i="36"/>
  <c r="L43" i="36"/>
  <c r="K43" i="36"/>
  <c r="J43" i="36"/>
  <c r="I43" i="36"/>
  <c r="H43" i="36"/>
  <c r="G43" i="36"/>
  <c r="F43" i="36"/>
  <c r="E43" i="36"/>
  <c r="D43" i="36"/>
  <c r="B43" i="36"/>
  <c r="N40" i="36"/>
  <c r="M40" i="36"/>
  <c r="L40" i="36"/>
  <c r="K40" i="36"/>
  <c r="J40" i="36"/>
  <c r="I40" i="36"/>
  <c r="H40" i="36"/>
  <c r="G40" i="36"/>
  <c r="F40" i="36"/>
  <c r="E40" i="36"/>
  <c r="D40" i="36"/>
  <c r="B40" i="36"/>
  <c r="N38" i="36"/>
  <c r="M38" i="36"/>
  <c r="L38" i="36"/>
  <c r="K38" i="36"/>
  <c r="J38" i="36"/>
  <c r="I38" i="36"/>
  <c r="H38" i="36"/>
  <c r="G38" i="36"/>
  <c r="F38" i="36"/>
  <c r="E38" i="36"/>
  <c r="D38" i="36"/>
  <c r="M37" i="36"/>
  <c r="L37" i="36"/>
  <c r="K37" i="36"/>
  <c r="J37" i="36"/>
  <c r="H37" i="36"/>
  <c r="E37" i="36"/>
  <c r="D37" i="36"/>
  <c r="N30" i="36"/>
  <c r="O30" i="36" s="1"/>
  <c r="P30" i="36" s="1"/>
  <c r="Q30" i="36" s="1"/>
  <c r="R30" i="36" s="1"/>
  <c r="S30" i="36" s="1"/>
  <c r="T30" i="36" s="1"/>
  <c r="U30" i="36" s="1"/>
  <c r="V30" i="36" s="1"/>
  <c r="M30" i="36"/>
  <c r="L30" i="36"/>
  <c r="K30" i="36"/>
  <c r="J30" i="36"/>
  <c r="I30" i="36"/>
  <c r="H30" i="36"/>
  <c r="G30" i="36"/>
  <c r="F30" i="36"/>
  <c r="E30" i="36"/>
  <c r="D30" i="36"/>
  <c r="A29" i="36"/>
  <c r="N28" i="36"/>
  <c r="M28" i="36"/>
  <c r="L28" i="36"/>
  <c r="K28" i="36"/>
  <c r="J28" i="36"/>
  <c r="I28" i="36"/>
  <c r="H28" i="36"/>
  <c r="G28" i="36"/>
  <c r="F28" i="36"/>
  <c r="E28" i="36"/>
  <c r="D28" i="36"/>
  <c r="N26" i="36"/>
  <c r="M26" i="36"/>
  <c r="L26" i="36"/>
  <c r="K26" i="36"/>
  <c r="J26" i="36"/>
  <c r="I26" i="36"/>
  <c r="H26" i="36"/>
  <c r="G26" i="36"/>
  <c r="F26" i="36"/>
  <c r="E26" i="36"/>
  <c r="D26" i="36"/>
  <c r="N25" i="36"/>
  <c r="O25" i="36" s="1"/>
  <c r="P25" i="36" s="1"/>
  <c r="Q25" i="36" s="1"/>
  <c r="R25" i="36" s="1"/>
  <c r="S25" i="36" s="1"/>
  <c r="T25" i="36" s="1"/>
  <c r="U25" i="36" s="1"/>
  <c r="V25" i="36" s="1"/>
  <c r="W25" i="36" s="1"/>
  <c r="X25" i="36" s="1"/>
  <c r="M25" i="36"/>
  <c r="L25" i="36"/>
  <c r="K25" i="36"/>
  <c r="J25" i="36"/>
  <c r="I25" i="36"/>
  <c r="H25" i="36"/>
  <c r="G25" i="36"/>
  <c r="F25" i="36"/>
  <c r="E25" i="36"/>
  <c r="D25" i="36"/>
  <c r="N24" i="36"/>
  <c r="O24" i="36" s="1"/>
  <c r="P24" i="36" s="1"/>
  <c r="Q24" i="36" s="1"/>
  <c r="R24" i="36" s="1"/>
  <c r="S24" i="36" s="1"/>
  <c r="T24" i="36" s="1"/>
  <c r="U24" i="36" s="1"/>
  <c r="V24" i="36" s="1"/>
  <c r="W24" i="36" s="1"/>
  <c r="X24" i="36" s="1"/>
  <c r="M24" i="36"/>
  <c r="L24" i="36"/>
  <c r="K24" i="36"/>
  <c r="J24" i="36"/>
  <c r="I24" i="36"/>
  <c r="H24" i="36"/>
  <c r="G24" i="36"/>
  <c r="F24" i="36"/>
  <c r="E24" i="36"/>
  <c r="D24" i="36"/>
  <c r="N23" i="36"/>
  <c r="O23" i="36" s="1"/>
  <c r="P23" i="36" s="1"/>
  <c r="Q23" i="36" s="1"/>
  <c r="R23" i="36" s="1"/>
  <c r="S23" i="36" s="1"/>
  <c r="T23" i="36" s="1"/>
  <c r="U23" i="36" s="1"/>
  <c r="V23" i="36" s="1"/>
  <c r="W23" i="36" s="1"/>
  <c r="X23" i="36" s="1"/>
  <c r="M23" i="36"/>
  <c r="L23" i="36"/>
  <c r="K23" i="36"/>
  <c r="J23" i="36"/>
  <c r="I23" i="36"/>
  <c r="H23" i="36"/>
  <c r="G23" i="36"/>
  <c r="F23" i="36"/>
  <c r="E23" i="36"/>
  <c r="D23" i="36"/>
  <c r="A22" i="36"/>
  <c r="N21" i="36"/>
  <c r="M21" i="36"/>
  <c r="L21" i="36"/>
  <c r="K21" i="36"/>
  <c r="J21" i="36"/>
  <c r="I21" i="36"/>
  <c r="H21" i="36"/>
  <c r="G21" i="36"/>
  <c r="F21" i="36"/>
  <c r="E21" i="36"/>
  <c r="D21" i="36"/>
  <c r="A19" i="36"/>
  <c r="N18" i="36"/>
  <c r="M18" i="36"/>
  <c r="L18" i="36"/>
  <c r="K18" i="36"/>
  <c r="J18" i="36"/>
  <c r="I18" i="36"/>
  <c r="H18" i="36"/>
  <c r="G18" i="36"/>
  <c r="F18" i="36"/>
  <c r="E18" i="36"/>
  <c r="D18" i="36"/>
  <c r="A17" i="36"/>
  <c r="N16" i="36"/>
  <c r="M16" i="36"/>
  <c r="L16" i="36"/>
  <c r="K16" i="36"/>
  <c r="K20" i="36" s="1"/>
  <c r="J16" i="36"/>
  <c r="I16" i="36"/>
  <c r="H16" i="36"/>
  <c r="G16" i="36"/>
  <c r="F16" i="36"/>
  <c r="E16" i="36"/>
  <c r="D16" i="36"/>
  <c r="A14" i="36"/>
  <c r="N13" i="36"/>
  <c r="M13" i="36"/>
  <c r="L13" i="36"/>
  <c r="K13" i="36"/>
  <c r="J13" i="36"/>
  <c r="I13" i="36"/>
  <c r="H13" i="36"/>
  <c r="G13" i="36"/>
  <c r="F13" i="36"/>
  <c r="E13" i="36"/>
  <c r="D13" i="36"/>
  <c r="N11" i="36"/>
  <c r="M11" i="36"/>
  <c r="L11" i="36"/>
  <c r="K11" i="36"/>
  <c r="J11" i="36"/>
  <c r="I11" i="36"/>
  <c r="H11" i="36"/>
  <c r="G11" i="36"/>
  <c r="F11" i="36"/>
  <c r="E11" i="36"/>
  <c r="D11" i="36"/>
  <c r="X116" i="36" l="1"/>
  <c r="P172" i="41"/>
  <c r="Q172" i="41" s="1"/>
  <c r="R172" i="41" s="1"/>
  <c r="S172" i="41" s="1"/>
  <c r="T172" i="41" s="1"/>
  <c r="U172" i="41" s="1"/>
  <c r="V172" i="41" s="1"/>
  <c r="W172" i="41" s="1"/>
  <c r="X172" i="41" s="1"/>
  <c r="X272" i="36"/>
  <c r="G332" i="40"/>
  <c r="P272" i="36"/>
  <c r="D432" i="36"/>
  <c r="L432" i="36"/>
  <c r="E110" i="36"/>
  <c r="M110" i="36"/>
  <c r="E128" i="36"/>
  <c r="M128" i="36"/>
  <c r="J301" i="36"/>
  <c r="T116" i="36"/>
  <c r="F419" i="36"/>
  <c r="F423" i="36" s="1"/>
  <c r="N419" i="36"/>
  <c r="N423" i="36" s="1"/>
  <c r="O423" i="36" s="1"/>
  <c r="O531" i="36" s="1"/>
  <c r="E168" i="36"/>
  <c r="G212" i="36"/>
  <c r="D245" i="36"/>
  <c r="D97" i="36" s="1"/>
  <c r="H20" i="36"/>
  <c r="C437" i="36" a="1"/>
  <c r="C437" i="36" s="1"/>
  <c r="M14" i="36"/>
  <c r="D93" i="36"/>
  <c r="L93" i="36"/>
  <c r="H226" i="36"/>
  <c r="M301" i="36"/>
  <c r="G449" i="36"/>
  <c r="J105" i="36"/>
  <c r="D366" i="38"/>
  <c r="D111" i="38"/>
  <c r="F366" i="38"/>
  <c r="G264" i="38"/>
  <c r="I196" i="38"/>
  <c r="I197" i="38" s="1"/>
  <c r="M57" i="40"/>
  <c r="K149" i="40"/>
  <c r="K150" i="40" s="1"/>
  <c r="H504" i="40"/>
  <c r="G391" i="40"/>
  <c r="H391" i="40" s="1"/>
  <c r="I391" i="40" s="1"/>
  <c r="J391" i="40" s="1"/>
  <c r="K391" i="40" s="1"/>
  <c r="L391" i="40" s="1"/>
  <c r="M391" i="40" s="1"/>
  <c r="N391" i="40" s="1"/>
  <c r="O391" i="40" s="1"/>
  <c r="M64" i="40"/>
  <c r="L57" i="40"/>
  <c r="G333" i="40"/>
  <c r="D366" i="40"/>
  <c r="D367" i="40" s="1"/>
  <c r="D368" i="40" s="1"/>
  <c r="L346" i="40"/>
  <c r="M346" i="40"/>
  <c r="G264" i="40"/>
  <c r="H353" i="40"/>
  <c r="J366" i="40"/>
  <c r="J367" i="40" s="1"/>
  <c r="J368" i="40" s="1"/>
  <c r="H57" i="40"/>
  <c r="F35" i="40"/>
  <c r="O186" i="40"/>
  <c r="J149" i="39"/>
  <c r="J150" i="39" s="1"/>
  <c r="I496" i="39"/>
  <c r="I497" i="39" s="1"/>
  <c r="I97" i="39"/>
  <c r="I98" i="39" s="1"/>
  <c r="I99" i="39" s="1"/>
  <c r="G196" i="39"/>
  <c r="I375" i="39"/>
  <c r="I376" i="39" s="1"/>
  <c r="I377" i="39" s="1"/>
  <c r="N57" i="39"/>
  <c r="M57" i="39"/>
  <c r="E391" i="39"/>
  <c r="F391" i="39" s="1"/>
  <c r="G391" i="39" s="1"/>
  <c r="H391" i="39" s="1"/>
  <c r="I391" i="39" s="1"/>
  <c r="H150" i="39"/>
  <c r="N353" i="39"/>
  <c r="N354" i="39" s="1"/>
  <c r="O354" i="39" s="1"/>
  <c r="E57" i="39"/>
  <c r="P419" i="39"/>
  <c r="H353" i="39"/>
  <c r="H354" i="39" s="1"/>
  <c r="H355" i="39" s="1"/>
  <c r="G64" i="39"/>
  <c r="F57" i="39"/>
  <c r="I48" i="39"/>
  <c r="E496" i="39"/>
  <c r="E497" i="39" s="1"/>
  <c r="E97" i="39"/>
  <c r="E98" i="39" s="1"/>
  <c r="E99" i="39" s="1"/>
  <c r="H57" i="39"/>
  <c r="L366" i="39"/>
  <c r="E113" i="39"/>
  <c r="F353" i="39"/>
  <c r="G345" i="39"/>
  <c r="G346" i="39" s="1"/>
  <c r="J57" i="39"/>
  <c r="N423" i="39"/>
  <c r="O423" i="39" s="1"/>
  <c r="K353" i="38"/>
  <c r="K354" i="38" s="1"/>
  <c r="K355" i="38" s="1"/>
  <c r="E57" i="38"/>
  <c r="P419" i="38"/>
  <c r="L353" i="38"/>
  <c r="L354" i="38" s="1"/>
  <c r="L355" i="38" s="1"/>
  <c r="O464" i="38"/>
  <c r="O532" i="38" s="1"/>
  <c r="I375" i="38"/>
  <c r="I376" i="38" s="1"/>
  <c r="I377" i="38" s="1"/>
  <c r="L196" i="38"/>
  <c r="L197" i="38" s="1"/>
  <c r="L199" i="38" s="1"/>
  <c r="M366" i="38"/>
  <c r="F19" i="36"/>
  <c r="N19" i="36"/>
  <c r="J22" i="36"/>
  <c r="F429" i="36"/>
  <c r="K218" i="36"/>
  <c r="K114" i="36" s="1"/>
  <c r="K121" i="36" s="1"/>
  <c r="L301" i="36"/>
  <c r="L302" i="36" s="1"/>
  <c r="I419" i="36"/>
  <c r="I423" i="36" s="1"/>
  <c r="F93" i="36"/>
  <c r="N93" i="36"/>
  <c r="C137" i="36" a="1"/>
  <c r="C137" i="36" s="1"/>
  <c r="F233" i="36"/>
  <c r="N233" i="36"/>
  <c r="F240" i="36"/>
  <c r="N301" i="36"/>
  <c r="N302" i="36" s="1"/>
  <c r="T272" i="36"/>
  <c r="H283" i="36"/>
  <c r="H284" i="36" s="1"/>
  <c r="E444" i="36"/>
  <c r="M444" i="36"/>
  <c r="C136" i="36" a="1"/>
  <c r="C136" i="36" s="1"/>
  <c r="L12" i="36"/>
  <c r="E22" i="36"/>
  <c r="J432" i="36"/>
  <c r="D502" i="36"/>
  <c r="I14" i="36"/>
  <c r="I19" i="36"/>
  <c r="M22" i="36"/>
  <c r="E283" i="36"/>
  <c r="J168" i="36"/>
  <c r="L140" i="36"/>
  <c r="L141" i="36" s="1"/>
  <c r="L142" i="36" s="1"/>
  <c r="D212" i="36"/>
  <c r="L212" i="36"/>
  <c r="I233" i="36"/>
  <c r="F245" i="36"/>
  <c r="F496" i="36" s="1"/>
  <c r="G388" i="36"/>
  <c r="E419" i="36"/>
  <c r="E423" i="36" s="1"/>
  <c r="M419" i="36"/>
  <c r="M423" i="36" s="1"/>
  <c r="D449" i="36"/>
  <c r="I366" i="41"/>
  <c r="D150" i="41"/>
  <c r="H142" i="41"/>
  <c r="D142" i="41"/>
  <c r="I150" i="41"/>
  <c r="D353" i="41"/>
  <c r="D354" i="41" s="1"/>
  <c r="D355" i="41" s="1"/>
  <c r="O196" i="41"/>
  <c r="Q196" i="41"/>
  <c r="X196" i="41"/>
  <c r="R196" i="41"/>
  <c r="P196" i="41"/>
  <c r="S196" i="41"/>
  <c r="U196" i="41"/>
  <c r="T196" i="41"/>
  <c r="V196" i="41"/>
  <c r="W196" i="41"/>
  <c r="J36" i="38"/>
  <c r="J113" i="38"/>
  <c r="F17" i="36"/>
  <c r="N29" i="36"/>
  <c r="O29" i="36" s="1"/>
  <c r="P29" i="36" s="1"/>
  <c r="Q29" i="36" s="1"/>
  <c r="R29" i="36" s="1"/>
  <c r="S29" i="36" s="1"/>
  <c r="T29" i="36" s="1"/>
  <c r="U29" i="36" s="1"/>
  <c r="V29" i="36" s="1"/>
  <c r="W29" i="36" s="1"/>
  <c r="X29" i="36" s="1"/>
  <c r="H22" i="36"/>
  <c r="H29" i="36"/>
  <c r="J85" i="36"/>
  <c r="M93" i="36"/>
  <c r="L283" i="36"/>
  <c r="L284" i="36" s="1"/>
  <c r="K419" i="36"/>
  <c r="K423" i="36" s="1"/>
  <c r="I168" i="36"/>
  <c r="D158" i="36"/>
  <c r="L158" i="36"/>
  <c r="K158" i="36"/>
  <c r="D504" i="38"/>
  <c r="D512" i="38" s="1"/>
  <c r="J375" i="38"/>
  <c r="J376" i="38" s="1"/>
  <c r="J377" i="38" s="1"/>
  <c r="L375" i="38"/>
  <c r="L376" i="38" s="1"/>
  <c r="L377" i="38" s="1"/>
  <c r="P21" i="38"/>
  <c r="O22" i="38"/>
  <c r="N12" i="36"/>
  <c r="J29" i="36"/>
  <c r="J93" i="36"/>
  <c r="K128" i="36"/>
  <c r="K140" i="36"/>
  <c r="K141" i="36" s="1"/>
  <c r="M283" i="36"/>
  <c r="M284" i="36" s="1"/>
  <c r="K295" i="36"/>
  <c r="K296" i="36" s="1"/>
  <c r="I388" i="36"/>
  <c r="D419" i="36"/>
  <c r="D423" i="36" s="1"/>
  <c r="L419" i="36"/>
  <c r="L423" i="36" s="1"/>
  <c r="G419" i="36"/>
  <c r="G423" i="36" s="1"/>
  <c r="G444" i="36"/>
  <c r="F105" i="36"/>
  <c r="G105" i="36"/>
  <c r="M168" i="36"/>
  <c r="C138" i="36" a="1"/>
  <c r="C138" i="36" s="1"/>
  <c r="I504" i="38"/>
  <c r="N283" i="36"/>
  <c r="K29" i="36"/>
  <c r="K212" i="36"/>
  <c r="G240" i="36"/>
  <c r="E449" i="36"/>
  <c r="G158" i="36"/>
  <c r="G168" i="36"/>
  <c r="J128" i="36"/>
  <c r="O193" i="36"/>
  <c r="O281" i="36" s="1"/>
  <c r="N240" i="36"/>
  <c r="F449" i="36"/>
  <c r="H502" i="36"/>
  <c r="C428" i="36" a="1"/>
  <c r="C428" i="36" s="1"/>
  <c r="C427" i="36" a="1"/>
  <c r="C427" i="36" s="1"/>
  <c r="H168" i="36"/>
  <c r="F158" i="36"/>
  <c r="K391" i="38"/>
  <c r="L391" i="38" s="1"/>
  <c r="M391" i="38" s="1"/>
  <c r="N391" i="38" s="1"/>
  <c r="O391" i="38" s="1"/>
  <c r="H366" i="38"/>
  <c r="H367" i="38" s="1"/>
  <c r="H368" i="38" s="1"/>
  <c r="G353" i="38"/>
  <c r="G354" i="38" s="1"/>
  <c r="G355" i="38" s="1"/>
  <c r="H353" i="38"/>
  <c r="H354" i="38" s="1"/>
  <c r="H355" i="38" s="1"/>
  <c r="G189" i="36"/>
  <c r="G191" i="36" s="1"/>
  <c r="G194" i="36" s="1"/>
  <c r="H274" i="36"/>
  <c r="H276" i="36" s="1"/>
  <c r="H277" i="36" s="1"/>
  <c r="H419" i="36"/>
  <c r="H423" i="36" s="1"/>
  <c r="H158" i="36"/>
  <c r="I353" i="38"/>
  <c r="I354" i="38" s="1"/>
  <c r="I355" i="38" s="1"/>
  <c r="J353" i="38"/>
  <c r="J354" i="38" s="1"/>
  <c r="J355" i="38" s="1"/>
  <c r="N17" i="36"/>
  <c r="G93" i="36"/>
  <c r="H140" i="36"/>
  <c r="H141" i="36" s="1"/>
  <c r="H189" i="36"/>
  <c r="H196" i="36" s="1"/>
  <c r="G245" i="36"/>
  <c r="G496" i="36" s="1"/>
  <c r="G497" i="36" s="1"/>
  <c r="J283" i="36"/>
  <c r="J284" i="36" s="1"/>
  <c r="H295" i="36"/>
  <c r="H296" i="36" s="1"/>
  <c r="D295" i="36"/>
  <c r="D444" i="36"/>
  <c r="L444" i="36"/>
  <c r="N168" i="36"/>
  <c r="H57" i="38"/>
  <c r="F12" i="36"/>
  <c r="J14" i="36"/>
  <c r="G12" i="36"/>
  <c r="D98" i="36"/>
  <c r="D99" i="36" s="1"/>
  <c r="I128" i="36"/>
  <c r="I140" i="36"/>
  <c r="I141" i="36" s="1"/>
  <c r="F226" i="36"/>
  <c r="J245" i="36"/>
  <c r="K283" i="36"/>
  <c r="K284" i="36" s="1"/>
  <c r="H345" i="36"/>
  <c r="I429" i="36"/>
  <c r="I449" i="36"/>
  <c r="I57" i="38"/>
  <c r="M57" i="38"/>
  <c r="R272" i="36"/>
  <c r="O388" i="36"/>
  <c r="W388" i="36"/>
  <c r="Q388" i="36"/>
  <c r="U168" i="36"/>
  <c r="R116" i="36"/>
  <c r="V272" i="36"/>
  <c r="O43" i="36"/>
  <c r="P168" i="36"/>
  <c r="T168" i="36"/>
  <c r="G263" i="41"/>
  <c r="G264" i="41" s="1"/>
  <c r="R158" i="36"/>
  <c r="W168" i="36"/>
  <c r="U272" i="36"/>
  <c r="W158" i="36"/>
  <c r="S168" i="36"/>
  <c r="O168" i="36"/>
  <c r="V158" i="36"/>
  <c r="O158" i="36"/>
  <c r="Q168" i="36"/>
  <c r="G261" i="36"/>
  <c r="D332" i="38"/>
  <c r="D332" i="39"/>
  <c r="H332" i="39"/>
  <c r="P388" i="36"/>
  <c r="X388" i="36"/>
  <c r="X168" i="36"/>
  <c r="M191" i="41"/>
  <c r="M194" i="41" s="1"/>
  <c r="F353" i="41"/>
  <c r="F354" i="41" s="1"/>
  <c r="F355" i="41" s="1"/>
  <c r="L196" i="41"/>
  <c r="L197" i="41" s="1"/>
  <c r="L199" i="41" s="1"/>
  <c r="L200" i="41" s="1"/>
  <c r="I35" i="41"/>
  <c r="G35" i="41"/>
  <c r="F391" i="41"/>
  <c r="G391" i="41" s="1"/>
  <c r="H391" i="41" s="1"/>
  <c r="I391" i="41" s="1"/>
  <c r="G375" i="41"/>
  <c r="G376" i="41" s="1"/>
  <c r="G377" i="41" s="1"/>
  <c r="E366" i="41"/>
  <c r="E367" i="41" s="1"/>
  <c r="E368" i="41" s="1"/>
  <c r="D375" i="41"/>
  <c r="D376" i="41" s="1"/>
  <c r="D377" i="41" s="1"/>
  <c r="E504" i="41"/>
  <c r="G277" i="41"/>
  <c r="O268" i="41"/>
  <c r="P268" i="41" s="1"/>
  <c r="Q268" i="41" s="1"/>
  <c r="R268" i="41" s="1"/>
  <c r="S268" i="41" s="1"/>
  <c r="T268" i="41" s="1"/>
  <c r="U268" i="41" s="1"/>
  <c r="V268" i="41" s="1"/>
  <c r="W268" i="41" s="1"/>
  <c r="X268" i="41" s="1"/>
  <c r="O257" i="41"/>
  <c r="P257" i="41" s="1"/>
  <c r="Q257" i="41" s="1"/>
  <c r="R257" i="41" s="1"/>
  <c r="S257" i="41" s="1"/>
  <c r="T257" i="41" s="1"/>
  <c r="U257" i="41" s="1"/>
  <c r="V257" i="41" s="1"/>
  <c r="W257" i="41" s="1"/>
  <c r="X257" i="41" s="1"/>
  <c r="O306" i="41"/>
  <c r="P306" i="41" s="1"/>
  <c r="O259" i="41"/>
  <c r="P259" i="41" s="1"/>
  <c r="Q259" i="41" s="1"/>
  <c r="R259" i="41" s="1"/>
  <c r="S259" i="41" s="1"/>
  <c r="T259" i="41" s="1"/>
  <c r="U259" i="41" s="1"/>
  <c r="V259" i="41" s="1"/>
  <c r="W259" i="41" s="1"/>
  <c r="X259" i="41" s="1"/>
  <c r="O310" i="41"/>
  <c r="P310" i="41" s="1"/>
  <c r="N97" i="41"/>
  <c r="O314" i="41"/>
  <c r="O315" i="41" s="1"/>
  <c r="O270" i="41"/>
  <c r="P270" i="41" s="1"/>
  <c r="Q270" i="41" s="1"/>
  <c r="R270" i="41" s="1"/>
  <c r="S270" i="41" s="1"/>
  <c r="T270" i="41" s="1"/>
  <c r="U270" i="41" s="1"/>
  <c r="V270" i="41" s="1"/>
  <c r="W270" i="41" s="1"/>
  <c r="X270" i="41" s="1"/>
  <c r="O318" i="41"/>
  <c r="O319" i="41" s="1"/>
  <c r="O258" i="41"/>
  <c r="P258" i="41" s="1"/>
  <c r="Q258" i="41" s="1"/>
  <c r="R258" i="41" s="1"/>
  <c r="S258" i="41" s="1"/>
  <c r="T258" i="41" s="1"/>
  <c r="U258" i="41" s="1"/>
  <c r="V258" i="41" s="1"/>
  <c r="W258" i="41" s="1"/>
  <c r="X258" i="41" s="1"/>
  <c r="O323" i="41"/>
  <c r="P323" i="41" s="1"/>
  <c r="Q323" i="41" s="1"/>
  <c r="R323" i="41" s="1"/>
  <c r="S323" i="41" s="1"/>
  <c r="T323" i="41" s="1"/>
  <c r="U323" i="41" s="1"/>
  <c r="V323" i="41" s="1"/>
  <c r="W323" i="41" s="1"/>
  <c r="X323" i="41" s="1"/>
  <c r="O260" i="41"/>
  <c r="P260" i="41" s="1"/>
  <c r="Q260" i="41" s="1"/>
  <c r="R260" i="41" s="1"/>
  <c r="S260" i="41" s="1"/>
  <c r="T260" i="41" s="1"/>
  <c r="U260" i="41" s="1"/>
  <c r="V260" i="41" s="1"/>
  <c r="W260" i="41" s="1"/>
  <c r="X260" i="41" s="1"/>
  <c r="O269" i="41"/>
  <c r="P269" i="41" s="1"/>
  <c r="Q269" i="41" s="1"/>
  <c r="R269" i="41" s="1"/>
  <c r="S269" i="41" s="1"/>
  <c r="T269" i="41" s="1"/>
  <c r="U269" i="41" s="1"/>
  <c r="V269" i="41" s="1"/>
  <c r="W269" i="41" s="1"/>
  <c r="X269" i="41" s="1"/>
  <c r="O288" i="41"/>
  <c r="O289" i="41" s="1"/>
  <c r="N302" i="41"/>
  <c r="X234" i="41"/>
  <c r="K97" i="41"/>
  <c r="O301" i="41"/>
  <c r="P301" i="41" s="1"/>
  <c r="Q301" i="41" s="1"/>
  <c r="R301" i="41" s="1"/>
  <c r="S301" i="41" s="1"/>
  <c r="T301" i="41" s="1"/>
  <c r="U301" i="41" s="1"/>
  <c r="V301" i="41" s="1"/>
  <c r="W301" i="41" s="1"/>
  <c r="X301" i="41" s="1"/>
  <c r="K274" i="41"/>
  <c r="K276" i="41" s="1"/>
  <c r="K277" i="41" s="1"/>
  <c r="M274" i="41"/>
  <c r="M276" i="41" s="1"/>
  <c r="M277" i="41" s="1"/>
  <c r="L274" i="41"/>
  <c r="L276" i="41" s="1"/>
  <c r="L277" i="41" s="1"/>
  <c r="N261" i="41"/>
  <c r="K496" i="41"/>
  <c r="M261" i="41"/>
  <c r="N274" i="41"/>
  <c r="O256" i="41"/>
  <c r="P256" i="41" s="1"/>
  <c r="Q256" i="41" s="1"/>
  <c r="R256" i="41" s="1"/>
  <c r="S256" i="41" s="1"/>
  <c r="T256" i="41" s="1"/>
  <c r="U256" i="41" s="1"/>
  <c r="V256" i="41" s="1"/>
  <c r="W256" i="41" s="1"/>
  <c r="X256" i="41" s="1"/>
  <c r="N496" i="41"/>
  <c r="M199" i="41"/>
  <c r="M200" i="41" s="1"/>
  <c r="L261" i="41"/>
  <c r="K261" i="41"/>
  <c r="N149" i="41"/>
  <c r="O149" i="41" s="1"/>
  <c r="L496" i="41"/>
  <c r="L97" i="41"/>
  <c r="N197" i="41"/>
  <c r="M496" i="41"/>
  <c r="M97" i="41"/>
  <c r="J142" i="41"/>
  <c r="P430" i="40"/>
  <c r="Q430" i="40" s="1"/>
  <c r="R430" i="40" s="1"/>
  <c r="S430" i="40" s="1"/>
  <c r="T430" i="40" s="1"/>
  <c r="U430" i="40" s="1"/>
  <c r="V430" i="40" s="1"/>
  <c r="W430" i="40" s="1"/>
  <c r="X430" i="40" s="1"/>
  <c r="O442" i="41"/>
  <c r="O187" i="41"/>
  <c r="O480" i="41"/>
  <c r="O120" i="41" s="1"/>
  <c r="O294" i="41"/>
  <c r="O484" i="41"/>
  <c r="O485" i="41" s="1"/>
  <c r="O486" i="41" s="1"/>
  <c r="O184" i="41"/>
  <c r="O154" i="41"/>
  <c r="O146" i="41"/>
  <c r="O147" i="41" s="1"/>
  <c r="O442" i="38"/>
  <c r="O454" i="41"/>
  <c r="O107" i="41" s="1"/>
  <c r="O378" i="41"/>
  <c r="O186" i="41"/>
  <c r="O322" i="41"/>
  <c r="O468" i="41" s="1"/>
  <c r="O443" i="41"/>
  <c r="O190" i="41"/>
  <c r="O271" i="41" s="1"/>
  <c r="T234" i="38"/>
  <c r="O146" i="38"/>
  <c r="O490" i="38" s="1"/>
  <c r="P29" i="38"/>
  <c r="Q29" i="38" s="1"/>
  <c r="R29" i="38" s="1"/>
  <c r="S29" i="38" s="1"/>
  <c r="T29" i="38" s="1"/>
  <c r="U29" i="38" s="1"/>
  <c r="V29" i="38" s="1"/>
  <c r="W29" i="38" s="1"/>
  <c r="X29" i="38" s="1"/>
  <c r="O72" i="38"/>
  <c r="O378" i="38"/>
  <c r="O234" i="38"/>
  <c r="O162" i="38" s="1"/>
  <c r="C318" i="41" a="1"/>
  <c r="C318" i="41" s="1"/>
  <c r="C310" i="41" a="1"/>
  <c r="C310" i="41" s="1"/>
  <c r="V234" i="38"/>
  <c r="C288" i="41" a="1"/>
  <c r="C288" i="41" s="1"/>
  <c r="U234" i="38"/>
  <c r="W234" i="38"/>
  <c r="O322" i="38"/>
  <c r="O469" i="38" s="1"/>
  <c r="O119" i="38" s="1"/>
  <c r="O190" i="38"/>
  <c r="O271" i="38" s="1"/>
  <c r="O187" i="38"/>
  <c r="O185" i="38"/>
  <c r="O84" i="38"/>
  <c r="O28" i="38"/>
  <c r="O369" i="38"/>
  <c r="C314" i="41" a="1"/>
  <c r="C314" i="41" s="1"/>
  <c r="O424" i="38"/>
  <c r="O125" i="38" s="1"/>
  <c r="O484" i="38"/>
  <c r="O485" i="38" s="1"/>
  <c r="O486" i="38" s="1"/>
  <c r="O184" i="38"/>
  <c r="O188" i="38"/>
  <c r="O438" i="38"/>
  <c r="O420" i="38"/>
  <c r="O124" i="38" s="1"/>
  <c r="O186" i="38"/>
  <c r="O139" i="38"/>
  <c r="O44" i="38"/>
  <c r="O443" i="38"/>
  <c r="V234" i="41"/>
  <c r="O294" i="38"/>
  <c r="O154" i="38"/>
  <c r="O75" i="38"/>
  <c r="O449" i="41"/>
  <c r="O450" i="41" s="1"/>
  <c r="W234" i="41"/>
  <c r="T234" i="41"/>
  <c r="C273" i="41" a="1"/>
  <c r="C273" i="41" s="1"/>
  <c r="U234" i="41"/>
  <c r="O44" i="41"/>
  <c r="H149" i="41"/>
  <c r="H150" i="41" s="1"/>
  <c r="E36" i="41"/>
  <c r="E113" i="41"/>
  <c r="E129" i="41" s="1"/>
  <c r="D111" i="41"/>
  <c r="E512" i="41"/>
  <c r="E51" i="41"/>
  <c r="F345" i="41"/>
  <c r="F346" i="41" s="1"/>
  <c r="P299" i="41"/>
  <c r="Q237" i="41"/>
  <c r="P525" i="41"/>
  <c r="P475" i="41"/>
  <c r="Q472" i="41"/>
  <c r="D504" i="41"/>
  <c r="G459" i="41"/>
  <c r="G460" i="41" s="1"/>
  <c r="G64" i="41" s="1"/>
  <c r="Q441" i="41"/>
  <c r="H345" i="41"/>
  <c r="H346" i="41" s="1"/>
  <c r="P431" i="41"/>
  <c r="O215" i="41"/>
  <c r="O498" i="41" s="1"/>
  <c r="G301" i="41"/>
  <c r="F196" i="41"/>
  <c r="F191" i="41"/>
  <c r="F194" i="41" s="1"/>
  <c r="F35" i="41" s="1"/>
  <c r="H361" i="41"/>
  <c r="H362" i="41" s="1"/>
  <c r="I64" i="41"/>
  <c r="F169" i="41"/>
  <c r="F170" i="41" s="1"/>
  <c r="G169" i="41"/>
  <c r="G170" i="41" s="1"/>
  <c r="F376" i="41"/>
  <c r="F377" i="41" s="1"/>
  <c r="P25" i="41"/>
  <c r="O26" i="41"/>
  <c r="O22" i="41"/>
  <c r="P21" i="41"/>
  <c r="P480" i="41"/>
  <c r="P534" i="41"/>
  <c r="Q478" i="41"/>
  <c r="D361" i="41"/>
  <c r="D362" i="41" s="1"/>
  <c r="D191" i="41"/>
  <c r="D194" i="41" s="1"/>
  <c r="D35" i="41" s="1"/>
  <c r="D196" i="41"/>
  <c r="D197" i="41" s="1"/>
  <c r="Q145" i="41"/>
  <c r="I361" i="41"/>
  <c r="I362" i="41" s="1"/>
  <c r="G199" i="41"/>
  <c r="G200" i="41" s="1"/>
  <c r="H176" i="41"/>
  <c r="H160" i="41"/>
  <c r="H161" i="41" s="1"/>
  <c r="H165" i="41" s="1"/>
  <c r="I160" i="41"/>
  <c r="I161" i="41" s="1"/>
  <c r="I176" i="41"/>
  <c r="O267" i="41"/>
  <c r="H366" i="41"/>
  <c r="F111" i="41"/>
  <c r="Q148" i="41"/>
  <c r="P43" i="41"/>
  <c r="Q252" i="41"/>
  <c r="I276" i="41"/>
  <c r="I277" i="41" s="1"/>
  <c r="E141" i="41"/>
  <c r="O245" i="41"/>
  <c r="F504" i="41"/>
  <c r="D460" i="41"/>
  <c r="D64" i="41" s="1"/>
  <c r="D459" i="41"/>
  <c r="D345" i="41"/>
  <c r="D346" i="41" s="1"/>
  <c r="O464" i="41"/>
  <c r="O532" i="41" s="1"/>
  <c r="O530" i="41"/>
  <c r="P419" i="41"/>
  <c r="O420" i="41"/>
  <c r="E276" i="41"/>
  <c r="E277" i="41" s="1"/>
  <c r="E169" i="41"/>
  <c r="E170" i="41" s="1"/>
  <c r="J261" i="41"/>
  <c r="J274" i="41"/>
  <c r="J276" i="41" s="1"/>
  <c r="P219" i="41"/>
  <c r="H353" i="41"/>
  <c r="D276" i="41"/>
  <c r="D277" i="41" s="1"/>
  <c r="I333" i="41"/>
  <c r="I263" i="41"/>
  <c r="I264" i="41" s="1"/>
  <c r="G160" i="41"/>
  <c r="G161" i="41" s="1"/>
  <c r="G176" i="41"/>
  <c r="C306" i="41" a="1"/>
  <c r="C306" i="41" s="1"/>
  <c r="O525" i="41"/>
  <c r="O475" i="41"/>
  <c r="E57" i="41"/>
  <c r="O459" i="41"/>
  <c r="I345" i="41"/>
  <c r="I346" i="41" s="1"/>
  <c r="G345" i="41"/>
  <c r="G346" i="41"/>
  <c r="O531" i="41"/>
  <c r="O424" i="41"/>
  <c r="O125" i="41" s="1"/>
  <c r="P423" i="41"/>
  <c r="D301" i="41"/>
  <c r="D302" i="41" s="1"/>
  <c r="E263" i="41"/>
  <c r="E264" i="41" s="1"/>
  <c r="E333" i="41"/>
  <c r="E149" i="41"/>
  <c r="E150" i="41" s="1"/>
  <c r="G496" i="41"/>
  <c r="G497" i="41" s="1"/>
  <c r="G504" i="41" s="1"/>
  <c r="G97" i="41"/>
  <c r="G98" i="41" s="1"/>
  <c r="G99" i="41" s="1"/>
  <c r="D169" i="41"/>
  <c r="D170" i="41" s="1"/>
  <c r="C323" i="41" a="1"/>
  <c r="C323" i="41" s="1"/>
  <c r="I375" i="41"/>
  <c r="G48" i="41"/>
  <c r="H99" i="41"/>
  <c r="Q18" i="41"/>
  <c r="P19" i="41"/>
  <c r="Q216" i="41"/>
  <c r="E176" i="41"/>
  <c r="E160" i="41"/>
  <c r="E161" i="41" s="1"/>
  <c r="E165" i="41" s="1"/>
  <c r="G354" i="41"/>
  <c r="G355" i="41" s="1"/>
  <c r="H375" i="41"/>
  <c r="I367" i="41"/>
  <c r="I368" i="41" s="1"/>
  <c r="P433" i="41"/>
  <c r="F416" i="41"/>
  <c r="E401" i="41"/>
  <c r="E403" i="41" s="1"/>
  <c r="H196" i="41"/>
  <c r="H332" i="41" s="1"/>
  <c r="H191" i="41"/>
  <c r="H194" i="41" s="1"/>
  <c r="H35" i="41" s="1"/>
  <c r="G149" i="41"/>
  <c r="G150" i="41" s="1"/>
  <c r="H496" i="41"/>
  <c r="H497" i="41" s="1"/>
  <c r="H504" i="41" s="1"/>
  <c r="H97" i="41"/>
  <c r="H98" i="41" s="1"/>
  <c r="H48" i="41"/>
  <c r="I169" i="41"/>
  <c r="I170" i="41" s="1"/>
  <c r="F176" i="41"/>
  <c r="F160" i="41"/>
  <c r="F161" i="41" s="1"/>
  <c r="F165" i="41" s="1"/>
  <c r="O255" i="41"/>
  <c r="D366" i="41"/>
  <c r="I353" i="41"/>
  <c r="P447" i="41"/>
  <c r="P430" i="41"/>
  <c r="Q430" i="41" s="1"/>
  <c r="R430" i="41" s="1"/>
  <c r="S430" i="41" s="1"/>
  <c r="T430" i="41" s="1"/>
  <c r="U430" i="41" s="1"/>
  <c r="V430" i="41" s="1"/>
  <c r="W430" i="41" s="1"/>
  <c r="X430" i="41" s="1"/>
  <c r="Q483" i="41"/>
  <c r="E199" i="41"/>
  <c r="E200" i="41" s="1"/>
  <c r="I301" i="41"/>
  <c r="I332" i="41" s="1"/>
  <c r="E284" i="41"/>
  <c r="E53" i="41" s="1"/>
  <c r="Q193" i="41"/>
  <c r="P281" i="41"/>
  <c r="I496" i="41"/>
  <c r="I497" i="41" s="1"/>
  <c r="I504" i="41" s="1"/>
  <c r="I97" i="41"/>
  <c r="I98" i="41" s="1"/>
  <c r="I99" i="41" s="1"/>
  <c r="I48" i="41"/>
  <c r="E361" i="41"/>
  <c r="E362" i="41" s="1"/>
  <c r="O299" i="41"/>
  <c r="P246" i="41"/>
  <c r="P245" i="41" s="1"/>
  <c r="E353" i="41"/>
  <c r="F366" i="41"/>
  <c r="H169" i="41"/>
  <c r="H170" i="41" s="1"/>
  <c r="O438" i="41"/>
  <c r="O369" i="41"/>
  <c r="O185" i="41"/>
  <c r="O75" i="41"/>
  <c r="P29" i="41"/>
  <c r="Q29" i="41" s="1"/>
  <c r="R29" i="41" s="1"/>
  <c r="S29" i="41" s="1"/>
  <c r="T29" i="41" s="1"/>
  <c r="U29" i="41" s="1"/>
  <c r="V29" i="41" s="1"/>
  <c r="W29" i="41" s="1"/>
  <c r="X29" i="41" s="1"/>
  <c r="O28" i="41"/>
  <c r="E332" i="41"/>
  <c r="O84" i="41"/>
  <c r="O188" i="41"/>
  <c r="J459" i="41"/>
  <c r="J460" i="41" s="1"/>
  <c r="E459" i="41"/>
  <c r="E460" i="41" s="1"/>
  <c r="E64" i="41" s="1"/>
  <c r="H459" i="41"/>
  <c r="H460" i="41" s="1"/>
  <c r="H64" i="41" s="1"/>
  <c r="F459" i="41"/>
  <c r="F460" i="41"/>
  <c r="F64" i="41" s="1"/>
  <c r="J191" i="41"/>
  <c r="J194" i="41" s="1"/>
  <c r="J197" i="41"/>
  <c r="J199" i="41" s="1"/>
  <c r="I199" i="41"/>
  <c r="I200" i="41" s="1"/>
  <c r="D403" i="41"/>
  <c r="G361" i="41"/>
  <c r="G362" i="41" s="1"/>
  <c r="D176" i="41"/>
  <c r="D160" i="41"/>
  <c r="D161" i="41" s="1"/>
  <c r="D165" i="41" s="1"/>
  <c r="J496" i="41"/>
  <c r="J97" i="41"/>
  <c r="E375" i="41"/>
  <c r="G366" i="41"/>
  <c r="E111" i="41"/>
  <c r="F361" i="41"/>
  <c r="F362" i="41" s="1"/>
  <c r="E35" i="41"/>
  <c r="O72" i="41"/>
  <c r="J302" i="38"/>
  <c r="J324" i="38"/>
  <c r="N324" i="38"/>
  <c r="M302" i="38"/>
  <c r="J284" i="38"/>
  <c r="N302" i="38"/>
  <c r="M324" i="38"/>
  <c r="L284" i="38"/>
  <c r="K324" i="38"/>
  <c r="L324" i="38"/>
  <c r="K284" i="38"/>
  <c r="M284" i="38"/>
  <c r="O322" i="40"/>
  <c r="O469" i="40" s="1"/>
  <c r="O119" i="40" s="1"/>
  <c r="O26" i="38"/>
  <c r="O203" i="38" s="1"/>
  <c r="O28" i="40"/>
  <c r="O294" i="40"/>
  <c r="S245" i="38"/>
  <c r="S97" i="38" s="1"/>
  <c r="O484" i="40"/>
  <c r="O485" i="40" s="1"/>
  <c r="O486" i="40" s="1"/>
  <c r="O75" i="40"/>
  <c r="V245" i="38"/>
  <c r="V496" i="38" s="1"/>
  <c r="X245" i="38"/>
  <c r="X496" i="38" s="1"/>
  <c r="O72" i="40"/>
  <c r="R245" i="38"/>
  <c r="R496" i="38" s="1"/>
  <c r="O438" i="40"/>
  <c r="O420" i="40"/>
  <c r="O124" i="40" s="1"/>
  <c r="O378" i="40"/>
  <c r="T245" i="38"/>
  <c r="T496" i="38" s="1"/>
  <c r="O149" i="40"/>
  <c r="Q245" i="38"/>
  <c r="Q496" i="38" s="1"/>
  <c r="U245" i="38"/>
  <c r="U496" i="38" s="1"/>
  <c r="O245" i="38"/>
  <c r="O496" i="38" s="1"/>
  <c r="P245" i="38"/>
  <c r="P97" i="38" s="1"/>
  <c r="W245" i="38"/>
  <c r="W97" i="38" s="1"/>
  <c r="O146" i="40"/>
  <c r="O147" i="40" s="1"/>
  <c r="O84" i="40"/>
  <c r="O322" i="39"/>
  <c r="O468" i="39" s="1"/>
  <c r="O449" i="40"/>
  <c r="O450" i="40" s="1"/>
  <c r="O234" i="39"/>
  <c r="O163" i="39" s="1"/>
  <c r="O234" i="40"/>
  <c r="O162" i="40" s="1"/>
  <c r="K274" i="40"/>
  <c r="K276" i="40" s="1"/>
  <c r="K277" i="40" s="1"/>
  <c r="U234" i="40"/>
  <c r="C306" i="40" a="1"/>
  <c r="C306" i="40" s="1"/>
  <c r="C283" i="40" a="1"/>
  <c r="C283" i="40" s="1"/>
  <c r="M261" i="40"/>
  <c r="M263" i="40" s="1"/>
  <c r="C273" i="40" a="1"/>
  <c r="C273" i="40" s="1"/>
  <c r="C314" i="40" a="1"/>
  <c r="C314" i="40" s="1"/>
  <c r="C310" i="40" a="1"/>
  <c r="C310" i="40" s="1"/>
  <c r="C288" i="40" a="1"/>
  <c r="C288" i="40" s="1"/>
  <c r="C318" i="40" a="1"/>
  <c r="C318" i="40" s="1"/>
  <c r="P270" i="38"/>
  <c r="O268" i="36"/>
  <c r="P268" i="36" s="1"/>
  <c r="Q268" i="36" s="1"/>
  <c r="R268" i="36" s="1"/>
  <c r="S268" i="36" s="1"/>
  <c r="T268" i="36" s="1"/>
  <c r="U268" i="36" s="1"/>
  <c r="V268" i="36" s="1"/>
  <c r="W268" i="36" s="1"/>
  <c r="X268" i="36" s="1"/>
  <c r="O259" i="36"/>
  <c r="P259" i="36" s="1"/>
  <c r="Q259" i="36" s="1"/>
  <c r="R259" i="36" s="1"/>
  <c r="S259" i="36" s="1"/>
  <c r="T259" i="36" s="1"/>
  <c r="U259" i="36" s="1"/>
  <c r="V259" i="36" s="1"/>
  <c r="W259" i="36" s="1"/>
  <c r="X259" i="36" s="1"/>
  <c r="C323" i="40" a="1"/>
  <c r="C323" i="40" s="1"/>
  <c r="O269" i="40"/>
  <c r="P268" i="38"/>
  <c r="T234" i="40"/>
  <c r="H367" i="40"/>
  <c r="H368" i="40" s="1"/>
  <c r="F345" i="40"/>
  <c r="F346" i="40" s="1"/>
  <c r="Q496" i="40"/>
  <c r="Q97" i="40"/>
  <c r="R248" i="40"/>
  <c r="S248" i="40" s="1"/>
  <c r="T248" i="40" s="1"/>
  <c r="U248" i="40" s="1"/>
  <c r="V248" i="40" s="1"/>
  <c r="W248" i="40" s="1"/>
  <c r="X248" i="40" s="1"/>
  <c r="X97" i="40" s="1"/>
  <c r="D345" i="40"/>
  <c r="D346" i="40" s="1"/>
  <c r="G36" i="40"/>
  <c r="G113" i="40"/>
  <c r="P525" i="40"/>
  <c r="P475" i="40"/>
  <c r="Q472" i="40"/>
  <c r="D149" i="40"/>
  <c r="D150" i="40" s="1"/>
  <c r="P391" i="40"/>
  <c r="O393" i="40"/>
  <c r="E346" i="40"/>
  <c r="E345" i="40"/>
  <c r="I376" i="40"/>
  <c r="I377" i="40" s="1"/>
  <c r="D376" i="40"/>
  <c r="D377" i="40" s="1"/>
  <c r="M376" i="40"/>
  <c r="M377" i="40" s="1"/>
  <c r="J376" i="40"/>
  <c r="J377" i="40" s="1"/>
  <c r="D199" i="40"/>
  <c r="D200" i="40" s="1"/>
  <c r="D57" i="40"/>
  <c r="H354" i="40"/>
  <c r="H355" i="40" s="1"/>
  <c r="J36" i="40"/>
  <c r="J113" i="40"/>
  <c r="E149" i="40"/>
  <c r="E150" i="40" s="1"/>
  <c r="R483" i="40"/>
  <c r="N345" i="40"/>
  <c r="N346" i="40"/>
  <c r="Q299" i="40"/>
  <c r="R237" i="40"/>
  <c r="D496" i="40"/>
  <c r="D497" i="40" s="1"/>
  <c r="D504" i="40" s="1"/>
  <c r="D97" i="40"/>
  <c r="D98" i="40" s="1"/>
  <c r="N176" i="40"/>
  <c r="N160" i="40"/>
  <c r="J354" i="40"/>
  <c r="J355" i="40" s="1"/>
  <c r="H512" i="40"/>
  <c r="H51" i="40"/>
  <c r="P531" i="40"/>
  <c r="Q423" i="40"/>
  <c r="P530" i="40"/>
  <c r="P464" i="40"/>
  <c r="P532" i="40" s="1"/>
  <c r="Q419" i="40"/>
  <c r="E496" i="40"/>
  <c r="E497" i="40" s="1"/>
  <c r="E504" i="40" s="1"/>
  <c r="E97" i="40"/>
  <c r="E98" i="40" s="1"/>
  <c r="E99" i="40" s="1"/>
  <c r="R216" i="40"/>
  <c r="F199" i="40"/>
  <c r="F200" i="40" s="1"/>
  <c r="G361" i="40"/>
  <c r="G362" i="40" s="1"/>
  <c r="L361" i="40"/>
  <c r="L362" i="40" s="1"/>
  <c r="X241" i="40"/>
  <c r="D176" i="40"/>
  <c r="D160" i="40"/>
  <c r="D161" i="40" s="1"/>
  <c r="L176" i="40"/>
  <c r="L160" i="40"/>
  <c r="L161" i="40" s="1"/>
  <c r="L165" i="40" s="1"/>
  <c r="N261" i="40"/>
  <c r="O255" i="40"/>
  <c r="V176" i="40"/>
  <c r="J274" i="40"/>
  <c r="W234" i="40"/>
  <c r="O268" i="40"/>
  <c r="O260" i="40"/>
  <c r="O299" i="40"/>
  <c r="J261" i="40"/>
  <c r="J332" i="40" s="1"/>
  <c r="O270" i="40"/>
  <c r="K261" i="40"/>
  <c r="K332" i="40" s="1"/>
  <c r="L353" i="40"/>
  <c r="L366" i="40"/>
  <c r="C273" i="39" a="1"/>
  <c r="C273" i="39" s="1"/>
  <c r="N459" i="40"/>
  <c r="O459" i="40" s="1"/>
  <c r="H361" i="40"/>
  <c r="H362" i="40"/>
  <c r="F496" i="40"/>
  <c r="F497" i="40" s="1"/>
  <c r="F504" i="40" s="1"/>
  <c r="F97" i="40"/>
  <c r="F98" i="40" s="1"/>
  <c r="F99" i="40" s="1"/>
  <c r="F48" i="40"/>
  <c r="O281" i="40"/>
  <c r="P193" i="40"/>
  <c r="H333" i="40"/>
  <c r="H263" i="40"/>
  <c r="H264" i="40" s="1"/>
  <c r="F332" i="40"/>
  <c r="K362" i="40"/>
  <c r="K361" i="40"/>
  <c r="N361" i="40"/>
  <c r="N362" i="40" s="1"/>
  <c r="D361" i="40"/>
  <c r="D362" i="40"/>
  <c r="G197" i="40"/>
  <c r="O26" i="40"/>
  <c r="P25" i="40"/>
  <c r="K113" i="40"/>
  <c r="S21" i="40"/>
  <c r="R22" i="40"/>
  <c r="H169" i="40"/>
  <c r="H170" i="40" s="1"/>
  <c r="N226" i="40"/>
  <c r="N35" i="40" s="1"/>
  <c r="N48" i="40"/>
  <c r="J169" i="40"/>
  <c r="J170" i="40" s="1"/>
  <c r="I366" i="40"/>
  <c r="J199" i="40"/>
  <c r="J200" i="40" s="1"/>
  <c r="J496" i="40"/>
  <c r="J497" i="40" s="1"/>
  <c r="J504" i="40" s="1"/>
  <c r="J97" i="40"/>
  <c r="J98" i="40" s="1"/>
  <c r="J99" i="40" s="1"/>
  <c r="K176" i="40"/>
  <c r="K160" i="40"/>
  <c r="K161" i="40" s="1"/>
  <c r="K165" i="40" s="1"/>
  <c r="M274" i="40"/>
  <c r="N496" i="40"/>
  <c r="N497" i="40" s="1"/>
  <c r="N504" i="40" s="1"/>
  <c r="N97" i="40"/>
  <c r="N98" i="40" s="1"/>
  <c r="N99" i="40" s="1"/>
  <c r="N375" i="40"/>
  <c r="K366" i="40"/>
  <c r="P447" i="40"/>
  <c r="O454" i="40"/>
  <c r="O442" i="40"/>
  <c r="O424" i="40"/>
  <c r="O125" i="40" s="1"/>
  <c r="O443" i="40"/>
  <c r="O369" i="40"/>
  <c r="O185" i="40"/>
  <c r="O190" i="40"/>
  <c r="O184" i="40"/>
  <c r="P29" i="40"/>
  <c r="Q29" i="40" s="1"/>
  <c r="R29" i="40" s="1"/>
  <c r="S29" i="40" s="1"/>
  <c r="T29" i="40" s="1"/>
  <c r="U29" i="40" s="1"/>
  <c r="V29" i="40" s="1"/>
  <c r="W29" i="40" s="1"/>
  <c r="X29" i="40" s="1"/>
  <c r="I332" i="40"/>
  <c r="Q252" i="40"/>
  <c r="L149" i="40"/>
  <c r="L150" i="40"/>
  <c r="H375" i="40"/>
  <c r="O525" i="40"/>
  <c r="O475" i="40"/>
  <c r="H460" i="40"/>
  <c r="H64" i="40" s="1"/>
  <c r="H459" i="40"/>
  <c r="F459" i="40"/>
  <c r="F460" i="40" s="1"/>
  <c r="F64" i="40" s="1"/>
  <c r="D459" i="40"/>
  <c r="D460" i="40" s="1"/>
  <c r="D64" i="40" s="1"/>
  <c r="G496" i="40"/>
  <c r="G497" i="40" s="1"/>
  <c r="G504" i="40" s="1"/>
  <c r="G97" i="40"/>
  <c r="G98" i="40" s="1"/>
  <c r="G99" i="40" s="1"/>
  <c r="I361" i="40"/>
  <c r="I362" i="40" s="1"/>
  <c r="F361" i="40"/>
  <c r="F362" i="40" s="1"/>
  <c r="H111" i="40"/>
  <c r="M302" i="40"/>
  <c r="G48" i="40"/>
  <c r="L302" i="40"/>
  <c r="T176" i="40"/>
  <c r="E366" i="40"/>
  <c r="H176" i="40"/>
  <c r="H160" i="40"/>
  <c r="H161" i="40" s="1"/>
  <c r="H165" i="40" s="1"/>
  <c r="K226" i="40"/>
  <c r="K35" i="40" s="1"/>
  <c r="K48" i="40"/>
  <c r="S176" i="40"/>
  <c r="N324" i="40"/>
  <c r="D353" i="40"/>
  <c r="O257" i="40"/>
  <c r="O496" i="40"/>
  <c r="O97" i="40"/>
  <c r="M353" i="40"/>
  <c r="F375" i="40"/>
  <c r="K375" i="40"/>
  <c r="E375" i="40"/>
  <c r="F366" i="40"/>
  <c r="I353" i="40"/>
  <c r="I35" i="40"/>
  <c r="L64" i="40"/>
  <c r="K141" i="40"/>
  <c r="C141" i="40" s="1" a="1"/>
  <c r="C141" i="40" s="1"/>
  <c r="M149" i="40"/>
  <c r="M150" i="40" s="1"/>
  <c r="U176" i="40"/>
  <c r="H150" i="40"/>
  <c r="H149" i="40"/>
  <c r="G459" i="40"/>
  <c r="G460" i="40" s="1"/>
  <c r="G64" i="40" s="1"/>
  <c r="E416" i="40"/>
  <c r="D401" i="40"/>
  <c r="P431" i="40"/>
  <c r="O215" i="40"/>
  <c r="D35" i="40"/>
  <c r="I496" i="40"/>
  <c r="I497" i="40" s="1"/>
  <c r="I504" i="40" s="1"/>
  <c r="I97" i="40"/>
  <c r="I98" i="40" s="1"/>
  <c r="I99" i="40" s="1"/>
  <c r="I48" i="40"/>
  <c r="D99" i="40"/>
  <c r="E48" i="40"/>
  <c r="H332" i="40"/>
  <c r="D48" i="40"/>
  <c r="E176" i="40"/>
  <c r="E160" i="40"/>
  <c r="E161" i="40" s="1"/>
  <c r="E165" i="40" s="1"/>
  <c r="G176" i="40"/>
  <c r="G160" i="40"/>
  <c r="G161" i="40" s="1"/>
  <c r="G165" i="40" s="1"/>
  <c r="P176" i="40"/>
  <c r="I176" i="40"/>
  <c r="I160" i="40"/>
  <c r="I161" i="40" s="1"/>
  <c r="J226" i="40"/>
  <c r="J35" i="40" s="1"/>
  <c r="J48" i="40"/>
  <c r="J176" i="40"/>
  <c r="J160" i="40"/>
  <c r="J161" i="40" s="1"/>
  <c r="J165" i="40" s="1"/>
  <c r="L261" i="40"/>
  <c r="L332" i="40" s="1"/>
  <c r="G169" i="40"/>
  <c r="G170" i="40" s="1"/>
  <c r="L496" i="40"/>
  <c r="L497" i="40" s="1"/>
  <c r="L504" i="40" s="1"/>
  <c r="L97" i="40"/>
  <c r="L98" i="40" s="1"/>
  <c r="L99" i="40" s="1"/>
  <c r="M366" i="40"/>
  <c r="M496" i="40"/>
  <c r="M497" i="40" s="1"/>
  <c r="M504" i="40" s="1"/>
  <c r="M97" i="40"/>
  <c r="M98" i="40" s="1"/>
  <c r="M99" i="40" s="1"/>
  <c r="N366" i="40"/>
  <c r="I197" i="40"/>
  <c r="M361" i="40"/>
  <c r="M362" i="40"/>
  <c r="O480" i="40"/>
  <c r="O120" i="40" s="1"/>
  <c r="O534" i="40"/>
  <c r="P478" i="40"/>
  <c r="E276" i="40"/>
  <c r="E277" i="40" s="1"/>
  <c r="H276" i="40"/>
  <c r="H277" i="40" s="1"/>
  <c r="K197" i="40"/>
  <c r="D276" i="40"/>
  <c r="D277" i="40" s="1"/>
  <c r="H35" i="40"/>
  <c r="E301" i="40"/>
  <c r="C301" i="40" s="1" a="1"/>
  <c r="C301" i="40" s="1"/>
  <c r="V148" i="40"/>
  <c r="U43" i="40"/>
  <c r="O187" i="40"/>
  <c r="O188" i="40"/>
  <c r="O139" i="40"/>
  <c r="O154" i="40"/>
  <c r="O44" i="40"/>
  <c r="I169" i="40"/>
  <c r="I170" i="40" s="1"/>
  <c r="O176" i="40"/>
  <c r="X176" i="40"/>
  <c r="Q176" i="40"/>
  <c r="R176" i="40"/>
  <c r="L274" i="40"/>
  <c r="O258" i="40"/>
  <c r="L375" i="40"/>
  <c r="F353" i="40"/>
  <c r="G366" i="40"/>
  <c r="G57" i="40"/>
  <c r="I459" i="40"/>
  <c r="I460" i="40" s="1"/>
  <c r="I64" i="40" s="1"/>
  <c r="D402" i="40"/>
  <c r="Q145" i="40"/>
  <c r="H197" i="40"/>
  <c r="D301" i="40"/>
  <c r="D332" i="40" s="1"/>
  <c r="M226" i="40"/>
  <c r="M48" i="40"/>
  <c r="P496" i="40"/>
  <c r="P97" i="40"/>
  <c r="O259" i="40"/>
  <c r="W176" i="40"/>
  <c r="D169" i="40"/>
  <c r="D170" i="40" s="1"/>
  <c r="E169" i="40"/>
  <c r="E170" i="40" s="1"/>
  <c r="O256" i="40"/>
  <c r="F169" i="40"/>
  <c r="F170" i="40" s="1"/>
  <c r="K496" i="40"/>
  <c r="K497" i="40" s="1"/>
  <c r="K504" i="40" s="1"/>
  <c r="K97" i="40"/>
  <c r="K98" i="40" s="1"/>
  <c r="K99" i="40" s="1"/>
  <c r="V234" i="40"/>
  <c r="K353" i="40"/>
  <c r="N353" i="40"/>
  <c r="G375" i="40"/>
  <c r="O498" i="40"/>
  <c r="E361" i="40"/>
  <c r="E362" i="40"/>
  <c r="K459" i="40"/>
  <c r="K460" i="40" s="1"/>
  <c r="K64" i="40" s="1"/>
  <c r="I345" i="40"/>
  <c r="I346" i="40" s="1"/>
  <c r="H345" i="40"/>
  <c r="H346" i="40" s="1"/>
  <c r="E191" i="40"/>
  <c r="E194" i="40" s="1"/>
  <c r="E35" i="40" s="1"/>
  <c r="E196" i="40"/>
  <c r="E197" i="40"/>
  <c r="K57" i="40"/>
  <c r="P441" i="40"/>
  <c r="J460" i="40"/>
  <c r="J64" i="40" s="1"/>
  <c r="J459" i="40"/>
  <c r="E459" i="40"/>
  <c r="E460" i="40" s="1"/>
  <c r="E64" i="40" s="1"/>
  <c r="F333" i="40"/>
  <c r="F263" i="40"/>
  <c r="F264" i="40" s="1"/>
  <c r="N197" i="40"/>
  <c r="M191" i="40"/>
  <c r="M194" i="40" s="1"/>
  <c r="M196" i="40"/>
  <c r="M197" i="40" s="1"/>
  <c r="J361" i="40"/>
  <c r="J362" i="40" s="1"/>
  <c r="L197" i="40"/>
  <c r="R18" i="40"/>
  <c r="Q19" i="40"/>
  <c r="M176" i="40"/>
  <c r="M160" i="40"/>
  <c r="M161" i="40" s="1"/>
  <c r="M165" i="40" s="1"/>
  <c r="F176" i="40"/>
  <c r="F160" i="40"/>
  <c r="F161" i="40" s="1"/>
  <c r="K169" i="40"/>
  <c r="K170" i="40" s="1"/>
  <c r="L169" i="40"/>
  <c r="L170" i="40" s="1"/>
  <c r="M169" i="40"/>
  <c r="M170" i="40" s="1"/>
  <c r="N169" i="40"/>
  <c r="O169" i="40" s="1"/>
  <c r="L226" i="40"/>
  <c r="L35" i="40" s="1"/>
  <c r="L48" i="40"/>
  <c r="N274" i="40"/>
  <c r="O267" i="40"/>
  <c r="E353" i="40"/>
  <c r="P299" i="40"/>
  <c r="G353" i="40"/>
  <c r="P433" i="40"/>
  <c r="O438" i="39"/>
  <c r="O378" i="39"/>
  <c r="L274" i="39"/>
  <c r="L276" i="39" s="1"/>
  <c r="V234" i="39"/>
  <c r="C318" i="39" a="1"/>
  <c r="C318" i="39" s="1"/>
  <c r="C306" i="39" a="1"/>
  <c r="C306" i="39" s="1"/>
  <c r="O443" i="39"/>
  <c r="C323" i="39" a="1"/>
  <c r="C323" i="39" s="1"/>
  <c r="C314" i="39" a="1"/>
  <c r="C314" i="39" s="1"/>
  <c r="O484" i="39"/>
  <c r="O485" i="39" s="1"/>
  <c r="C310" i="39" a="1"/>
  <c r="C310" i="39" s="1"/>
  <c r="C288" i="39" a="1"/>
  <c r="C288" i="39" s="1"/>
  <c r="I367" i="39"/>
  <c r="I368" i="39" s="1"/>
  <c r="K149" i="39"/>
  <c r="K150" i="39" s="1"/>
  <c r="F512" i="39"/>
  <c r="F51" i="39"/>
  <c r="R483" i="39"/>
  <c r="G376" i="39"/>
  <c r="G377" i="39" s="1"/>
  <c r="L149" i="39"/>
  <c r="L150" i="39" s="1"/>
  <c r="M199" i="39"/>
  <c r="M200" i="39" s="1"/>
  <c r="I111" i="39"/>
  <c r="H345" i="39"/>
  <c r="H346" i="39" s="1"/>
  <c r="L367" i="39"/>
  <c r="L368" i="39" s="1"/>
  <c r="F36" i="39"/>
  <c r="F113" i="39"/>
  <c r="J345" i="39"/>
  <c r="J346" i="39" s="1"/>
  <c r="D36" i="39"/>
  <c r="D113" i="39"/>
  <c r="D129" i="39" s="1"/>
  <c r="N284" i="39"/>
  <c r="L36" i="39"/>
  <c r="L113" i="39"/>
  <c r="I199" i="39"/>
  <c r="I200" i="39" s="1"/>
  <c r="I53" i="39"/>
  <c r="E199" i="39"/>
  <c r="E200" i="39" s="1"/>
  <c r="M367" i="39"/>
  <c r="M368" i="39" s="1"/>
  <c r="G332" i="39"/>
  <c r="G276" i="39"/>
  <c r="G277" i="39" s="1"/>
  <c r="D362" i="39"/>
  <c r="D361" i="39"/>
  <c r="P25" i="39"/>
  <c r="O26" i="39"/>
  <c r="O299" i="39"/>
  <c r="O256" i="39"/>
  <c r="F354" i="39"/>
  <c r="F355" i="39" s="1"/>
  <c r="J496" i="39"/>
  <c r="J497" i="39" s="1"/>
  <c r="J504" i="39" s="1"/>
  <c r="J97" i="39"/>
  <c r="J98" i="39" s="1"/>
  <c r="J99" i="39" s="1"/>
  <c r="M353" i="39"/>
  <c r="M375" i="39"/>
  <c r="F367" i="39"/>
  <c r="F368" i="39" s="1"/>
  <c r="O525" i="39"/>
  <c r="O475" i="39"/>
  <c r="N485" i="39"/>
  <c r="E459" i="39"/>
  <c r="E460" i="39" s="1"/>
  <c r="E64" i="39" s="1"/>
  <c r="I345" i="39"/>
  <c r="I346" i="39" s="1"/>
  <c r="E302" i="39"/>
  <c r="E53" i="39" s="1"/>
  <c r="J361" i="39"/>
  <c r="J362" i="39" s="1"/>
  <c r="D35" i="39"/>
  <c r="K200" i="39"/>
  <c r="G35" i="39"/>
  <c r="N434" i="39"/>
  <c r="O431" i="39"/>
  <c r="H197" i="39"/>
  <c r="H142" i="39"/>
  <c r="P176" i="39"/>
  <c r="K226" i="39"/>
  <c r="K35" i="39" s="1"/>
  <c r="K48" i="39"/>
  <c r="K176" i="39"/>
  <c r="K160" i="39"/>
  <c r="K161" i="39" s="1"/>
  <c r="D176" i="39"/>
  <c r="D160" i="39"/>
  <c r="D161" i="39" s="1"/>
  <c r="D165" i="39" s="1"/>
  <c r="P237" i="39"/>
  <c r="O270" i="39"/>
  <c r="P496" i="39"/>
  <c r="P97" i="39"/>
  <c r="R496" i="39"/>
  <c r="R97" i="39"/>
  <c r="O259" i="39"/>
  <c r="N366" i="39"/>
  <c r="E263" i="39"/>
  <c r="E264" i="39" s="1"/>
  <c r="E333" i="39"/>
  <c r="N191" i="39"/>
  <c r="N194" i="39" s="1"/>
  <c r="N196" i="39"/>
  <c r="S176" i="39"/>
  <c r="L176" i="39"/>
  <c r="L160" i="39"/>
  <c r="L161" i="39" s="1"/>
  <c r="L165" i="39" s="1"/>
  <c r="K261" i="39"/>
  <c r="L496" i="39"/>
  <c r="L497" i="39" s="1"/>
  <c r="L504" i="39" s="1"/>
  <c r="L97" i="39"/>
  <c r="L98" i="39" s="1"/>
  <c r="L99" i="39" s="1"/>
  <c r="D504" i="39"/>
  <c r="L459" i="39"/>
  <c r="L460" i="39" s="1"/>
  <c r="L64" i="39" s="1"/>
  <c r="E504" i="39"/>
  <c r="O531" i="39"/>
  <c r="P423" i="39"/>
  <c r="P464" i="39" s="1"/>
  <c r="P532" i="39" s="1"/>
  <c r="O424" i="39"/>
  <c r="O125" i="39" s="1"/>
  <c r="J391" i="39"/>
  <c r="K391" i="39" s="1"/>
  <c r="L391" i="39" s="1"/>
  <c r="M391" i="39" s="1"/>
  <c r="N391" i="39" s="1"/>
  <c r="O391" i="39" s="1"/>
  <c r="J114" i="39"/>
  <c r="J121" i="39" s="1"/>
  <c r="F332" i="39"/>
  <c r="P145" i="39"/>
  <c r="E35" i="39"/>
  <c r="O442" i="39"/>
  <c r="O454" i="39"/>
  <c r="O369" i="39"/>
  <c r="O184" i="39"/>
  <c r="O190" i="39"/>
  <c r="O84" i="39"/>
  <c r="P29" i="39"/>
  <c r="Q29" i="39" s="1"/>
  <c r="R29" i="39" s="1"/>
  <c r="S29" i="39" s="1"/>
  <c r="T29" i="39" s="1"/>
  <c r="U29" i="39" s="1"/>
  <c r="V29" i="39" s="1"/>
  <c r="W29" i="39" s="1"/>
  <c r="X29" i="39" s="1"/>
  <c r="O28" i="39"/>
  <c r="Q176" i="39"/>
  <c r="R176" i="39"/>
  <c r="M496" i="39"/>
  <c r="M497" i="39" s="1"/>
  <c r="M504" i="39" s="1"/>
  <c r="M97" i="39"/>
  <c r="M98" i="39" s="1"/>
  <c r="M99" i="39" s="1"/>
  <c r="G169" i="39"/>
  <c r="G170" i="39" s="1"/>
  <c r="T234" i="39"/>
  <c r="T176" i="39"/>
  <c r="Q496" i="39"/>
  <c r="Q97" i="39"/>
  <c r="E176" i="39"/>
  <c r="E160" i="39"/>
  <c r="E161" i="39" s="1"/>
  <c r="E165" i="39" s="1"/>
  <c r="O260" i="39"/>
  <c r="C283" i="39" a="1"/>
  <c r="C283" i="39" s="1"/>
  <c r="O268" i="39"/>
  <c r="T496" i="39"/>
  <c r="T97" i="39"/>
  <c r="O258" i="39"/>
  <c r="J375" i="39"/>
  <c r="D150" i="39"/>
  <c r="D149" i="39"/>
  <c r="J176" i="39"/>
  <c r="J160" i="39"/>
  <c r="J161" i="39" s="1"/>
  <c r="J165" i="39" s="1"/>
  <c r="J261" i="39"/>
  <c r="J332" i="39" s="1"/>
  <c r="I354" i="39"/>
  <c r="I355" i="39" s="1"/>
  <c r="P449" i="39"/>
  <c r="C273" i="38" a="1"/>
  <c r="C273" i="38" s="1"/>
  <c r="C288" i="38" a="1"/>
  <c r="C288" i="38" s="1"/>
  <c r="C318" i="38" a="1"/>
  <c r="C318" i="38" s="1"/>
  <c r="I504" i="39"/>
  <c r="D57" i="39"/>
  <c r="D459" i="39"/>
  <c r="D460" i="39" s="1"/>
  <c r="D64" i="39" s="1"/>
  <c r="G361" i="39"/>
  <c r="G362" i="39"/>
  <c r="H276" i="39"/>
  <c r="H277" i="39" s="1"/>
  <c r="D277" i="39"/>
  <c r="D276" i="39"/>
  <c r="Q216" i="39"/>
  <c r="F35" i="39"/>
  <c r="G149" i="39"/>
  <c r="G150" i="39" s="1"/>
  <c r="M361" i="39"/>
  <c r="M362" i="39" s="1"/>
  <c r="F361" i="39"/>
  <c r="F362" i="39" s="1"/>
  <c r="K361" i="39"/>
  <c r="K362" i="39" s="1"/>
  <c r="H176" i="39"/>
  <c r="H160" i="39"/>
  <c r="H161" i="39" s="1"/>
  <c r="H165" i="39" s="1"/>
  <c r="X176" i="39"/>
  <c r="J199" i="39"/>
  <c r="J200" i="39" s="1"/>
  <c r="E169" i="39"/>
  <c r="E170" i="39" s="1"/>
  <c r="F169" i="39"/>
  <c r="F170" i="39" s="1"/>
  <c r="H169" i="39"/>
  <c r="H170" i="39" s="1"/>
  <c r="M176" i="39"/>
  <c r="M160" i="39"/>
  <c r="M161" i="39" s="1"/>
  <c r="U496" i="39"/>
  <c r="U97" i="39"/>
  <c r="F176" i="39"/>
  <c r="F160" i="39"/>
  <c r="F161" i="39" s="1"/>
  <c r="G176" i="39"/>
  <c r="G160" i="39"/>
  <c r="G161" i="39" s="1"/>
  <c r="O496" i="39"/>
  <c r="O97" i="39"/>
  <c r="K496" i="39"/>
  <c r="K497" i="39" s="1"/>
  <c r="K504" i="39" s="1"/>
  <c r="K97" i="39"/>
  <c r="K98" i="39" s="1"/>
  <c r="K99" i="39" s="1"/>
  <c r="M274" i="39"/>
  <c r="D375" i="39"/>
  <c r="D366" i="39"/>
  <c r="G366" i="39"/>
  <c r="Q447" i="39"/>
  <c r="O449" i="39"/>
  <c r="O450" i="39" s="1"/>
  <c r="H459" i="39"/>
  <c r="H460" i="39" s="1"/>
  <c r="H64" i="39" s="1"/>
  <c r="K460" i="39"/>
  <c r="K64" i="39" s="1"/>
  <c r="K459" i="39"/>
  <c r="N361" i="39"/>
  <c r="N362" i="39" s="1"/>
  <c r="L169" i="39"/>
  <c r="L170" i="39" s="1"/>
  <c r="I176" i="39"/>
  <c r="I160" i="39"/>
  <c r="I161" i="39" s="1"/>
  <c r="I165" i="39" s="1"/>
  <c r="M226" i="39"/>
  <c r="M35" i="39" s="1"/>
  <c r="M48" i="39"/>
  <c r="V496" i="39"/>
  <c r="V97" i="39"/>
  <c r="K367" i="39"/>
  <c r="K368" i="39" s="1"/>
  <c r="N459" i="39"/>
  <c r="O459" i="39" s="1"/>
  <c r="P530" i="39"/>
  <c r="Q419" i="39"/>
  <c r="G496" i="39"/>
  <c r="G497" i="39" s="1"/>
  <c r="G504" i="39" s="1"/>
  <c r="G97" i="39"/>
  <c r="G98" i="39" s="1"/>
  <c r="G99" i="39" s="1"/>
  <c r="G48" i="39"/>
  <c r="E276" i="39"/>
  <c r="E277" i="39" s="1"/>
  <c r="O281" i="39"/>
  <c r="P193" i="39"/>
  <c r="I361" i="39"/>
  <c r="I362" i="39" s="1"/>
  <c r="N149" i="39"/>
  <c r="O149" i="39" s="1"/>
  <c r="E361" i="39"/>
  <c r="E362" i="39" s="1"/>
  <c r="O72" i="39"/>
  <c r="F197" i="39"/>
  <c r="D169" i="39"/>
  <c r="D170" i="39" s="1"/>
  <c r="M169" i="39"/>
  <c r="M170" i="39" s="1"/>
  <c r="N169" i="39"/>
  <c r="N170" i="39" s="1"/>
  <c r="U176" i="39"/>
  <c r="N176" i="39"/>
  <c r="N160" i="39"/>
  <c r="O176" i="39"/>
  <c r="W496" i="39"/>
  <c r="W97" i="39"/>
  <c r="J274" i="39"/>
  <c r="S496" i="39"/>
  <c r="S97" i="39"/>
  <c r="N274" i="39"/>
  <c r="O267" i="39"/>
  <c r="L375" i="39"/>
  <c r="F375" i="39"/>
  <c r="J353" i="39"/>
  <c r="P433" i="39"/>
  <c r="E332" i="39"/>
  <c r="O480" i="39"/>
  <c r="O120" i="39" s="1"/>
  <c r="O534" i="39"/>
  <c r="P478" i="39"/>
  <c r="F459" i="39"/>
  <c r="F460" i="39" s="1"/>
  <c r="F64" i="39" s="1"/>
  <c r="E416" i="39"/>
  <c r="D401" i="39"/>
  <c r="D403" i="39" s="1"/>
  <c r="J459" i="39"/>
  <c r="J460" i="39" s="1"/>
  <c r="J64" i="39" s="1"/>
  <c r="O464" i="39"/>
  <c r="O532" i="39" s="1"/>
  <c r="I276" i="39"/>
  <c r="I277" i="39" s="1"/>
  <c r="H496" i="39"/>
  <c r="H497" i="39" s="1"/>
  <c r="H504" i="39" s="1"/>
  <c r="H97" i="39"/>
  <c r="H98" i="39" s="1"/>
  <c r="H99" i="39" s="1"/>
  <c r="H48" i="39"/>
  <c r="R252" i="39"/>
  <c r="I149" i="39"/>
  <c r="I150" i="39" s="1"/>
  <c r="F150" i="39"/>
  <c r="F149" i="39"/>
  <c r="I332" i="39"/>
  <c r="O75" i="39"/>
  <c r="F129" i="39"/>
  <c r="F111" i="39"/>
  <c r="E129" i="39"/>
  <c r="E111" i="39"/>
  <c r="Q21" i="39"/>
  <c r="P22" i="39"/>
  <c r="L226" i="39"/>
  <c r="L35" i="39" s="1"/>
  <c r="L48" i="39"/>
  <c r="M261" i="39"/>
  <c r="M332" i="39" s="1"/>
  <c r="I169" i="39"/>
  <c r="I170" i="39" s="1"/>
  <c r="V176" i="39"/>
  <c r="W176" i="39"/>
  <c r="D353" i="39"/>
  <c r="O255" i="39"/>
  <c r="N261" i="39"/>
  <c r="J366" i="39"/>
  <c r="N375" i="39"/>
  <c r="P430" i="39"/>
  <c r="Q430" i="39" s="1"/>
  <c r="R430" i="39" s="1"/>
  <c r="S430" i="39" s="1"/>
  <c r="T430" i="39" s="1"/>
  <c r="U430" i="39" s="1"/>
  <c r="V430" i="39" s="1"/>
  <c r="W430" i="39" s="1"/>
  <c r="X430" i="39" s="1"/>
  <c r="M460" i="39"/>
  <c r="M64" i="39" s="1"/>
  <c r="M459" i="39"/>
  <c r="I141" i="39"/>
  <c r="C141" i="39" s="1" a="1"/>
  <c r="C141" i="39" s="1"/>
  <c r="N345" i="39"/>
  <c r="D197" i="39"/>
  <c r="J226" i="39"/>
  <c r="J35" i="39" s="1"/>
  <c r="J48" i="39"/>
  <c r="N226" i="39"/>
  <c r="N48" i="39"/>
  <c r="X496" i="39"/>
  <c r="X97" i="39"/>
  <c r="E366" i="39"/>
  <c r="O427" i="38"/>
  <c r="P427" i="38" s="1"/>
  <c r="P441" i="39"/>
  <c r="O420" i="39"/>
  <c r="I459" i="39"/>
  <c r="I460" i="39" s="1"/>
  <c r="I64" i="39" s="1"/>
  <c r="K345" i="39"/>
  <c r="K346" i="39" s="1"/>
  <c r="D333" i="39"/>
  <c r="D263" i="39"/>
  <c r="D264" i="39" s="1"/>
  <c r="H361" i="39"/>
  <c r="H362" i="39" s="1"/>
  <c r="L200" i="39"/>
  <c r="G197" i="39"/>
  <c r="I35" i="39"/>
  <c r="L361" i="39"/>
  <c r="L362" i="39" s="1"/>
  <c r="P18" i="39"/>
  <c r="O19" i="39"/>
  <c r="M113" i="39"/>
  <c r="N496" i="39"/>
  <c r="N497" i="39" s="1"/>
  <c r="N504" i="39" s="1"/>
  <c r="N97" i="39"/>
  <c r="N98" i="39" s="1"/>
  <c r="N99" i="39" s="1"/>
  <c r="U234" i="39"/>
  <c r="O257" i="39"/>
  <c r="J169" i="39"/>
  <c r="J170" i="39" s="1"/>
  <c r="W234" i="39"/>
  <c r="K274" i="39"/>
  <c r="K169" i="39"/>
  <c r="K170" i="39" s="1"/>
  <c r="K375" i="39"/>
  <c r="L261" i="39"/>
  <c r="O269" i="39"/>
  <c r="L353" i="39"/>
  <c r="K301" i="39"/>
  <c r="C301" i="39" s="1" a="1"/>
  <c r="C301" i="39" s="1"/>
  <c r="E353" i="39"/>
  <c r="E375" i="39"/>
  <c r="G353" i="39"/>
  <c r="H375" i="39"/>
  <c r="H366" i="39"/>
  <c r="K353" i="39"/>
  <c r="P472" i="39"/>
  <c r="C306" i="38" a="1"/>
  <c r="C306" i="38" s="1"/>
  <c r="C301" i="38" a="1"/>
  <c r="C301" i="38" s="1"/>
  <c r="C310" i="38" a="1"/>
  <c r="C310" i="38" s="1"/>
  <c r="O269" i="36"/>
  <c r="P269" i="36" s="1"/>
  <c r="Q269" i="36" s="1"/>
  <c r="R269" i="36" s="1"/>
  <c r="S269" i="36" s="1"/>
  <c r="T269" i="36" s="1"/>
  <c r="U269" i="36" s="1"/>
  <c r="V269" i="36" s="1"/>
  <c r="W269" i="36" s="1"/>
  <c r="X269" i="36" s="1"/>
  <c r="O257" i="36"/>
  <c r="P257" i="36" s="1"/>
  <c r="Q257" i="36" s="1"/>
  <c r="R257" i="36" s="1"/>
  <c r="S257" i="36" s="1"/>
  <c r="T257" i="36" s="1"/>
  <c r="U257" i="36" s="1"/>
  <c r="V257" i="36" s="1"/>
  <c r="W257" i="36" s="1"/>
  <c r="X257" i="36" s="1"/>
  <c r="C314" i="38" a="1"/>
  <c r="C314" i="38" s="1"/>
  <c r="P391" i="38"/>
  <c r="O393" i="38"/>
  <c r="H36" i="38"/>
  <c r="H113" i="38"/>
  <c r="M36" i="38"/>
  <c r="M113" i="38"/>
  <c r="M150" i="38"/>
  <c r="M149" i="38"/>
  <c r="D367" i="38"/>
  <c r="D368" i="38" s="1"/>
  <c r="Q449" i="38"/>
  <c r="R447" i="38"/>
  <c r="E36" i="38"/>
  <c r="E113" i="38"/>
  <c r="G149" i="38"/>
  <c r="G150" i="38"/>
  <c r="N284" i="38"/>
  <c r="K36" i="38"/>
  <c r="K113" i="38"/>
  <c r="I199" i="38"/>
  <c r="I200" i="38" s="1"/>
  <c r="I53" i="38"/>
  <c r="G199" i="38"/>
  <c r="G200" i="38" s="1"/>
  <c r="I345" i="38"/>
  <c r="I346" i="38" s="1"/>
  <c r="N345" i="38"/>
  <c r="N346" i="38" s="1"/>
  <c r="I149" i="38"/>
  <c r="I150" i="38" s="1"/>
  <c r="F367" i="38"/>
  <c r="F368" i="38" s="1"/>
  <c r="I512" i="38"/>
  <c r="I51" i="38"/>
  <c r="C283" i="38" a="1"/>
  <c r="C283" i="38" s="1"/>
  <c r="L149" i="38"/>
  <c r="L150" i="38" s="1"/>
  <c r="F149" i="38"/>
  <c r="F150" i="38" s="1"/>
  <c r="M367" i="38"/>
  <c r="M368" i="38" s="1"/>
  <c r="D149" i="38"/>
  <c r="D150" i="38" s="1"/>
  <c r="E333" i="38"/>
  <c r="E263" i="38"/>
  <c r="E264" i="38" s="1"/>
  <c r="P145" i="38"/>
  <c r="N434" i="38"/>
  <c r="O431" i="38"/>
  <c r="I111" i="38"/>
  <c r="L496" i="38"/>
  <c r="L97" i="38"/>
  <c r="M353" i="38"/>
  <c r="F375" i="38"/>
  <c r="P525" i="38"/>
  <c r="P475" i="38"/>
  <c r="F57" i="38"/>
  <c r="P531" i="38"/>
  <c r="Q423" i="38"/>
  <c r="F416" i="38"/>
  <c r="E401" i="38"/>
  <c r="H333" i="38"/>
  <c r="H263" i="38"/>
  <c r="H264" i="38" s="1"/>
  <c r="E496" i="38"/>
  <c r="E497" i="38" s="1"/>
  <c r="E504" i="38" s="1"/>
  <c r="E97" i="38"/>
  <c r="E98" i="38" s="1"/>
  <c r="E99" i="38" s="1"/>
  <c r="E48" i="38"/>
  <c r="N150" i="38"/>
  <c r="N149" i="38"/>
  <c r="O149" i="38" s="1"/>
  <c r="N361" i="38"/>
  <c r="N362" i="38" s="1"/>
  <c r="E361" i="38"/>
  <c r="E362" i="38" s="1"/>
  <c r="N191" i="38"/>
  <c r="N194" i="38" s="1"/>
  <c r="N196" i="38"/>
  <c r="J176" i="38"/>
  <c r="J160" i="38"/>
  <c r="J161" i="38" s="1"/>
  <c r="K496" i="38"/>
  <c r="K97" i="38"/>
  <c r="P260" i="38"/>
  <c r="M176" i="38"/>
  <c r="M160" i="38"/>
  <c r="M161" i="38" s="1"/>
  <c r="N496" i="38"/>
  <c r="N97" i="38"/>
  <c r="P257" i="38"/>
  <c r="E366" i="38"/>
  <c r="H375" i="38"/>
  <c r="E375" i="38"/>
  <c r="N375" i="38"/>
  <c r="G459" i="38"/>
  <c r="G460" i="38" s="1"/>
  <c r="G64" i="38" s="1"/>
  <c r="R176" i="38"/>
  <c r="O107" i="38"/>
  <c r="O255" i="36"/>
  <c r="P255" i="36" s="1"/>
  <c r="Q255" i="36" s="1"/>
  <c r="R255" i="36" s="1"/>
  <c r="S255" i="36" s="1"/>
  <c r="T255" i="36" s="1"/>
  <c r="U255" i="36" s="1"/>
  <c r="V255" i="36" s="1"/>
  <c r="W255" i="36" s="1"/>
  <c r="X255" i="36" s="1"/>
  <c r="O260" i="36"/>
  <c r="P260" i="36" s="1"/>
  <c r="Q260" i="36" s="1"/>
  <c r="R260" i="36" s="1"/>
  <c r="S260" i="36" s="1"/>
  <c r="T260" i="36" s="1"/>
  <c r="U260" i="36" s="1"/>
  <c r="V260" i="36" s="1"/>
  <c r="W260" i="36" s="1"/>
  <c r="X260" i="36" s="1"/>
  <c r="L57" i="38"/>
  <c r="K459" i="38"/>
  <c r="K460" i="38"/>
  <c r="K64" i="38" s="1"/>
  <c r="Q252" i="38"/>
  <c r="H496" i="38"/>
  <c r="H497" i="38" s="1"/>
  <c r="H504" i="38" s="1"/>
  <c r="H97" i="38"/>
  <c r="H98" i="38" s="1"/>
  <c r="H99" i="38" s="1"/>
  <c r="H48" i="38"/>
  <c r="J196" i="38"/>
  <c r="J191" i="38"/>
  <c r="J194" i="38" s="1"/>
  <c r="M197" i="38"/>
  <c r="H332" i="38"/>
  <c r="I361" i="38"/>
  <c r="I362" i="38" s="1"/>
  <c r="F332" i="38"/>
  <c r="D169" i="38"/>
  <c r="D170" i="38" s="1"/>
  <c r="H176" i="38"/>
  <c r="H160" i="38"/>
  <c r="H161" i="38" s="1"/>
  <c r="I176" i="38"/>
  <c r="I160" i="38"/>
  <c r="I161" i="38" s="1"/>
  <c r="I165" i="38" s="1"/>
  <c r="J226" i="38"/>
  <c r="J48" i="38"/>
  <c r="J261" i="38"/>
  <c r="F169" i="38"/>
  <c r="F170" i="38" s="1"/>
  <c r="O299" i="38"/>
  <c r="I169" i="38"/>
  <c r="I170" i="38" s="1"/>
  <c r="F176" i="38"/>
  <c r="F160" i="38"/>
  <c r="F161" i="38" s="1"/>
  <c r="F165" i="38" s="1"/>
  <c r="G176" i="38"/>
  <c r="G160" i="38"/>
  <c r="G161" i="38" s="1"/>
  <c r="G165" i="38" s="1"/>
  <c r="O255" i="38"/>
  <c r="N261" i="38"/>
  <c r="P258" i="38"/>
  <c r="I366" i="38"/>
  <c r="P449" i="38"/>
  <c r="Q25" i="38"/>
  <c r="M274" i="38"/>
  <c r="M375" i="38"/>
  <c r="O480" i="38"/>
  <c r="O120" i="38" s="1"/>
  <c r="D57" i="38"/>
  <c r="K57" i="38"/>
  <c r="H35" i="38"/>
  <c r="E402" i="38"/>
  <c r="F35" i="38"/>
  <c r="L169" i="38"/>
  <c r="L170" i="38" s="1"/>
  <c r="C141" i="38" a="1"/>
  <c r="C141" i="38" s="1"/>
  <c r="Q176" i="38"/>
  <c r="P256" i="38"/>
  <c r="N169" i="38"/>
  <c r="O169" i="38" s="1"/>
  <c r="O170" i="38" s="1"/>
  <c r="O173" i="38" s="1"/>
  <c r="G169" i="38"/>
  <c r="G170" i="38" s="1"/>
  <c r="D176" i="38"/>
  <c r="D160" i="38"/>
  <c r="D161" i="38" s="1"/>
  <c r="D165" i="38" s="1"/>
  <c r="N176" i="38"/>
  <c r="N160" i="38"/>
  <c r="O176" i="38"/>
  <c r="D353" i="38"/>
  <c r="N366" i="38"/>
  <c r="J366" i="38"/>
  <c r="P483" i="38"/>
  <c r="Q18" i="38"/>
  <c r="P19" i="38"/>
  <c r="N57" i="38"/>
  <c r="H276" i="38"/>
  <c r="H277" i="38" s="1"/>
  <c r="G361" i="38"/>
  <c r="G362" i="38" s="1"/>
  <c r="M362" i="38"/>
  <c r="M361" i="38"/>
  <c r="K149" i="38"/>
  <c r="K150" i="38" s="1"/>
  <c r="E199" i="38"/>
  <c r="E200" i="38" s="1"/>
  <c r="J149" i="38"/>
  <c r="J150" i="38" s="1"/>
  <c r="O281" i="38"/>
  <c r="P193" i="38"/>
  <c r="F199" i="38"/>
  <c r="F200" i="38" s="1"/>
  <c r="K274" i="38"/>
  <c r="U176" i="38"/>
  <c r="O258" i="36"/>
  <c r="P258" i="36" s="1"/>
  <c r="Q258" i="36" s="1"/>
  <c r="R258" i="36" s="1"/>
  <c r="S258" i="36" s="1"/>
  <c r="T258" i="36" s="1"/>
  <c r="U258" i="36" s="1"/>
  <c r="V258" i="36" s="1"/>
  <c r="W258" i="36" s="1"/>
  <c r="X258" i="36" s="1"/>
  <c r="P480" i="38"/>
  <c r="P534" i="38"/>
  <c r="Q478" i="38"/>
  <c r="N459" i="38"/>
  <c r="O459" i="38" s="1"/>
  <c r="M459" i="38"/>
  <c r="M460" i="38" s="1"/>
  <c r="M64" i="38" s="1"/>
  <c r="G57" i="38"/>
  <c r="G345" i="38"/>
  <c r="G346" i="38" s="1"/>
  <c r="J459" i="38"/>
  <c r="J460" i="38" s="1"/>
  <c r="J64" i="38" s="1"/>
  <c r="G496" i="38"/>
  <c r="G497" i="38" s="1"/>
  <c r="G504" i="38" s="1"/>
  <c r="G48" i="38"/>
  <c r="G97" i="38"/>
  <c r="G98" i="38" s="1"/>
  <c r="G99" i="38" s="1"/>
  <c r="D276" i="38"/>
  <c r="D277" i="38" s="1"/>
  <c r="R216" i="38"/>
  <c r="H361" i="38"/>
  <c r="H362" i="38" s="1"/>
  <c r="D35" i="38"/>
  <c r="K197" i="38"/>
  <c r="K361" i="38"/>
  <c r="K362" i="38" s="1"/>
  <c r="D403" i="38"/>
  <c r="P269" i="38"/>
  <c r="X176" i="38"/>
  <c r="P176" i="38"/>
  <c r="E169" i="38"/>
  <c r="E170" i="38" s="1"/>
  <c r="J496" i="38"/>
  <c r="J97" i="38"/>
  <c r="L176" i="38"/>
  <c r="L160" i="38"/>
  <c r="L161" i="38" s="1"/>
  <c r="M226" i="38"/>
  <c r="M48" i="38"/>
  <c r="V176" i="38"/>
  <c r="W176" i="38"/>
  <c r="K261" i="38"/>
  <c r="N274" i="38"/>
  <c r="O267" i="38"/>
  <c r="C323" i="38" a="1"/>
  <c r="C323" i="38" s="1"/>
  <c r="G375" i="38"/>
  <c r="K366" i="38"/>
  <c r="O449" i="38"/>
  <c r="F345" i="38"/>
  <c r="F346" i="38" s="1"/>
  <c r="E160" i="38"/>
  <c r="E161" i="38" s="1"/>
  <c r="E165" i="38" s="1"/>
  <c r="E176" i="38"/>
  <c r="F361" i="38"/>
  <c r="F362" i="38" s="1"/>
  <c r="O270" i="36"/>
  <c r="P270" i="36" s="1"/>
  <c r="Q270" i="36" s="1"/>
  <c r="R270" i="36" s="1"/>
  <c r="S270" i="36" s="1"/>
  <c r="T270" i="36" s="1"/>
  <c r="U270" i="36" s="1"/>
  <c r="V270" i="36" s="1"/>
  <c r="W270" i="36" s="1"/>
  <c r="X270" i="36" s="1"/>
  <c r="I459" i="38"/>
  <c r="I460" i="38" s="1"/>
  <c r="I64" i="38" s="1"/>
  <c r="P530" i="38"/>
  <c r="P464" i="38"/>
  <c r="P532" i="38" s="1"/>
  <c r="Q419" i="38"/>
  <c r="F459" i="38"/>
  <c r="F460" i="38" s="1"/>
  <c r="F64" i="38" s="1"/>
  <c r="E459" i="38"/>
  <c r="E460" i="38" s="1"/>
  <c r="E64" i="38" s="1"/>
  <c r="L459" i="38"/>
  <c r="L460" i="38" s="1"/>
  <c r="L64" i="38" s="1"/>
  <c r="H459" i="38"/>
  <c r="H460" i="38" s="1"/>
  <c r="H64" i="38" s="1"/>
  <c r="L345" i="38"/>
  <c r="L346" i="38" s="1"/>
  <c r="D197" i="38"/>
  <c r="K302" i="38"/>
  <c r="I332" i="38"/>
  <c r="L361" i="38"/>
  <c r="L362" i="38" s="1"/>
  <c r="E332" i="38"/>
  <c r="G332" i="38"/>
  <c r="M169" i="38"/>
  <c r="M170" i="38" s="1"/>
  <c r="T176" i="38"/>
  <c r="M496" i="38"/>
  <c r="M97" i="38"/>
  <c r="P237" i="38"/>
  <c r="J169" i="38"/>
  <c r="J170" i="38" s="1"/>
  <c r="K169" i="38"/>
  <c r="K170" i="38" s="1"/>
  <c r="P259" i="38"/>
  <c r="F353" i="38"/>
  <c r="G366" i="38"/>
  <c r="K375" i="38"/>
  <c r="O525" i="38"/>
  <c r="O475" i="38"/>
  <c r="Q472" i="38"/>
  <c r="H199" i="38"/>
  <c r="H200" i="38" s="1"/>
  <c r="O256" i="36"/>
  <c r="P256" i="36" s="1"/>
  <c r="Q256" i="36" s="1"/>
  <c r="R256" i="36" s="1"/>
  <c r="S256" i="36" s="1"/>
  <c r="T256" i="36" s="1"/>
  <c r="U256" i="36" s="1"/>
  <c r="V256" i="36" s="1"/>
  <c r="W256" i="36" s="1"/>
  <c r="X256" i="36" s="1"/>
  <c r="P441" i="38"/>
  <c r="P433" i="38"/>
  <c r="D460" i="38"/>
  <c r="D64" i="38" s="1"/>
  <c r="D459" i="38"/>
  <c r="D345" i="38"/>
  <c r="D346" i="38" s="1"/>
  <c r="I276" i="38"/>
  <c r="I277" i="38" s="1"/>
  <c r="F496" i="38"/>
  <c r="F497" i="38" s="1"/>
  <c r="F504" i="38" s="1"/>
  <c r="F97" i="38"/>
  <c r="F98" i="38" s="1"/>
  <c r="F99" i="38" s="1"/>
  <c r="F48" i="38"/>
  <c r="E276" i="38"/>
  <c r="E277" i="38" s="1"/>
  <c r="F276" i="38"/>
  <c r="F277" i="38" s="1"/>
  <c r="E149" i="38"/>
  <c r="E150" i="38" s="1"/>
  <c r="I35" i="38"/>
  <c r="D361" i="38"/>
  <c r="D362" i="38" s="1"/>
  <c r="E35" i="38"/>
  <c r="G35" i="38"/>
  <c r="J361" i="38"/>
  <c r="J362" i="38" s="1"/>
  <c r="K176" i="38"/>
  <c r="K160" i="38"/>
  <c r="K161" i="38" s="1"/>
  <c r="S176" i="38"/>
  <c r="J274" i="38"/>
  <c r="K226" i="38"/>
  <c r="K48" i="38"/>
  <c r="L261" i="38"/>
  <c r="L226" i="38"/>
  <c r="L48" i="38"/>
  <c r="M261" i="38"/>
  <c r="H169" i="38"/>
  <c r="H170" i="38" s="1"/>
  <c r="N226" i="38"/>
  <c r="N48" i="38"/>
  <c r="L274" i="38"/>
  <c r="E353" i="38"/>
  <c r="N353" i="38"/>
  <c r="D375" i="38"/>
  <c r="L366" i="38"/>
  <c r="O267" i="36"/>
  <c r="C310" i="36" a="1"/>
  <c r="C310" i="36" s="1"/>
  <c r="C306" i="36" a="1"/>
  <c r="C306" i="36" s="1"/>
  <c r="C318" i="36" a="1"/>
  <c r="C318" i="36" s="1"/>
  <c r="C314" i="36" a="1"/>
  <c r="C314" i="36" s="1"/>
  <c r="U234" i="36"/>
  <c r="C288" i="36" a="1"/>
  <c r="C288" i="36" s="1"/>
  <c r="O245" i="36"/>
  <c r="P245" i="36"/>
  <c r="K245" i="36"/>
  <c r="N245" i="36"/>
  <c r="M245" i="36"/>
  <c r="C273" i="36" a="1"/>
  <c r="C273" i="36" s="1"/>
  <c r="L245" i="36"/>
  <c r="S246" i="36"/>
  <c r="T246" i="36" s="1"/>
  <c r="U246" i="36" s="1"/>
  <c r="V246" i="36" s="1"/>
  <c r="W246" i="36" s="1"/>
  <c r="X246" i="36" s="1"/>
  <c r="V234" i="36"/>
  <c r="W30" i="36"/>
  <c r="Q245" i="36"/>
  <c r="R245" i="36"/>
  <c r="T234" i="36"/>
  <c r="N341" i="36"/>
  <c r="N342" i="36" s="1"/>
  <c r="F341" i="36"/>
  <c r="F342" i="36" s="1"/>
  <c r="F345" i="36" s="1"/>
  <c r="G342" i="36"/>
  <c r="J12" i="36"/>
  <c r="N14" i="36"/>
  <c r="I17" i="36"/>
  <c r="E19" i="36"/>
  <c r="M19" i="36"/>
  <c r="I22" i="36"/>
  <c r="H85" i="36"/>
  <c r="H106" i="36"/>
  <c r="K142" i="36"/>
  <c r="I226" i="36"/>
  <c r="I261" i="36"/>
  <c r="I333" i="36" s="1"/>
  <c r="F299" i="36"/>
  <c r="K12" i="36"/>
  <c r="K93" i="36"/>
  <c r="I106" i="36"/>
  <c r="D140" i="36"/>
  <c r="E189" i="36"/>
  <c r="M189" i="36"/>
  <c r="F212" i="36"/>
  <c r="N212" i="36"/>
  <c r="J212" i="36"/>
  <c r="E233" i="36"/>
  <c r="M233" i="36"/>
  <c r="K299" i="36"/>
  <c r="K301" i="36" s="1"/>
  <c r="K302" i="36" s="1"/>
  <c r="J444" i="36"/>
  <c r="I475" i="36"/>
  <c r="H480" i="36"/>
  <c r="E93" i="36"/>
  <c r="D85" i="36"/>
  <c r="L85" i="36"/>
  <c r="J78" i="36"/>
  <c r="J81" i="36" s="1"/>
  <c r="Q116" i="36"/>
  <c r="I432" i="36"/>
  <c r="J233" i="36"/>
  <c r="P423" i="36"/>
  <c r="P531" i="36" s="1"/>
  <c r="J480" i="36"/>
  <c r="E12" i="36"/>
  <c r="M12" i="36"/>
  <c r="D20" i="36"/>
  <c r="H19" i="36"/>
  <c r="L22" i="36"/>
  <c r="L29" i="36"/>
  <c r="E78" i="36"/>
  <c r="E81" i="36" s="1"/>
  <c r="E82" i="36" s="1"/>
  <c r="E83" i="36" s="1"/>
  <c r="M85" i="36"/>
  <c r="I93" i="36"/>
  <c r="J140" i="36"/>
  <c r="K189" i="36"/>
  <c r="K196" i="36" s="1"/>
  <c r="K197" i="36" s="1"/>
  <c r="H212" i="36"/>
  <c r="D226" i="36"/>
  <c r="G233" i="36"/>
  <c r="D261" i="36"/>
  <c r="D333" i="36" s="1"/>
  <c r="F261" i="36"/>
  <c r="F333" i="36" s="1"/>
  <c r="Q272" i="36"/>
  <c r="K341" i="36"/>
  <c r="K342" i="36" s="1"/>
  <c r="K345" i="36" s="1"/>
  <c r="K346" i="36" s="1"/>
  <c r="H444" i="36"/>
  <c r="D106" i="36"/>
  <c r="E105" i="36"/>
  <c r="E106" i="36" s="1"/>
  <c r="F283" i="36"/>
  <c r="F284" i="36" s="1"/>
  <c r="I218" i="36"/>
  <c r="I114" i="36" s="1"/>
  <c r="I121" i="36" s="1"/>
  <c r="E226" i="36"/>
  <c r="E245" i="36"/>
  <c r="I245" i="36"/>
  <c r="H261" i="36"/>
  <c r="H263" i="36" s="1"/>
  <c r="L295" i="36"/>
  <c r="E295" i="36"/>
  <c r="E296" i="36" s="1"/>
  <c r="L341" i="36"/>
  <c r="L342" i="36" s="1"/>
  <c r="L345" i="36" s="1"/>
  <c r="L346" i="36" s="1"/>
  <c r="D416" i="36"/>
  <c r="E416" i="36" s="1"/>
  <c r="D48" i="36"/>
  <c r="I110" i="36"/>
  <c r="D342" i="36"/>
  <c r="H346" i="36"/>
  <c r="H36" i="36" s="1"/>
  <c r="F388" i="36"/>
  <c r="N388" i="36"/>
  <c r="V388" i="36"/>
  <c r="D388" i="36"/>
  <c r="D391" i="36" s="1"/>
  <c r="L388" i="36"/>
  <c r="T388" i="36"/>
  <c r="D475" i="36"/>
  <c r="L475" i="36"/>
  <c r="K19" i="36"/>
  <c r="G22" i="36"/>
  <c r="E234" i="36"/>
  <c r="M234" i="36"/>
  <c r="F97" i="36"/>
  <c r="F98" i="36" s="1"/>
  <c r="P193" i="36"/>
  <c r="E218" i="36"/>
  <c r="E114" i="36" s="1"/>
  <c r="M218" i="36"/>
  <c r="M114" i="36" s="1"/>
  <c r="M121" i="36" s="1"/>
  <c r="J240" i="36"/>
  <c r="K444" i="36"/>
  <c r="K474" i="36"/>
  <c r="K475" i="36" s="1"/>
  <c r="I12" i="36"/>
  <c r="L14" i="36"/>
  <c r="E17" i="36"/>
  <c r="M17" i="36"/>
  <c r="G19" i="36"/>
  <c r="E29" i="36"/>
  <c r="M29" i="36"/>
  <c r="K14" i="36"/>
  <c r="N22" i="36"/>
  <c r="F29" i="36"/>
  <c r="H12" i="36"/>
  <c r="G17" i="36"/>
  <c r="G29" i="36"/>
  <c r="G14" i="36"/>
  <c r="H17" i="36"/>
  <c r="J19" i="36"/>
  <c r="I29" i="36"/>
  <c r="F22" i="36"/>
  <c r="E14" i="36"/>
  <c r="K17" i="36"/>
  <c r="I20" i="36"/>
  <c r="K22" i="36"/>
  <c r="L17" i="36"/>
  <c r="J17" i="36"/>
  <c r="L19" i="36"/>
  <c r="K149" i="36"/>
  <c r="K150" i="36" s="1"/>
  <c r="O451" i="36"/>
  <c r="P451" i="36" s="1"/>
  <c r="Q451" i="36" s="1"/>
  <c r="R451" i="36" s="1"/>
  <c r="S451" i="36" s="1"/>
  <c r="T451" i="36" s="1"/>
  <c r="U451" i="36" s="1"/>
  <c r="V451" i="36" s="1"/>
  <c r="W451" i="36" s="1"/>
  <c r="X451" i="36" s="1"/>
  <c r="M302" i="36"/>
  <c r="J302" i="36"/>
  <c r="N226" i="36"/>
  <c r="J20" i="36"/>
  <c r="F400" i="36"/>
  <c r="N400" i="36"/>
  <c r="M78" i="36"/>
  <c r="M81" i="36" s="1"/>
  <c r="M82" i="36" s="1"/>
  <c r="M83" i="36" s="1"/>
  <c r="E359" i="36"/>
  <c r="N218" i="36"/>
  <c r="N114" i="36" s="1"/>
  <c r="N121" i="36" s="1"/>
  <c r="G400" i="36"/>
  <c r="E85" i="36"/>
  <c r="J149" i="36"/>
  <c r="J150" i="36" s="1"/>
  <c r="L20" i="36"/>
  <c r="G234" i="36"/>
  <c r="F78" i="36"/>
  <c r="F81" i="36" s="1"/>
  <c r="F85" i="36"/>
  <c r="N78" i="36"/>
  <c r="N81" i="36" s="1"/>
  <c r="N82" i="36" s="1"/>
  <c r="N83" i="36" s="1"/>
  <c r="N85" i="36"/>
  <c r="H359" i="36"/>
  <c r="F106" i="36"/>
  <c r="K509" i="36"/>
  <c r="K511" i="36" s="1"/>
  <c r="K110" i="36"/>
  <c r="E146" i="36"/>
  <c r="E147" i="36" s="1"/>
  <c r="M146" i="36"/>
  <c r="M147" i="36" s="1"/>
  <c r="E121" i="36"/>
  <c r="M359" i="36"/>
  <c r="D141" i="36"/>
  <c r="D142" i="36" s="1"/>
  <c r="F14" i="36"/>
  <c r="E20" i="36"/>
  <c r="M20" i="36"/>
  <c r="G85" i="36"/>
  <c r="I82" i="36"/>
  <c r="I83" i="36" s="1"/>
  <c r="G106" i="36"/>
  <c r="F128" i="36"/>
  <c r="N128" i="36"/>
  <c r="F146" i="36"/>
  <c r="F147" i="36" s="1"/>
  <c r="O145" i="36"/>
  <c r="N146" i="36"/>
  <c r="K78" i="36"/>
  <c r="K81" i="36" s="1"/>
  <c r="K82" i="36" s="1"/>
  <c r="K83" i="36" s="1"/>
  <c r="K85" i="36"/>
  <c r="F431" i="36"/>
  <c r="F434" i="36" s="1"/>
  <c r="F218" i="36"/>
  <c r="F114" i="36" s="1"/>
  <c r="F121" i="36" s="1"/>
  <c r="F20" i="36"/>
  <c r="N20" i="36"/>
  <c r="J400" i="36"/>
  <c r="G128" i="36"/>
  <c r="G140" i="36"/>
  <c r="I191" i="36"/>
  <c r="I194" i="36" s="1"/>
  <c r="I196" i="36"/>
  <c r="I197" i="36" s="1"/>
  <c r="I283" i="36"/>
  <c r="I284" i="36" s="1"/>
  <c r="H14" i="36"/>
  <c r="G20" i="36"/>
  <c r="P43" i="36"/>
  <c r="Q43" i="36" s="1"/>
  <c r="R43" i="36" s="1"/>
  <c r="S43" i="36" s="1"/>
  <c r="T43" i="36" s="1"/>
  <c r="U43" i="36" s="1"/>
  <c r="V43" i="36" s="1"/>
  <c r="W43" i="36" s="1"/>
  <c r="X43" i="36" s="1"/>
  <c r="F48" i="36"/>
  <c r="I85" i="36"/>
  <c r="D359" i="36"/>
  <c r="D353" i="36" s="1"/>
  <c r="L359" i="36"/>
  <c r="J110" i="36"/>
  <c r="I142" i="36"/>
  <c r="J359" i="36"/>
  <c r="D402" i="36"/>
  <c r="D400" i="36"/>
  <c r="L400" i="36"/>
  <c r="G78" i="36"/>
  <c r="G81" i="36" s="1"/>
  <c r="G82" i="36" s="1"/>
  <c r="G83" i="36" s="1"/>
  <c r="G110" i="36"/>
  <c r="D128" i="36"/>
  <c r="L128" i="36"/>
  <c r="E140" i="36"/>
  <c r="M140" i="36"/>
  <c r="I212" i="36"/>
  <c r="H333" i="36"/>
  <c r="K359" i="36"/>
  <c r="K366" i="36" s="1"/>
  <c r="E400" i="36"/>
  <c r="M400" i="36"/>
  <c r="H78" i="36"/>
  <c r="H81" i="36" s="1"/>
  <c r="H82" i="36" s="1"/>
  <c r="H83" i="36" s="1"/>
  <c r="J82" i="36"/>
  <c r="J83" i="36" s="1"/>
  <c r="H110" i="36"/>
  <c r="F140" i="36"/>
  <c r="N140" i="36"/>
  <c r="K234" i="36"/>
  <c r="P251" i="36"/>
  <c r="Q251" i="36" s="1"/>
  <c r="R251" i="36" s="1"/>
  <c r="S251" i="36" s="1"/>
  <c r="T251" i="36" s="1"/>
  <c r="U251" i="36" s="1"/>
  <c r="V251" i="36" s="1"/>
  <c r="W251" i="36" s="1"/>
  <c r="X251" i="36" s="1"/>
  <c r="R252" i="36"/>
  <c r="J189" i="36"/>
  <c r="J196" i="36" s="1"/>
  <c r="H191" i="36"/>
  <c r="H194" i="36" s="1"/>
  <c r="F359" i="36"/>
  <c r="N359" i="36"/>
  <c r="N366" i="36" s="1"/>
  <c r="H400" i="36"/>
  <c r="H128" i="36"/>
  <c r="G147" i="36"/>
  <c r="G333" i="36"/>
  <c r="G263" i="36"/>
  <c r="G264" i="36" s="1"/>
  <c r="M324" i="36"/>
  <c r="F234" i="36"/>
  <c r="N234" i="36"/>
  <c r="O234" i="36" s="1"/>
  <c r="P234" i="36" s="1"/>
  <c r="Q234" i="36" s="1"/>
  <c r="R234" i="36" s="1"/>
  <c r="S234" i="36" s="1"/>
  <c r="G359" i="36"/>
  <c r="G366" i="36" s="1"/>
  <c r="I400" i="36"/>
  <c r="D78" i="36"/>
  <c r="D81" i="36" s="1"/>
  <c r="D82" i="36" s="1"/>
  <c r="D83" i="36" s="1"/>
  <c r="L78" i="36"/>
  <c r="L81" i="36" s="1"/>
  <c r="L82" i="36" s="1"/>
  <c r="L83" i="36" s="1"/>
  <c r="F82" i="36"/>
  <c r="F83" i="36" s="1"/>
  <c r="D110" i="36"/>
  <c r="L110" i="36"/>
  <c r="J141" i="36"/>
  <c r="J142" i="36" s="1"/>
  <c r="H147" i="36"/>
  <c r="O172" i="36"/>
  <c r="P172" i="36" s="1"/>
  <c r="Q172" i="36" s="1"/>
  <c r="R172" i="36" s="1"/>
  <c r="S172" i="36" s="1"/>
  <c r="T172" i="36" s="1"/>
  <c r="U172" i="36" s="1"/>
  <c r="V172" i="36" s="1"/>
  <c r="W172" i="36" s="1"/>
  <c r="X172" i="36" s="1"/>
  <c r="D189" i="36"/>
  <c r="L189" i="36"/>
  <c r="L196" i="36" s="1"/>
  <c r="H245" i="36"/>
  <c r="I146" i="36"/>
  <c r="I147" i="36" s="1"/>
  <c r="H197" i="36"/>
  <c r="H234" i="36"/>
  <c r="I299" i="36"/>
  <c r="I240" i="36"/>
  <c r="I359" i="36"/>
  <c r="I353" i="36" s="1"/>
  <c r="K400" i="36"/>
  <c r="F110" i="36"/>
  <c r="N110" i="36"/>
  <c r="F189" i="36"/>
  <c r="N189" i="36"/>
  <c r="N196" i="36" s="1"/>
  <c r="P216" i="36"/>
  <c r="E274" i="36"/>
  <c r="D431" i="36"/>
  <c r="D434" i="36" s="1"/>
  <c r="D218" i="36"/>
  <c r="D114" i="36" s="1"/>
  <c r="D121" i="36" s="1"/>
  <c r="L218" i="36"/>
  <c r="L114" i="36" s="1"/>
  <c r="L121" i="36" s="1"/>
  <c r="H301" i="36"/>
  <c r="F274" i="36"/>
  <c r="F301" i="36"/>
  <c r="F302" i="36" s="1"/>
  <c r="D147" i="36"/>
  <c r="L147" i="36"/>
  <c r="E212" i="36"/>
  <c r="M212" i="36"/>
  <c r="I274" i="36"/>
  <c r="G283" i="36"/>
  <c r="G284" i="36" s="1"/>
  <c r="J218" i="36"/>
  <c r="J114" i="36" s="1"/>
  <c r="J121" i="36" s="1"/>
  <c r="J234" i="36"/>
  <c r="H240" i="36"/>
  <c r="J295" i="36"/>
  <c r="J296" i="36" s="1"/>
  <c r="D233" i="36"/>
  <c r="L233" i="36"/>
  <c r="L234" i="36"/>
  <c r="E261" i="36"/>
  <c r="H218" i="36"/>
  <c r="H114" i="36" s="1"/>
  <c r="H121" i="36" s="1"/>
  <c r="H233" i="36"/>
  <c r="E240" i="36"/>
  <c r="M240" i="36"/>
  <c r="D496" i="36"/>
  <c r="D497" i="36" s="1"/>
  <c r="D283" i="36"/>
  <c r="D284" i="36" s="1"/>
  <c r="G301" i="36"/>
  <c r="G302" i="36" s="1"/>
  <c r="E496" i="36"/>
  <c r="E497" i="36" s="1"/>
  <c r="G274" i="36"/>
  <c r="E284" i="36"/>
  <c r="D296" i="36"/>
  <c r="L296" i="36"/>
  <c r="E324" i="36"/>
  <c r="M296" i="36"/>
  <c r="E341" i="36"/>
  <c r="E342" i="36" s="1"/>
  <c r="M341" i="36"/>
  <c r="M342" i="36" s="1"/>
  <c r="D301" i="36"/>
  <c r="D302" i="36" s="1"/>
  <c r="D274" i="36"/>
  <c r="F295" i="36"/>
  <c r="F296" i="36" s="1"/>
  <c r="N295" i="36"/>
  <c r="G218" i="36"/>
  <c r="G114" i="36" s="1"/>
  <c r="G121" i="36" s="1"/>
  <c r="E301" i="36"/>
  <c r="E302" i="36" s="1"/>
  <c r="D240" i="36"/>
  <c r="L240" i="36"/>
  <c r="G295" i="36"/>
  <c r="G296" i="36" s="1"/>
  <c r="H324" i="36"/>
  <c r="D345" i="36"/>
  <c r="D346" i="36" s="1"/>
  <c r="D36" i="36" s="1"/>
  <c r="I295" i="36"/>
  <c r="I296" i="36" s="1"/>
  <c r="I323" i="36"/>
  <c r="I324" i="36" s="1"/>
  <c r="D324" i="36"/>
  <c r="J324" i="36"/>
  <c r="K324" i="36"/>
  <c r="G345" i="36"/>
  <c r="G346" i="36" s="1"/>
  <c r="L324" i="36"/>
  <c r="J341" i="36"/>
  <c r="J342" i="36" s="1"/>
  <c r="F457" i="36"/>
  <c r="N457" i="36"/>
  <c r="G457" i="36"/>
  <c r="H484" i="36"/>
  <c r="H485" i="36" s="1"/>
  <c r="I457" i="36"/>
  <c r="E429" i="36"/>
  <c r="E430" i="36"/>
  <c r="I342" i="36"/>
  <c r="J457" i="36"/>
  <c r="K484" i="36"/>
  <c r="K485" i="36" s="1"/>
  <c r="J388" i="36"/>
  <c r="R388" i="36"/>
  <c r="D484" i="36"/>
  <c r="D485" i="36" s="1"/>
  <c r="L484" i="36"/>
  <c r="L485" i="36" s="1"/>
  <c r="K388" i="36"/>
  <c r="S388" i="36"/>
  <c r="E388" i="36"/>
  <c r="M388" i="36"/>
  <c r="U388" i="36"/>
  <c r="K457" i="36"/>
  <c r="E484" i="36"/>
  <c r="E485" i="36" s="1"/>
  <c r="M484" i="36"/>
  <c r="M485" i="36" s="1"/>
  <c r="J474" i="36"/>
  <c r="J475" i="36" s="1"/>
  <c r="J57" i="36" s="1"/>
  <c r="J511" i="36"/>
  <c r="D457" i="36"/>
  <c r="L457" i="36"/>
  <c r="F484" i="36"/>
  <c r="F485" i="36" s="1"/>
  <c r="N484" i="36"/>
  <c r="G429" i="36"/>
  <c r="H430" i="36"/>
  <c r="G430" i="36"/>
  <c r="E457" i="36"/>
  <c r="M457" i="36"/>
  <c r="G484" i="36"/>
  <c r="G485" i="36" s="1"/>
  <c r="N475" i="36"/>
  <c r="O474" i="36"/>
  <c r="P474" i="36" s="1"/>
  <c r="Q474" i="36" s="1"/>
  <c r="R474" i="36" s="1"/>
  <c r="S474" i="36" s="1"/>
  <c r="T474" i="36" s="1"/>
  <c r="U474" i="36" s="1"/>
  <c r="V474" i="36" s="1"/>
  <c r="W474" i="36" s="1"/>
  <c r="X474" i="36" s="1"/>
  <c r="I484" i="36"/>
  <c r="I485" i="36" s="1"/>
  <c r="O419" i="36"/>
  <c r="H457" i="36"/>
  <c r="J484" i="36"/>
  <c r="J485" i="36"/>
  <c r="K479" i="36"/>
  <c r="K480" i="36" s="1"/>
  <c r="F430" i="36"/>
  <c r="I502" i="36"/>
  <c r="I503" i="36" s="1"/>
  <c r="G474" i="36"/>
  <c r="G475" i="36" s="1"/>
  <c r="L479" i="36"/>
  <c r="L480" i="36" s="1"/>
  <c r="L57" i="36" s="1"/>
  <c r="D503" i="36"/>
  <c r="D429" i="36"/>
  <c r="H474" i="36"/>
  <c r="H475" i="36" s="1"/>
  <c r="E480" i="36"/>
  <c r="M480" i="36"/>
  <c r="D511" i="36"/>
  <c r="L511" i="36"/>
  <c r="F479" i="36"/>
  <c r="F480" i="36" s="1"/>
  <c r="F57" i="36" s="1"/>
  <c r="N479" i="36"/>
  <c r="N480" i="36" s="1"/>
  <c r="E511" i="36"/>
  <c r="M511" i="36"/>
  <c r="I430" i="36"/>
  <c r="E475" i="36"/>
  <c r="M475" i="36"/>
  <c r="G480" i="36"/>
  <c r="O478" i="36"/>
  <c r="F511" i="36"/>
  <c r="N511" i="36"/>
  <c r="E502" i="36"/>
  <c r="E503" i="36" s="1"/>
  <c r="F497" i="36"/>
  <c r="H503" i="36"/>
  <c r="G511" i="36"/>
  <c r="F502" i="36"/>
  <c r="F503" i="36" s="1"/>
  <c r="I479" i="36"/>
  <c r="I480" i="36" s="1"/>
  <c r="I57" i="36" s="1"/>
  <c r="H511" i="36"/>
  <c r="O441" i="36"/>
  <c r="O219" i="36" s="1"/>
  <c r="G502" i="36"/>
  <c r="G503" i="36" s="1"/>
  <c r="D479" i="36"/>
  <c r="D480" i="36" s="1"/>
  <c r="D57" i="36" s="1"/>
  <c r="I511" i="36"/>
  <c r="G29" i="19"/>
  <c r="E29" i="19"/>
  <c r="D29" i="19"/>
  <c r="G15" i="19"/>
  <c r="F15" i="19"/>
  <c r="D15" i="19"/>
  <c r="F263" i="36" l="1"/>
  <c r="F264" i="36" s="1"/>
  <c r="M375" i="36"/>
  <c r="D401" i="36"/>
  <c r="F375" i="36"/>
  <c r="K142" i="40"/>
  <c r="M36" i="40"/>
  <c r="M113" i="40"/>
  <c r="D403" i="40"/>
  <c r="L36" i="40"/>
  <c r="L113" i="40"/>
  <c r="L129" i="40" s="1"/>
  <c r="G36" i="39"/>
  <c r="G113" i="39"/>
  <c r="N460" i="39"/>
  <c r="N64" i="39" s="1"/>
  <c r="O486" i="39"/>
  <c r="I142" i="39"/>
  <c r="E366" i="36"/>
  <c r="H57" i="36"/>
  <c r="K57" i="36"/>
  <c r="Q423" i="36"/>
  <c r="D504" i="36"/>
  <c r="L375" i="36"/>
  <c r="F353" i="36"/>
  <c r="G196" i="36"/>
  <c r="G197" i="36" s="1"/>
  <c r="G199" i="36" s="1"/>
  <c r="G200" i="36" s="1"/>
  <c r="M57" i="36"/>
  <c r="H142" i="36"/>
  <c r="H375" i="36"/>
  <c r="H376" i="36" s="1"/>
  <c r="F99" i="36"/>
  <c r="F504" i="36"/>
  <c r="G57" i="36"/>
  <c r="J366" i="36"/>
  <c r="K191" i="36"/>
  <c r="K194" i="36" s="1"/>
  <c r="F366" i="36"/>
  <c r="N197" i="39"/>
  <c r="N199" i="39" s="1"/>
  <c r="O199" i="39" s="1"/>
  <c r="X196" i="38"/>
  <c r="P196" i="38"/>
  <c r="W196" i="38"/>
  <c r="O196" i="38"/>
  <c r="V196" i="38"/>
  <c r="U196" i="38"/>
  <c r="T196" i="38"/>
  <c r="S196" i="38"/>
  <c r="R196" i="38"/>
  <c r="Q196" i="38"/>
  <c r="P196" i="36"/>
  <c r="X196" i="36"/>
  <c r="Q196" i="36"/>
  <c r="R196" i="36"/>
  <c r="S196" i="36"/>
  <c r="T196" i="36"/>
  <c r="U196" i="36"/>
  <c r="V196" i="36"/>
  <c r="W196" i="36"/>
  <c r="I366" i="36"/>
  <c r="I367" i="36" s="1"/>
  <c r="I368" i="36" s="1"/>
  <c r="D111" i="36"/>
  <c r="M191" i="36"/>
  <c r="M194" i="36" s="1"/>
  <c r="M196" i="36"/>
  <c r="M197" i="36" s="1"/>
  <c r="C323" i="36" a="1"/>
  <c r="C323" i="36" s="1"/>
  <c r="M366" i="36"/>
  <c r="M353" i="36"/>
  <c r="M354" i="36" s="1"/>
  <c r="M355" i="36" s="1"/>
  <c r="H264" i="36"/>
  <c r="N375" i="36"/>
  <c r="I375" i="36"/>
  <c r="L366" i="36"/>
  <c r="O196" i="36"/>
  <c r="G375" i="36"/>
  <c r="G353" i="36"/>
  <c r="E353" i="36"/>
  <c r="E504" i="36"/>
  <c r="G97" i="36"/>
  <c r="G98" i="36" s="1"/>
  <c r="G99" i="36" s="1"/>
  <c r="J353" i="36"/>
  <c r="J354" i="36" s="1"/>
  <c r="J355" i="36" s="1"/>
  <c r="E375" i="36"/>
  <c r="K375" i="36"/>
  <c r="K376" i="36" s="1"/>
  <c r="K377" i="36" s="1"/>
  <c r="H366" i="36"/>
  <c r="H367" i="36" s="1"/>
  <c r="H368" i="36" s="1"/>
  <c r="J375" i="36"/>
  <c r="F346" i="36"/>
  <c r="F36" i="36" s="1"/>
  <c r="O454" i="36"/>
  <c r="G48" i="36"/>
  <c r="D51" i="38"/>
  <c r="P22" i="38"/>
  <c r="Q21" i="38"/>
  <c r="K353" i="36"/>
  <c r="H353" i="36"/>
  <c r="L353" i="36"/>
  <c r="E57" i="36"/>
  <c r="D375" i="36"/>
  <c r="D366" i="36"/>
  <c r="N353" i="36"/>
  <c r="I263" i="36"/>
  <c r="I264" i="36" s="1"/>
  <c r="H332" i="36"/>
  <c r="C283" i="36" a="1"/>
  <c r="C283" i="36" s="1"/>
  <c r="D263" i="36"/>
  <c r="D264" i="36" s="1"/>
  <c r="E403" i="38"/>
  <c r="E405" i="38" s="1"/>
  <c r="E406" i="38" s="1"/>
  <c r="G46" i="41"/>
  <c r="C301" i="41" a="1"/>
  <c r="C301" i="41" s="1"/>
  <c r="N150" i="41"/>
  <c r="P314" i="41"/>
  <c r="Q314" i="41" s="1"/>
  <c r="O311" i="41"/>
  <c r="P311" i="41" s="1"/>
  <c r="P288" i="41"/>
  <c r="P289" i="41" s="1"/>
  <c r="P318" i="41"/>
  <c r="P319" i="41" s="1"/>
  <c r="O307" i="41"/>
  <c r="N263" i="41"/>
  <c r="O302" i="41"/>
  <c r="O303" i="41" s="1"/>
  <c r="O336" i="41" s="1"/>
  <c r="P302" i="41"/>
  <c r="P427" i="40"/>
  <c r="Q427" i="40" s="1"/>
  <c r="N276" i="41"/>
  <c r="K263" i="41"/>
  <c r="K264" i="41" s="1"/>
  <c r="M263" i="41"/>
  <c r="M264" i="41" s="1"/>
  <c r="L263" i="41"/>
  <c r="L264" i="41" s="1"/>
  <c r="N199" i="41"/>
  <c r="P369" i="38"/>
  <c r="Q369" i="38" s="1"/>
  <c r="R369" i="38" s="1"/>
  <c r="S369" i="38" s="1"/>
  <c r="T369" i="38" s="1"/>
  <c r="U369" i="38" s="1"/>
  <c r="V369" i="38" s="1"/>
  <c r="W369" i="38" s="1"/>
  <c r="X369" i="38" s="1"/>
  <c r="O444" i="41"/>
  <c r="O115" i="41" s="1"/>
  <c r="O102" i="41" s="1"/>
  <c r="P120" i="41"/>
  <c r="O163" i="38"/>
  <c r="P234" i="38"/>
  <c r="Q234" i="38" s="1"/>
  <c r="R234" i="38" s="1"/>
  <c r="S234" i="38" s="1"/>
  <c r="O468" i="38"/>
  <c r="O465" i="38"/>
  <c r="O126" i="38" s="1"/>
  <c r="C141" i="41" a="1"/>
  <c r="C141" i="41" s="1"/>
  <c r="O160" i="38"/>
  <c r="O469" i="41"/>
  <c r="O119" i="41" s="1"/>
  <c r="O324" i="41"/>
  <c r="O325" i="41" s="1"/>
  <c r="W496" i="38"/>
  <c r="O150" i="41"/>
  <c r="O147" i="38"/>
  <c r="O150" i="38" s="1"/>
  <c r="O490" i="41"/>
  <c r="P496" i="38"/>
  <c r="O89" i="41"/>
  <c r="O89" i="38"/>
  <c r="P26" i="38"/>
  <c r="P203" i="38" s="1"/>
  <c r="P322" i="38"/>
  <c r="P469" i="38" s="1"/>
  <c r="P119" i="38" s="1"/>
  <c r="P75" i="38"/>
  <c r="Q75" i="38" s="1"/>
  <c r="P84" i="38"/>
  <c r="Q84" i="38" s="1"/>
  <c r="R84" i="38" s="1"/>
  <c r="S84" i="38" s="1"/>
  <c r="T84" i="38" s="1"/>
  <c r="U84" i="38" s="1"/>
  <c r="V84" i="38" s="1"/>
  <c r="W84" i="38" s="1"/>
  <c r="X84" i="38" s="1"/>
  <c r="P420" i="38"/>
  <c r="P124" i="38" s="1"/>
  <c r="P378" i="38"/>
  <c r="Q378" i="38" s="1"/>
  <c r="R378" i="38" s="1"/>
  <c r="S378" i="38" s="1"/>
  <c r="T378" i="38" s="1"/>
  <c r="U378" i="38" s="1"/>
  <c r="V378" i="38" s="1"/>
  <c r="W378" i="38" s="1"/>
  <c r="X378" i="38" s="1"/>
  <c r="P185" i="38"/>
  <c r="Q185" i="38" s="1"/>
  <c r="R185" i="38" s="1"/>
  <c r="S185" i="38" s="1"/>
  <c r="T185" i="38" s="1"/>
  <c r="U185" i="38" s="1"/>
  <c r="V185" i="38" s="1"/>
  <c r="W185" i="38" s="1"/>
  <c r="X185" i="38" s="1"/>
  <c r="P28" i="38"/>
  <c r="Q28" i="38" s="1"/>
  <c r="R28" i="38" s="1"/>
  <c r="S28" i="38" s="1"/>
  <c r="T28" i="38" s="1"/>
  <c r="U28" i="38" s="1"/>
  <c r="V28" i="38" s="1"/>
  <c r="W28" i="38" s="1"/>
  <c r="X28" i="38" s="1"/>
  <c r="P72" i="38"/>
  <c r="Q72" i="38" s="1"/>
  <c r="R72" i="38" s="1"/>
  <c r="S72" i="38" s="1"/>
  <c r="T72" i="38" s="1"/>
  <c r="U72" i="38" s="1"/>
  <c r="V72" i="38" s="1"/>
  <c r="W72" i="38" s="1"/>
  <c r="X72" i="38" s="1"/>
  <c r="P454" i="38"/>
  <c r="P107" i="38" s="1"/>
  <c r="P438" i="38"/>
  <c r="Q438" i="38" s="1"/>
  <c r="P443" i="38"/>
  <c r="Q443" i="38" s="1"/>
  <c r="R443" i="38" s="1"/>
  <c r="S443" i="38" s="1"/>
  <c r="T443" i="38" s="1"/>
  <c r="U443" i="38" s="1"/>
  <c r="V443" i="38" s="1"/>
  <c r="W443" i="38" s="1"/>
  <c r="X443" i="38" s="1"/>
  <c r="P44" i="38"/>
  <c r="P484" i="38"/>
  <c r="Q484" i="38" s="1"/>
  <c r="R484" i="38" s="1"/>
  <c r="S484" i="38" s="1"/>
  <c r="T484" i="38" s="1"/>
  <c r="U484" i="38" s="1"/>
  <c r="V484" i="38" s="1"/>
  <c r="W484" i="38" s="1"/>
  <c r="X484" i="38" s="1"/>
  <c r="P184" i="38"/>
  <c r="Q184" i="38" s="1"/>
  <c r="R184" i="38" s="1"/>
  <c r="S184" i="38" s="1"/>
  <c r="T184" i="38" s="1"/>
  <c r="U184" i="38" s="1"/>
  <c r="V184" i="38" s="1"/>
  <c r="W184" i="38" s="1"/>
  <c r="X184" i="38" s="1"/>
  <c r="P190" i="38"/>
  <c r="P271" i="38" s="1"/>
  <c r="P442" i="38"/>
  <c r="Q442" i="38" s="1"/>
  <c r="R442" i="38" s="1"/>
  <c r="S442" i="38" s="1"/>
  <c r="T442" i="38" s="1"/>
  <c r="U442" i="38" s="1"/>
  <c r="V442" i="38" s="1"/>
  <c r="W442" i="38" s="1"/>
  <c r="X442" i="38" s="1"/>
  <c r="P424" i="38"/>
  <c r="P125" i="38" s="1"/>
  <c r="O444" i="38"/>
  <c r="O115" i="38" s="1"/>
  <c r="O102" i="38" s="1"/>
  <c r="P72" i="41"/>
  <c r="Q72" i="41" s="1"/>
  <c r="R72" i="41" s="1"/>
  <c r="S72" i="41" s="1"/>
  <c r="T72" i="41" s="1"/>
  <c r="U72" i="41" s="1"/>
  <c r="V72" i="41" s="1"/>
  <c r="W72" i="41" s="1"/>
  <c r="X72" i="41" s="1"/>
  <c r="P185" i="41"/>
  <c r="Q185" i="41" s="1"/>
  <c r="R185" i="41" s="1"/>
  <c r="S185" i="41" s="1"/>
  <c r="T185" i="41" s="1"/>
  <c r="U185" i="41" s="1"/>
  <c r="V185" i="41" s="1"/>
  <c r="W185" i="41" s="1"/>
  <c r="X185" i="41" s="1"/>
  <c r="P154" i="41"/>
  <c r="Q154" i="41" s="1"/>
  <c r="P44" i="41"/>
  <c r="Q44" i="41" s="1"/>
  <c r="P186" i="38"/>
  <c r="P442" i="41"/>
  <c r="Q442" i="41" s="1"/>
  <c r="R442" i="41" s="1"/>
  <c r="S442" i="41" s="1"/>
  <c r="T442" i="41" s="1"/>
  <c r="U442" i="41" s="1"/>
  <c r="V442" i="41" s="1"/>
  <c r="W442" i="41" s="1"/>
  <c r="X442" i="41" s="1"/>
  <c r="P294" i="41"/>
  <c r="P322" i="41"/>
  <c r="P468" i="41" s="1"/>
  <c r="P378" i="41"/>
  <c r="Q378" i="41" s="1"/>
  <c r="R378" i="41" s="1"/>
  <c r="S378" i="41" s="1"/>
  <c r="T378" i="41" s="1"/>
  <c r="U378" i="41" s="1"/>
  <c r="V378" i="41" s="1"/>
  <c r="W378" i="41" s="1"/>
  <c r="X378" i="41" s="1"/>
  <c r="P427" i="41"/>
  <c r="P146" i="41"/>
  <c r="P490" i="41" s="1"/>
  <c r="P139" i="41"/>
  <c r="Q139" i="41" s="1"/>
  <c r="P186" i="41"/>
  <c r="I371" i="41"/>
  <c r="I372" i="41" s="1"/>
  <c r="D177" i="41"/>
  <c r="D178" i="41" s="1"/>
  <c r="D47" i="41" s="1"/>
  <c r="D173" i="41"/>
  <c r="D179" i="41" s="1"/>
  <c r="E177" i="41"/>
  <c r="E178" i="41" s="1"/>
  <c r="E173" i="41"/>
  <c r="E179" i="41" s="1"/>
  <c r="E34" i="41" s="1"/>
  <c r="I165" i="41"/>
  <c r="I46" i="41"/>
  <c r="I36" i="41"/>
  <c r="I113" i="41"/>
  <c r="E405" i="41"/>
  <c r="E406" i="41" s="1"/>
  <c r="D380" i="41"/>
  <c r="D381" i="41" s="1"/>
  <c r="F380" i="41"/>
  <c r="F381" i="41" s="1"/>
  <c r="G177" i="41"/>
  <c r="G178" i="41" s="1"/>
  <c r="G47" i="41" s="1"/>
  <c r="G173" i="41"/>
  <c r="G179" i="41" s="1"/>
  <c r="H36" i="41"/>
  <c r="H113" i="41"/>
  <c r="I173" i="41"/>
  <c r="I179" i="41" s="1"/>
  <c r="I177" i="41"/>
  <c r="I178" i="41" s="1"/>
  <c r="I47" i="41" s="1"/>
  <c r="H177" i="41"/>
  <c r="H178" i="41" s="1"/>
  <c r="H47" i="41" s="1"/>
  <c r="H50" i="41" s="1"/>
  <c r="H173" i="41"/>
  <c r="H179" i="41" s="1"/>
  <c r="G165" i="41"/>
  <c r="D36" i="41"/>
  <c r="D113" i="41"/>
  <c r="D129" i="41" s="1"/>
  <c r="S496" i="38"/>
  <c r="P496" i="41"/>
  <c r="P97" i="41"/>
  <c r="D367" i="41"/>
  <c r="D368" i="41" s="1"/>
  <c r="P255" i="41"/>
  <c r="O261" i="41"/>
  <c r="Q433" i="41"/>
  <c r="R18" i="41"/>
  <c r="Q19" i="41"/>
  <c r="I376" i="41"/>
  <c r="I377" i="41" s="1"/>
  <c r="H354" i="41"/>
  <c r="H355" i="41" s="1"/>
  <c r="Q310" i="41"/>
  <c r="P190" i="41"/>
  <c r="Q480" i="41"/>
  <c r="Q120" i="41" s="1"/>
  <c r="Q534" i="41"/>
  <c r="R478" i="41"/>
  <c r="O202" i="41"/>
  <c r="O203" i="41"/>
  <c r="F332" i="41"/>
  <c r="C196" i="41" a="1"/>
  <c r="C196" i="41" s="1"/>
  <c r="Q431" i="41"/>
  <c r="P215" i="41"/>
  <c r="P454" i="41"/>
  <c r="Q475" i="41"/>
  <c r="Q525" i="41"/>
  <c r="R472" i="41"/>
  <c r="F36" i="41"/>
  <c r="F113" i="41"/>
  <c r="F129" i="41" s="1"/>
  <c r="G380" i="41"/>
  <c r="G381" i="41" s="1"/>
  <c r="G332" i="41"/>
  <c r="P75" i="41"/>
  <c r="I302" i="41"/>
  <c r="I53" i="41" s="1"/>
  <c r="G111" i="41"/>
  <c r="O496" i="41"/>
  <c r="O97" i="41"/>
  <c r="E142" i="41"/>
  <c r="R145" i="41"/>
  <c r="P26" i="41"/>
  <c r="Q25" i="41"/>
  <c r="Q306" i="41"/>
  <c r="P307" i="41"/>
  <c r="P187" i="41"/>
  <c r="Q187" i="41" s="1"/>
  <c r="R441" i="41"/>
  <c r="Q219" i="41"/>
  <c r="P118" i="41"/>
  <c r="F512" i="41"/>
  <c r="F51" i="41"/>
  <c r="H367" i="41"/>
  <c r="H368" i="41" s="1"/>
  <c r="F177" i="41"/>
  <c r="F178" i="41" s="1"/>
  <c r="F47" i="41" s="1"/>
  <c r="F173" i="41"/>
  <c r="F179" i="41" s="1"/>
  <c r="F367" i="41"/>
  <c r="F368" i="41" s="1"/>
  <c r="Q281" i="41"/>
  <c r="R193" i="41"/>
  <c r="P531" i="41"/>
  <c r="P424" i="41"/>
  <c r="P125" i="41" s="1"/>
  <c r="Q423" i="41"/>
  <c r="R148" i="41"/>
  <c r="Q43" i="41"/>
  <c r="D405" i="41"/>
  <c r="D406" i="41" s="1"/>
  <c r="P188" i="41"/>
  <c r="Q188" i="41" s="1"/>
  <c r="P369" i="41"/>
  <c r="Q369" i="41" s="1"/>
  <c r="R369" i="41" s="1"/>
  <c r="S369" i="41" s="1"/>
  <c r="T369" i="41" s="1"/>
  <c r="U369" i="41" s="1"/>
  <c r="V369" i="41" s="1"/>
  <c r="W369" i="41" s="1"/>
  <c r="X369" i="41" s="1"/>
  <c r="P449" i="41"/>
  <c r="Q447" i="41"/>
  <c r="H197" i="41"/>
  <c r="O118" i="41"/>
  <c r="J263" i="41"/>
  <c r="J264" i="41" s="1"/>
  <c r="O275" i="41"/>
  <c r="O274" i="41"/>
  <c r="P267" i="41"/>
  <c r="P149" i="41"/>
  <c r="Q149" i="41" s="1"/>
  <c r="Q299" i="41"/>
  <c r="Q302" i="41" s="1"/>
  <c r="R237" i="41"/>
  <c r="E376" i="41"/>
  <c r="E377" i="41" s="1"/>
  <c r="R216" i="41"/>
  <c r="G302" i="41"/>
  <c r="G53" i="41" s="1"/>
  <c r="E46" i="41"/>
  <c r="P184" i="41"/>
  <c r="Q184" i="41" s="1"/>
  <c r="R184" i="41" s="1"/>
  <c r="S184" i="41" s="1"/>
  <c r="T184" i="41" s="1"/>
  <c r="U184" i="41" s="1"/>
  <c r="V184" i="41" s="1"/>
  <c r="W184" i="41" s="1"/>
  <c r="X184" i="41" s="1"/>
  <c r="P484" i="41"/>
  <c r="P84" i="41"/>
  <c r="Q84" i="41" s="1"/>
  <c r="R84" i="41" s="1"/>
  <c r="S84" i="41" s="1"/>
  <c r="T84" i="41" s="1"/>
  <c r="U84" i="41" s="1"/>
  <c r="V84" i="41" s="1"/>
  <c r="W84" i="41" s="1"/>
  <c r="X84" i="41" s="1"/>
  <c r="P438" i="41"/>
  <c r="E354" i="41"/>
  <c r="E355" i="41" s="1"/>
  <c r="Q246" i="41"/>
  <c r="H512" i="41"/>
  <c r="H51" i="41"/>
  <c r="P459" i="41"/>
  <c r="D199" i="41"/>
  <c r="D200" i="41"/>
  <c r="D46" i="41" s="1"/>
  <c r="D53" i="41"/>
  <c r="P22" i="41"/>
  <c r="Q21" i="41"/>
  <c r="D512" i="41"/>
  <c r="D51" i="41"/>
  <c r="E371" i="41"/>
  <c r="E372" i="41" s="1"/>
  <c r="J200" i="41"/>
  <c r="G512" i="41"/>
  <c r="G51" i="41"/>
  <c r="J277" i="41"/>
  <c r="I129" i="41"/>
  <c r="I111" i="41"/>
  <c r="G416" i="41"/>
  <c r="F401" i="41"/>
  <c r="F402" i="41"/>
  <c r="G36" i="41"/>
  <c r="G113" i="41"/>
  <c r="G129" i="41" s="1"/>
  <c r="O465" i="41"/>
  <c r="O126" i="41" s="1"/>
  <c r="O124" i="41"/>
  <c r="D332" i="41"/>
  <c r="H129" i="41"/>
  <c r="H111" i="41"/>
  <c r="O150" i="40"/>
  <c r="G367" i="41"/>
  <c r="G368" i="41" s="1"/>
  <c r="P28" i="41"/>
  <c r="Q28" i="41" s="1"/>
  <c r="R28" i="41" s="1"/>
  <c r="S28" i="41" s="1"/>
  <c r="T28" i="41" s="1"/>
  <c r="U28" i="41" s="1"/>
  <c r="V28" i="41" s="1"/>
  <c r="W28" i="41" s="1"/>
  <c r="X28" i="41" s="1"/>
  <c r="I512" i="41"/>
  <c r="I51" i="41"/>
  <c r="P443" i="41"/>
  <c r="R483" i="41"/>
  <c r="I354" i="41"/>
  <c r="I355" i="41" s="1"/>
  <c r="H376" i="41"/>
  <c r="H377" i="41" s="1"/>
  <c r="P530" i="41"/>
  <c r="P464" i="41"/>
  <c r="P532" i="41" s="1"/>
  <c r="Q419" i="41"/>
  <c r="P420" i="41"/>
  <c r="R252" i="41"/>
  <c r="F197" i="41"/>
  <c r="O523" i="41"/>
  <c r="O509" i="41"/>
  <c r="O517" i="41" s="1"/>
  <c r="U97" i="40"/>
  <c r="T97" i="40"/>
  <c r="V97" i="40"/>
  <c r="V496" i="40"/>
  <c r="O468" i="40"/>
  <c r="S97" i="40"/>
  <c r="M332" i="38"/>
  <c r="M98" i="38"/>
  <c r="L497" i="38"/>
  <c r="X496" i="40"/>
  <c r="M497" i="38"/>
  <c r="K98" i="38"/>
  <c r="L35" i="38"/>
  <c r="K497" i="38"/>
  <c r="L332" i="38"/>
  <c r="J98" i="38"/>
  <c r="R496" i="40"/>
  <c r="J497" i="38"/>
  <c r="N98" i="38"/>
  <c r="K35" i="38"/>
  <c r="N497" i="38"/>
  <c r="N197" i="38"/>
  <c r="N53" i="38" s="1"/>
  <c r="L200" i="38"/>
  <c r="J197" i="38"/>
  <c r="J199" i="38" s="1"/>
  <c r="M35" i="38"/>
  <c r="L98" i="38"/>
  <c r="O490" i="40"/>
  <c r="X97" i="38"/>
  <c r="O202" i="38"/>
  <c r="Q268" i="38"/>
  <c r="T97" i="38"/>
  <c r="V97" i="38"/>
  <c r="Q97" i="38"/>
  <c r="P169" i="40"/>
  <c r="Q169" i="40" s="1"/>
  <c r="Q170" i="40" s="1"/>
  <c r="Q173" i="40" s="1"/>
  <c r="P259" i="40"/>
  <c r="P258" i="40"/>
  <c r="P44" i="40"/>
  <c r="Q44" i="40" s="1"/>
  <c r="O469" i="39"/>
  <c r="O119" i="39" s="1"/>
  <c r="P484" i="40"/>
  <c r="Q484" i="40" s="1"/>
  <c r="R484" i="40" s="1"/>
  <c r="S484" i="40" s="1"/>
  <c r="T484" i="40" s="1"/>
  <c r="U484" i="40" s="1"/>
  <c r="V484" i="40" s="1"/>
  <c r="W484" i="40" s="1"/>
  <c r="X484" i="40" s="1"/>
  <c r="P149" i="40"/>
  <c r="Q149" i="40" s="1"/>
  <c r="O89" i="40"/>
  <c r="O160" i="39"/>
  <c r="O161" i="39" s="1"/>
  <c r="O162" i="39"/>
  <c r="O164" i="39" s="1"/>
  <c r="P257" i="40"/>
  <c r="P234" i="39"/>
  <c r="Q234" i="39" s="1"/>
  <c r="R234" i="39" s="1"/>
  <c r="S234" i="39" s="1"/>
  <c r="R97" i="38"/>
  <c r="O97" i="38"/>
  <c r="U97" i="38"/>
  <c r="L277" i="39"/>
  <c r="P256" i="40"/>
  <c r="P28" i="40"/>
  <c r="Q28" i="40" s="1"/>
  <c r="R28" i="40" s="1"/>
  <c r="S28" i="40" s="1"/>
  <c r="T28" i="40" s="1"/>
  <c r="U28" i="40" s="1"/>
  <c r="V28" i="40" s="1"/>
  <c r="W28" i="40" s="1"/>
  <c r="X28" i="40" s="1"/>
  <c r="P188" i="40"/>
  <c r="Q188" i="40" s="1"/>
  <c r="M264" i="40"/>
  <c r="P378" i="40"/>
  <c r="Q378" i="40" s="1"/>
  <c r="R378" i="40" s="1"/>
  <c r="S378" i="40" s="1"/>
  <c r="T378" i="40" s="1"/>
  <c r="U378" i="40" s="1"/>
  <c r="V378" i="40" s="1"/>
  <c r="W378" i="40" s="1"/>
  <c r="X378" i="40" s="1"/>
  <c r="M333" i="40"/>
  <c r="P269" i="40"/>
  <c r="O160" i="40"/>
  <c r="O161" i="40" s="1"/>
  <c r="O163" i="40"/>
  <c r="O444" i="40"/>
  <c r="O115" i="40" s="1"/>
  <c r="O102" i="40" s="1"/>
  <c r="P234" i="40"/>
  <c r="Q234" i="40" s="1"/>
  <c r="R234" i="40" s="1"/>
  <c r="S234" i="40" s="1"/>
  <c r="P146" i="40"/>
  <c r="P147" i="40" s="1"/>
  <c r="P260" i="40"/>
  <c r="M332" i="40"/>
  <c r="N332" i="40"/>
  <c r="P268" i="39"/>
  <c r="S496" i="40"/>
  <c r="U496" i="40"/>
  <c r="W97" i="40"/>
  <c r="P72" i="40"/>
  <c r="Q72" i="40" s="1"/>
  <c r="R72" i="40" s="1"/>
  <c r="S72" i="40" s="1"/>
  <c r="T72" i="40" s="1"/>
  <c r="U72" i="40" s="1"/>
  <c r="V72" i="40" s="1"/>
  <c r="W72" i="40" s="1"/>
  <c r="X72" i="40" s="1"/>
  <c r="W496" i="40"/>
  <c r="P442" i="40"/>
  <c r="Q442" i="40" s="1"/>
  <c r="R442" i="40" s="1"/>
  <c r="S442" i="40" s="1"/>
  <c r="T442" i="40" s="1"/>
  <c r="U442" i="40" s="1"/>
  <c r="V442" i="40" s="1"/>
  <c r="W442" i="40" s="1"/>
  <c r="X442" i="40" s="1"/>
  <c r="N170" i="40"/>
  <c r="N177" i="40" s="1"/>
  <c r="O177" i="40" s="1"/>
  <c r="T496" i="40"/>
  <c r="P184" i="40"/>
  <c r="Q184" i="40" s="1"/>
  <c r="R184" i="40" s="1"/>
  <c r="S184" i="40" s="1"/>
  <c r="T184" i="40" s="1"/>
  <c r="U184" i="40" s="1"/>
  <c r="V184" i="40" s="1"/>
  <c r="W184" i="40" s="1"/>
  <c r="X184" i="40" s="1"/>
  <c r="R97" i="40"/>
  <c r="O170" i="40"/>
  <c r="O173" i="40" s="1"/>
  <c r="F165" i="40"/>
  <c r="K111" i="40"/>
  <c r="K129" i="40"/>
  <c r="I177" i="40"/>
  <c r="I178" i="40" s="1"/>
  <c r="I47" i="40" s="1"/>
  <c r="I173" i="40"/>
  <c r="I179" i="40" s="1"/>
  <c r="D165" i="40"/>
  <c r="D36" i="40"/>
  <c r="D113" i="40"/>
  <c r="M173" i="40"/>
  <c r="M179" i="40" s="1"/>
  <c r="M177" i="40"/>
  <c r="M178" i="40" s="1"/>
  <c r="M47" i="40" s="1"/>
  <c r="L111" i="40"/>
  <c r="M380" i="40"/>
  <c r="M381" i="40" s="1"/>
  <c r="L173" i="40"/>
  <c r="L179" i="40" s="1"/>
  <c r="L177" i="40"/>
  <c r="L178" i="40" s="1"/>
  <c r="L47" i="40" s="1"/>
  <c r="L50" i="40" s="1"/>
  <c r="F46" i="40"/>
  <c r="D380" i="40"/>
  <c r="D381" i="40" s="1"/>
  <c r="I165" i="40"/>
  <c r="I380" i="40"/>
  <c r="I381" i="40" s="1"/>
  <c r="F36" i="40"/>
  <c r="F113" i="40"/>
  <c r="D405" i="40"/>
  <c r="D406" i="40" s="1"/>
  <c r="K173" i="40"/>
  <c r="K179" i="40" s="1"/>
  <c r="K177" i="40"/>
  <c r="K178" i="40" s="1"/>
  <c r="K47" i="40" s="1"/>
  <c r="O202" i="40"/>
  <c r="O203" i="40"/>
  <c r="O444" i="39"/>
  <c r="O115" i="39" s="1"/>
  <c r="O102" i="39" s="1"/>
  <c r="G354" i="40"/>
  <c r="G355" i="40" s="1"/>
  <c r="N354" i="40"/>
  <c r="O354" i="40" s="1"/>
  <c r="D302" i="40"/>
  <c r="D53" i="40" s="1"/>
  <c r="P139" i="40"/>
  <c r="Q139" i="40" s="1"/>
  <c r="P294" i="40"/>
  <c r="Q294" i="40" s="1"/>
  <c r="N367" i="40"/>
  <c r="O367" i="40" s="1"/>
  <c r="L512" i="40"/>
  <c r="L51" i="40"/>
  <c r="K376" i="40"/>
  <c r="K377" i="40" s="1"/>
  <c r="E367" i="40"/>
  <c r="E368" i="40" s="1"/>
  <c r="O118" i="40"/>
  <c r="O271" i="40"/>
  <c r="P190" i="40"/>
  <c r="K367" i="40"/>
  <c r="K368" i="40" s="1"/>
  <c r="J129" i="40"/>
  <c r="J111" i="40"/>
  <c r="G200" i="40"/>
  <c r="G46" i="40" s="1"/>
  <c r="G199" i="40"/>
  <c r="F512" i="40"/>
  <c r="F51" i="40"/>
  <c r="K333" i="40"/>
  <c r="K263" i="40"/>
  <c r="K264" i="40" s="1"/>
  <c r="J276" i="40"/>
  <c r="J277" i="40" s="1"/>
  <c r="O394" i="40"/>
  <c r="O400" i="40"/>
  <c r="L53" i="40"/>
  <c r="Q441" i="40"/>
  <c r="P219" i="40"/>
  <c r="I36" i="40"/>
  <c r="I113" i="40"/>
  <c r="G53" i="40"/>
  <c r="S483" i="40"/>
  <c r="J380" i="40"/>
  <c r="J381" i="40" s="1"/>
  <c r="E199" i="40"/>
  <c r="E200" i="40" s="1"/>
  <c r="E46" i="40" s="1"/>
  <c r="K354" i="40"/>
  <c r="K355" i="40" s="1"/>
  <c r="G177" i="40"/>
  <c r="G178" i="40" s="1"/>
  <c r="G47" i="40" s="1"/>
  <c r="G50" i="40" s="1"/>
  <c r="G173" i="40"/>
  <c r="G179" i="40" s="1"/>
  <c r="I53" i="40"/>
  <c r="F416" i="40"/>
  <c r="E401" i="40"/>
  <c r="E402" i="40"/>
  <c r="K53" i="40"/>
  <c r="P185" i="40"/>
  <c r="Q185" i="40" s="1"/>
  <c r="R185" i="40" s="1"/>
  <c r="S185" i="40" s="1"/>
  <c r="T185" i="40" s="1"/>
  <c r="U185" i="40" s="1"/>
  <c r="V185" i="40" s="1"/>
  <c r="W185" i="40" s="1"/>
  <c r="X185" i="40" s="1"/>
  <c r="N376" i="40"/>
  <c r="O376" i="40" s="1"/>
  <c r="P376" i="40" s="1"/>
  <c r="Q376" i="40" s="1"/>
  <c r="R376" i="40" s="1"/>
  <c r="S376" i="40" s="1"/>
  <c r="T376" i="40" s="1"/>
  <c r="U376" i="40" s="1"/>
  <c r="V376" i="40" s="1"/>
  <c r="W376" i="40" s="1"/>
  <c r="X376" i="40" s="1"/>
  <c r="J512" i="40"/>
  <c r="J51" i="40"/>
  <c r="H177" i="40"/>
  <c r="H178" i="40" s="1"/>
  <c r="H47" i="40" s="1"/>
  <c r="H173" i="40"/>
  <c r="H179" i="40" s="1"/>
  <c r="P270" i="40"/>
  <c r="S216" i="40"/>
  <c r="P420" i="40"/>
  <c r="Q420" i="40" s="1"/>
  <c r="D512" i="40"/>
  <c r="D51" i="40"/>
  <c r="Q391" i="40"/>
  <c r="P393" i="40"/>
  <c r="Q433" i="40"/>
  <c r="L199" i="40"/>
  <c r="L200" i="40" s="1"/>
  <c r="G376" i="40"/>
  <c r="G377" i="40" s="1"/>
  <c r="F177" i="40"/>
  <c r="F178" i="40" s="1"/>
  <c r="F47" i="40" s="1"/>
  <c r="F173" i="40"/>
  <c r="F179" i="40" s="1"/>
  <c r="P154" i="40"/>
  <c r="J53" i="40"/>
  <c r="E376" i="40"/>
  <c r="E377" i="40" s="1"/>
  <c r="P449" i="40"/>
  <c r="Q447" i="40"/>
  <c r="F129" i="40"/>
  <c r="F111" i="40"/>
  <c r="N333" i="40"/>
  <c r="N263" i="40"/>
  <c r="N264" i="40" s="1"/>
  <c r="Q530" i="40"/>
  <c r="Q464" i="40"/>
  <c r="Q532" i="40" s="1"/>
  <c r="R419" i="40"/>
  <c r="E36" i="40"/>
  <c r="E113" i="40"/>
  <c r="E129" i="40" s="1"/>
  <c r="K332" i="39"/>
  <c r="M129" i="40"/>
  <c r="M111" i="40"/>
  <c r="M199" i="40"/>
  <c r="M200" i="40" s="1"/>
  <c r="E332" i="40"/>
  <c r="C196" i="40" a="1"/>
  <c r="C196" i="40" s="1"/>
  <c r="E173" i="40"/>
  <c r="E179" i="40" s="1"/>
  <c r="E177" i="40"/>
  <c r="E178" i="40" s="1"/>
  <c r="E47" i="40" s="1"/>
  <c r="P187" i="40"/>
  <c r="Q187" i="40" s="1"/>
  <c r="I129" i="40"/>
  <c r="I111" i="40"/>
  <c r="F376" i="40"/>
  <c r="F377" i="40" s="1"/>
  <c r="P369" i="40"/>
  <c r="Q369" i="40" s="1"/>
  <c r="R369" i="40" s="1"/>
  <c r="S369" i="40" s="1"/>
  <c r="T369" i="40" s="1"/>
  <c r="U369" i="40" s="1"/>
  <c r="V369" i="40" s="1"/>
  <c r="W369" i="40" s="1"/>
  <c r="X369" i="40" s="1"/>
  <c r="J333" i="40"/>
  <c r="J263" i="40"/>
  <c r="J264" i="40" s="1"/>
  <c r="P438" i="40"/>
  <c r="N36" i="40"/>
  <c r="N113" i="40"/>
  <c r="E354" i="40"/>
  <c r="E355" i="40" s="1"/>
  <c r="P75" i="40"/>
  <c r="G367" i="40"/>
  <c r="G368" i="40" s="1"/>
  <c r="O502" i="40"/>
  <c r="O105" i="40"/>
  <c r="I199" i="40"/>
  <c r="I200" i="40"/>
  <c r="I46" i="40" s="1"/>
  <c r="L333" i="40"/>
  <c r="L263" i="40"/>
  <c r="L264" i="40" s="1"/>
  <c r="I512" i="40"/>
  <c r="I51" i="40"/>
  <c r="O465" i="40"/>
  <c r="O126" i="40" s="1"/>
  <c r="M354" i="40"/>
  <c r="M355" i="40" s="1"/>
  <c r="D354" i="40"/>
  <c r="D355" i="40" s="1"/>
  <c r="D63" i="40" s="1"/>
  <c r="D65" i="40" s="1"/>
  <c r="D66" i="40" s="1"/>
  <c r="H376" i="40"/>
  <c r="H377" i="40" s="1"/>
  <c r="P443" i="40"/>
  <c r="Q443" i="40" s="1"/>
  <c r="R443" i="40" s="1"/>
  <c r="S443" i="40" s="1"/>
  <c r="T443" i="40" s="1"/>
  <c r="U443" i="40" s="1"/>
  <c r="V443" i="40" s="1"/>
  <c r="W443" i="40" s="1"/>
  <c r="X443" i="40" s="1"/>
  <c r="N512" i="40"/>
  <c r="N51" i="40"/>
  <c r="I367" i="40"/>
  <c r="I368" i="40" s="1"/>
  <c r="P84" i="40"/>
  <c r="Q84" i="40" s="1"/>
  <c r="R84" i="40" s="1"/>
  <c r="S84" i="40" s="1"/>
  <c r="T84" i="40" s="1"/>
  <c r="U84" i="40" s="1"/>
  <c r="V84" i="40" s="1"/>
  <c r="W84" i="40" s="1"/>
  <c r="X84" i="40" s="1"/>
  <c r="E111" i="40"/>
  <c r="P424" i="40"/>
  <c r="P125" i="40" s="1"/>
  <c r="N161" i="40"/>
  <c r="R299" i="40"/>
  <c r="S237" i="40"/>
  <c r="R19" i="40"/>
  <c r="S18" i="40"/>
  <c r="M35" i="40"/>
  <c r="K512" i="40"/>
  <c r="K51" i="40"/>
  <c r="M53" i="40"/>
  <c r="H199" i="40"/>
  <c r="H200" i="40" s="1"/>
  <c r="H46" i="40" s="1"/>
  <c r="H53" i="40"/>
  <c r="F354" i="40"/>
  <c r="F355" i="40" s="1"/>
  <c r="W148" i="40"/>
  <c r="V43" i="40"/>
  <c r="P480" i="40"/>
  <c r="P120" i="40" s="1"/>
  <c r="P534" i="40"/>
  <c r="Q478" i="40"/>
  <c r="D46" i="40"/>
  <c r="P186" i="40"/>
  <c r="Q186" i="40" s="1"/>
  <c r="R186" i="40" s="1"/>
  <c r="R252" i="40"/>
  <c r="M276" i="40"/>
  <c r="M277" i="40" s="1"/>
  <c r="S22" i="40"/>
  <c r="T21" i="40"/>
  <c r="Q193" i="40"/>
  <c r="P281" i="40"/>
  <c r="N460" i="40"/>
  <c r="N64" i="40" s="1"/>
  <c r="E512" i="40"/>
  <c r="E51" i="40"/>
  <c r="Q531" i="40"/>
  <c r="R423" i="40"/>
  <c r="J371" i="40"/>
  <c r="J372" i="40" s="1"/>
  <c r="Q475" i="40"/>
  <c r="Q525" i="40"/>
  <c r="R472" i="40"/>
  <c r="N35" i="39"/>
  <c r="P267" i="40"/>
  <c r="H36" i="40"/>
  <c r="H113" i="40"/>
  <c r="H129" i="40" s="1"/>
  <c r="D173" i="40"/>
  <c r="D179" i="40" s="1"/>
  <c r="D177" i="40"/>
  <c r="D178" i="40" s="1"/>
  <c r="D47" i="40" s="1"/>
  <c r="R145" i="40"/>
  <c r="L376" i="40"/>
  <c r="L377" i="40" s="1"/>
  <c r="K199" i="40"/>
  <c r="K200" i="40" s="1"/>
  <c r="M512" i="40"/>
  <c r="M51" i="40"/>
  <c r="D129" i="40"/>
  <c r="D111" i="40"/>
  <c r="O523" i="40"/>
  <c r="I354" i="40"/>
  <c r="I355" i="40" s="1"/>
  <c r="N129" i="40"/>
  <c r="N111" i="40"/>
  <c r="D371" i="40"/>
  <c r="D372" i="40" s="1"/>
  <c r="J177" i="40"/>
  <c r="J178" i="40" s="1"/>
  <c r="J47" i="40" s="1"/>
  <c r="J173" i="40"/>
  <c r="P459" i="40"/>
  <c r="O361" i="40"/>
  <c r="L367" i="40"/>
  <c r="L368" i="40" s="1"/>
  <c r="P322" i="40"/>
  <c r="P118" i="40"/>
  <c r="H371" i="40"/>
  <c r="H372" i="40" s="1"/>
  <c r="G512" i="40"/>
  <c r="G51" i="40"/>
  <c r="N276" i="40"/>
  <c r="N277" i="40" s="1"/>
  <c r="N199" i="40"/>
  <c r="O199" i="40" s="1"/>
  <c r="L276" i="40"/>
  <c r="L277" i="40" s="1"/>
  <c r="E302" i="40"/>
  <c r="E53" i="40" s="1"/>
  <c r="M367" i="40"/>
  <c r="M368" i="40" s="1"/>
  <c r="Q431" i="40"/>
  <c r="P215" i="40"/>
  <c r="F367" i="40"/>
  <c r="F368" i="40" s="1"/>
  <c r="G129" i="40"/>
  <c r="G111" i="40"/>
  <c r="P454" i="40"/>
  <c r="O107" i="40"/>
  <c r="N53" i="40"/>
  <c r="P26" i="40"/>
  <c r="Q25" i="40"/>
  <c r="F53" i="40"/>
  <c r="L354" i="40"/>
  <c r="L355" i="40" s="1"/>
  <c r="P268" i="40"/>
  <c r="O261" i="40"/>
  <c r="P255" i="40"/>
  <c r="O164" i="40"/>
  <c r="P256" i="39"/>
  <c r="Q257" i="38"/>
  <c r="P322" i="39"/>
  <c r="P468" i="39" s="1"/>
  <c r="P259" i="39"/>
  <c r="K302" i="39"/>
  <c r="K53" i="39" s="1"/>
  <c r="P427" i="39"/>
  <c r="Q427" i="39" s="1"/>
  <c r="N111" i="39"/>
  <c r="M165" i="39"/>
  <c r="J36" i="39"/>
  <c r="J113" i="39"/>
  <c r="J129" i="39" s="1"/>
  <c r="H173" i="39"/>
  <c r="H177" i="39"/>
  <c r="H178" i="39" s="1"/>
  <c r="H47" i="39" s="1"/>
  <c r="L177" i="39"/>
  <c r="L178" i="39" s="1"/>
  <c r="L47" i="39" s="1"/>
  <c r="L173" i="39"/>
  <c r="L179" i="39" s="1"/>
  <c r="F177" i="39"/>
  <c r="F178" i="39" s="1"/>
  <c r="F47" i="39" s="1"/>
  <c r="F173" i="39"/>
  <c r="F179" i="39" s="1"/>
  <c r="L371" i="39"/>
  <c r="L372" i="39" s="1"/>
  <c r="G165" i="39"/>
  <c r="M177" i="39"/>
  <c r="M178" i="39" s="1"/>
  <c r="M47" i="39" s="1"/>
  <c r="M173" i="39"/>
  <c r="M179" i="39" s="1"/>
  <c r="F165" i="39"/>
  <c r="E177" i="39"/>
  <c r="E178" i="39" s="1"/>
  <c r="E47" i="39" s="1"/>
  <c r="E173" i="39"/>
  <c r="E179" i="39" s="1"/>
  <c r="M371" i="39"/>
  <c r="M372" i="39" s="1"/>
  <c r="H36" i="39"/>
  <c r="H113" i="39"/>
  <c r="H129" i="39" s="1"/>
  <c r="D405" i="39"/>
  <c r="D406" i="39" s="1"/>
  <c r="I173" i="39"/>
  <c r="I179" i="39" s="1"/>
  <c r="I177" i="39"/>
  <c r="I178" i="39" s="1"/>
  <c r="I47" i="39" s="1"/>
  <c r="D177" i="39"/>
  <c r="D178" i="39" s="1"/>
  <c r="D47" i="39" s="1"/>
  <c r="D173" i="39"/>
  <c r="D179" i="39" s="1"/>
  <c r="D34" i="39" s="1"/>
  <c r="K165" i="39"/>
  <c r="I371" i="39"/>
  <c r="I372" i="39" s="1"/>
  <c r="O465" i="39"/>
  <c r="O126" i="39" s="1"/>
  <c r="O124" i="39"/>
  <c r="J367" i="39"/>
  <c r="J368" i="39" s="1"/>
  <c r="P75" i="39"/>
  <c r="Q259" i="38"/>
  <c r="Q256" i="38"/>
  <c r="H367" i="39"/>
  <c r="H368" i="39" s="1"/>
  <c r="P269" i="39"/>
  <c r="Q18" i="39"/>
  <c r="P19" i="39"/>
  <c r="K36" i="39"/>
  <c r="K113" i="39"/>
  <c r="D200" i="39"/>
  <c r="D46" i="39" s="1"/>
  <c r="D199" i="39"/>
  <c r="D53" i="39"/>
  <c r="D354" i="39"/>
  <c r="D355" i="39" s="1"/>
  <c r="H111" i="39"/>
  <c r="L376" i="39"/>
  <c r="L377" i="39" s="1"/>
  <c r="P281" i="39"/>
  <c r="Q193" i="39"/>
  <c r="Q530" i="39"/>
  <c r="R419" i="39"/>
  <c r="D367" i="39"/>
  <c r="D368" i="39" s="1"/>
  <c r="O502" i="39"/>
  <c r="O105" i="39"/>
  <c r="G173" i="39"/>
  <c r="G179" i="39" s="1"/>
  <c r="G177" i="39"/>
  <c r="G178" i="39" s="1"/>
  <c r="G47" i="39" s="1"/>
  <c r="P369" i="39"/>
  <c r="Q369" i="39" s="1"/>
  <c r="R369" i="39" s="1"/>
  <c r="S369" i="39" s="1"/>
  <c r="T369" i="39" s="1"/>
  <c r="U369" i="39" s="1"/>
  <c r="V369" i="39" s="1"/>
  <c r="W369" i="39" s="1"/>
  <c r="X369" i="39" s="1"/>
  <c r="P270" i="39"/>
  <c r="P431" i="39"/>
  <c r="O215" i="39"/>
  <c r="I36" i="39"/>
  <c r="I113" i="39"/>
  <c r="I129" i="39" s="1"/>
  <c r="O203" i="39"/>
  <c r="O202" i="39"/>
  <c r="G380" i="39"/>
  <c r="G381" i="39" s="1"/>
  <c r="G354" i="39"/>
  <c r="G355" i="39" s="1"/>
  <c r="N276" i="39"/>
  <c r="N277" i="39" s="1"/>
  <c r="F371" i="39"/>
  <c r="F372" i="39" s="1"/>
  <c r="N150" i="39"/>
  <c r="K129" i="39"/>
  <c r="K111" i="39"/>
  <c r="M376" i="39"/>
  <c r="M377" i="39" s="1"/>
  <c r="Q269" i="38"/>
  <c r="H376" i="39"/>
  <c r="H377" i="39" s="1"/>
  <c r="L333" i="39"/>
  <c r="L263" i="39"/>
  <c r="L264" i="39" s="1"/>
  <c r="P257" i="39"/>
  <c r="N346" i="39"/>
  <c r="M333" i="39"/>
  <c r="M263" i="39"/>
  <c r="M264" i="39" s="1"/>
  <c r="H512" i="39"/>
  <c r="H51" i="39"/>
  <c r="P267" i="39"/>
  <c r="P420" i="39"/>
  <c r="Q420" i="39" s="1"/>
  <c r="D376" i="39"/>
  <c r="D377" i="39" s="1"/>
  <c r="J333" i="39"/>
  <c r="J263" i="39"/>
  <c r="J264" i="39" s="1"/>
  <c r="P443" i="39"/>
  <c r="Q443" i="39" s="1"/>
  <c r="R443" i="39" s="1"/>
  <c r="S443" i="39" s="1"/>
  <c r="T443" i="39" s="1"/>
  <c r="U443" i="39" s="1"/>
  <c r="V443" i="39" s="1"/>
  <c r="W443" i="39" s="1"/>
  <c r="X443" i="39" s="1"/>
  <c r="M129" i="39"/>
  <c r="M111" i="39"/>
  <c r="P28" i="39"/>
  <c r="Q28" i="39" s="1"/>
  <c r="R28" i="39" s="1"/>
  <c r="S28" i="39" s="1"/>
  <c r="T28" i="39" s="1"/>
  <c r="U28" i="39" s="1"/>
  <c r="V28" i="39" s="1"/>
  <c r="W28" i="39" s="1"/>
  <c r="X28" i="39" s="1"/>
  <c r="P454" i="39"/>
  <c r="O107" i="39"/>
  <c r="N332" i="39"/>
  <c r="N367" i="39"/>
  <c r="O367" i="39" s="1"/>
  <c r="P299" i="39"/>
  <c r="Q237" i="39"/>
  <c r="P26" i="39"/>
  <c r="Q25" i="39"/>
  <c r="S483" i="39"/>
  <c r="P391" i="39"/>
  <c r="O393" i="39"/>
  <c r="E376" i="39"/>
  <c r="E377" i="39" s="1"/>
  <c r="L53" i="39"/>
  <c r="P438" i="39"/>
  <c r="E354" i="39"/>
  <c r="E355" i="39" s="1"/>
  <c r="O169" i="39"/>
  <c r="F199" i="39"/>
  <c r="F200" i="39"/>
  <c r="F46" i="39" s="1"/>
  <c r="F53" i="39"/>
  <c r="L332" i="39"/>
  <c r="K512" i="39"/>
  <c r="K51" i="39"/>
  <c r="R216" i="39"/>
  <c r="O271" i="39"/>
  <c r="P190" i="39"/>
  <c r="P531" i="39"/>
  <c r="P424" i="39"/>
  <c r="P125" i="39" s="1"/>
  <c r="Q423" i="39"/>
  <c r="D512" i="39"/>
  <c r="D51" i="39"/>
  <c r="M354" i="39"/>
  <c r="M355" i="39" s="1"/>
  <c r="O510" i="39"/>
  <c r="P354" i="39"/>
  <c r="N376" i="39"/>
  <c r="O376" i="39" s="1"/>
  <c r="P376" i="39" s="1"/>
  <c r="Q376" i="39" s="1"/>
  <c r="R376" i="39" s="1"/>
  <c r="S376" i="39" s="1"/>
  <c r="T376" i="39" s="1"/>
  <c r="U376" i="39" s="1"/>
  <c r="V376" i="39" s="1"/>
  <c r="W376" i="39" s="1"/>
  <c r="X376" i="39" s="1"/>
  <c r="P442" i="39"/>
  <c r="Q442" i="39" s="1"/>
  <c r="R442" i="39" s="1"/>
  <c r="S442" i="39" s="1"/>
  <c r="T442" i="39" s="1"/>
  <c r="U442" i="39" s="1"/>
  <c r="V442" i="39" s="1"/>
  <c r="W442" i="39" s="1"/>
  <c r="X442" i="39" s="1"/>
  <c r="Q145" i="39"/>
  <c r="P185" i="39"/>
  <c r="Q185" i="39" s="1"/>
  <c r="R185" i="39" s="1"/>
  <c r="S185" i="39" s="1"/>
  <c r="T185" i="39" s="1"/>
  <c r="U185" i="39" s="1"/>
  <c r="V185" i="39" s="1"/>
  <c r="W185" i="39" s="1"/>
  <c r="X185" i="39" s="1"/>
  <c r="K276" i="39"/>
  <c r="K277" i="39" s="1"/>
  <c r="N512" i="39"/>
  <c r="N51" i="39"/>
  <c r="I46" i="39"/>
  <c r="Q441" i="39"/>
  <c r="P219" i="39"/>
  <c r="J53" i="39"/>
  <c r="R21" i="39"/>
  <c r="Q22" i="39"/>
  <c r="S252" i="39"/>
  <c r="Q433" i="39"/>
  <c r="N177" i="39"/>
  <c r="O177" i="39" s="1"/>
  <c r="P177" i="39" s="1"/>
  <c r="P178" i="39" s="1"/>
  <c r="N173" i="39"/>
  <c r="N179" i="39" s="1"/>
  <c r="P72" i="39"/>
  <c r="Q72" i="39" s="1"/>
  <c r="R72" i="39" s="1"/>
  <c r="S72" i="39" s="1"/>
  <c r="T72" i="39" s="1"/>
  <c r="U72" i="39" s="1"/>
  <c r="V72" i="39" s="1"/>
  <c r="W72" i="39" s="1"/>
  <c r="X72" i="39" s="1"/>
  <c r="G53" i="39"/>
  <c r="P450" i="39"/>
  <c r="J376" i="39"/>
  <c r="J377" i="39" s="1"/>
  <c r="P260" i="39"/>
  <c r="E46" i="39"/>
  <c r="J111" i="39"/>
  <c r="N355" i="39"/>
  <c r="K376" i="39"/>
  <c r="K377" i="39" s="1"/>
  <c r="P149" i="39"/>
  <c r="I380" i="39"/>
  <c r="I381" i="39" s="1"/>
  <c r="M276" i="39"/>
  <c r="M277" i="39" s="1"/>
  <c r="I512" i="39"/>
  <c r="I51" i="39"/>
  <c r="M512" i="39"/>
  <c r="M51" i="39"/>
  <c r="F416" i="39"/>
  <c r="E401" i="39"/>
  <c r="E402" i="39"/>
  <c r="L129" i="39"/>
  <c r="L111" i="39"/>
  <c r="K371" i="39"/>
  <c r="K372" i="39" s="1"/>
  <c r="Q258" i="38"/>
  <c r="P525" i="39"/>
  <c r="P475" i="39"/>
  <c r="Q472" i="39"/>
  <c r="G199" i="39"/>
  <c r="G200" i="39" s="1"/>
  <c r="G46" i="39" s="1"/>
  <c r="N333" i="39"/>
  <c r="N263" i="39"/>
  <c r="P378" i="39"/>
  <c r="Q378" i="39" s="1"/>
  <c r="R378" i="39" s="1"/>
  <c r="S378" i="39" s="1"/>
  <c r="T378" i="39" s="1"/>
  <c r="U378" i="39" s="1"/>
  <c r="V378" i="39" s="1"/>
  <c r="W378" i="39" s="1"/>
  <c r="X378" i="39" s="1"/>
  <c r="J354" i="39"/>
  <c r="J355" i="39" s="1"/>
  <c r="J276" i="39"/>
  <c r="J277" i="39" s="1"/>
  <c r="N161" i="39"/>
  <c r="G129" i="39"/>
  <c r="G111" i="39"/>
  <c r="P459" i="39"/>
  <c r="O361" i="39"/>
  <c r="Q449" i="39"/>
  <c r="Q450" i="39" s="1"/>
  <c r="R447" i="39"/>
  <c r="P184" i="39"/>
  <c r="Q184" i="39" s="1"/>
  <c r="R184" i="39" s="1"/>
  <c r="S184" i="39" s="1"/>
  <c r="T184" i="39" s="1"/>
  <c r="U184" i="39" s="1"/>
  <c r="V184" i="39" s="1"/>
  <c r="W184" i="39" s="1"/>
  <c r="X184" i="39" s="1"/>
  <c r="E512" i="39"/>
  <c r="E51" i="39"/>
  <c r="L512" i="39"/>
  <c r="L51" i="39"/>
  <c r="O118" i="39"/>
  <c r="J512" i="39"/>
  <c r="J51" i="39"/>
  <c r="K177" i="39"/>
  <c r="K178" i="39" s="1"/>
  <c r="K47" i="39" s="1"/>
  <c r="K173" i="39"/>
  <c r="K179" i="39" s="1"/>
  <c r="P84" i="39"/>
  <c r="Q84" i="39" s="1"/>
  <c r="R84" i="39" s="1"/>
  <c r="S84" i="39" s="1"/>
  <c r="T84" i="39" s="1"/>
  <c r="U84" i="39" s="1"/>
  <c r="V84" i="39" s="1"/>
  <c r="W84" i="39" s="1"/>
  <c r="X84" i="39" s="1"/>
  <c r="Q270" i="38"/>
  <c r="K354" i="39"/>
  <c r="K355" i="39" s="1"/>
  <c r="L354" i="39"/>
  <c r="L355" i="39" s="1"/>
  <c r="J177" i="39"/>
  <c r="J178" i="39" s="1"/>
  <c r="J47" i="39" s="1"/>
  <c r="J173" i="39"/>
  <c r="J179" i="39" s="1"/>
  <c r="O294" i="39"/>
  <c r="P294" i="39" s="1"/>
  <c r="O44" i="39"/>
  <c r="P44" i="39" s="1"/>
  <c r="O188" i="39"/>
  <c r="P188" i="39" s="1"/>
  <c r="O146" i="39"/>
  <c r="O139" i="39"/>
  <c r="P139" i="39" s="1"/>
  <c r="O186" i="39"/>
  <c r="P186" i="39" s="1"/>
  <c r="O154" i="39"/>
  <c r="O187" i="39"/>
  <c r="P187" i="39" s="1"/>
  <c r="E367" i="39"/>
  <c r="E368" i="39" s="1"/>
  <c r="P255" i="39"/>
  <c r="O261" i="39"/>
  <c r="H53" i="39"/>
  <c r="P534" i="39"/>
  <c r="Q478" i="39"/>
  <c r="P480" i="39"/>
  <c r="P120" i="39" s="1"/>
  <c r="F376" i="39"/>
  <c r="F377" i="39" s="1"/>
  <c r="G512" i="39"/>
  <c r="G51" i="39"/>
  <c r="M53" i="39"/>
  <c r="G367" i="39"/>
  <c r="G368" i="39" s="1"/>
  <c r="P258" i="39"/>
  <c r="K333" i="39"/>
  <c r="K263" i="39"/>
  <c r="K264" i="39" s="1"/>
  <c r="P484" i="39"/>
  <c r="C196" i="39" a="1"/>
  <c r="C196" i="39" s="1"/>
  <c r="H199" i="39"/>
  <c r="H200" i="39" s="1"/>
  <c r="H46" i="39" s="1"/>
  <c r="N170" i="38"/>
  <c r="N177" i="38" s="1"/>
  <c r="O177" i="38" s="1"/>
  <c r="P177" i="38" s="1"/>
  <c r="P120" i="38"/>
  <c r="G36" i="38"/>
  <c r="G113" i="38"/>
  <c r="G129" i="38" s="1"/>
  <c r="I380" i="38"/>
  <c r="I381" i="38" s="1"/>
  <c r="M177" i="38"/>
  <c r="M178" i="38" s="1"/>
  <c r="M47" i="38" s="1"/>
  <c r="M173" i="38"/>
  <c r="M179" i="38" s="1"/>
  <c r="L165" i="38"/>
  <c r="K165" i="38"/>
  <c r="J177" i="38"/>
  <c r="J178" i="38" s="1"/>
  <c r="J47" i="38" s="1"/>
  <c r="J173" i="38"/>
  <c r="J179" i="38" s="1"/>
  <c r="I36" i="38"/>
  <c r="I113" i="38"/>
  <c r="I129" i="38" s="1"/>
  <c r="J165" i="38"/>
  <c r="J380" i="38"/>
  <c r="J381" i="38" s="1"/>
  <c r="F177" i="38"/>
  <c r="F178" i="38" s="1"/>
  <c r="F47" i="38" s="1"/>
  <c r="F173" i="38"/>
  <c r="F179" i="38" s="1"/>
  <c r="H173" i="38"/>
  <c r="H179" i="38" s="1"/>
  <c r="H177" i="38"/>
  <c r="H178" i="38" s="1"/>
  <c r="H47" i="38" s="1"/>
  <c r="D36" i="38"/>
  <c r="D113" i="38"/>
  <c r="D129" i="38" s="1"/>
  <c r="M165" i="38"/>
  <c r="E177" i="38"/>
  <c r="E178" i="38" s="1"/>
  <c r="E47" i="38" s="1"/>
  <c r="E173" i="38"/>
  <c r="E179" i="38" s="1"/>
  <c r="H165" i="38"/>
  <c r="Q441" i="38"/>
  <c r="P219" i="38"/>
  <c r="K367" i="38"/>
  <c r="K368" i="38" s="1"/>
  <c r="N354" i="38"/>
  <c r="O354" i="38" s="1"/>
  <c r="K53" i="38"/>
  <c r="G46" i="38"/>
  <c r="F53" i="38"/>
  <c r="Q475" i="38"/>
  <c r="Q525" i="38"/>
  <c r="R472" i="38"/>
  <c r="P139" i="38"/>
  <c r="G376" i="38"/>
  <c r="G377" i="38" s="1"/>
  <c r="G53" i="38"/>
  <c r="K276" i="38"/>
  <c r="P169" i="38"/>
  <c r="H111" i="38"/>
  <c r="H129" i="38"/>
  <c r="P294" i="38"/>
  <c r="Q260" i="38"/>
  <c r="P187" i="38"/>
  <c r="G416" i="38"/>
  <c r="F401" i="38"/>
  <c r="F402" i="38"/>
  <c r="M354" i="38"/>
  <c r="M355" i="38" s="1"/>
  <c r="G111" i="38"/>
  <c r="N367" i="38"/>
  <c r="O367" i="38" s="1"/>
  <c r="L177" i="38"/>
  <c r="L178" i="38" s="1"/>
  <c r="L47" i="38" s="1"/>
  <c r="L173" i="38"/>
  <c r="L179" i="38" s="1"/>
  <c r="H53" i="38"/>
  <c r="E354" i="38"/>
  <c r="E355" i="38" s="1"/>
  <c r="E46" i="38"/>
  <c r="F111" i="38"/>
  <c r="O118" i="38"/>
  <c r="K177" i="38"/>
  <c r="K178" i="38" s="1"/>
  <c r="K47" i="38" s="1"/>
  <c r="K173" i="38"/>
  <c r="K179" i="38" s="1"/>
  <c r="F36" i="38"/>
  <c r="F113" i="38"/>
  <c r="F129" i="38" s="1"/>
  <c r="G512" i="38"/>
  <c r="G51" i="38"/>
  <c r="P459" i="38"/>
  <c r="O361" i="38"/>
  <c r="D354" i="38"/>
  <c r="D355" i="38" s="1"/>
  <c r="N161" i="38"/>
  <c r="F46" i="38"/>
  <c r="N333" i="38"/>
  <c r="N263" i="38"/>
  <c r="J333" i="38"/>
  <c r="J263" i="38"/>
  <c r="H512" i="38"/>
  <c r="H51" i="38"/>
  <c r="N332" i="38"/>
  <c r="E53" i="38"/>
  <c r="P118" i="38"/>
  <c r="Q145" i="38"/>
  <c r="F371" i="38"/>
  <c r="F372" i="38" s="1"/>
  <c r="N36" i="38"/>
  <c r="N113" i="38"/>
  <c r="R449" i="38"/>
  <c r="R450" i="38" s="1"/>
  <c r="S447" i="38"/>
  <c r="F354" i="38"/>
  <c r="F355" i="38" s="1"/>
  <c r="D405" i="38"/>
  <c r="D406" i="38" s="1"/>
  <c r="G173" i="38"/>
  <c r="G179" i="38" s="1"/>
  <c r="G177" i="38"/>
  <c r="G178" i="38" s="1"/>
  <c r="G47" i="38" s="1"/>
  <c r="G50" i="38" s="1"/>
  <c r="M276" i="38"/>
  <c r="P431" i="38"/>
  <c r="O215" i="38"/>
  <c r="M371" i="38"/>
  <c r="M372" i="38" s="1"/>
  <c r="L276" i="38"/>
  <c r="P146" i="38"/>
  <c r="P147" i="38" s="1"/>
  <c r="F512" i="38"/>
  <c r="F51" i="38"/>
  <c r="P267" i="38"/>
  <c r="S216" i="38"/>
  <c r="N460" i="38"/>
  <c r="N64" i="38" s="1"/>
  <c r="R18" i="38"/>
  <c r="Q19" i="38"/>
  <c r="P255" i="38"/>
  <c r="O261" i="38"/>
  <c r="D177" i="38"/>
  <c r="D178" i="38" s="1"/>
  <c r="D47" i="38" s="1"/>
  <c r="D173" i="38"/>
  <c r="D179" i="38" s="1"/>
  <c r="N35" i="38"/>
  <c r="E129" i="38"/>
  <c r="E111" i="38"/>
  <c r="Q531" i="38"/>
  <c r="R423" i="38"/>
  <c r="O164" i="38"/>
  <c r="D376" i="38"/>
  <c r="D377" i="38" s="1"/>
  <c r="J276" i="38"/>
  <c r="Q433" i="38"/>
  <c r="D199" i="38"/>
  <c r="D200" i="38" s="1"/>
  <c r="D46" i="38" s="1"/>
  <c r="D53" i="38"/>
  <c r="N276" i="38"/>
  <c r="M53" i="38"/>
  <c r="P154" i="38"/>
  <c r="Q480" i="38"/>
  <c r="Q120" i="38" s="1"/>
  <c r="Q534" i="38"/>
  <c r="R478" i="38"/>
  <c r="P281" i="38"/>
  <c r="Q193" i="38"/>
  <c r="Q26" i="38"/>
  <c r="R25" i="38"/>
  <c r="I173" i="38"/>
  <c r="I179" i="38" s="1"/>
  <c r="I177" i="38"/>
  <c r="I178" i="38" s="1"/>
  <c r="I47" i="38" s="1"/>
  <c r="M199" i="38"/>
  <c r="O509" i="38"/>
  <c r="O517" i="38" s="1"/>
  <c r="N376" i="38"/>
  <c r="O376" i="38" s="1"/>
  <c r="P376" i="38" s="1"/>
  <c r="Q376" i="38" s="1"/>
  <c r="R376" i="38" s="1"/>
  <c r="S376" i="38" s="1"/>
  <c r="T376" i="38" s="1"/>
  <c r="U376" i="38" s="1"/>
  <c r="V376" i="38" s="1"/>
  <c r="W376" i="38" s="1"/>
  <c r="X376" i="38" s="1"/>
  <c r="E512" i="38"/>
  <c r="E51" i="38"/>
  <c r="F376" i="38"/>
  <c r="F377" i="38" s="1"/>
  <c r="H371" i="38"/>
  <c r="H372" i="38" s="1"/>
  <c r="M333" i="38"/>
  <c r="M263" i="38"/>
  <c r="P188" i="38"/>
  <c r="I46" i="38"/>
  <c r="Q427" i="38"/>
  <c r="K376" i="38"/>
  <c r="K377" i="38" s="1"/>
  <c r="L36" i="38"/>
  <c r="L113" i="38"/>
  <c r="K333" i="38"/>
  <c r="K263" i="38"/>
  <c r="H46" i="38"/>
  <c r="M376" i="38"/>
  <c r="M377" i="38" s="1"/>
  <c r="J35" i="38"/>
  <c r="E376" i="38"/>
  <c r="E377" i="38" s="1"/>
  <c r="L380" i="38"/>
  <c r="L381" i="38" s="1"/>
  <c r="D371" i="38"/>
  <c r="D372" i="38" s="1"/>
  <c r="O394" i="38"/>
  <c r="O400" i="38"/>
  <c r="L333" i="38"/>
  <c r="L263" i="38"/>
  <c r="L53" i="38"/>
  <c r="G367" i="38"/>
  <c r="G368" i="38" s="1"/>
  <c r="P299" i="38"/>
  <c r="Q237" i="38"/>
  <c r="O205" i="38"/>
  <c r="Q483" i="38"/>
  <c r="R252" i="38"/>
  <c r="H376" i="38"/>
  <c r="H377" i="38" s="1"/>
  <c r="Q391" i="38"/>
  <c r="P393" i="38"/>
  <c r="L367" i="38"/>
  <c r="L368" i="38" s="1"/>
  <c r="Q530" i="38"/>
  <c r="Q464" i="38"/>
  <c r="Q532" i="38" s="1"/>
  <c r="R419" i="38"/>
  <c r="O450" i="38"/>
  <c r="Q450" i="38"/>
  <c r="P450" i="38"/>
  <c r="K199" i="38"/>
  <c r="J367" i="38"/>
  <c r="J368" i="38" s="1"/>
  <c r="I367" i="38"/>
  <c r="I368" i="38" s="1"/>
  <c r="J332" i="38"/>
  <c r="C196" i="38" a="1"/>
  <c r="C196" i="38" s="1"/>
  <c r="E367" i="38"/>
  <c r="E368" i="38" s="1"/>
  <c r="K332" i="38"/>
  <c r="P149" i="38"/>
  <c r="T245" i="36"/>
  <c r="K199" i="36"/>
  <c r="K200" i="36" s="1"/>
  <c r="P267" i="36"/>
  <c r="S245" i="36"/>
  <c r="U245" i="36"/>
  <c r="X245" i="36"/>
  <c r="V245" i="36"/>
  <c r="W245" i="36"/>
  <c r="X30" i="36"/>
  <c r="X234" i="36" s="1"/>
  <c r="W234" i="36"/>
  <c r="P449" i="36"/>
  <c r="O369" i="36"/>
  <c r="O438" i="36"/>
  <c r="O72" i="36"/>
  <c r="O378" i="36"/>
  <c r="N345" i="36"/>
  <c r="N346" i="36" s="1"/>
  <c r="P281" i="36"/>
  <c r="Q193" i="36"/>
  <c r="F376" i="36"/>
  <c r="F377" i="36" s="1"/>
  <c r="I496" i="36"/>
  <c r="I497" i="36" s="1"/>
  <c r="I504" i="36" s="1"/>
  <c r="I97" i="36"/>
  <c r="I98" i="36" s="1"/>
  <c r="I99" i="36" s="1"/>
  <c r="I111" i="36" s="1"/>
  <c r="I48" i="36"/>
  <c r="E48" i="36"/>
  <c r="E97" i="36"/>
  <c r="E98" i="36" s="1"/>
  <c r="E99" i="36" s="1"/>
  <c r="E111" i="36" s="1"/>
  <c r="E196" i="36"/>
  <c r="E191" i="36"/>
  <c r="E194" i="36" s="1"/>
  <c r="E35" i="36" s="1"/>
  <c r="H113" i="36"/>
  <c r="O75" i="36"/>
  <c r="O84" i="36"/>
  <c r="O28" i="36"/>
  <c r="O484" i="36"/>
  <c r="O485" i="36" s="1"/>
  <c r="O424" i="36"/>
  <c r="O125" i="36" s="1"/>
  <c r="O322" i="36"/>
  <c r="O468" i="36" s="1"/>
  <c r="O443" i="36"/>
  <c r="O163" i="36"/>
  <c r="O496" i="36"/>
  <c r="O442" i="36"/>
  <c r="N48" i="36"/>
  <c r="K36" i="36"/>
  <c r="K113" i="36"/>
  <c r="J345" i="36"/>
  <c r="J346" i="36" s="1"/>
  <c r="I149" i="36"/>
  <c r="I150" i="36" s="1"/>
  <c r="E512" i="36"/>
  <c r="E51" i="36"/>
  <c r="G36" i="36"/>
  <c r="G113" i="36"/>
  <c r="G129" i="36" s="1"/>
  <c r="G367" i="36"/>
  <c r="G368" i="36" s="1"/>
  <c r="E345" i="36"/>
  <c r="E346" i="36" s="1"/>
  <c r="L36" i="36"/>
  <c r="L113" i="36"/>
  <c r="E367" i="36"/>
  <c r="E368" i="36" s="1"/>
  <c r="F149" i="36"/>
  <c r="F150" i="36" s="1"/>
  <c r="Q525" i="36"/>
  <c r="Q475" i="36"/>
  <c r="L361" i="36"/>
  <c r="L362" i="36" s="1"/>
  <c r="G504" i="36"/>
  <c r="N191" i="36"/>
  <c r="N194" i="36" s="1"/>
  <c r="N35" i="36" s="1"/>
  <c r="N197" i="36"/>
  <c r="I301" i="36"/>
  <c r="C301" i="36" s="1" a="1"/>
  <c r="C301" i="36" s="1"/>
  <c r="H496" i="36"/>
  <c r="H497" i="36" s="1"/>
  <c r="H504" i="36" s="1"/>
  <c r="H97" i="36"/>
  <c r="H98" i="36" s="1"/>
  <c r="H99" i="36" s="1"/>
  <c r="H48" i="36"/>
  <c r="N361" i="36"/>
  <c r="N362" i="36" s="1"/>
  <c r="S252" i="36"/>
  <c r="D361" i="36"/>
  <c r="D362" i="36" s="1"/>
  <c r="G111" i="36"/>
  <c r="O431" i="36"/>
  <c r="P431" i="36" s="1"/>
  <c r="Q431" i="36" s="1"/>
  <c r="R431" i="36" s="1"/>
  <c r="S431" i="36" s="1"/>
  <c r="T431" i="36" s="1"/>
  <c r="U431" i="36" s="1"/>
  <c r="V431" i="36" s="1"/>
  <c r="W431" i="36" s="1"/>
  <c r="X431" i="36" s="1"/>
  <c r="G169" i="36"/>
  <c r="G170" i="36" s="1"/>
  <c r="X176" i="36"/>
  <c r="L496" i="36"/>
  <c r="L97" i="36"/>
  <c r="M496" i="36"/>
  <c r="M97" i="36"/>
  <c r="M261" i="36"/>
  <c r="J226" i="36"/>
  <c r="J48" i="36"/>
  <c r="N261" i="36"/>
  <c r="M226" i="36"/>
  <c r="M48" i="36"/>
  <c r="O530" i="36"/>
  <c r="O464" i="36"/>
  <c r="O532" i="36" s="1"/>
  <c r="P419" i="36"/>
  <c r="O420" i="36"/>
  <c r="N57" i="36"/>
  <c r="L459" i="36"/>
  <c r="L460" i="36" s="1"/>
  <c r="L64" i="36" s="1"/>
  <c r="N296" i="36"/>
  <c r="L149" i="36"/>
  <c r="L150" i="36" s="1"/>
  <c r="H302" i="36"/>
  <c r="E276" i="36"/>
  <c r="E277" i="36" s="1"/>
  <c r="F191" i="36"/>
  <c r="F194" i="36" s="1"/>
  <c r="F35" i="36" s="1"/>
  <c r="F196" i="36"/>
  <c r="F361" i="36"/>
  <c r="F362" i="36" s="1"/>
  <c r="M361" i="36"/>
  <c r="M362" i="36" s="1"/>
  <c r="F113" i="36"/>
  <c r="F129" i="36" s="1"/>
  <c r="N496" i="36"/>
  <c r="N97" i="36"/>
  <c r="D169" i="36"/>
  <c r="D170" i="36" s="1"/>
  <c r="E176" i="36"/>
  <c r="E160" i="36"/>
  <c r="E161" i="36" s="1"/>
  <c r="E165" i="36" s="1"/>
  <c r="J274" i="36"/>
  <c r="O525" i="36"/>
  <c r="O475" i="36"/>
  <c r="F416" i="36"/>
  <c r="E401" i="36"/>
  <c r="F276" i="36"/>
  <c r="F277" i="36" s="1"/>
  <c r="D459" i="36"/>
  <c r="D460" i="36" s="1"/>
  <c r="D64" i="36" s="1"/>
  <c r="Q531" i="36"/>
  <c r="R423" i="36"/>
  <c r="G459" i="36"/>
  <c r="G460" i="36" s="1"/>
  <c r="G64" i="36" s="1"/>
  <c r="D149" i="36"/>
  <c r="D150" i="36" s="1"/>
  <c r="H199" i="36"/>
  <c r="H200" i="36" s="1"/>
  <c r="G361" i="36"/>
  <c r="G362" i="36" s="1"/>
  <c r="I199" i="36"/>
  <c r="I200" i="36" s="1"/>
  <c r="F111" i="36"/>
  <c r="G35" i="36"/>
  <c r="N176" i="36"/>
  <c r="N160" i="36"/>
  <c r="K160" i="36"/>
  <c r="K161" i="36" s="1"/>
  <c r="K176" i="36"/>
  <c r="R176" i="36"/>
  <c r="L169" i="36"/>
  <c r="L170" i="36" s="1"/>
  <c r="M176" i="36"/>
  <c r="M160" i="36"/>
  <c r="M161" i="36" s="1"/>
  <c r="M165" i="36" s="1"/>
  <c r="J496" i="36"/>
  <c r="J97" i="36"/>
  <c r="J502" i="36"/>
  <c r="J503" i="36" s="1"/>
  <c r="J106" i="36"/>
  <c r="K502" i="36"/>
  <c r="K503" i="36" s="1"/>
  <c r="K106" i="36"/>
  <c r="O449" i="36"/>
  <c r="O427" i="36"/>
  <c r="P427" i="36" s="1"/>
  <c r="E149" i="36"/>
  <c r="E150" i="36" s="1"/>
  <c r="L226" i="36"/>
  <c r="L48" i="36"/>
  <c r="I354" i="36"/>
  <c r="I355" i="36" s="1"/>
  <c r="M502" i="36"/>
  <c r="M503" i="36" s="1"/>
  <c r="M106" i="36"/>
  <c r="I459" i="36"/>
  <c r="I460" i="36" s="1"/>
  <c r="I64" i="36" s="1"/>
  <c r="N459" i="36"/>
  <c r="O459" i="36" s="1"/>
  <c r="N324" i="36"/>
  <c r="E333" i="36"/>
  <c r="E263" i="36"/>
  <c r="E264" i="36" s="1"/>
  <c r="I35" i="36"/>
  <c r="N147" i="36"/>
  <c r="E361" i="36"/>
  <c r="E362" i="36" s="1"/>
  <c r="F169" i="36"/>
  <c r="F170" i="36" s="1"/>
  <c r="N169" i="36"/>
  <c r="D176" i="36"/>
  <c r="D160" i="36"/>
  <c r="D161" i="36" s="1"/>
  <c r="U176" i="36"/>
  <c r="G160" i="36"/>
  <c r="G161" i="36" s="1"/>
  <c r="G165" i="36" s="1"/>
  <c r="G176" i="36"/>
  <c r="N274" i="36"/>
  <c r="L261" i="36"/>
  <c r="M345" i="36"/>
  <c r="M346" i="36" s="1"/>
  <c r="H149" i="36"/>
  <c r="H150" i="36" s="1"/>
  <c r="K361" i="36"/>
  <c r="K362" i="36" s="1"/>
  <c r="S176" i="36"/>
  <c r="P176" i="36"/>
  <c r="M169" i="36"/>
  <c r="M170" i="36" s="1"/>
  <c r="P525" i="36"/>
  <c r="P475" i="36"/>
  <c r="K459" i="36"/>
  <c r="K460" i="36" s="1"/>
  <c r="K64" i="36" s="1"/>
  <c r="E391" i="36"/>
  <c r="F391" i="36" s="1"/>
  <c r="G391" i="36" s="1"/>
  <c r="H391" i="36" s="1"/>
  <c r="I391" i="36" s="1"/>
  <c r="J391" i="36" s="1"/>
  <c r="K391" i="36" s="1"/>
  <c r="L391" i="36" s="1"/>
  <c r="M391" i="36" s="1"/>
  <c r="N391" i="36" s="1"/>
  <c r="O391" i="36" s="1"/>
  <c r="O393" i="36" s="1"/>
  <c r="F459" i="36"/>
  <c r="F460" i="36" s="1"/>
  <c r="F64" i="36" s="1"/>
  <c r="D276" i="36"/>
  <c r="D277" i="36" s="1"/>
  <c r="Q216" i="36"/>
  <c r="L191" i="36"/>
  <c r="L194" i="36" s="1"/>
  <c r="G149" i="36"/>
  <c r="G150" i="36" s="1"/>
  <c r="H35" i="36"/>
  <c r="M141" i="36"/>
  <c r="M142" i="36" s="1"/>
  <c r="D403" i="36"/>
  <c r="P145" i="36"/>
  <c r="H361" i="36"/>
  <c r="H362" i="36" s="1"/>
  <c r="V176" i="36"/>
  <c r="F176" i="36"/>
  <c r="F160" i="36"/>
  <c r="F161" i="36" s="1"/>
  <c r="F165" i="36" s="1"/>
  <c r="I176" i="36"/>
  <c r="I160" i="36"/>
  <c r="I161" i="36" s="1"/>
  <c r="I165" i="36" s="1"/>
  <c r="L176" i="36"/>
  <c r="L160" i="36"/>
  <c r="L161" i="36" s="1"/>
  <c r="I169" i="36"/>
  <c r="I170" i="36" s="1"/>
  <c r="O176" i="36"/>
  <c r="K274" i="36"/>
  <c r="L274" i="36"/>
  <c r="K226" i="36"/>
  <c r="K48" i="36"/>
  <c r="L502" i="36"/>
  <c r="L503" i="36" s="1"/>
  <c r="L106" i="36"/>
  <c r="F512" i="36"/>
  <c r="F51" i="36"/>
  <c r="I345" i="36"/>
  <c r="I346" i="36" s="1"/>
  <c r="P441" i="36"/>
  <c r="P219" i="36" s="1"/>
  <c r="O480" i="36"/>
  <c r="O120" i="36" s="1"/>
  <c r="P478" i="36"/>
  <c r="O534" i="36"/>
  <c r="M459" i="36"/>
  <c r="M460" i="36" s="1"/>
  <c r="M64" i="36" s="1"/>
  <c r="N485" i="36"/>
  <c r="I276" i="36"/>
  <c r="I277" i="36" s="1"/>
  <c r="D196" i="36"/>
  <c r="D332" i="36" s="1"/>
  <c r="D191" i="36"/>
  <c r="D194" i="36" s="1"/>
  <c r="D35" i="36" s="1"/>
  <c r="N141" i="36"/>
  <c r="N142" i="36" s="1"/>
  <c r="E402" i="36"/>
  <c r="E141" i="36"/>
  <c r="E142" i="36" s="1"/>
  <c r="O26" i="36"/>
  <c r="M149" i="36"/>
  <c r="M150" i="36" s="1"/>
  <c r="N284" i="36"/>
  <c r="J176" i="36"/>
  <c r="J160" i="36"/>
  <c r="J161" i="36" s="1"/>
  <c r="J165" i="36" s="1"/>
  <c r="J169" i="36"/>
  <c r="J170" i="36" s="1"/>
  <c r="Q176" i="36"/>
  <c r="T176" i="36"/>
  <c r="J261" i="36"/>
  <c r="W176" i="36"/>
  <c r="O299" i="36"/>
  <c r="N502" i="36"/>
  <c r="N503" i="36" s="1"/>
  <c r="N106" i="36"/>
  <c r="O107" i="36"/>
  <c r="D512" i="36"/>
  <c r="D51" i="36"/>
  <c r="H459" i="36"/>
  <c r="H460" i="36" s="1"/>
  <c r="H64" i="36" s="1"/>
  <c r="E459" i="36"/>
  <c r="E460" i="36" s="1"/>
  <c r="E64" i="36" s="1"/>
  <c r="J459" i="36"/>
  <c r="J460" i="36" s="1"/>
  <c r="J64" i="36" s="1"/>
  <c r="G276" i="36"/>
  <c r="G277" i="36" s="1"/>
  <c r="I361" i="36"/>
  <c r="I362" i="36" s="1"/>
  <c r="J191" i="36"/>
  <c r="J194" i="36" s="1"/>
  <c r="F141" i="36"/>
  <c r="F142" i="36" s="1"/>
  <c r="J361" i="36"/>
  <c r="J362" i="36" s="1"/>
  <c r="G141" i="36"/>
  <c r="G142" i="36" s="1"/>
  <c r="D113" i="36"/>
  <c r="D129" i="36" s="1"/>
  <c r="H160" i="36"/>
  <c r="H161" i="36" s="1"/>
  <c r="H176" i="36"/>
  <c r="P299" i="36"/>
  <c r="E169" i="36"/>
  <c r="E170" i="36" s="1"/>
  <c r="H169" i="36"/>
  <c r="H170" i="36" s="1"/>
  <c r="K261" i="36"/>
  <c r="K169" i="36"/>
  <c r="K170" i="36" s="1"/>
  <c r="K496" i="36"/>
  <c r="K97" i="36"/>
  <c r="M274" i="36"/>
  <c r="N53" i="39" l="1"/>
  <c r="R44" i="40"/>
  <c r="R188" i="40"/>
  <c r="Q149" i="38"/>
  <c r="Q188" i="38"/>
  <c r="Q177" i="38"/>
  <c r="Q178" i="38" s="1"/>
  <c r="G53" i="36"/>
  <c r="G332" i="36"/>
  <c r="P498" i="41"/>
  <c r="Q294" i="41"/>
  <c r="C196" i="36" a="1"/>
  <c r="C196" i="36" s="1"/>
  <c r="I302" i="36"/>
  <c r="I53" i="36" s="1"/>
  <c r="Q44" i="38"/>
  <c r="I332" i="36"/>
  <c r="C141" i="36" a="1"/>
  <c r="C141" i="36" s="1"/>
  <c r="E403" i="36"/>
  <c r="E405" i="36" s="1"/>
  <c r="E406" i="36" s="1"/>
  <c r="Q22" i="38"/>
  <c r="R21" i="38"/>
  <c r="O400" i="36"/>
  <c r="F403" i="41"/>
  <c r="F63" i="41" s="1"/>
  <c r="F65" i="41" s="1"/>
  <c r="F66" i="41" s="1"/>
  <c r="Q186" i="41"/>
  <c r="P315" i="41"/>
  <c r="Q315" i="41" s="1"/>
  <c r="Q288" i="41"/>
  <c r="R288" i="41" s="1"/>
  <c r="Q318" i="41"/>
  <c r="Q319" i="41" s="1"/>
  <c r="O199" i="41"/>
  <c r="P199" i="41" s="1"/>
  <c r="Q199" i="41" s="1"/>
  <c r="R199" i="41" s="1"/>
  <c r="S199" i="41" s="1"/>
  <c r="T199" i="41" s="1"/>
  <c r="U199" i="41" s="1"/>
  <c r="V199" i="41" s="1"/>
  <c r="W199" i="41" s="1"/>
  <c r="X199" i="41" s="1"/>
  <c r="N264" i="41"/>
  <c r="N277" i="41"/>
  <c r="P498" i="40"/>
  <c r="O276" i="41"/>
  <c r="P276" i="41" s="1"/>
  <c r="N200" i="41"/>
  <c r="P162" i="38"/>
  <c r="Q162" i="38" s="1"/>
  <c r="R162" i="38" s="1"/>
  <c r="S162" i="38" s="1"/>
  <c r="T162" i="38" s="1"/>
  <c r="U162" i="38" s="1"/>
  <c r="V162" i="38" s="1"/>
  <c r="W162" i="38" s="1"/>
  <c r="X162" i="38" s="1"/>
  <c r="P163" i="38"/>
  <c r="Q163" i="38" s="1"/>
  <c r="R163" i="38" s="1"/>
  <c r="S163" i="38" s="1"/>
  <c r="T163" i="38" s="1"/>
  <c r="U163" i="38" s="1"/>
  <c r="V163" i="38" s="1"/>
  <c r="W163" i="38" s="1"/>
  <c r="X163" i="38" s="1"/>
  <c r="P160" i="38"/>
  <c r="Q160" i="38" s="1"/>
  <c r="O161" i="38"/>
  <c r="O165" i="38" s="1"/>
  <c r="P485" i="38"/>
  <c r="P486" i="38" s="1"/>
  <c r="Q420" i="38"/>
  <c r="R420" i="38" s="1"/>
  <c r="Q454" i="38"/>
  <c r="Q107" i="38" s="1"/>
  <c r="Q322" i="38"/>
  <c r="R322" i="38" s="1"/>
  <c r="Q424" i="38"/>
  <c r="Q125" i="38" s="1"/>
  <c r="P468" i="38"/>
  <c r="P202" i="38"/>
  <c r="Q202" i="38" s="1"/>
  <c r="P465" i="38"/>
  <c r="P126" i="38" s="1"/>
  <c r="P444" i="38"/>
  <c r="P115" i="38" s="1"/>
  <c r="P102" i="38" s="1"/>
  <c r="H34" i="41"/>
  <c r="H41" i="41" s="1"/>
  <c r="G34" i="41"/>
  <c r="G41" i="41" s="1"/>
  <c r="Q190" i="38"/>
  <c r="R190" i="38" s="1"/>
  <c r="Q427" i="41"/>
  <c r="Q498" i="41" s="1"/>
  <c r="Q186" i="38"/>
  <c r="P303" i="41"/>
  <c r="P336" i="41" s="1"/>
  <c r="P324" i="41"/>
  <c r="P325" i="41" s="1"/>
  <c r="P469" i="41"/>
  <c r="P119" i="41" s="1"/>
  <c r="P275" i="41"/>
  <c r="Q146" i="41"/>
  <c r="Q147" i="41" s="1"/>
  <c r="Q150" i="41" s="1"/>
  <c r="P147" i="41"/>
  <c r="P150" i="41" s="1"/>
  <c r="Q322" i="41"/>
  <c r="R322" i="41" s="1"/>
  <c r="D34" i="41"/>
  <c r="D39" i="41" s="1"/>
  <c r="D130" i="41" s="1"/>
  <c r="F371" i="41"/>
  <c r="F372" i="41" s="1"/>
  <c r="H371" i="41"/>
  <c r="H372" i="41" s="1"/>
  <c r="E41" i="41"/>
  <c r="E39" i="41"/>
  <c r="E130" i="41" s="1"/>
  <c r="G50" i="41"/>
  <c r="G49" i="41"/>
  <c r="G52" i="41" s="1"/>
  <c r="H380" i="41"/>
  <c r="H381" i="41" s="1"/>
  <c r="I50" i="41"/>
  <c r="I49" i="41"/>
  <c r="I52" i="41" s="1"/>
  <c r="E380" i="41"/>
  <c r="E381" i="41" s="1"/>
  <c r="E56" i="41" s="1"/>
  <c r="E58" i="41" s="1"/>
  <c r="F50" i="41"/>
  <c r="F49" i="41"/>
  <c r="F52" i="41" s="1"/>
  <c r="Q118" i="41"/>
  <c r="N199" i="38"/>
  <c r="N200" i="38" s="1"/>
  <c r="Q530" i="41"/>
  <c r="R419" i="41"/>
  <c r="Q464" i="41"/>
  <c r="Q532" i="41" s="1"/>
  <c r="Q420" i="41"/>
  <c r="R21" i="41"/>
  <c r="Q22" i="41"/>
  <c r="E63" i="41"/>
  <c r="E65" i="41" s="1"/>
  <c r="E66" i="41" s="1"/>
  <c r="R281" i="41"/>
  <c r="S193" i="41"/>
  <c r="R525" i="41"/>
  <c r="R475" i="41"/>
  <c r="S472" i="41"/>
  <c r="R433" i="41"/>
  <c r="F34" i="41"/>
  <c r="H199" i="41"/>
  <c r="H200" i="41" s="1"/>
  <c r="H46" i="41" s="1"/>
  <c r="S483" i="41"/>
  <c r="Q438" i="41"/>
  <c r="I380" i="41"/>
  <c r="I381" i="41" s="1"/>
  <c r="H416" i="41"/>
  <c r="G401" i="41"/>
  <c r="G402" i="41"/>
  <c r="Q459" i="41"/>
  <c r="R306" i="41"/>
  <c r="Q307" i="41"/>
  <c r="S441" i="41"/>
  <c r="R219" i="41"/>
  <c r="S145" i="41"/>
  <c r="E47" i="41"/>
  <c r="Q454" i="41"/>
  <c r="P107" i="41"/>
  <c r="P261" i="41"/>
  <c r="Q255" i="41"/>
  <c r="S252" i="41"/>
  <c r="P203" i="41"/>
  <c r="O205" i="41"/>
  <c r="F199" i="41"/>
  <c r="F200" i="41" s="1"/>
  <c r="F46" i="41" s="1"/>
  <c r="F53" i="41"/>
  <c r="Q443" i="41"/>
  <c r="P444" i="41"/>
  <c r="Q484" i="41"/>
  <c r="P485" i="41"/>
  <c r="P486" i="41" s="1"/>
  <c r="S216" i="41"/>
  <c r="Q267" i="41"/>
  <c r="Q75" i="41"/>
  <c r="P523" i="41"/>
  <c r="D371" i="41"/>
  <c r="D372" i="41" s="1"/>
  <c r="D56" i="41" s="1"/>
  <c r="D58" i="41" s="1"/>
  <c r="D63" i="41"/>
  <c r="D65" i="41" s="1"/>
  <c r="D66" i="41" s="1"/>
  <c r="S148" i="41"/>
  <c r="R43" i="41"/>
  <c r="O262" i="41"/>
  <c r="O263" i="41"/>
  <c r="G371" i="41"/>
  <c r="G372" i="41" s="1"/>
  <c r="H49" i="41"/>
  <c r="H52" i="41" s="1"/>
  <c r="Q449" i="41"/>
  <c r="Q450" i="41" s="1"/>
  <c r="R447" i="41"/>
  <c r="R431" i="41"/>
  <c r="Q215" i="41"/>
  <c r="P202" i="41"/>
  <c r="R310" i="41"/>
  <c r="Q311" i="41"/>
  <c r="S18" i="41"/>
  <c r="R19" i="41"/>
  <c r="R44" i="41" s="1"/>
  <c r="Q26" i="41"/>
  <c r="R25" i="41"/>
  <c r="Q190" i="41"/>
  <c r="P271" i="41"/>
  <c r="P274" i="41" s="1"/>
  <c r="D50" i="41"/>
  <c r="D49" i="41"/>
  <c r="D52" i="41" s="1"/>
  <c r="P465" i="41"/>
  <c r="P126" i="41" s="1"/>
  <c r="P124" i="41"/>
  <c r="H53" i="41"/>
  <c r="R246" i="41"/>
  <c r="Q245" i="41"/>
  <c r="R299" i="41"/>
  <c r="S237" i="41"/>
  <c r="P450" i="41"/>
  <c r="Q531" i="41"/>
  <c r="Q424" i="41"/>
  <c r="Q125" i="41" s="1"/>
  <c r="R423" i="41"/>
  <c r="R314" i="41"/>
  <c r="R534" i="41"/>
  <c r="R480" i="41"/>
  <c r="R120" i="41" s="1"/>
  <c r="S478" i="41"/>
  <c r="P89" i="41"/>
  <c r="I34" i="41"/>
  <c r="J53" i="38"/>
  <c r="P162" i="40"/>
  <c r="Q162" i="40" s="1"/>
  <c r="R162" i="40" s="1"/>
  <c r="S162" i="40" s="1"/>
  <c r="T162" i="40" s="1"/>
  <c r="U162" i="40" s="1"/>
  <c r="V162" i="40" s="1"/>
  <c r="W162" i="40" s="1"/>
  <c r="X162" i="40" s="1"/>
  <c r="M277" i="38"/>
  <c r="N99" i="38"/>
  <c r="N129" i="38" s="1"/>
  <c r="M504" i="38"/>
  <c r="K504" i="38"/>
  <c r="L264" i="38"/>
  <c r="M200" i="38"/>
  <c r="K277" i="38"/>
  <c r="L99" i="38"/>
  <c r="J504" i="38"/>
  <c r="J200" i="38"/>
  <c r="L504" i="38"/>
  <c r="K264" i="38"/>
  <c r="M264" i="38"/>
  <c r="L277" i="38"/>
  <c r="J264" i="38"/>
  <c r="P150" i="40"/>
  <c r="N504" i="38"/>
  <c r="K200" i="38"/>
  <c r="J277" i="38"/>
  <c r="J99" i="38"/>
  <c r="K99" i="38"/>
  <c r="M99" i="38"/>
  <c r="N277" i="38"/>
  <c r="N264" i="38"/>
  <c r="P163" i="40"/>
  <c r="Q163" i="40" s="1"/>
  <c r="R163" i="40" s="1"/>
  <c r="S163" i="40" s="1"/>
  <c r="T163" i="40" s="1"/>
  <c r="U163" i="40" s="1"/>
  <c r="V163" i="40" s="1"/>
  <c r="W163" i="40" s="1"/>
  <c r="X163" i="40" s="1"/>
  <c r="P170" i="40"/>
  <c r="P173" i="40" s="1"/>
  <c r="Q322" i="39"/>
  <c r="Q468" i="39" s="1"/>
  <c r="P160" i="39"/>
  <c r="Q160" i="39" s="1"/>
  <c r="P162" i="39"/>
  <c r="Q162" i="39" s="1"/>
  <c r="R162" i="39" s="1"/>
  <c r="S162" i="39" s="1"/>
  <c r="T162" i="39" s="1"/>
  <c r="U162" i="39" s="1"/>
  <c r="V162" i="39" s="1"/>
  <c r="W162" i="39" s="1"/>
  <c r="X162" i="39" s="1"/>
  <c r="P469" i="39"/>
  <c r="P119" i="39" s="1"/>
  <c r="P163" i="39"/>
  <c r="Q163" i="39" s="1"/>
  <c r="R163" i="39" s="1"/>
  <c r="S163" i="39" s="1"/>
  <c r="T163" i="39" s="1"/>
  <c r="U163" i="39" s="1"/>
  <c r="V163" i="39" s="1"/>
  <c r="W163" i="39" s="1"/>
  <c r="X163" i="39" s="1"/>
  <c r="Q485" i="40"/>
  <c r="R485" i="40"/>
  <c r="P485" i="40"/>
  <c r="P486" i="40" s="1"/>
  <c r="R149" i="40"/>
  <c r="H34" i="40"/>
  <c r="H39" i="40" s="1"/>
  <c r="H130" i="40" s="1"/>
  <c r="L46" i="39"/>
  <c r="P490" i="40"/>
  <c r="P160" i="40"/>
  <c r="Q160" i="40" s="1"/>
  <c r="J46" i="40"/>
  <c r="N377" i="39"/>
  <c r="N380" i="39" s="1"/>
  <c r="N381" i="39" s="1"/>
  <c r="Q268" i="39"/>
  <c r="Q146" i="40"/>
  <c r="R146" i="40" s="1"/>
  <c r="R147" i="40" s="1"/>
  <c r="I34" i="39"/>
  <c r="I39" i="39" s="1"/>
  <c r="I130" i="39" s="1"/>
  <c r="I34" i="38"/>
  <c r="I41" i="38" s="1"/>
  <c r="P177" i="40"/>
  <c r="Q177" i="40" s="1"/>
  <c r="Q178" i="40" s="1"/>
  <c r="O178" i="40"/>
  <c r="P89" i="40"/>
  <c r="N173" i="40"/>
  <c r="N179" i="40" s="1"/>
  <c r="G34" i="39"/>
  <c r="G39" i="39" s="1"/>
  <c r="G130" i="39" s="1"/>
  <c r="Q256" i="39"/>
  <c r="I34" i="40"/>
  <c r="I41" i="40" s="1"/>
  <c r="K46" i="40"/>
  <c r="P444" i="40"/>
  <c r="P115" i="40" s="1"/>
  <c r="P102" i="40" s="1"/>
  <c r="M50" i="40"/>
  <c r="M49" i="40"/>
  <c r="M52" i="40" s="1"/>
  <c r="Q424" i="40"/>
  <c r="Q125" i="40" s="1"/>
  <c r="N368" i="40"/>
  <c r="N371" i="40" s="1"/>
  <c r="O371" i="40" s="1"/>
  <c r="P371" i="40" s="1"/>
  <c r="Q371" i="40" s="1"/>
  <c r="R371" i="40" s="1"/>
  <c r="S371" i="40" s="1"/>
  <c r="T371" i="40" s="1"/>
  <c r="U371" i="40" s="1"/>
  <c r="V371" i="40" s="1"/>
  <c r="W371" i="40" s="1"/>
  <c r="X371" i="40" s="1"/>
  <c r="N173" i="38"/>
  <c r="N179" i="38" s="1"/>
  <c r="R269" i="38"/>
  <c r="N178" i="40"/>
  <c r="N47" i="40" s="1"/>
  <c r="D56" i="40"/>
  <c r="D58" i="40" s="1"/>
  <c r="D60" i="40" s="1"/>
  <c r="G49" i="40"/>
  <c r="G52" i="40" s="1"/>
  <c r="F380" i="40"/>
  <c r="F381" i="40" s="1"/>
  <c r="D50" i="40"/>
  <c r="D49" i="40"/>
  <c r="D52" i="40" s="1"/>
  <c r="L371" i="40"/>
  <c r="L372" i="40" s="1"/>
  <c r="K371" i="40"/>
  <c r="K372" i="40" s="1"/>
  <c r="L380" i="40"/>
  <c r="L381" i="40" s="1"/>
  <c r="E50" i="40"/>
  <c r="E49" i="40"/>
  <c r="E52" i="40" s="1"/>
  <c r="M371" i="40"/>
  <c r="M372" i="40" s="1"/>
  <c r="H380" i="40"/>
  <c r="H381" i="40" s="1"/>
  <c r="I50" i="40"/>
  <c r="I49" i="40"/>
  <c r="I52" i="40" s="1"/>
  <c r="L46" i="40"/>
  <c r="K50" i="40"/>
  <c r="K49" i="40"/>
  <c r="K52" i="40" s="1"/>
  <c r="J50" i="40"/>
  <c r="J49" i="40"/>
  <c r="J52" i="40" s="1"/>
  <c r="E371" i="40"/>
  <c r="E372" i="40" s="1"/>
  <c r="F50" i="40"/>
  <c r="F49" i="40"/>
  <c r="F52" i="40" s="1"/>
  <c r="H50" i="40"/>
  <c r="H49" i="40"/>
  <c r="H52" i="40" s="1"/>
  <c r="O509" i="40"/>
  <c r="O517" i="40" s="1"/>
  <c r="P523" i="40"/>
  <c r="Q459" i="40"/>
  <c r="P361" i="40"/>
  <c r="G371" i="40"/>
  <c r="G372" i="40" s="1"/>
  <c r="E380" i="40"/>
  <c r="E381" i="40" s="1"/>
  <c r="T216" i="40"/>
  <c r="O73" i="40"/>
  <c r="O457" i="40" s="1"/>
  <c r="P271" i="40"/>
  <c r="Q190" i="40"/>
  <c r="O510" i="40"/>
  <c r="P354" i="40"/>
  <c r="N368" i="39"/>
  <c r="N371" i="39" s="1"/>
  <c r="O371" i="39" s="1"/>
  <c r="P371" i="39" s="1"/>
  <c r="Q371" i="39" s="1"/>
  <c r="R371" i="39" s="1"/>
  <c r="S371" i="39" s="1"/>
  <c r="T371" i="39" s="1"/>
  <c r="U371" i="39" s="1"/>
  <c r="V371" i="39" s="1"/>
  <c r="W371" i="39" s="1"/>
  <c r="X371" i="39" s="1"/>
  <c r="Q454" i="40"/>
  <c r="P107" i="40"/>
  <c r="R431" i="40"/>
  <c r="Q215" i="40"/>
  <c r="Q322" i="40"/>
  <c r="P469" i="40"/>
  <c r="P468" i="40"/>
  <c r="R427" i="40"/>
  <c r="X148" i="40"/>
  <c r="W43" i="40"/>
  <c r="S299" i="40"/>
  <c r="T237" i="40"/>
  <c r="I371" i="40"/>
  <c r="I372" i="40" s="1"/>
  <c r="Q75" i="40"/>
  <c r="D34" i="40"/>
  <c r="R433" i="40"/>
  <c r="O165" i="40"/>
  <c r="L49" i="40"/>
  <c r="L52" i="40" s="1"/>
  <c r="N355" i="40"/>
  <c r="N178" i="39"/>
  <c r="N47" i="39" s="1"/>
  <c r="F34" i="39"/>
  <c r="F41" i="39" s="1"/>
  <c r="J179" i="40"/>
  <c r="J34" i="40" s="1"/>
  <c r="R475" i="40"/>
  <c r="R525" i="40"/>
  <c r="S472" i="40"/>
  <c r="P394" i="40"/>
  <c r="P400" i="40"/>
  <c r="Q270" i="40"/>
  <c r="Q26" i="40"/>
  <c r="R25" i="40"/>
  <c r="S252" i="40"/>
  <c r="Q269" i="40"/>
  <c r="R187" i="40"/>
  <c r="R530" i="40"/>
  <c r="R464" i="40"/>
  <c r="R532" i="40" s="1"/>
  <c r="R420" i="40"/>
  <c r="S419" i="40"/>
  <c r="R391" i="40"/>
  <c r="Q393" i="40"/>
  <c r="Q259" i="40"/>
  <c r="Q257" i="40"/>
  <c r="O508" i="40"/>
  <c r="P367" i="40"/>
  <c r="Q270" i="39"/>
  <c r="P261" i="40"/>
  <c r="Q255" i="40"/>
  <c r="P199" i="40"/>
  <c r="Q199" i="40" s="1"/>
  <c r="R199" i="40" s="1"/>
  <c r="S199" i="40" s="1"/>
  <c r="T199" i="40" s="1"/>
  <c r="U199" i="40" s="1"/>
  <c r="V199" i="40" s="1"/>
  <c r="W199" i="40" s="1"/>
  <c r="X199" i="40" s="1"/>
  <c r="Q260" i="40"/>
  <c r="S145" i="40"/>
  <c r="Q118" i="40"/>
  <c r="Q281" i="40"/>
  <c r="R193" i="40"/>
  <c r="M46" i="40"/>
  <c r="N165" i="40"/>
  <c r="Q124" i="40"/>
  <c r="Q449" i="40"/>
  <c r="R447" i="40"/>
  <c r="G380" i="40"/>
  <c r="G381" i="40" s="1"/>
  <c r="Q256" i="40"/>
  <c r="R294" i="40"/>
  <c r="E34" i="40"/>
  <c r="F34" i="40"/>
  <c r="O262" i="40"/>
  <c r="F371" i="40"/>
  <c r="F372" i="40" s="1"/>
  <c r="N200" i="40"/>
  <c r="N46" i="40" s="1"/>
  <c r="R531" i="40"/>
  <c r="S423" i="40"/>
  <c r="T22" i="40"/>
  <c r="U21" i="40"/>
  <c r="Q480" i="40"/>
  <c r="Q120" i="40" s="1"/>
  <c r="Q534" i="40"/>
  <c r="R478" i="40"/>
  <c r="S19" i="40"/>
  <c r="S44" i="40" s="1"/>
  <c r="T18" i="40"/>
  <c r="Q438" i="40"/>
  <c r="P450" i="40"/>
  <c r="Q154" i="40"/>
  <c r="R139" i="40"/>
  <c r="K34" i="40"/>
  <c r="Q203" i="38"/>
  <c r="Q268" i="40"/>
  <c r="Q258" i="40"/>
  <c r="P465" i="40"/>
  <c r="P126" i="40" s="1"/>
  <c r="P124" i="40"/>
  <c r="E403" i="40"/>
  <c r="K380" i="40"/>
  <c r="K381" i="40" s="1"/>
  <c r="O205" i="40"/>
  <c r="P203" i="40"/>
  <c r="G34" i="40"/>
  <c r="Q267" i="40"/>
  <c r="R169" i="40"/>
  <c r="O263" i="40"/>
  <c r="O491" i="40"/>
  <c r="N377" i="40"/>
  <c r="F401" i="40"/>
  <c r="G416" i="40"/>
  <c r="F402" i="40"/>
  <c r="S485" i="40"/>
  <c r="T483" i="40"/>
  <c r="L34" i="40"/>
  <c r="Q444" i="40"/>
  <c r="R441" i="40"/>
  <c r="Q219" i="40"/>
  <c r="Q498" i="40" s="1"/>
  <c r="P202" i="40"/>
  <c r="M34" i="40"/>
  <c r="J46" i="39"/>
  <c r="R256" i="38"/>
  <c r="Q258" i="39"/>
  <c r="M46" i="39"/>
  <c r="K34" i="39"/>
  <c r="K41" i="39" s="1"/>
  <c r="Q259" i="39"/>
  <c r="M34" i="38"/>
  <c r="M39" i="38" s="1"/>
  <c r="F34" i="38"/>
  <c r="F39" i="38" s="1"/>
  <c r="F130" i="38" s="1"/>
  <c r="N200" i="39"/>
  <c r="R257" i="38"/>
  <c r="L34" i="39"/>
  <c r="L39" i="39" s="1"/>
  <c r="L130" i="39" s="1"/>
  <c r="G34" i="38"/>
  <c r="G41" i="38" s="1"/>
  <c r="E34" i="39"/>
  <c r="E41" i="39" s="1"/>
  <c r="E34" i="38"/>
  <c r="E41" i="38" s="1"/>
  <c r="Q260" i="39"/>
  <c r="J34" i="39"/>
  <c r="J41" i="39" s="1"/>
  <c r="H50" i="39"/>
  <c r="H49" i="39"/>
  <c r="H52" i="39" s="1"/>
  <c r="K50" i="39"/>
  <c r="K49" i="39"/>
  <c r="K52" i="39" s="1"/>
  <c r="D380" i="39"/>
  <c r="D381" i="39" s="1"/>
  <c r="D371" i="39"/>
  <c r="D372" i="39" s="1"/>
  <c r="F50" i="39"/>
  <c r="F49" i="39"/>
  <c r="F52" i="39" s="1"/>
  <c r="K46" i="39"/>
  <c r="J50" i="39"/>
  <c r="J49" i="39"/>
  <c r="J52" i="39" s="1"/>
  <c r="D50" i="39"/>
  <c r="D49" i="39"/>
  <c r="D52" i="39" s="1"/>
  <c r="E380" i="39"/>
  <c r="E381" i="39" s="1"/>
  <c r="G50" i="39"/>
  <c r="G49" i="39"/>
  <c r="G52" i="39" s="1"/>
  <c r="E50" i="39"/>
  <c r="E49" i="39"/>
  <c r="E52" i="39" s="1"/>
  <c r="L50" i="39"/>
  <c r="L49" i="39"/>
  <c r="L52" i="39" s="1"/>
  <c r="H380" i="39"/>
  <c r="H381" i="39" s="1"/>
  <c r="J371" i="39"/>
  <c r="J372" i="39" s="1"/>
  <c r="K380" i="39"/>
  <c r="K381" i="39" s="1"/>
  <c r="D63" i="39"/>
  <c r="D65" i="39" s="1"/>
  <c r="D66" i="39" s="1"/>
  <c r="M50" i="39"/>
  <c r="M49" i="39"/>
  <c r="M52" i="39" s="1"/>
  <c r="H371" i="39"/>
  <c r="H372" i="39" s="1"/>
  <c r="E371" i="39"/>
  <c r="E372" i="39" s="1"/>
  <c r="P510" i="39"/>
  <c r="Q354" i="39"/>
  <c r="S216" i="39"/>
  <c r="Q525" i="39"/>
  <c r="Q475" i="39"/>
  <c r="R472" i="39"/>
  <c r="T252" i="39"/>
  <c r="R145" i="39"/>
  <c r="O508" i="39"/>
  <c r="P367" i="39"/>
  <c r="P465" i="39"/>
  <c r="P126" i="39" s="1"/>
  <c r="P124" i="39"/>
  <c r="Q281" i="39"/>
  <c r="R193" i="39"/>
  <c r="O178" i="39"/>
  <c r="Q534" i="39"/>
  <c r="R478" i="39"/>
  <c r="Q480" i="39"/>
  <c r="Q120" i="39" s="1"/>
  <c r="Q391" i="39"/>
  <c r="P393" i="39"/>
  <c r="H34" i="38"/>
  <c r="H41" i="38" s="1"/>
  <c r="Q187" i="39"/>
  <c r="R427" i="39"/>
  <c r="Q502" i="39"/>
  <c r="Q105" i="39"/>
  <c r="O165" i="39"/>
  <c r="Q531" i="39"/>
  <c r="R423" i="39"/>
  <c r="Q424" i="39"/>
  <c r="Q125" i="39" s="1"/>
  <c r="P169" i="39"/>
  <c r="O170" i="39"/>
  <c r="O173" i="39" s="1"/>
  <c r="T483" i="39"/>
  <c r="O523" i="39"/>
  <c r="O498" i="39"/>
  <c r="Q19" i="39"/>
  <c r="Q294" i="39" s="1"/>
  <c r="R18" i="39"/>
  <c r="R449" i="39"/>
  <c r="R450" i="39" s="1"/>
  <c r="S447" i="39"/>
  <c r="O491" i="39"/>
  <c r="P154" i="39"/>
  <c r="Q459" i="39"/>
  <c r="P361" i="39"/>
  <c r="P118" i="39"/>
  <c r="R441" i="39"/>
  <c r="Q444" i="39"/>
  <c r="Q219" i="39"/>
  <c r="N36" i="39"/>
  <c r="N113" i="39"/>
  <c r="N129" i="39" s="1"/>
  <c r="Q431" i="39"/>
  <c r="P215" i="39"/>
  <c r="L380" i="39"/>
  <c r="L381" i="39" s="1"/>
  <c r="Q269" i="39"/>
  <c r="Q75" i="39"/>
  <c r="M34" i="39"/>
  <c r="D39" i="39"/>
  <c r="D130" i="39" s="1"/>
  <c r="D41" i="39"/>
  <c r="Q186" i="39"/>
  <c r="O263" i="39"/>
  <c r="Q177" i="39"/>
  <c r="P444" i="39"/>
  <c r="Q26" i="39"/>
  <c r="R25" i="39"/>
  <c r="Q257" i="39"/>
  <c r="O262" i="39"/>
  <c r="Q139" i="39"/>
  <c r="N264" i="39"/>
  <c r="E403" i="39"/>
  <c r="R22" i="39"/>
  <c r="S21" i="39"/>
  <c r="P271" i="39"/>
  <c r="Q190" i="39"/>
  <c r="Q267" i="39"/>
  <c r="M380" i="39"/>
  <c r="M381" i="39" s="1"/>
  <c r="P202" i="39"/>
  <c r="R530" i="39"/>
  <c r="R420" i="39"/>
  <c r="S419" i="39"/>
  <c r="N368" i="38"/>
  <c r="N371" i="38" s="1"/>
  <c r="O371" i="38" s="1"/>
  <c r="P371" i="38" s="1"/>
  <c r="Q371" i="38" s="1"/>
  <c r="R371" i="38" s="1"/>
  <c r="S371" i="38" s="1"/>
  <c r="T371" i="38" s="1"/>
  <c r="U371" i="38" s="1"/>
  <c r="V371" i="38" s="1"/>
  <c r="W371" i="38" s="1"/>
  <c r="X371" i="38" s="1"/>
  <c r="Q484" i="39"/>
  <c r="P485" i="39"/>
  <c r="P486" i="39" s="1"/>
  <c r="G371" i="39"/>
  <c r="G372" i="39" s="1"/>
  <c r="F380" i="39"/>
  <c r="F381" i="39" s="1"/>
  <c r="P261" i="39"/>
  <c r="Q255" i="39"/>
  <c r="O490" i="39"/>
  <c r="P146" i="39"/>
  <c r="O89" i="39"/>
  <c r="O147" i="39"/>
  <c r="O150" i="39" s="1"/>
  <c r="N165" i="39"/>
  <c r="N34" i="39" s="1"/>
  <c r="G416" i="39"/>
  <c r="F401" i="39"/>
  <c r="F402" i="39"/>
  <c r="J380" i="39"/>
  <c r="J381" i="39" s="1"/>
  <c r="Q299" i="39"/>
  <c r="R237" i="39"/>
  <c r="O509" i="39"/>
  <c r="O517" i="39" s="1"/>
  <c r="P203" i="39"/>
  <c r="O205" i="39"/>
  <c r="Q124" i="39"/>
  <c r="H179" i="39"/>
  <c r="H34" i="39" s="1"/>
  <c r="Q188" i="39"/>
  <c r="P502" i="39"/>
  <c r="P105" i="39"/>
  <c r="R433" i="39"/>
  <c r="I50" i="39"/>
  <c r="I49" i="39"/>
  <c r="I52" i="39" s="1"/>
  <c r="Q438" i="39"/>
  <c r="O394" i="39"/>
  <c r="O400" i="39"/>
  <c r="Q454" i="39"/>
  <c r="P107" i="39"/>
  <c r="P199" i="39"/>
  <c r="Q199" i="39" s="1"/>
  <c r="R199" i="39" s="1"/>
  <c r="S199" i="39" s="1"/>
  <c r="T199" i="39" s="1"/>
  <c r="U199" i="39" s="1"/>
  <c r="V199" i="39" s="1"/>
  <c r="W199" i="39" s="1"/>
  <c r="X199" i="39" s="1"/>
  <c r="Q464" i="39"/>
  <c r="Q532" i="39" s="1"/>
  <c r="K50" i="38"/>
  <c r="K49" i="38"/>
  <c r="K52" i="38" s="1"/>
  <c r="R258" i="38"/>
  <c r="K34" i="38"/>
  <c r="K39" i="38" s="1"/>
  <c r="N377" i="38"/>
  <c r="N380" i="38" s="1"/>
  <c r="N381" i="38" s="1"/>
  <c r="J34" i="38"/>
  <c r="J39" i="38" s="1"/>
  <c r="E371" i="38"/>
  <c r="E372" i="38" s="1"/>
  <c r="E380" i="38"/>
  <c r="E381" i="38" s="1"/>
  <c r="K380" i="38"/>
  <c r="K381" i="38" s="1"/>
  <c r="D380" i="38"/>
  <c r="D381" i="38" s="1"/>
  <c r="D56" i="38" s="1"/>
  <c r="D58" i="38" s="1"/>
  <c r="H50" i="38"/>
  <c r="H49" i="38"/>
  <c r="H52" i="38" s="1"/>
  <c r="M50" i="38"/>
  <c r="M49" i="38"/>
  <c r="M52" i="38" s="1"/>
  <c r="J50" i="38"/>
  <c r="J49" i="38"/>
  <c r="J52" i="38" s="1"/>
  <c r="K371" i="38"/>
  <c r="K372" i="38" s="1"/>
  <c r="L371" i="38"/>
  <c r="L372" i="38" s="1"/>
  <c r="L50" i="38"/>
  <c r="L49" i="38"/>
  <c r="L52" i="38" s="1"/>
  <c r="I371" i="38"/>
  <c r="I372" i="38" s="1"/>
  <c r="D50" i="38"/>
  <c r="D49" i="38"/>
  <c r="D52" i="38" s="1"/>
  <c r="F50" i="38"/>
  <c r="F49" i="38"/>
  <c r="F52" i="38" s="1"/>
  <c r="E63" i="38"/>
  <c r="E65" i="38" s="1"/>
  <c r="E66" i="38" s="1"/>
  <c r="G380" i="38"/>
  <c r="G381" i="38" s="1"/>
  <c r="E50" i="38"/>
  <c r="E49" i="38"/>
  <c r="E52" i="38" s="1"/>
  <c r="F380" i="38"/>
  <c r="F381" i="38" s="1"/>
  <c r="J371" i="38"/>
  <c r="J372" i="38" s="1"/>
  <c r="P205" i="38"/>
  <c r="O204" i="38"/>
  <c r="P509" i="38"/>
  <c r="P517" i="38" s="1"/>
  <c r="O491" i="38"/>
  <c r="P261" i="38"/>
  <c r="Q255" i="38"/>
  <c r="O523" i="38"/>
  <c r="O498" i="38"/>
  <c r="O263" i="38"/>
  <c r="N165" i="38"/>
  <c r="F403" i="38"/>
  <c r="F63" i="38" s="1"/>
  <c r="F65" i="38" s="1"/>
  <c r="F66" i="38" s="1"/>
  <c r="R270" i="38"/>
  <c r="Q118" i="38"/>
  <c r="G371" i="38"/>
  <c r="G372" i="38" s="1"/>
  <c r="O262" i="38"/>
  <c r="P178" i="38"/>
  <c r="P502" i="38"/>
  <c r="P105" i="38"/>
  <c r="O502" i="38"/>
  <c r="O105" i="38"/>
  <c r="P491" i="38"/>
  <c r="Q154" i="38"/>
  <c r="Q431" i="38"/>
  <c r="P215" i="38"/>
  <c r="D63" i="38"/>
  <c r="D65" i="38" s="1"/>
  <c r="D66" i="38" s="1"/>
  <c r="G401" i="38"/>
  <c r="H416" i="38"/>
  <c r="G402" i="38"/>
  <c r="Q169" i="38"/>
  <c r="P170" i="38"/>
  <c r="P173" i="38" s="1"/>
  <c r="O510" i="38"/>
  <c r="P354" i="38"/>
  <c r="D34" i="38"/>
  <c r="R502" i="38"/>
  <c r="R105" i="38"/>
  <c r="R26" i="38"/>
  <c r="S25" i="38"/>
  <c r="Q267" i="38"/>
  <c r="P490" i="38"/>
  <c r="Q146" i="38"/>
  <c r="Q147" i="38" s="1"/>
  <c r="Q150" i="38" s="1"/>
  <c r="P89" i="38"/>
  <c r="L34" i="38"/>
  <c r="O508" i="38"/>
  <c r="P367" i="38"/>
  <c r="Q187" i="38"/>
  <c r="N178" i="38"/>
  <c r="N47" i="38" s="1"/>
  <c r="Q139" i="38"/>
  <c r="N355" i="38"/>
  <c r="Q444" i="38"/>
  <c r="R441" i="38"/>
  <c r="Q219" i="38"/>
  <c r="I50" i="38"/>
  <c r="I49" i="38"/>
  <c r="I52" i="38" s="1"/>
  <c r="R530" i="38"/>
  <c r="R464" i="38"/>
  <c r="R532" i="38" s="1"/>
  <c r="S419" i="38"/>
  <c r="P394" i="38"/>
  <c r="P400" i="38"/>
  <c r="O178" i="38"/>
  <c r="O73" i="38"/>
  <c r="O457" i="38" s="1"/>
  <c r="M380" i="38"/>
  <c r="M381" i="38" s="1"/>
  <c r="R433" i="38"/>
  <c r="S18" i="38"/>
  <c r="R19" i="38"/>
  <c r="R188" i="38" s="1"/>
  <c r="P150" i="38"/>
  <c r="R260" i="38"/>
  <c r="R391" i="38"/>
  <c r="Q393" i="38"/>
  <c r="Q485" i="38"/>
  <c r="R483" i="38"/>
  <c r="Q299" i="38"/>
  <c r="R237" i="38"/>
  <c r="O301" i="38"/>
  <c r="O306" i="38"/>
  <c r="O273" i="38"/>
  <c r="O288" i="38"/>
  <c r="O323" i="38"/>
  <c r="O310" i="38"/>
  <c r="O318" i="38"/>
  <c r="O314" i="38"/>
  <c r="Q281" i="38"/>
  <c r="R193" i="38"/>
  <c r="S449" i="38"/>
  <c r="T447" i="38"/>
  <c r="R145" i="38"/>
  <c r="Q459" i="38"/>
  <c r="P361" i="38"/>
  <c r="Q294" i="38"/>
  <c r="O283" i="38"/>
  <c r="H380" i="38"/>
  <c r="H381" i="38" s="1"/>
  <c r="R438" i="38"/>
  <c r="Q502" i="38"/>
  <c r="Q105" i="38"/>
  <c r="S252" i="38"/>
  <c r="R427" i="38"/>
  <c r="R531" i="38"/>
  <c r="S423" i="38"/>
  <c r="R75" i="38"/>
  <c r="G49" i="38"/>
  <c r="G52" i="38" s="1"/>
  <c r="R259" i="38"/>
  <c r="R268" i="38"/>
  <c r="R534" i="38"/>
  <c r="S478" i="38"/>
  <c r="R480" i="38"/>
  <c r="R120" i="38" s="1"/>
  <c r="T216" i="38"/>
  <c r="R525" i="38"/>
  <c r="R475" i="38"/>
  <c r="S472" i="38"/>
  <c r="K98" i="36"/>
  <c r="N98" i="36"/>
  <c r="N263" i="36"/>
  <c r="N264" i="36" s="1"/>
  <c r="M276" i="36"/>
  <c r="L497" i="36"/>
  <c r="L504" i="36" s="1"/>
  <c r="K497" i="36"/>
  <c r="K504" i="36" s="1"/>
  <c r="K35" i="36"/>
  <c r="N497" i="36"/>
  <c r="N504" i="36" s="1"/>
  <c r="M199" i="36"/>
  <c r="M200" i="36" s="1"/>
  <c r="L276" i="36"/>
  <c r="L277" i="36" s="1"/>
  <c r="J98" i="36"/>
  <c r="Q267" i="36"/>
  <c r="J263" i="36"/>
  <c r="J264" i="36" s="1"/>
  <c r="K276" i="36"/>
  <c r="J497" i="36"/>
  <c r="J276" i="36"/>
  <c r="J277" i="36" s="1"/>
  <c r="M98" i="36"/>
  <c r="L263" i="36"/>
  <c r="L264" i="36" s="1"/>
  <c r="M497" i="36"/>
  <c r="N276" i="36"/>
  <c r="M35" i="36"/>
  <c r="L98" i="36"/>
  <c r="N199" i="36"/>
  <c r="H377" i="36"/>
  <c r="K332" i="36"/>
  <c r="K263" i="36"/>
  <c r="O203" i="36"/>
  <c r="M332" i="36"/>
  <c r="M263" i="36"/>
  <c r="O450" i="36"/>
  <c r="P450" i="36"/>
  <c r="Q449" i="36"/>
  <c r="P438" i="36"/>
  <c r="Q438" i="36" s="1"/>
  <c r="R438" i="36" s="1"/>
  <c r="S438" i="36" s="1"/>
  <c r="T438" i="36" s="1"/>
  <c r="U438" i="36" s="1"/>
  <c r="V438" i="36" s="1"/>
  <c r="W438" i="36" s="1"/>
  <c r="X438" i="36" s="1"/>
  <c r="Q427" i="36"/>
  <c r="K53" i="36"/>
  <c r="N53" i="36"/>
  <c r="M53" i="36"/>
  <c r="N36" i="36"/>
  <c r="N113" i="36"/>
  <c r="E332" i="36"/>
  <c r="E197" i="36"/>
  <c r="Q281" i="36"/>
  <c r="R193" i="36"/>
  <c r="O469" i="36"/>
  <c r="O119" i="36" s="1"/>
  <c r="P322" i="36"/>
  <c r="P442" i="36"/>
  <c r="Q442" i="36" s="1"/>
  <c r="R442" i="36" s="1"/>
  <c r="S442" i="36" s="1"/>
  <c r="T442" i="36" s="1"/>
  <c r="U442" i="36" s="1"/>
  <c r="V442" i="36" s="1"/>
  <c r="W442" i="36" s="1"/>
  <c r="X442" i="36" s="1"/>
  <c r="P454" i="36"/>
  <c r="Q454" i="36" s="1"/>
  <c r="P75" i="36"/>
  <c r="Q75" i="36" s="1"/>
  <c r="P424" i="36"/>
  <c r="P125" i="36" s="1"/>
  <c r="P443" i="36"/>
  <c r="Q443" i="36" s="1"/>
  <c r="R443" i="36" s="1"/>
  <c r="S443" i="36" s="1"/>
  <c r="T443" i="36" s="1"/>
  <c r="U443" i="36" s="1"/>
  <c r="V443" i="36" s="1"/>
  <c r="W443" i="36" s="1"/>
  <c r="X443" i="36" s="1"/>
  <c r="P484" i="36"/>
  <c r="Q484" i="36" s="1"/>
  <c r="R484" i="36" s="1"/>
  <c r="S484" i="36" s="1"/>
  <c r="T484" i="36" s="1"/>
  <c r="U484" i="36" s="1"/>
  <c r="V484" i="36" s="1"/>
  <c r="W484" i="36" s="1"/>
  <c r="X484" i="36" s="1"/>
  <c r="P84" i="36"/>
  <c r="Q84" i="36" s="1"/>
  <c r="R84" i="36" s="1"/>
  <c r="S84" i="36" s="1"/>
  <c r="T84" i="36" s="1"/>
  <c r="U84" i="36" s="1"/>
  <c r="V84" i="36" s="1"/>
  <c r="W84" i="36" s="1"/>
  <c r="X84" i="36" s="1"/>
  <c r="N170" i="36"/>
  <c r="N177" i="36" s="1"/>
  <c r="S496" i="36"/>
  <c r="O97" i="36"/>
  <c r="P28" i="36"/>
  <c r="Q28" i="36" s="1"/>
  <c r="R28" i="36" s="1"/>
  <c r="S28" i="36" s="1"/>
  <c r="T28" i="36" s="1"/>
  <c r="U28" i="36" s="1"/>
  <c r="V28" i="36" s="1"/>
  <c r="W28" i="36" s="1"/>
  <c r="X28" i="36" s="1"/>
  <c r="L332" i="36"/>
  <c r="W496" i="36"/>
  <c r="P378" i="36"/>
  <c r="Q378" i="36" s="1"/>
  <c r="R378" i="36" s="1"/>
  <c r="S378" i="36" s="1"/>
  <c r="T378" i="36" s="1"/>
  <c r="U378" i="36" s="1"/>
  <c r="V378" i="36" s="1"/>
  <c r="W378" i="36" s="1"/>
  <c r="X378" i="36" s="1"/>
  <c r="P369" i="36"/>
  <c r="Q369" i="36" s="1"/>
  <c r="R369" i="36" s="1"/>
  <c r="S369" i="36" s="1"/>
  <c r="T369" i="36" s="1"/>
  <c r="U369" i="36" s="1"/>
  <c r="V369" i="36" s="1"/>
  <c r="W369" i="36" s="1"/>
  <c r="X369" i="36" s="1"/>
  <c r="P72" i="36"/>
  <c r="Q72" i="36" s="1"/>
  <c r="R72" i="36" s="1"/>
  <c r="S72" i="36" s="1"/>
  <c r="T72" i="36" s="1"/>
  <c r="U72" i="36" s="1"/>
  <c r="V72" i="36" s="1"/>
  <c r="W72" i="36" s="1"/>
  <c r="X72" i="36" s="1"/>
  <c r="J332" i="36"/>
  <c r="O444" i="36"/>
  <c r="O160" i="36"/>
  <c r="O161" i="36" s="1"/>
  <c r="O162" i="36"/>
  <c r="O164" i="36" s="1"/>
  <c r="J35" i="36"/>
  <c r="J197" i="36"/>
  <c r="E371" i="36"/>
  <c r="E372" i="36" s="1"/>
  <c r="M36" i="36"/>
  <c r="M113" i="36"/>
  <c r="I371" i="36"/>
  <c r="I372" i="36" s="1"/>
  <c r="I173" i="36"/>
  <c r="I179" i="36" s="1"/>
  <c r="I177" i="36"/>
  <c r="I178" i="36" s="1"/>
  <c r="I47" i="36" s="1"/>
  <c r="L165" i="36"/>
  <c r="H371" i="36"/>
  <c r="H372" i="36" s="1"/>
  <c r="J36" i="36"/>
  <c r="J113" i="36"/>
  <c r="H165" i="36"/>
  <c r="H177" i="36"/>
  <c r="H178" i="36" s="1"/>
  <c r="H47" i="36" s="1"/>
  <c r="H173" i="36"/>
  <c r="H179" i="36" s="1"/>
  <c r="L177" i="36"/>
  <c r="L178" i="36" s="1"/>
  <c r="L47" i="36" s="1"/>
  <c r="L173" i="36"/>
  <c r="L179" i="36" s="1"/>
  <c r="E36" i="36"/>
  <c r="E113" i="36"/>
  <c r="E129" i="36" s="1"/>
  <c r="K380" i="36"/>
  <c r="K381" i="36" s="1"/>
  <c r="E177" i="36"/>
  <c r="E178" i="36" s="1"/>
  <c r="E47" i="36" s="1"/>
  <c r="E173" i="36"/>
  <c r="E179" i="36" s="1"/>
  <c r="D165" i="36"/>
  <c r="F380" i="36"/>
  <c r="F381" i="36" s="1"/>
  <c r="L376" i="36"/>
  <c r="L377" i="36" s="1"/>
  <c r="D405" i="36"/>
  <c r="D406" i="36" s="1"/>
  <c r="L197" i="36"/>
  <c r="O486" i="36"/>
  <c r="G416" i="36"/>
  <c r="F401" i="36"/>
  <c r="F402" i="36"/>
  <c r="N367" i="36"/>
  <c r="O367" i="36" s="1"/>
  <c r="G512" i="36"/>
  <c r="G51" i="36"/>
  <c r="K333" i="36"/>
  <c r="O509" i="36"/>
  <c r="O517" i="36" s="1"/>
  <c r="K367" i="36"/>
  <c r="K368" i="36" s="1"/>
  <c r="Q441" i="36"/>
  <c r="Q219" i="36" s="1"/>
  <c r="L35" i="36"/>
  <c r="E376" i="36"/>
  <c r="E377" i="36" s="1"/>
  <c r="H354" i="36"/>
  <c r="N332" i="36"/>
  <c r="I512" i="36"/>
  <c r="I51" i="36"/>
  <c r="G46" i="36"/>
  <c r="O118" i="36"/>
  <c r="F367" i="36"/>
  <c r="F368" i="36" s="1"/>
  <c r="J333" i="36"/>
  <c r="O202" i="36"/>
  <c r="I36" i="36"/>
  <c r="I113" i="36"/>
  <c r="I129" i="36" s="1"/>
  <c r="P391" i="36"/>
  <c r="P393" i="36" s="1"/>
  <c r="M177" i="36"/>
  <c r="M178" i="36" s="1"/>
  <c r="M47" i="36" s="1"/>
  <c r="M173" i="36"/>
  <c r="M179" i="36" s="1"/>
  <c r="F354" i="36"/>
  <c r="F355" i="36" s="1"/>
  <c r="N149" i="36"/>
  <c r="N150" i="36" s="1"/>
  <c r="J376" i="36"/>
  <c r="J377" i="36" s="1"/>
  <c r="R531" i="36"/>
  <c r="S423" i="36"/>
  <c r="P530" i="36"/>
  <c r="P464" i="36"/>
  <c r="P532" i="36" s="1"/>
  <c r="Q419" i="36"/>
  <c r="P420" i="36"/>
  <c r="O261" i="36"/>
  <c r="I376" i="36"/>
  <c r="I377" i="36" s="1"/>
  <c r="N333" i="36"/>
  <c r="G173" i="36"/>
  <c r="G179" i="36" s="1"/>
  <c r="G177" i="36"/>
  <c r="G178" i="36" s="1"/>
  <c r="G47" i="36" s="1"/>
  <c r="K354" i="36"/>
  <c r="K355" i="36" s="1"/>
  <c r="Q299" i="36"/>
  <c r="J173" i="36"/>
  <c r="J179" i="36" s="1"/>
  <c r="J177" i="36"/>
  <c r="J178" i="36" s="1"/>
  <c r="J47" i="36" s="1"/>
  <c r="M376" i="36"/>
  <c r="M377" i="36" s="1"/>
  <c r="G376" i="36"/>
  <c r="G377" i="36" s="1"/>
  <c r="L333" i="36"/>
  <c r="I46" i="36"/>
  <c r="D376" i="36"/>
  <c r="D377" i="36" s="1"/>
  <c r="O215" i="36"/>
  <c r="H53" i="36"/>
  <c r="R525" i="36"/>
  <c r="R475" i="36"/>
  <c r="P26" i="36"/>
  <c r="O465" i="36"/>
  <c r="O126" i="36" s="1"/>
  <c r="O124" i="36"/>
  <c r="J367" i="36"/>
  <c r="J368" i="36" s="1"/>
  <c r="D197" i="36"/>
  <c r="L354" i="36"/>
  <c r="L355" i="36" s="1"/>
  <c r="H46" i="36"/>
  <c r="R216" i="36"/>
  <c r="G354" i="36"/>
  <c r="G355" i="36" s="1"/>
  <c r="N460" i="36"/>
  <c r="N64" i="36" s="1"/>
  <c r="N376" i="36"/>
  <c r="O376" i="36" s="1"/>
  <c r="P376" i="36" s="1"/>
  <c r="Q376" i="36" s="1"/>
  <c r="R376" i="36" s="1"/>
  <c r="S376" i="36" s="1"/>
  <c r="T376" i="36" s="1"/>
  <c r="U376" i="36" s="1"/>
  <c r="V376" i="36" s="1"/>
  <c r="W376" i="36" s="1"/>
  <c r="X376" i="36" s="1"/>
  <c r="K165" i="36"/>
  <c r="D177" i="36"/>
  <c r="D178" i="36" s="1"/>
  <c r="D47" i="36" s="1"/>
  <c r="D173" i="36"/>
  <c r="D179" i="36" s="1"/>
  <c r="F332" i="36"/>
  <c r="H129" i="36"/>
  <c r="H111" i="36"/>
  <c r="Q118" i="36"/>
  <c r="D354" i="36"/>
  <c r="D355" i="36" s="1"/>
  <c r="E354" i="36"/>
  <c r="E355" i="36" s="1"/>
  <c r="P534" i="36"/>
  <c r="Q478" i="36"/>
  <c r="P480" i="36"/>
  <c r="P120" i="36" s="1"/>
  <c r="M367" i="36"/>
  <c r="M368" i="36" s="1"/>
  <c r="F177" i="36"/>
  <c r="F178" i="36" s="1"/>
  <c r="F47" i="36" s="1"/>
  <c r="F173" i="36"/>
  <c r="F179" i="36" s="1"/>
  <c r="P459" i="36"/>
  <c r="O361" i="36"/>
  <c r="F197" i="36"/>
  <c r="D367" i="36"/>
  <c r="D368" i="36" s="1"/>
  <c r="T252" i="36"/>
  <c r="H512" i="36"/>
  <c r="H51" i="36"/>
  <c r="Q145" i="36"/>
  <c r="K177" i="36"/>
  <c r="K178" i="36" s="1"/>
  <c r="K47" i="36" s="1"/>
  <c r="K173" i="36"/>
  <c r="K179" i="36" s="1"/>
  <c r="N354" i="36"/>
  <c r="O354" i="36" s="1"/>
  <c r="P118" i="36"/>
  <c r="N161" i="36"/>
  <c r="N165" i="36" s="1"/>
  <c r="L367" i="36"/>
  <c r="L368" i="36" s="1"/>
  <c r="M333" i="36"/>
  <c r="G371" i="36"/>
  <c r="G372" i="36" s="1"/>
  <c r="S139" i="40" l="1"/>
  <c r="S186" i="40"/>
  <c r="Q149" i="39"/>
  <c r="Q44" i="39"/>
  <c r="R149" i="41"/>
  <c r="R187" i="41"/>
  <c r="S187" i="41" s="1"/>
  <c r="S21" i="38"/>
  <c r="R22" i="38"/>
  <c r="P400" i="36"/>
  <c r="G403" i="38"/>
  <c r="F405" i="41"/>
  <c r="F406" i="41" s="1"/>
  <c r="R294" i="41"/>
  <c r="Q289" i="41"/>
  <c r="R289" i="41" s="1"/>
  <c r="R318" i="41"/>
  <c r="R319" i="41" s="1"/>
  <c r="O277" i="41"/>
  <c r="P161" i="38"/>
  <c r="P164" i="38"/>
  <c r="Q164" i="38" s="1"/>
  <c r="R164" i="38" s="1"/>
  <c r="S164" i="38" s="1"/>
  <c r="T164" i="38" s="1"/>
  <c r="U164" i="38" s="1"/>
  <c r="V164" i="38" s="1"/>
  <c r="W164" i="38" s="1"/>
  <c r="X164" i="38" s="1"/>
  <c r="Q124" i="38"/>
  <c r="R454" i="38"/>
  <c r="R107" i="38" s="1"/>
  <c r="Q486" i="38"/>
  <c r="G39" i="41"/>
  <c r="G130" i="41" s="1"/>
  <c r="R424" i="38"/>
  <c r="R125" i="38" s="1"/>
  <c r="Q271" i="38"/>
  <c r="Q468" i="38"/>
  <c r="R468" i="38" s="1"/>
  <c r="Q469" i="38"/>
  <c r="Q119" i="38" s="1"/>
  <c r="H39" i="41"/>
  <c r="H130" i="41" s="1"/>
  <c r="Q465" i="38"/>
  <c r="Q126" i="38" s="1"/>
  <c r="P262" i="41"/>
  <c r="O199" i="38"/>
  <c r="P199" i="38" s="1"/>
  <c r="Q303" i="41"/>
  <c r="Q336" i="41" s="1"/>
  <c r="D41" i="41"/>
  <c r="D45" i="41" s="1"/>
  <c r="Q275" i="41"/>
  <c r="R427" i="41"/>
  <c r="S427" i="41" s="1"/>
  <c r="Q276" i="41"/>
  <c r="Q468" i="41"/>
  <c r="R468" i="41" s="1"/>
  <c r="P277" i="41"/>
  <c r="Q469" i="41"/>
  <c r="Q119" i="41" s="1"/>
  <c r="Q89" i="41"/>
  <c r="Q324" i="41"/>
  <c r="Q325" i="41" s="1"/>
  <c r="Q202" i="41"/>
  <c r="P263" i="41"/>
  <c r="R146" i="41"/>
  <c r="R147" i="41" s="1"/>
  <c r="R150" i="41" s="1"/>
  <c r="Q490" i="41"/>
  <c r="P164" i="40"/>
  <c r="Q164" i="40" s="1"/>
  <c r="R164" i="40" s="1"/>
  <c r="S164" i="40" s="1"/>
  <c r="T164" i="40" s="1"/>
  <c r="U164" i="40" s="1"/>
  <c r="V164" i="40" s="1"/>
  <c r="W164" i="40" s="1"/>
  <c r="X164" i="40" s="1"/>
  <c r="M46" i="38"/>
  <c r="E39" i="38"/>
  <c r="E130" i="38" s="1"/>
  <c r="E60" i="41"/>
  <c r="E61" i="41"/>
  <c r="F56" i="41"/>
  <c r="F58" i="41" s="1"/>
  <c r="I39" i="41"/>
  <c r="I130" i="41" s="1"/>
  <c r="I41" i="41"/>
  <c r="G45" i="41"/>
  <c r="G42" i="41"/>
  <c r="Q465" i="41"/>
  <c r="Q126" i="41" s="1"/>
  <c r="Q124" i="41"/>
  <c r="S246" i="41"/>
  <c r="T246" i="41" s="1"/>
  <c r="U246" i="41" s="1"/>
  <c r="V246" i="41" s="1"/>
  <c r="R245" i="41"/>
  <c r="R26" i="41"/>
  <c r="S25" i="41"/>
  <c r="T18" i="41"/>
  <c r="S19" i="41"/>
  <c r="R449" i="41"/>
  <c r="S447" i="41"/>
  <c r="R267" i="41"/>
  <c r="R443" i="41"/>
  <c r="Q444" i="41"/>
  <c r="T252" i="41"/>
  <c r="S525" i="41"/>
  <c r="S475" i="41"/>
  <c r="T472" i="41"/>
  <c r="S314" i="41"/>
  <c r="R315" i="41"/>
  <c r="S310" i="41"/>
  <c r="R311" i="41"/>
  <c r="T216" i="41"/>
  <c r="R459" i="41"/>
  <c r="S288" i="41"/>
  <c r="S299" i="41"/>
  <c r="T237" i="41"/>
  <c r="E50" i="41"/>
  <c r="E49" i="41"/>
  <c r="E52" i="41" s="1"/>
  <c r="F41" i="41"/>
  <c r="F39" i="41"/>
  <c r="F130" i="41" s="1"/>
  <c r="R118" i="41"/>
  <c r="R531" i="41"/>
  <c r="S423" i="41"/>
  <c r="R424" i="41"/>
  <c r="R125" i="41" s="1"/>
  <c r="H42" i="41"/>
  <c r="H45" i="41"/>
  <c r="Q523" i="41"/>
  <c r="P205" i="41"/>
  <c r="O204" i="41"/>
  <c r="T441" i="41"/>
  <c r="S219" i="41"/>
  <c r="R438" i="41"/>
  <c r="S322" i="41"/>
  <c r="R324" i="41"/>
  <c r="R325" i="41" s="1"/>
  <c r="D60" i="41"/>
  <c r="D61" i="41"/>
  <c r="Q502" i="41"/>
  <c r="Q105" i="41"/>
  <c r="R190" i="41"/>
  <c r="Q271" i="41"/>
  <c r="Q274" i="41" s="1"/>
  <c r="S431" i="41"/>
  <c r="R215" i="41"/>
  <c r="Q203" i="41"/>
  <c r="S306" i="41"/>
  <c r="R307" i="41"/>
  <c r="G403" i="41"/>
  <c r="T483" i="41"/>
  <c r="S281" i="41"/>
  <c r="T193" i="41"/>
  <c r="R530" i="41"/>
  <c r="R464" i="41"/>
  <c r="R532" i="41" s="1"/>
  <c r="S419" i="41"/>
  <c r="R420" i="41"/>
  <c r="R75" i="41"/>
  <c r="T145" i="41"/>
  <c r="P502" i="41"/>
  <c r="P105" i="41"/>
  <c r="O264" i="41"/>
  <c r="S43" i="41"/>
  <c r="T148" i="41"/>
  <c r="R484" i="41"/>
  <c r="Q485" i="41"/>
  <c r="Q486" i="41" s="1"/>
  <c r="P509" i="41"/>
  <c r="P517" i="41" s="1"/>
  <c r="R186" i="41"/>
  <c r="S186" i="41" s="1"/>
  <c r="R139" i="41"/>
  <c r="S139" i="41" s="1"/>
  <c r="I416" i="41"/>
  <c r="H401" i="41"/>
  <c r="H402" i="41"/>
  <c r="S433" i="41"/>
  <c r="S21" i="41"/>
  <c r="R22" i="41"/>
  <c r="E42" i="41"/>
  <c r="E45" i="41"/>
  <c r="Q261" i="41"/>
  <c r="R255" i="41"/>
  <c r="S534" i="41"/>
  <c r="S480" i="41"/>
  <c r="S120" i="41" s="1"/>
  <c r="T478" i="41"/>
  <c r="Q496" i="41"/>
  <c r="Q97" i="41"/>
  <c r="S44" i="41"/>
  <c r="R188" i="41"/>
  <c r="S188" i="41" s="1"/>
  <c r="P115" i="41"/>
  <c r="P102" i="41" s="1"/>
  <c r="R454" i="41"/>
  <c r="Q107" i="41"/>
  <c r="R154" i="41"/>
  <c r="L46" i="38"/>
  <c r="R322" i="39"/>
  <c r="R468" i="39" s="1"/>
  <c r="Q469" i="39"/>
  <c r="Q119" i="39" s="1"/>
  <c r="S149" i="40"/>
  <c r="J46" i="38"/>
  <c r="K46" i="38"/>
  <c r="L129" i="38"/>
  <c r="L111" i="38"/>
  <c r="K512" i="38"/>
  <c r="K51" i="38"/>
  <c r="P283" i="38"/>
  <c r="O276" i="38"/>
  <c r="Q147" i="40"/>
  <c r="Q150" i="40" s="1"/>
  <c r="M129" i="38"/>
  <c r="M111" i="38"/>
  <c r="L51" i="38"/>
  <c r="L512" i="38"/>
  <c r="M512" i="38"/>
  <c r="M51" i="38"/>
  <c r="N46" i="38"/>
  <c r="K129" i="38"/>
  <c r="K111" i="38"/>
  <c r="N512" i="38"/>
  <c r="N51" i="38"/>
  <c r="N111" i="38"/>
  <c r="J129" i="38"/>
  <c r="J111" i="38"/>
  <c r="J512" i="38"/>
  <c r="J51" i="38"/>
  <c r="H41" i="40"/>
  <c r="H42" i="40" s="1"/>
  <c r="Q89" i="40"/>
  <c r="R202" i="38"/>
  <c r="Q490" i="40"/>
  <c r="P164" i="39"/>
  <c r="Q164" i="39" s="1"/>
  <c r="R164" i="39" s="1"/>
  <c r="S164" i="39" s="1"/>
  <c r="T164" i="39" s="1"/>
  <c r="U164" i="39" s="1"/>
  <c r="V164" i="39" s="1"/>
  <c r="W164" i="39" s="1"/>
  <c r="X164" i="39" s="1"/>
  <c r="P161" i="39"/>
  <c r="F41" i="38"/>
  <c r="F45" i="38" s="1"/>
  <c r="D61" i="40"/>
  <c r="Q486" i="40"/>
  <c r="R486" i="40" s="1"/>
  <c r="S486" i="40" s="1"/>
  <c r="P491" i="40"/>
  <c r="R177" i="40"/>
  <c r="S177" i="40" s="1"/>
  <c r="Q205" i="38"/>
  <c r="Q202" i="40"/>
  <c r="R150" i="40"/>
  <c r="G41" i="39"/>
  <c r="G45" i="39" s="1"/>
  <c r="N34" i="40"/>
  <c r="N41" i="40" s="1"/>
  <c r="R257" i="39"/>
  <c r="P161" i="40"/>
  <c r="H39" i="38"/>
  <c r="H130" i="38" s="1"/>
  <c r="S269" i="38"/>
  <c r="I39" i="38"/>
  <c r="I130" i="38" s="1"/>
  <c r="R268" i="39"/>
  <c r="I41" i="39"/>
  <c r="I42" i="39" s="1"/>
  <c r="Q203" i="40"/>
  <c r="R424" i="40"/>
  <c r="R125" i="40" s="1"/>
  <c r="G39" i="38"/>
  <c r="G130" i="38" s="1"/>
  <c r="M41" i="38"/>
  <c r="M42" i="38" s="1"/>
  <c r="P262" i="40"/>
  <c r="S260" i="38"/>
  <c r="S268" i="38"/>
  <c r="N46" i="39"/>
  <c r="Q468" i="40"/>
  <c r="O179" i="40"/>
  <c r="O92" i="40" s="1"/>
  <c r="Q203" i="39"/>
  <c r="S259" i="38"/>
  <c r="F39" i="39"/>
  <c r="F130" i="39" s="1"/>
  <c r="P263" i="40"/>
  <c r="R268" i="40"/>
  <c r="J39" i="39"/>
  <c r="J130" i="39" s="1"/>
  <c r="P178" i="40"/>
  <c r="O511" i="40"/>
  <c r="R270" i="39"/>
  <c r="K39" i="39"/>
  <c r="K130" i="39" s="1"/>
  <c r="I39" i="40"/>
  <c r="I130" i="40" s="1"/>
  <c r="R259" i="39"/>
  <c r="R256" i="40"/>
  <c r="O179" i="39"/>
  <c r="P179" i="39" s="1"/>
  <c r="R260" i="40"/>
  <c r="R257" i="40"/>
  <c r="N34" i="38"/>
  <c r="N39" i="38" s="1"/>
  <c r="N130" i="38" s="1"/>
  <c r="R258" i="40"/>
  <c r="E39" i="39"/>
  <c r="E130" i="39" s="1"/>
  <c r="R259" i="40"/>
  <c r="R269" i="40"/>
  <c r="J41" i="40"/>
  <c r="J39" i="40"/>
  <c r="J130" i="40" s="1"/>
  <c r="J41" i="38"/>
  <c r="J42" i="38" s="1"/>
  <c r="S441" i="40"/>
  <c r="R444" i="40"/>
  <c r="R219" i="40"/>
  <c r="R498" i="40" s="1"/>
  <c r="N380" i="40"/>
  <c r="T145" i="40"/>
  <c r="R255" i="40"/>
  <c r="Q261" i="40"/>
  <c r="R118" i="40"/>
  <c r="Q115" i="40"/>
  <c r="Q102" i="40" s="1"/>
  <c r="G41" i="40"/>
  <c r="G39" i="40"/>
  <c r="G130" i="40" s="1"/>
  <c r="U22" i="40"/>
  <c r="V21" i="40"/>
  <c r="S187" i="40"/>
  <c r="I42" i="40"/>
  <c r="I45" i="40"/>
  <c r="T299" i="40"/>
  <c r="U237" i="40"/>
  <c r="L39" i="40"/>
  <c r="L130" i="40" s="1"/>
  <c r="L41" i="40"/>
  <c r="R438" i="40"/>
  <c r="O264" i="40"/>
  <c r="R449" i="40"/>
  <c r="R450" i="40" s="1"/>
  <c r="S447" i="40"/>
  <c r="R490" i="40"/>
  <c r="S146" i="40"/>
  <c r="S147" i="40" s="1"/>
  <c r="R89" i="40"/>
  <c r="N372" i="40"/>
  <c r="Q523" i="40"/>
  <c r="P510" i="40"/>
  <c r="Q354" i="40"/>
  <c r="S188" i="40"/>
  <c r="R459" i="40"/>
  <c r="Q361" i="40"/>
  <c r="T485" i="40"/>
  <c r="U483" i="40"/>
  <c r="S169" i="40"/>
  <c r="R170" i="40"/>
  <c r="R173" i="40" s="1"/>
  <c r="P205" i="40"/>
  <c r="O204" i="40"/>
  <c r="Q491" i="40"/>
  <c r="R154" i="40"/>
  <c r="T19" i="40"/>
  <c r="U18" i="40"/>
  <c r="R281" i="40"/>
  <c r="S193" i="40"/>
  <c r="Q394" i="40"/>
  <c r="Q400" i="40"/>
  <c r="T252" i="40"/>
  <c r="S431" i="40"/>
  <c r="R215" i="40"/>
  <c r="U216" i="40"/>
  <c r="R267" i="40"/>
  <c r="S531" i="40"/>
  <c r="T423" i="40"/>
  <c r="F41" i="40"/>
  <c r="F39" i="40"/>
  <c r="F130" i="40" s="1"/>
  <c r="P508" i="40"/>
  <c r="Q367" i="40"/>
  <c r="S391" i="40"/>
  <c r="R393" i="40"/>
  <c r="R26" i="40"/>
  <c r="S25" i="40"/>
  <c r="D39" i="40"/>
  <c r="D130" i="40" s="1"/>
  <c r="D41" i="40"/>
  <c r="P509" i="40"/>
  <c r="P517" i="40" s="1"/>
  <c r="Q271" i="40"/>
  <c r="R190" i="40"/>
  <c r="M39" i="40"/>
  <c r="M130" i="40" s="1"/>
  <c r="M41" i="40"/>
  <c r="Q450" i="40"/>
  <c r="R534" i="40"/>
  <c r="R480" i="40"/>
  <c r="R120" i="40" s="1"/>
  <c r="S478" i="40"/>
  <c r="E39" i="40"/>
  <c r="E130" i="40" s="1"/>
  <c r="E41" i="40"/>
  <c r="Q465" i="40"/>
  <c r="Q126" i="40" s="1"/>
  <c r="S530" i="40"/>
  <c r="S464" i="40"/>
  <c r="S532" i="40" s="1"/>
  <c r="T419" i="40"/>
  <c r="S420" i="40"/>
  <c r="P73" i="40"/>
  <c r="P457" i="40" s="1"/>
  <c r="X43" i="40"/>
  <c r="P119" i="40"/>
  <c r="Q469" i="40"/>
  <c r="R454" i="40"/>
  <c r="Q107" i="40"/>
  <c r="E56" i="38"/>
  <c r="E58" i="38" s="1"/>
  <c r="E61" i="38" s="1"/>
  <c r="G401" i="40"/>
  <c r="H416" i="40"/>
  <c r="G402" i="40"/>
  <c r="E405" i="40"/>
  <c r="E406" i="40" s="1"/>
  <c r="E56" i="40" s="1"/>
  <c r="E58" i="40" s="1"/>
  <c r="S294" i="40"/>
  <c r="R124" i="40"/>
  <c r="S525" i="40"/>
  <c r="S475" i="40"/>
  <c r="T472" i="40"/>
  <c r="S433" i="40"/>
  <c r="R75" i="40"/>
  <c r="R322" i="40"/>
  <c r="R160" i="40"/>
  <c r="Q161" i="40"/>
  <c r="F403" i="40"/>
  <c r="K39" i="40"/>
  <c r="K130" i="40" s="1"/>
  <c r="K41" i="40"/>
  <c r="P502" i="40"/>
  <c r="P105" i="40"/>
  <c r="N50" i="40"/>
  <c r="N49" i="40"/>
  <c r="N52" i="40" s="1"/>
  <c r="R270" i="40"/>
  <c r="S427" i="40"/>
  <c r="O359" i="40"/>
  <c r="E63" i="40"/>
  <c r="E65" i="40" s="1"/>
  <c r="E66" i="40" s="1"/>
  <c r="S257" i="38"/>
  <c r="R258" i="39"/>
  <c r="N372" i="39"/>
  <c r="Q465" i="39"/>
  <c r="Q126" i="39" s="1"/>
  <c r="D56" i="39"/>
  <c r="D58" i="39" s="1"/>
  <c r="D60" i="39" s="1"/>
  <c r="L41" i="39"/>
  <c r="L42" i="39" s="1"/>
  <c r="H41" i="39"/>
  <c r="H39" i="39"/>
  <c r="H130" i="39" s="1"/>
  <c r="N39" i="39"/>
  <c r="N130" i="39" s="1"/>
  <c r="N41" i="39"/>
  <c r="F403" i="39"/>
  <c r="Q261" i="39"/>
  <c r="R255" i="39"/>
  <c r="T21" i="39"/>
  <c r="S22" i="39"/>
  <c r="R502" i="39"/>
  <c r="R105" i="39"/>
  <c r="R260" i="39"/>
  <c r="R75" i="39"/>
  <c r="R459" i="39"/>
  <c r="Q361" i="39"/>
  <c r="R534" i="39"/>
  <c r="S478" i="39"/>
  <c r="R480" i="39"/>
  <c r="R120" i="39" s="1"/>
  <c r="O511" i="39"/>
  <c r="R299" i="39"/>
  <c r="S237" i="39"/>
  <c r="K41" i="38"/>
  <c r="K42" i="38" s="1"/>
  <c r="J45" i="39"/>
  <c r="J42" i="39"/>
  <c r="G401" i="39"/>
  <c r="H416" i="39"/>
  <c r="G402" i="39"/>
  <c r="E42" i="39"/>
  <c r="E45" i="39"/>
  <c r="Q202" i="39"/>
  <c r="S18" i="39"/>
  <c r="R19" i="39"/>
  <c r="R44" i="39" s="1"/>
  <c r="R531" i="39"/>
  <c r="S423" i="39"/>
  <c r="R424" i="39"/>
  <c r="R125" i="39" s="1"/>
  <c r="S145" i="39"/>
  <c r="U252" i="39"/>
  <c r="O73" i="39"/>
  <c r="O457" i="39" s="1"/>
  <c r="N50" i="39"/>
  <c r="N49" i="39"/>
  <c r="N52" i="39" s="1"/>
  <c r="E405" i="39"/>
  <c r="E406" i="39" s="1"/>
  <c r="E56" i="39" s="1"/>
  <c r="E58" i="39" s="1"/>
  <c r="R269" i="39"/>
  <c r="P491" i="39"/>
  <c r="Q154" i="39"/>
  <c r="R525" i="39"/>
  <c r="R475" i="39"/>
  <c r="S472" i="39"/>
  <c r="T216" i="39"/>
  <c r="E63" i="39"/>
  <c r="E65" i="39" s="1"/>
  <c r="E66" i="39" s="1"/>
  <c r="R124" i="39"/>
  <c r="Q178" i="39"/>
  <c r="D42" i="39"/>
  <c r="D45" i="39"/>
  <c r="Q169" i="39"/>
  <c r="P170" i="39"/>
  <c r="P173" i="39" s="1"/>
  <c r="P508" i="39"/>
  <c r="Q367" i="39"/>
  <c r="P509" i="39"/>
  <c r="P517" i="39" s="1"/>
  <c r="K42" i="39"/>
  <c r="K45" i="39"/>
  <c r="S25" i="39"/>
  <c r="R26" i="39"/>
  <c r="P263" i="39"/>
  <c r="M39" i="39"/>
  <c r="M130" i="39" s="1"/>
  <c r="M41" i="39"/>
  <c r="R444" i="39"/>
  <c r="S441" i="39"/>
  <c r="R219" i="39"/>
  <c r="R281" i="39"/>
  <c r="S193" i="39"/>
  <c r="Q118" i="39"/>
  <c r="R454" i="39"/>
  <c r="Q107" i="39"/>
  <c r="R438" i="39"/>
  <c r="R267" i="39"/>
  <c r="R160" i="39"/>
  <c r="Q161" i="39"/>
  <c r="U483" i="39"/>
  <c r="R256" i="39"/>
  <c r="P205" i="39"/>
  <c r="O204" i="39"/>
  <c r="S530" i="39"/>
  <c r="T419" i="39"/>
  <c r="S420" i="39"/>
  <c r="P262" i="39"/>
  <c r="F42" i="39"/>
  <c r="F45" i="39"/>
  <c r="P523" i="39"/>
  <c r="P498" i="39"/>
  <c r="S449" i="39"/>
  <c r="T447" i="39"/>
  <c r="P394" i="39"/>
  <c r="P400" i="39"/>
  <c r="Q510" i="39"/>
  <c r="R354" i="39"/>
  <c r="S433" i="39"/>
  <c r="R484" i="39"/>
  <c r="Q485" i="39"/>
  <c r="Q486" i="39" s="1"/>
  <c r="P490" i="39"/>
  <c r="Q146" i="39"/>
  <c r="P89" i="39"/>
  <c r="P147" i="39"/>
  <c r="P150" i="39" s="1"/>
  <c r="R464" i="39"/>
  <c r="R532" i="39" s="1"/>
  <c r="Q271" i="39"/>
  <c r="R190" i="39"/>
  <c r="O264" i="39"/>
  <c r="P115" i="39"/>
  <c r="Q115" i="39" s="1"/>
  <c r="Q102" i="39" s="1"/>
  <c r="R431" i="39"/>
  <c r="Q215" i="39"/>
  <c r="S427" i="39"/>
  <c r="R391" i="39"/>
  <c r="Q393" i="39"/>
  <c r="O511" i="38"/>
  <c r="P262" i="38"/>
  <c r="O359" i="38"/>
  <c r="D60" i="38"/>
  <c r="D61" i="38"/>
  <c r="N50" i="38"/>
  <c r="N49" i="38"/>
  <c r="N52" i="38" s="1"/>
  <c r="U216" i="38"/>
  <c r="S531" i="38"/>
  <c r="T423" i="38"/>
  <c r="S438" i="38"/>
  <c r="R281" i="38"/>
  <c r="S193" i="38"/>
  <c r="P306" i="38"/>
  <c r="O307" i="38"/>
  <c r="S19" i="38"/>
  <c r="S188" i="38" s="1"/>
  <c r="T18" i="38"/>
  <c r="R124" i="38"/>
  <c r="Q115" i="38"/>
  <c r="Q102" i="38" s="1"/>
  <c r="R187" i="38"/>
  <c r="R44" i="38"/>
  <c r="N372" i="38"/>
  <c r="Q509" i="38"/>
  <c r="Q517" i="38" s="1"/>
  <c r="S270" i="38"/>
  <c r="R160" i="38"/>
  <c r="Q161" i="38"/>
  <c r="D39" i="38"/>
  <c r="D130" i="38" s="1"/>
  <c r="D41" i="38"/>
  <c r="R149" i="38"/>
  <c r="O179" i="38"/>
  <c r="O92" i="38" s="1"/>
  <c r="S530" i="38"/>
  <c r="T419" i="38"/>
  <c r="S420" i="38"/>
  <c r="S464" i="38"/>
  <c r="S532" i="38" s="1"/>
  <c r="P508" i="38"/>
  <c r="Q367" i="38"/>
  <c r="P510" i="38"/>
  <c r="Q354" i="38"/>
  <c r="I42" i="38"/>
  <c r="I45" i="38"/>
  <c r="F405" i="38"/>
  <c r="F406" i="38" s="1"/>
  <c r="F56" i="38" s="1"/>
  <c r="F58" i="38" s="1"/>
  <c r="Q261" i="38"/>
  <c r="R255" i="38"/>
  <c r="O182" i="38"/>
  <c r="P204" i="38"/>
  <c r="P273" i="38"/>
  <c r="O274" i="38"/>
  <c r="O275" i="38"/>
  <c r="P73" i="38"/>
  <c r="P457" i="38" s="1"/>
  <c r="G405" i="38"/>
  <c r="G406" i="38" s="1"/>
  <c r="G56" i="38" s="1"/>
  <c r="G58" i="38" s="1"/>
  <c r="S534" i="38"/>
  <c r="S480" i="38"/>
  <c r="S120" i="38" s="1"/>
  <c r="T478" i="38"/>
  <c r="T252" i="38"/>
  <c r="T449" i="38"/>
  <c r="T450" i="38" s="1"/>
  <c r="U447" i="38"/>
  <c r="O315" i="38"/>
  <c r="P314" i="38"/>
  <c r="R485" i="38"/>
  <c r="S483" i="38"/>
  <c r="S433" i="38"/>
  <c r="G63" i="38"/>
  <c r="G65" i="38" s="1"/>
  <c r="G66" i="38" s="1"/>
  <c r="S26" i="38"/>
  <c r="T25" i="38"/>
  <c r="R203" i="38"/>
  <c r="R177" i="38"/>
  <c r="R267" i="38"/>
  <c r="R294" i="38"/>
  <c r="S450" i="38"/>
  <c r="P318" i="38"/>
  <c r="O319" i="38"/>
  <c r="P301" i="38"/>
  <c r="O302" i="38"/>
  <c r="O303" i="38" s="1"/>
  <c r="O336" i="38" s="1"/>
  <c r="R271" i="38"/>
  <c r="S190" i="38"/>
  <c r="E42" i="38"/>
  <c r="E45" i="38"/>
  <c r="L39" i="38"/>
  <c r="L41" i="38"/>
  <c r="P523" i="38"/>
  <c r="P498" i="38"/>
  <c r="S256" i="38"/>
  <c r="R186" i="38"/>
  <c r="S186" i="38" s="1"/>
  <c r="R118" i="38"/>
  <c r="R299" i="38"/>
  <c r="S237" i="38"/>
  <c r="R444" i="38"/>
  <c r="S441" i="38"/>
  <c r="R219" i="38"/>
  <c r="O311" i="38"/>
  <c r="P310" i="38"/>
  <c r="Q394" i="38"/>
  <c r="Q400" i="38"/>
  <c r="R169" i="38"/>
  <c r="Q170" i="38"/>
  <c r="Q173" i="38" s="1"/>
  <c r="R431" i="38"/>
  <c r="Q215" i="38"/>
  <c r="S322" i="38"/>
  <c r="P263" i="38"/>
  <c r="H42" i="38"/>
  <c r="H45" i="38"/>
  <c r="R459" i="38"/>
  <c r="Q361" i="38"/>
  <c r="P323" i="38"/>
  <c r="O324" i="38"/>
  <c r="O325" i="38" s="1"/>
  <c r="S391" i="38"/>
  <c r="R393" i="38"/>
  <c r="Q490" i="38"/>
  <c r="R146" i="38"/>
  <c r="R147" i="38" s="1"/>
  <c r="Q89" i="38"/>
  <c r="S258" i="38"/>
  <c r="S525" i="38"/>
  <c r="S475" i="38"/>
  <c r="T472" i="38"/>
  <c r="G42" i="38"/>
  <c r="G45" i="38"/>
  <c r="S75" i="38"/>
  <c r="S427" i="38"/>
  <c r="S145" i="38"/>
  <c r="P288" i="38"/>
  <c r="O289" i="38"/>
  <c r="R139" i="38"/>
  <c r="H401" i="38"/>
  <c r="I416" i="38"/>
  <c r="H402" i="38"/>
  <c r="Q491" i="38"/>
  <c r="R154" i="38"/>
  <c r="O264" i="38"/>
  <c r="M504" i="36"/>
  <c r="M512" i="36" s="1"/>
  <c r="K277" i="36"/>
  <c r="M277" i="36"/>
  <c r="L99" i="36"/>
  <c r="M99" i="36"/>
  <c r="M264" i="36"/>
  <c r="O199" i="36"/>
  <c r="P199" i="36" s="1"/>
  <c r="J504" i="36"/>
  <c r="J51" i="36" s="1"/>
  <c r="K512" i="36"/>
  <c r="K264" i="36"/>
  <c r="R267" i="36"/>
  <c r="N99" i="36"/>
  <c r="J99" i="36"/>
  <c r="K99" i="36"/>
  <c r="H380" i="36"/>
  <c r="H381" i="36" s="1"/>
  <c r="H355" i="36"/>
  <c r="L53" i="36"/>
  <c r="L199" i="36"/>
  <c r="J199" i="36"/>
  <c r="O115" i="36"/>
  <c r="O102" i="36" s="1"/>
  <c r="P203" i="36"/>
  <c r="O205" i="36"/>
  <c r="Q450" i="36"/>
  <c r="R449" i="36"/>
  <c r="R427" i="36"/>
  <c r="J53" i="36"/>
  <c r="P107" i="36"/>
  <c r="P509" i="36" s="1"/>
  <c r="P517" i="36" s="1"/>
  <c r="S193" i="36"/>
  <c r="R281" i="36"/>
  <c r="E53" i="36"/>
  <c r="E199" i="36"/>
  <c r="E200" i="36" s="1"/>
  <c r="E46" i="36" s="1"/>
  <c r="P469" i="36"/>
  <c r="P119" i="36" s="1"/>
  <c r="Q322" i="36"/>
  <c r="R322" i="36" s="1"/>
  <c r="P468" i="36"/>
  <c r="Q485" i="36"/>
  <c r="Q424" i="36"/>
  <c r="Q125" i="36" s="1"/>
  <c r="P444" i="36"/>
  <c r="P485" i="36"/>
  <c r="P486" i="36" s="1"/>
  <c r="N173" i="36"/>
  <c r="N179" i="36" s="1"/>
  <c r="W97" i="36"/>
  <c r="S97" i="36"/>
  <c r="K51" i="36"/>
  <c r="P162" i="36"/>
  <c r="Q162" i="36" s="1"/>
  <c r="R162" i="36" s="1"/>
  <c r="S162" i="36" s="1"/>
  <c r="T162" i="36" s="1"/>
  <c r="U162" i="36" s="1"/>
  <c r="V162" i="36" s="1"/>
  <c r="W162" i="36" s="1"/>
  <c r="X162" i="36" s="1"/>
  <c r="L34" i="36"/>
  <c r="L41" i="36" s="1"/>
  <c r="L42" i="36" s="1"/>
  <c r="V97" i="36"/>
  <c r="V496" i="36"/>
  <c r="Q496" i="36"/>
  <c r="Q97" i="36"/>
  <c r="K34" i="36"/>
  <c r="K39" i="36" s="1"/>
  <c r="P160" i="36"/>
  <c r="P161" i="36" s="1"/>
  <c r="J34" i="36"/>
  <c r="J41" i="36" s="1"/>
  <c r="J42" i="36" s="1"/>
  <c r="R496" i="36"/>
  <c r="R97" i="36"/>
  <c r="U496" i="36"/>
  <c r="U97" i="36"/>
  <c r="G34" i="36"/>
  <c r="G41" i="36" s="1"/>
  <c r="X496" i="36"/>
  <c r="X97" i="36"/>
  <c r="T496" i="36"/>
  <c r="T97" i="36"/>
  <c r="P97" i="36"/>
  <c r="P496" i="36"/>
  <c r="H34" i="36"/>
  <c r="H41" i="36" s="1"/>
  <c r="P163" i="36"/>
  <c r="Q163" i="36" s="1"/>
  <c r="R163" i="36" s="1"/>
  <c r="S163" i="36" s="1"/>
  <c r="T163" i="36" s="1"/>
  <c r="U163" i="36" s="1"/>
  <c r="V163" i="36" s="1"/>
  <c r="W163" i="36" s="1"/>
  <c r="X163" i="36" s="1"/>
  <c r="N200" i="36"/>
  <c r="I50" i="36"/>
  <c r="I49" i="36"/>
  <c r="I52" i="36" s="1"/>
  <c r="J380" i="36"/>
  <c r="J381" i="36" s="1"/>
  <c r="H50" i="36"/>
  <c r="H49" i="36"/>
  <c r="H52" i="36" s="1"/>
  <c r="M50" i="36"/>
  <c r="M49" i="36"/>
  <c r="M52" i="36" s="1"/>
  <c r="G380" i="36"/>
  <c r="G381" i="36" s="1"/>
  <c r="L50" i="36"/>
  <c r="L49" i="36"/>
  <c r="L52" i="36" s="1"/>
  <c r="E380" i="36"/>
  <c r="E381" i="36" s="1"/>
  <c r="E56" i="36" s="1"/>
  <c r="E58" i="36" s="1"/>
  <c r="G50" i="36"/>
  <c r="G49" i="36"/>
  <c r="G52" i="36" s="1"/>
  <c r="J371" i="36"/>
  <c r="J372" i="36" s="1"/>
  <c r="M380" i="36"/>
  <c r="M381" i="36" s="1"/>
  <c r="K50" i="36"/>
  <c r="K49" i="36"/>
  <c r="K52" i="36" s="1"/>
  <c r="D380" i="36"/>
  <c r="D381" i="36" s="1"/>
  <c r="F371" i="36"/>
  <c r="F372" i="36" s="1"/>
  <c r="D50" i="36"/>
  <c r="D49" i="36"/>
  <c r="D52" i="36" s="1"/>
  <c r="D371" i="36"/>
  <c r="D372" i="36" s="1"/>
  <c r="F50" i="36"/>
  <c r="F49" i="36"/>
  <c r="F52" i="36" s="1"/>
  <c r="J50" i="36"/>
  <c r="J49" i="36"/>
  <c r="J52" i="36" s="1"/>
  <c r="L371" i="36"/>
  <c r="L372" i="36" s="1"/>
  <c r="S216" i="36"/>
  <c r="Q391" i="36"/>
  <c r="Q393" i="36" s="1"/>
  <c r="N512" i="36"/>
  <c r="N51" i="36"/>
  <c r="O502" i="36"/>
  <c r="O105" i="36"/>
  <c r="Q26" i="36"/>
  <c r="L512" i="36"/>
  <c r="L51" i="36"/>
  <c r="N368" i="36"/>
  <c r="N355" i="36"/>
  <c r="Q459" i="36"/>
  <c r="P361" i="36"/>
  <c r="E50" i="36"/>
  <c r="E49" i="36"/>
  <c r="E52" i="36" s="1"/>
  <c r="D199" i="36"/>
  <c r="D200" i="36" s="1"/>
  <c r="D46" i="36" s="1"/>
  <c r="D53" i="36"/>
  <c r="O262" i="36"/>
  <c r="O394" i="36"/>
  <c r="O73" i="36" s="1"/>
  <c r="P202" i="36"/>
  <c r="N178" i="36"/>
  <c r="O508" i="36"/>
  <c r="P367" i="36"/>
  <c r="Q444" i="36"/>
  <c r="R441" i="36"/>
  <c r="R219" i="36" s="1"/>
  <c r="E63" i="36"/>
  <c r="E65" i="36" s="1"/>
  <c r="E66" i="36" s="1"/>
  <c r="O523" i="36"/>
  <c r="S531" i="36"/>
  <c r="T423" i="36"/>
  <c r="F403" i="36"/>
  <c r="O510" i="36"/>
  <c r="P354" i="36"/>
  <c r="L380" i="36"/>
  <c r="L381" i="36" s="1"/>
  <c r="N377" i="36"/>
  <c r="S525" i="36"/>
  <c r="S475" i="36"/>
  <c r="P215" i="36"/>
  <c r="O165" i="36"/>
  <c r="R299" i="36"/>
  <c r="O498" i="36"/>
  <c r="I380" i="36"/>
  <c r="I381" i="36" s="1"/>
  <c r="H416" i="36"/>
  <c r="G401" i="36"/>
  <c r="G402" i="36"/>
  <c r="M34" i="36"/>
  <c r="R454" i="36"/>
  <c r="Q107" i="36"/>
  <c r="F199" i="36"/>
  <c r="F200" i="36" s="1"/>
  <c r="F46" i="36" s="1"/>
  <c r="F53" i="36"/>
  <c r="M371" i="36"/>
  <c r="M372" i="36" s="1"/>
  <c r="R118" i="36"/>
  <c r="P465" i="36"/>
  <c r="P126" i="36" s="1"/>
  <c r="P124" i="36"/>
  <c r="K371" i="36"/>
  <c r="K372" i="36" s="1"/>
  <c r="D34" i="36"/>
  <c r="I34" i="36"/>
  <c r="R145" i="36"/>
  <c r="P261" i="36"/>
  <c r="N277" i="36"/>
  <c r="D63" i="36"/>
  <c r="D65" i="36" s="1"/>
  <c r="D66" i="36" s="1"/>
  <c r="Q530" i="36"/>
  <c r="Q464" i="36"/>
  <c r="Q532" i="36" s="1"/>
  <c r="Q420" i="36"/>
  <c r="R419" i="36"/>
  <c r="F34" i="36"/>
  <c r="U252" i="36"/>
  <c r="Q480" i="36"/>
  <c r="Q534" i="36"/>
  <c r="R478" i="36"/>
  <c r="O263" i="36"/>
  <c r="R75" i="36"/>
  <c r="R485" i="36"/>
  <c r="E34" i="36"/>
  <c r="S294" i="38" l="1"/>
  <c r="S187" i="38"/>
  <c r="S139" i="38"/>
  <c r="T294" i="40"/>
  <c r="T21" i="38"/>
  <c r="S22" i="38"/>
  <c r="G403" i="36"/>
  <c r="G63" i="36" s="1"/>
  <c r="G65" i="36" s="1"/>
  <c r="G66" i="36" s="1"/>
  <c r="S294" i="41"/>
  <c r="Q400" i="36"/>
  <c r="S149" i="41"/>
  <c r="S318" i="41"/>
  <c r="T318" i="41" s="1"/>
  <c r="P165" i="38"/>
  <c r="Q165" i="38"/>
  <c r="R486" i="38"/>
  <c r="S454" i="38"/>
  <c r="T454" i="38" s="1"/>
  <c r="S424" i="38"/>
  <c r="S125" i="38" s="1"/>
  <c r="R469" i="38"/>
  <c r="R119" i="38" s="1"/>
  <c r="R465" i="38"/>
  <c r="R126" i="38" s="1"/>
  <c r="S150" i="40"/>
  <c r="D42" i="41"/>
  <c r="P165" i="40"/>
  <c r="R275" i="41"/>
  <c r="P264" i="41"/>
  <c r="R202" i="41"/>
  <c r="Q165" i="39"/>
  <c r="Q277" i="41"/>
  <c r="R469" i="41"/>
  <c r="R119" i="41" s="1"/>
  <c r="S146" i="41"/>
  <c r="S147" i="41" s="1"/>
  <c r="G42" i="39"/>
  <c r="R203" i="41"/>
  <c r="Q263" i="41"/>
  <c r="R469" i="39"/>
  <c r="R119" i="39" s="1"/>
  <c r="R89" i="41"/>
  <c r="S322" i="39"/>
  <c r="T322" i="39" s="1"/>
  <c r="T149" i="40"/>
  <c r="U149" i="40" s="1"/>
  <c r="R490" i="41"/>
  <c r="Q205" i="41"/>
  <c r="G405" i="41"/>
  <c r="G406" i="41" s="1"/>
  <c r="G56" i="41" s="1"/>
  <c r="G58" i="41" s="1"/>
  <c r="G63" i="41"/>
  <c r="G65" i="41" s="1"/>
  <c r="G66" i="41" s="1"/>
  <c r="T322" i="41"/>
  <c r="S324" i="41"/>
  <c r="S325" i="41" s="1"/>
  <c r="S454" i="41"/>
  <c r="R107" i="41"/>
  <c r="R261" i="41"/>
  <c r="S255" i="41"/>
  <c r="H403" i="41"/>
  <c r="S468" i="41"/>
  <c r="F60" i="41"/>
  <c r="F61" i="41"/>
  <c r="T431" i="41"/>
  <c r="S215" i="41"/>
  <c r="S438" i="41"/>
  <c r="S289" i="41"/>
  <c r="T288" i="41"/>
  <c r="T310" i="41"/>
  <c r="S311" i="41"/>
  <c r="S118" i="41"/>
  <c r="S26" i="41"/>
  <c r="T25" i="41"/>
  <c r="S267" i="41"/>
  <c r="S245" i="41"/>
  <c r="U193" i="41"/>
  <c r="T281" i="41"/>
  <c r="R523" i="41"/>
  <c r="T21" i="41"/>
  <c r="S22" i="41"/>
  <c r="U148" i="41"/>
  <c r="T43" i="41"/>
  <c r="R276" i="41"/>
  <c r="U483" i="41"/>
  <c r="T427" i="41"/>
  <c r="U252" i="41"/>
  <c r="Q509" i="41"/>
  <c r="Q517" i="41" s="1"/>
  <c r="F42" i="41"/>
  <c r="F45" i="41"/>
  <c r="T19" i="41"/>
  <c r="T188" i="41" s="1"/>
  <c r="U18" i="41"/>
  <c r="T534" i="41"/>
  <c r="T480" i="41"/>
  <c r="T120" i="41" s="1"/>
  <c r="U478" i="41"/>
  <c r="S190" i="41"/>
  <c r="R271" i="41"/>
  <c r="R274" i="41" s="1"/>
  <c r="U441" i="41"/>
  <c r="T219" i="41"/>
  <c r="S459" i="41"/>
  <c r="T314" i="41"/>
  <c r="S315" i="41"/>
  <c r="T245" i="41"/>
  <c r="I401" i="41"/>
  <c r="J416" i="41"/>
  <c r="K416" i="41" s="1"/>
  <c r="I402" i="41"/>
  <c r="S307" i="41"/>
  <c r="T306" i="41"/>
  <c r="T525" i="41"/>
  <c r="T475" i="41"/>
  <c r="U472" i="41"/>
  <c r="R465" i="41"/>
  <c r="R126" i="41" s="1"/>
  <c r="R124" i="41"/>
  <c r="R498" i="41"/>
  <c r="U216" i="41"/>
  <c r="Q115" i="41"/>
  <c r="Q102" i="41" s="1"/>
  <c r="U245" i="41"/>
  <c r="W246" i="41"/>
  <c r="X246" i="41" s="1"/>
  <c r="V245" i="41"/>
  <c r="R450" i="41"/>
  <c r="S484" i="41"/>
  <c r="R485" i="41"/>
  <c r="R486" i="41" s="1"/>
  <c r="S75" i="41"/>
  <c r="O182" i="41"/>
  <c r="P204" i="41"/>
  <c r="S154" i="41"/>
  <c r="T433" i="41"/>
  <c r="U145" i="41"/>
  <c r="S530" i="41"/>
  <c r="S420" i="41"/>
  <c r="S464" i="41"/>
  <c r="S532" i="41" s="1"/>
  <c r="T419" i="41"/>
  <c r="Q262" i="41"/>
  <c r="S531" i="41"/>
  <c r="T423" i="41"/>
  <c r="S424" i="41"/>
  <c r="S125" i="41" s="1"/>
  <c r="T299" i="41"/>
  <c r="U237" i="41"/>
  <c r="S443" i="41"/>
  <c r="R444" i="41"/>
  <c r="S449" i="41"/>
  <c r="S450" i="41" s="1"/>
  <c r="T447" i="41"/>
  <c r="R496" i="41"/>
  <c r="R97" i="41"/>
  <c r="I42" i="41"/>
  <c r="I45" i="41"/>
  <c r="F42" i="38"/>
  <c r="Q199" i="38"/>
  <c r="R199" i="38" s="1"/>
  <c r="L130" i="38"/>
  <c r="Q165" i="40"/>
  <c r="K130" i="38"/>
  <c r="H45" i="40"/>
  <c r="M130" i="38"/>
  <c r="J130" i="38"/>
  <c r="S202" i="38"/>
  <c r="P165" i="39"/>
  <c r="P179" i="40"/>
  <c r="P92" i="40" s="1"/>
  <c r="Q205" i="40"/>
  <c r="R178" i="40"/>
  <c r="R203" i="40"/>
  <c r="Q204" i="38"/>
  <c r="R203" i="39"/>
  <c r="N39" i="40"/>
  <c r="N130" i="40" s="1"/>
  <c r="T486" i="40"/>
  <c r="S256" i="40"/>
  <c r="S424" i="40"/>
  <c r="S125" i="40" s="1"/>
  <c r="I45" i="39"/>
  <c r="Q205" i="39"/>
  <c r="E60" i="38"/>
  <c r="T269" i="38"/>
  <c r="M45" i="38"/>
  <c r="Q262" i="40"/>
  <c r="R202" i="40"/>
  <c r="P264" i="40"/>
  <c r="R150" i="38"/>
  <c r="S270" i="40"/>
  <c r="S257" i="40"/>
  <c r="S260" i="40"/>
  <c r="S269" i="40"/>
  <c r="O92" i="39"/>
  <c r="S259" i="40"/>
  <c r="P92" i="39"/>
  <c r="Q263" i="40"/>
  <c r="R465" i="40"/>
  <c r="R126" i="40" s="1"/>
  <c r="Q179" i="39"/>
  <c r="D61" i="39"/>
  <c r="Q263" i="38"/>
  <c r="N41" i="38"/>
  <c r="N42" i="38" s="1"/>
  <c r="L45" i="39"/>
  <c r="T258" i="38"/>
  <c r="K45" i="38"/>
  <c r="Q262" i="39"/>
  <c r="J45" i="38"/>
  <c r="Q262" i="38"/>
  <c r="E60" i="40"/>
  <c r="E61" i="40"/>
  <c r="P359" i="40"/>
  <c r="S322" i="40"/>
  <c r="R468" i="40"/>
  <c r="P179" i="38"/>
  <c r="P92" i="38" s="1"/>
  <c r="F405" i="40"/>
  <c r="F406" i="40" s="1"/>
  <c r="F56" i="40" s="1"/>
  <c r="F58" i="40" s="1"/>
  <c r="F63" i="40"/>
  <c r="F65" i="40" s="1"/>
  <c r="F66" i="40" s="1"/>
  <c r="S75" i="40"/>
  <c r="S454" i="40"/>
  <c r="R107" i="40"/>
  <c r="T530" i="40"/>
  <c r="T464" i="40"/>
  <c r="T532" i="40" s="1"/>
  <c r="U419" i="40"/>
  <c r="T420" i="40"/>
  <c r="R271" i="40"/>
  <c r="S190" i="40"/>
  <c r="T25" i="40"/>
  <c r="S26" i="40"/>
  <c r="R502" i="40"/>
  <c r="R105" i="40"/>
  <c r="R523" i="40"/>
  <c r="U19" i="40"/>
  <c r="U294" i="40" s="1"/>
  <c r="V18" i="40"/>
  <c r="T169" i="40"/>
  <c r="S170" i="40"/>
  <c r="S173" i="40" s="1"/>
  <c r="S438" i="40"/>
  <c r="T177" i="40"/>
  <c r="S178" i="40"/>
  <c r="U145" i="40"/>
  <c r="T186" i="40"/>
  <c r="U186" i="40" s="1"/>
  <c r="S255" i="40"/>
  <c r="R261" i="40"/>
  <c r="Q119" i="40"/>
  <c r="R469" i="40"/>
  <c r="S534" i="40"/>
  <c r="S480" i="40"/>
  <c r="S120" i="40" s="1"/>
  <c r="T478" i="40"/>
  <c r="S267" i="40"/>
  <c r="T431" i="40"/>
  <c r="S215" i="40"/>
  <c r="U485" i="40"/>
  <c r="V483" i="40"/>
  <c r="S258" i="40"/>
  <c r="R115" i="40"/>
  <c r="R102" i="40" s="1"/>
  <c r="J42" i="40"/>
  <c r="J45" i="40"/>
  <c r="Q509" i="40"/>
  <c r="Q517" i="40" s="1"/>
  <c r="S124" i="40"/>
  <c r="E42" i="40"/>
  <c r="E45" i="40"/>
  <c r="O375" i="40"/>
  <c r="O377" i="40" s="1"/>
  <c r="O380" i="40" s="1"/>
  <c r="O366" i="40"/>
  <c r="O368" i="40" s="1"/>
  <c r="O397" i="40"/>
  <c r="O353" i="40"/>
  <c r="T44" i="40"/>
  <c r="U44" i="40" s="1"/>
  <c r="H401" i="40"/>
  <c r="I416" i="40"/>
  <c r="H402" i="40"/>
  <c r="R394" i="40"/>
  <c r="R400" i="40"/>
  <c r="U252" i="40"/>
  <c r="Q73" i="40"/>
  <c r="Q457" i="40" s="1"/>
  <c r="S444" i="40"/>
  <c r="T441" i="40"/>
  <c r="S219" i="40"/>
  <c r="S490" i="40"/>
  <c r="T146" i="40"/>
  <c r="T147" i="40" s="1"/>
  <c r="S89" i="40"/>
  <c r="O332" i="38"/>
  <c r="O208" i="38" s="1"/>
  <c r="T433" i="40"/>
  <c r="G403" i="40"/>
  <c r="T391" i="40"/>
  <c r="S393" i="40"/>
  <c r="R491" i="40"/>
  <c r="S154" i="40"/>
  <c r="S449" i="40"/>
  <c r="T447" i="40"/>
  <c r="U299" i="40"/>
  <c r="V237" i="40"/>
  <c r="G42" i="40"/>
  <c r="G45" i="40"/>
  <c r="T139" i="40"/>
  <c r="Q263" i="39"/>
  <c r="T427" i="40"/>
  <c r="S160" i="40"/>
  <c r="R161" i="40"/>
  <c r="R165" i="40" s="1"/>
  <c r="T525" i="40"/>
  <c r="T475" i="40"/>
  <c r="U472" i="40"/>
  <c r="Q502" i="40"/>
  <c r="Q105" i="40"/>
  <c r="D42" i="40"/>
  <c r="D45" i="40"/>
  <c r="Q508" i="40"/>
  <c r="R367" i="40"/>
  <c r="F45" i="40"/>
  <c r="F42" i="40"/>
  <c r="S281" i="40"/>
  <c r="T193" i="40"/>
  <c r="S459" i="40"/>
  <c r="R361" i="40"/>
  <c r="S118" i="40"/>
  <c r="S268" i="40"/>
  <c r="P511" i="40"/>
  <c r="V216" i="40"/>
  <c r="P204" i="40"/>
  <c r="O182" i="40"/>
  <c r="T188" i="40"/>
  <c r="L42" i="40"/>
  <c r="L45" i="40"/>
  <c r="N45" i="40"/>
  <c r="N42" i="40"/>
  <c r="K42" i="40"/>
  <c r="K45" i="40"/>
  <c r="M42" i="40"/>
  <c r="M45" i="40"/>
  <c r="T531" i="40"/>
  <c r="U423" i="40"/>
  <c r="Q510" i="40"/>
  <c r="R354" i="40"/>
  <c r="T187" i="40"/>
  <c r="V22" i="40"/>
  <c r="W21" i="40"/>
  <c r="N381" i="40"/>
  <c r="S203" i="38"/>
  <c r="R465" i="39"/>
  <c r="R126" i="39" s="1"/>
  <c r="P264" i="39"/>
  <c r="P511" i="39"/>
  <c r="T259" i="38"/>
  <c r="P511" i="38"/>
  <c r="E60" i="39"/>
  <c r="E61" i="39"/>
  <c r="S26" i="39"/>
  <c r="T25" i="39"/>
  <c r="Q394" i="39"/>
  <c r="Q400" i="39"/>
  <c r="S431" i="39"/>
  <c r="R215" i="39"/>
  <c r="S464" i="39"/>
  <c r="S532" i="39" s="1"/>
  <c r="S256" i="39"/>
  <c r="S160" i="39"/>
  <c r="R161" i="39"/>
  <c r="R165" i="39" s="1"/>
  <c r="S259" i="39"/>
  <c r="R188" i="39"/>
  <c r="Q491" i="39"/>
  <c r="R154" i="39"/>
  <c r="S257" i="39"/>
  <c r="S19" i="39"/>
  <c r="S44" i="39" s="1"/>
  <c r="T18" i="39"/>
  <c r="G403" i="39"/>
  <c r="S534" i="39"/>
  <c r="S480" i="39"/>
  <c r="S120" i="39" s="1"/>
  <c r="T478" i="39"/>
  <c r="S268" i="39"/>
  <c r="S391" i="39"/>
  <c r="R393" i="39"/>
  <c r="Q490" i="39"/>
  <c r="R146" i="39"/>
  <c r="Q89" i="39"/>
  <c r="Q147" i="39"/>
  <c r="Q150" i="39" s="1"/>
  <c r="T433" i="39"/>
  <c r="P73" i="39"/>
  <c r="P457" i="39" s="1"/>
  <c r="P204" i="39"/>
  <c r="O182" i="39"/>
  <c r="V483" i="39"/>
  <c r="S438" i="39"/>
  <c r="S444" i="39"/>
  <c r="T441" i="39"/>
  <c r="S219" i="39"/>
  <c r="U216" i="39"/>
  <c r="O359" i="39"/>
  <c r="R202" i="39"/>
  <c r="S484" i="39"/>
  <c r="R485" i="39"/>
  <c r="R486" i="39" s="1"/>
  <c r="T530" i="39"/>
  <c r="U419" i="39"/>
  <c r="T420" i="39"/>
  <c r="H401" i="39"/>
  <c r="I416" i="39"/>
  <c r="H402" i="39"/>
  <c r="T427" i="39"/>
  <c r="P102" i="39"/>
  <c r="R510" i="39"/>
  <c r="S354" i="39"/>
  <c r="T449" i="39"/>
  <c r="U447" i="39"/>
  <c r="R186" i="39"/>
  <c r="Q509" i="39"/>
  <c r="Q517" i="39" s="1"/>
  <c r="R115" i="39"/>
  <c r="R102" i="39" s="1"/>
  <c r="R177" i="39"/>
  <c r="Q523" i="39"/>
  <c r="Q498" i="39"/>
  <c r="S260" i="39"/>
  <c r="R294" i="39"/>
  <c r="T256" i="38"/>
  <c r="S450" i="39"/>
  <c r="R139" i="39"/>
  <c r="S454" i="39"/>
  <c r="R107" i="39"/>
  <c r="M42" i="39"/>
  <c r="M45" i="39"/>
  <c r="Q508" i="39"/>
  <c r="R367" i="39"/>
  <c r="S525" i="39"/>
  <c r="S475" i="39"/>
  <c r="T472" i="39"/>
  <c r="R187" i="39"/>
  <c r="S299" i="39"/>
  <c r="T237" i="39"/>
  <c r="S459" i="39"/>
  <c r="R361" i="39"/>
  <c r="T22" i="39"/>
  <c r="U21" i="39"/>
  <c r="N42" i="39"/>
  <c r="N45" i="39"/>
  <c r="T145" i="39"/>
  <c r="R271" i="39"/>
  <c r="S190" i="39"/>
  <c r="S258" i="39"/>
  <c r="S267" i="39"/>
  <c r="R118" i="39"/>
  <c r="S269" i="39"/>
  <c r="S255" i="39"/>
  <c r="R261" i="39"/>
  <c r="T268" i="38"/>
  <c r="S270" i="39"/>
  <c r="R149" i="39"/>
  <c r="S281" i="39"/>
  <c r="T193" i="39"/>
  <c r="V252" i="39"/>
  <c r="S531" i="39"/>
  <c r="T423" i="39"/>
  <c r="S424" i="39"/>
  <c r="S125" i="39" s="1"/>
  <c r="S75" i="39"/>
  <c r="S124" i="39"/>
  <c r="R169" i="39"/>
  <c r="Q170" i="39"/>
  <c r="Q173" i="39" s="1"/>
  <c r="F405" i="39"/>
  <c r="F406" i="39" s="1"/>
  <c r="F56" i="39" s="1"/>
  <c r="F58" i="39" s="1"/>
  <c r="F63" i="39"/>
  <c r="F65" i="39" s="1"/>
  <c r="F66" i="39" s="1"/>
  <c r="H42" i="39"/>
  <c r="H45" i="39"/>
  <c r="P275" i="38"/>
  <c r="R205" i="38"/>
  <c r="G61" i="38"/>
  <c r="G60" i="38"/>
  <c r="P359" i="38"/>
  <c r="F60" i="38"/>
  <c r="F61" i="38"/>
  <c r="H403" i="38"/>
  <c r="Q73" i="38"/>
  <c r="Q457" i="38" s="1"/>
  <c r="R115" i="38"/>
  <c r="R102" i="38" s="1"/>
  <c r="P182" i="38"/>
  <c r="R509" i="38"/>
  <c r="R517" i="38" s="1"/>
  <c r="I401" i="38"/>
  <c r="J416" i="38"/>
  <c r="I402" i="38"/>
  <c r="S177" i="38"/>
  <c r="R178" i="38"/>
  <c r="S485" i="38"/>
  <c r="T483" i="38"/>
  <c r="T525" i="38"/>
  <c r="T475" i="38"/>
  <c r="U472" i="38"/>
  <c r="S169" i="38"/>
  <c r="R170" i="38"/>
  <c r="R173" i="38" s="1"/>
  <c r="S299" i="38"/>
  <c r="T237" i="38"/>
  <c r="U25" i="38"/>
  <c r="T26" i="38"/>
  <c r="S255" i="38"/>
  <c r="R261" i="38"/>
  <c r="S124" i="38"/>
  <c r="S44" i="38"/>
  <c r="T19" i="38"/>
  <c r="T188" i="38" s="1"/>
  <c r="U18" i="38"/>
  <c r="T438" i="38"/>
  <c r="O353" i="38"/>
  <c r="O366" i="38"/>
  <c r="O368" i="38" s="1"/>
  <c r="O397" i="38"/>
  <c r="O375" i="38"/>
  <c r="O377" i="38" s="1"/>
  <c r="S118" i="38"/>
  <c r="R490" i="38"/>
  <c r="S146" i="38"/>
  <c r="S147" i="38" s="1"/>
  <c r="R89" i="38"/>
  <c r="Q323" i="38"/>
  <c r="P324" i="38"/>
  <c r="P325" i="38" s="1"/>
  <c r="Q310" i="38"/>
  <c r="P311" i="38"/>
  <c r="S271" i="38"/>
  <c r="T190" i="38"/>
  <c r="S502" i="38"/>
  <c r="S105" i="38"/>
  <c r="S267" i="38"/>
  <c r="U252" i="38"/>
  <c r="Q510" i="38"/>
  <c r="R354" i="38"/>
  <c r="T530" i="38"/>
  <c r="U419" i="38"/>
  <c r="T420" i="38"/>
  <c r="T464" i="38"/>
  <c r="T532" i="38" s="1"/>
  <c r="S160" i="38"/>
  <c r="R161" i="38"/>
  <c r="R165" i="38" s="1"/>
  <c r="T531" i="38"/>
  <c r="U423" i="38"/>
  <c r="Q288" i="38"/>
  <c r="P289" i="38"/>
  <c r="P315" i="38"/>
  <c r="Q314" i="38"/>
  <c r="S149" i="38"/>
  <c r="S431" i="38"/>
  <c r="R215" i="38"/>
  <c r="S444" i="38"/>
  <c r="T441" i="38"/>
  <c r="S219" i="38"/>
  <c r="R491" i="38"/>
  <c r="S154" i="38"/>
  <c r="T427" i="38"/>
  <c r="S459" i="38"/>
  <c r="R361" i="38"/>
  <c r="T502" i="38"/>
  <c r="T105" i="38"/>
  <c r="T433" i="38"/>
  <c r="T257" i="38"/>
  <c r="Q306" i="38"/>
  <c r="P307" i="38"/>
  <c r="Q318" i="38"/>
  <c r="P319" i="38"/>
  <c r="R394" i="38"/>
  <c r="R400" i="38"/>
  <c r="T322" i="38"/>
  <c r="Q301" i="38"/>
  <c r="P302" i="38"/>
  <c r="P303" i="38" s="1"/>
  <c r="P336" i="38" s="1"/>
  <c r="P264" i="38"/>
  <c r="U449" i="38"/>
  <c r="V447" i="38"/>
  <c r="T534" i="38"/>
  <c r="T480" i="38"/>
  <c r="T120" i="38" s="1"/>
  <c r="U478" i="38"/>
  <c r="O277" i="38"/>
  <c r="T270" i="38"/>
  <c r="S281" i="38"/>
  <c r="T193" i="38"/>
  <c r="S468" i="38"/>
  <c r="T145" i="38"/>
  <c r="T75" i="38"/>
  <c r="T391" i="38"/>
  <c r="S393" i="38"/>
  <c r="Q523" i="38"/>
  <c r="Q498" i="38"/>
  <c r="L42" i="38"/>
  <c r="L45" i="38"/>
  <c r="T260" i="38"/>
  <c r="Q273" i="38"/>
  <c r="P274" i="38"/>
  <c r="Q508" i="38"/>
  <c r="R367" i="38"/>
  <c r="D42" i="38"/>
  <c r="D45" i="38"/>
  <c r="V216" i="38"/>
  <c r="P276" i="38"/>
  <c r="K46" i="36"/>
  <c r="M51" i="36"/>
  <c r="J129" i="36"/>
  <c r="M46" i="36"/>
  <c r="J200" i="36"/>
  <c r="K129" i="36"/>
  <c r="K130" i="36" s="1"/>
  <c r="K111" i="36"/>
  <c r="Q199" i="36"/>
  <c r="L200" i="36"/>
  <c r="N129" i="36"/>
  <c r="N111" i="36"/>
  <c r="M129" i="36"/>
  <c r="M111" i="36"/>
  <c r="S267" i="36"/>
  <c r="L129" i="36"/>
  <c r="L111" i="36"/>
  <c r="J111" i="36"/>
  <c r="J512" i="36"/>
  <c r="P115" i="36"/>
  <c r="Q115" i="36" s="1"/>
  <c r="Q102" i="36" s="1"/>
  <c r="P205" i="36"/>
  <c r="O204" i="36"/>
  <c r="Q203" i="36"/>
  <c r="R450" i="36"/>
  <c r="S449" i="36"/>
  <c r="S450" i="36" s="1"/>
  <c r="S427" i="36"/>
  <c r="N46" i="36"/>
  <c r="S281" i="36"/>
  <c r="T193" i="36"/>
  <c r="Q468" i="36"/>
  <c r="R468" i="36" s="1"/>
  <c r="Q469" i="36"/>
  <c r="Q119" i="36" s="1"/>
  <c r="Q486" i="36"/>
  <c r="R486" i="36" s="1"/>
  <c r="R424" i="36"/>
  <c r="R125" i="36" s="1"/>
  <c r="P164" i="36"/>
  <c r="Q164" i="36" s="1"/>
  <c r="R164" i="36" s="1"/>
  <c r="S164" i="36" s="1"/>
  <c r="T164" i="36" s="1"/>
  <c r="U164" i="36" s="1"/>
  <c r="V164" i="36" s="1"/>
  <c r="W164" i="36" s="1"/>
  <c r="X164" i="36" s="1"/>
  <c r="N34" i="36"/>
  <c r="N39" i="36" s="1"/>
  <c r="D56" i="36"/>
  <c r="D58" i="36" s="1"/>
  <c r="D60" i="36" s="1"/>
  <c r="Q160" i="36"/>
  <c r="Q161" i="36" s="1"/>
  <c r="L39" i="36"/>
  <c r="K41" i="36"/>
  <c r="K42" i="36" s="1"/>
  <c r="G39" i="36"/>
  <c r="G130" i="36" s="1"/>
  <c r="N47" i="36"/>
  <c r="N50" i="36" s="1"/>
  <c r="H39" i="36"/>
  <c r="H130" i="36" s="1"/>
  <c r="Q202" i="36"/>
  <c r="J39" i="36"/>
  <c r="P502" i="36"/>
  <c r="P105" i="36"/>
  <c r="P523" i="36"/>
  <c r="N380" i="36"/>
  <c r="N381" i="36" s="1"/>
  <c r="N371" i="36"/>
  <c r="O371" i="36" s="1"/>
  <c r="P371" i="36" s="1"/>
  <c r="Q371" i="36" s="1"/>
  <c r="R371" i="36" s="1"/>
  <c r="S371" i="36" s="1"/>
  <c r="T371" i="36" s="1"/>
  <c r="U371" i="36" s="1"/>
  <c r="V371" i="36" s="1"/>
  <c r="W371" i="36" s="1"/>
  <c r="X371" i="36" s="1"/>
  <c r="Q261" i="36"/>
  <c r="Q215" i="36"/>
  <c r="Q498" i="36" s="1"/>
  <c r="O457" i="36"/>
  <c r="V252" i="36"/>
  <c r="S75" i="36"/>
  <c r="G405" i="36"/>
  <c r="G406" i="36" s="1"/>
  <c r="G56" i="36" s="1"/>
  <c r="G58" i="36" s="1"/>
  <c r="T525" i="36"/>
  <c r="T475" i="36"/>
  <c r="P394" i="36"/>
  <c r="P73" i="36" s="1"/>
  <c r="Q465" i="36"/>
  <c r="Q126" i="36" s="1"/>
  <c r="Q124" i="36"/>
  <c r="H42" i="36"/>
  <c r="H45" i="36"/>
  <c r="R534" i="36"/>
  <c r="R480" i="36"/>
  <c r="S478" i="36"/>
  <c r="S145" i="36"/>
  <c r="H401" i="36"/>
  <c r="I416" i="36"/>
  <c r="H402" i="36"/>
  <c r="S118" i="36"/>
  <c r="J45" i="36"/>
  <c r="P262" i="36"/>
  <c r="R391" i="36"/>
  <c r="R393" i="36" s="1"/>
  <c r="P498" i="36"/>
  <c r="F405" i="36"/>
  <c r="F406" i="36" s="1"/>
  <c r="F56" i="36" s="1"/>
  <c r="F58" i="36" s="1"/>
  <c r="R26" i="36"/>
  <c r="E39" i="36"/>
  <c r="E130" i="36" s="1"/>
  <c r="E41" i="36"/>
  <c r="P263" i="36"/>
  <c r="S299" i="36"/>
  <c r="O264" i="36"/>
  <c r="S485" i="36"/>
  <c r="Q120" i="36"/>
  <c r="F41" i="36"/>
  <c r="F39" i="36"/>
  <c r="F130" i="36" s="1"/>
  <c r="M39" i="36"/>
  <c r="M41" i="36"/>
  <c r="M42" i="36" s="1"/>
  <c r="T531" i="36"/>
  <c r="U423" i="36"/>
  <c r="G45" i="36"/>
  <c r="G42" i="36"/>
  <c r="L45" i="36"/>
  <c r="S322" i="36"/>
  <c r="E60" i="36"/>
  <c r="E61" i="36"/>
  <c r="I41" i="36"/>
  <c r="I39" i="36"/>
  <c r="I130" i="36" s="1"/>
  <c r="F63" i="36"/>
  <c r="F65" i="36" s="1"/>
  <c r="F66" i="36" s="1"/>
  <c r="Q509" i="36"/>
  <c r="Q517" i="36" s="1"/>
  <c r="P510" i="36"/>
  <c r="Q354" i="36"/>
  <c r="P508" i="36"/>
  <c r="Q367" i="36"/>
  <c r="R459" i="36"/>
  <c r="Q361" i="36"/>
  <c r="T216" i="36"/>
  <c r="R530" i="36"/>
  <c r="R420" i="36"/>
  <c r="R464" i="36"/>
  <c r="R532" i="36" s="1"/>
  <c r="S419" i="36"/>
  <c r="D39" i="36"/>
  <c r="D130" i="36" s="1"/>
  <c r="D41" i="36"/>
  <c r="S454" i="36"/>
  <c r="R107" i="36"/>
  <c r="R444" i="36"/>
  <c r="S441" i="36"/>
  <c r="S219" i="36" s="1"/>
  <c r="O511" i="36"/>
  <c r="T294" i="38" l="1"/>
  <c r="T149" i="38"/>
  <c r="U188" i="40"/>
  <c r="U187" i="40"/>
  <c r="U139" i="40"/>
  <c r="S498" i="40"/>
  <c r="S149" i="39"/>
  <c r="S294" i="39"/>
  <c r="T294" i="39" s="1"/>
  <c r="T186" i="38"/>
  <c r="T187" i="38"/>
  <c r="T139" i="38"/>
  <c r="U21" i="38"/>
  <c r="T22" i="38"/>
  <c r="H403" i="39"/>
  <c r="H405" i="39" s="1"/>
  <c r="H406" i="39" s="1"/>
  <c r="H56" i="39" s="1"/>
  <c r="H58" i="39" s="1"/>
  <c r="R400" i="36"/>
  <c r="S150" i="41"/>
  <c r="K402" i="41"/>
  <c r="K401" i="41"/>
  <c r="L416" i="41"/>
  <c r="S319" i="41"/>
  <c r="T319" i="41" s="1"/>
  <c r="X245" i="41"/>
  <c r="X496" i="41" s="1"/>
  <c r="S469" i="38"/>
  <c r="S119" i="38" s="1"/>
  <c r="S107" i="38"/>
  <c r="S509" i="38" s="1"/>
  <c r="S517" i="38" s="1"/>
  <c r="T424" i="38"/>
  <c r="T125" i="38" s="1"/>
  <c r="S486" i="38"/>
  <c r="S465" i="38"/>
  <c r="S126" i="38" s="1"/>
  <c r="S468" i="39"/>
  <c r="T468" i="39" s="1"/>
  <c r="S275" i="41"/>
  <c r="S469" i="39"/>
  <c r="S119" i="39" s="1"/>
  <c r="S202" i="41"/>
  <c r="T150" i="40"/>
  <c r="S89" i="41"/>
  <c r="S490" i="41"/>
  <c r="R205" i="41"/>
  <c r="R262" i="41"/>
  <c r="S469" i="41"/>
  <c r="S119" i="41" s="1"/>
  <c r="Q204" i="41"/>
  <c r="T468" i="41"/>
  <c r="S203" i="41"/>
  <c r="S276" i="41"/>
  <c r="N45" i="38"/>
  <c r="R277" i="41"/>
  <c r="S502" i="41"/>
  <c r="S105" i="41"/>
  <c r="G60" i="41"/>
  <c r="G61" i="41"/>
  <c r="T531" i="41"/>
  <c r="U423" i="41"/>
  <c r="T424" i="41"/>
  <c r="T125" i="41" s="1"/>
  <c r="V145" i="41"/>
  <c r="T484" i="41"/>
  <c r="S485" i="41"/>
  <c r="S486" i="41" s="1"/>
  <c r="U496" i="41"/>
  <c r="U97" i="41"/>
  <c r="V216" i="41"/>
  <c r="T496" i="41"/>
  <c r="T97" i="41"/>
  <c r="U21" i="41"/>
  <c r="T22" i="41"/>
  <c r="U310" i="41"/>
  <c r="T311" i="41"/>
  <c r="Q204" i="40"/>
  <c r="V441" i="41"/>
  <c r="U219" i="41"/>
  <c r="T438" i="41"/>
  <c r="Q264" i="41"/>
  <c r="T530" i="41"/>
  <c r="T420" i="41"/>
  <c r="T464" i="41"/>
  <c r="T532" i="41" s="1"/>
  <c r="U419" i="41"/>
  <c r="U314" i="41"/>
  <c r="T315" i="41"/>
  <c r="T459" i="41"/>
  <c r="W245" i="41"/>
  <c r="U25" i="41"/>
  <c r="T26" i="41"/>
  <c r="T289" i="41"/>
  <c r="U288" i="41"/>
  <c r="U431" i="41"/>
  <c r="T215" i="41"/>
  <c r="T498" i="41" s="1"/>
  <c r="H405" i="41"/>
  <c r="H406" i="41" s="1"/>
  <c r="H56" i="41" s="1"/>
  <c r="H58" i="41" s="1"/>
  <c r="H63" i="41"/>
  <c r="H65" i="41" s="1"/>
  <c r="H66" i="41" s="1"/>
  <c r="T307" i="41"/>
  <c r="U306" i="41"/>
  <c r="T449" i="41"/>
  <c r="T450" i="41" s="1"/>
  <c r="U447" i="41"/>
  <c r="U299" i="41"/>
  <c r="V237" i="41"/>
  <c r="U433" i="41"/>
  <c r="P182" i="41"/>
  <c r="R502" i="41"/>
  <c r="R105" i="41"/>
  <c r="T294" i="41"/>
  <c r="T44" i="41"/>
  <c r="U318" i="41"/>
  <c r="S261" i="41"/>
  <c r="T255" i="41"/>
  <c r="U322" i="41"/>
  <c r="T324" i="41"/>
  <c r="T325" i="41" s="1"/>
  <c r="T186" i="41"/>
  <c r="U534" i="41"/>
  <c r="U480" i="41"/>
  <c r="U120" i="41" s="1"/>
  <c r="V478" i="41"/>
  <c r="S523" i="41"/>
  <c r="S465" i="41"/>
  <c r="S126" i="41" s="1"/>
  <c r="S124" i="41"/>
  <c r="T75" i="41"/>
  <c r="V496" i="41"/>
  <c r="V97" i="41"/>
  <c r="U525" i="41"/>
  <c r="U475" i="41"/>
  <c r="V472" i="41"/>
  <c r="J401" i="41"/>
  <c r="J402" i="41"/>
  <c r="S271" i="41"/>
  <c r="S274" i="41" s="1"/>
  <c r="T190" i="41"/>
  <c r="U427" i="41"/>
  <c r="V193" i="41"/>
  <c r="U281" i="41"/>
  <c r="T146" i="41"/>
  <c r="R115" i="41"/>
  <c r="R102" i="41" s="1"/>
  <c r="T118" i="41"/>
  <c r="I403" i="41"/>
  <c r="T187" i="41"/>
  <c r="V252" i="41"/>
  <c r="U43" i="41"/>
  <c r="V148" i="41"/>
  <c r="S496" i="41"/>
  <c r="S97" i="41"/>
  <c r="T149" i="41"/>
  <c r="T139" i="41"/>
  <c r="R509" i="41"/>
  <c r="R517" i="41" s="1"/>
  <c r="V483" i="41"/>
  <c r="T443" i="41"/>
  <c r="S444" i="41"/>
  <c r="T154" i="41"/>
  <c r="U19" i="41"/>
  <c r="U188" i="41" s="1"/>
  <c r="V18" i="41"/>
  <c r="S498" i="41"/>
  <c r="T267" i="41"/>
  <c r="T454" i="41"/>
  <c r="S107" i="41"/>
  <c r="R263" i="41"/>
  <c r="S203" i="40"/>
  <c r="Q179" i="40"/>
  <c r="Q92" i="40" s="1"/>
  <c r="T424" i="40"/>
  <c r="T125" i="40" s="1"/>
  <c r="S203" i="39"/>
  <c r="S199" i="38"/>
  <c r="R263" i="38"/>
  <c r="R205" i="39"/>
  <c r="R205" i="40"/>
  <c r="U486" i="40"/>
  <c r="R263" i="40"/>
  <c r="R262" i="39"/>
  <c r="Q276" i="38"/>
  <c r="Q264" i="40"/>
  <c r="S202" i="40"/>
  <c r="Q204" i="39"/>
  <c r="Q264" i="39"/>
  <c r="Q511" i="38"/>
  <c r="Q264" i="38"/>
  <c r="T203" i="38"/>
  <c r="T270" i="40"/>
  <c r="S202" i="39"/>
  <c r="R262" i="40"/>
  <c r="Q92" i="39"/>
  <c r="Q179" i="38"/>
  <c r="Q92" i="38" s="1"/>
  <c r="S205" i="38"/>
  <c r="Q511" i="40"/>
  <c r="S465" i="40"/>
  <c r="S126" i="40" s="1"/>
  <c r="T268" i="40"/>
  <c r="R263" i="39"/>
  <c r="T260" i="40"/>
  <c r="T257" i="40"/>
  <c r="T256" i="40"/>
  <c r="T258" i="40"/>
  <c r="T269" i="40"/>
  <c r="T259" i="40"/>
  <c r="F61" i="40"/>
  <c r="F60" i="40"/>
  <c r="U433" i="40"/>
  <c r="O381" i="40"/>
  <c r="U169" i="40"/>
  <c r="T170" i="40"/>
  <c r="T173" i="40" s="1"/>
  <c r="U530" i="40"/>
  <c r="U464" i="40"/>
  <c r="U532" i="40" s="1"/>
  <c r="V419" i="40"/>
  <c r="U420" i="40"/>
  <c r="R510" i="40"/>
  <c r="S354" i="40"/>
  <c r="U531" i="40"/>
  <c r="V423" i="40"/>
  <c r="T160" i="40"/>
  <c r="S161" i="40"/>
  <c r="S165" i="40" s="1"/>
  <c r="V299" i="40"/>
  <c r="W237" i="40"/>
  <c r="S491" i="40"/>
  <c r="T154" i="40"/>
  <c r="V252" i="40"/>
  <c r="T534" i="40"/>
  <c r="T480" i="40"/>
  <c r="T120" i="40" s="1"/>
  <c r="U478" i="40"/>
  <c r="S261" i="40"/>
  <c r="T255" i="40"/>
  <c r="W18" i="40"/>
  <c r="V19" i="40"/>
  <c r="V188" i="40" s="1"/>
  <c r="S468" i="40"/>
  <c r="V485" i="40"/>
  <c r="W483" i="40"/>
  <c r="T75" i="40"/>
  <c r="W216" i="40"/>
  <c r="R73" i="40"/>
  <c r="R457" i="40" s="1"/>
  <c r="S523" i="40"/>
  <c r="R509" i="40"/>
  <c r="R517" i="40" s="1"/>
  <c r="T322" i="40"/>
  <c r="T459" i="40"/>
  <c r="S361" i="40"/>
  <c r="R508" i="40"/>
  <c r="S367" i="40"/>
  <c r="U525" i="40"/>
  <c r="U475" i="40"/>
  <c r="V472" i="40"/>
  <c r="U427" i="40"/>
  <c r="U441" i="40"/>
  <c r="T444" i="40"/>
  <c r="T219" i="40"/>
  <c r="U431" i="40"/>
  <c r="T215" i="40"/>
  <c r="V145" i="40"/>
  <c r="U177" i="40"/>
  <c r="T178" i="40"/>
  <c r="U25" i="40"/>
  <c r="T26" i="40"/>
  <c r="T454" i="40"/>
  <c r="S107" i="40"/>
  <c r="P397" i="40"/>
  <c r="P375" i="40"/>
  <c r="P377" i="40" s="1"/>
  <c r="P380" i="40" s="1"/>
  <c r="P353" i="40"/>
  <c r="P366" i="40"/>
  <c r="P368" i="40" s="1"/>
  <c r="T281" i="40"/>
  <c r="U193" i="40"/>
  <c r="T118" i="40"/>
  <c r="T449" i="40"/>
  <c r="T450" i="40" s="1"/>
  <c r="U447" i="40"/>
  <c r="S394" i="40"/>
  <c r="S400" i="40"/>
  <c r="S115" i="40"/>
  <c r="S102" i="40" s="1"/>
  <c r="I401" i="40"/>
  <c r="J416" i="40"/>
  <c r="I402" i="40"/>
  <c r="V44" i="40"/>
  <c r="T267" i="40"/>
  <c r="R119" i="40"/>
  <c r="S469" i="40"/>
  <c r="S271" i="40"/>
  <c r="T190" i="40"/>
  <c r="P182" i="40"/>
  <c r="S450" i="40"/>
  <c r="U391" i="40"/>
  <c r="T393" i="40"/>
  <c r="H403" i="40"/>
  <c r="O355" i="40"/>
  <c r="O76" i="40"/>
  <c r="U268" i="38"/>
  <c r="X21" i="40"/>
  <c r="X22" i="40" s="1"/>
  <c r="W22" i="40"/>
  <c r="G405" i="40"/>
  <c r="G406" i="40" s="1"/>
  <c r="G56" i="40" s="1"/>
  <c r="G58" i="40" s="1"/>
  <c r="G63" i="40"/>
  <c r="G65" i="40" s="1"/>
  <c r="G66" i="40" s="1"/>
  <c r="T490" i="40"/>
  <c r="U146" i="40"/>
  <c r="T89" i="40"/>
  <c r="Q359" i="40"/>
  <c r="T438" i="40"/>
  <c r="T124" i="40"/>
  <c r="V149" i="40"/>
  <c r="U257" i="38"/>
  <c r="T257" i="39"/>
  <c r="P332" i="38"/>
  <c r="Q511" i="39"/>
  <c r="U259" i="38"/>
  <c r="U260" i="38"/>
  <c r="U270" i="38"/>
  <c r="S465" i="39"/>
  <c r="S126" i="39" s="1"/>
  <c r="S169" i="39"/>
  <c r="R170" i="39"/>
  <c r="R173" i="39" s="1"/>
  <c r="U322" i="39"/>
  <c r="U25" i="39"/>
  <c r="T26" i="39"/>
  <c r="U22" i="39"/>
  <c r="V21" i="39"/>
  <c r="R508" i="39"/>
  <c r="S367" i="39"/>
  <c r="S139" i="39"/>
  <c r="S186" i="39"/>
  <c r="U427" i="39"/>
  <c r="T484" i="39"/>
  <c r="S485" i="39"/>
  <c r="S486" i="39" s="1"/>
  <c r="T444" i="39"/>
  <c r="U441" i="39"/>
  <c r="T219" i="39"/>
  <c r="T268" i="39"/>
  <c r="T160" i="39"/>
  <c r="S161" i="39"/>
  <c r="S165" i="39" s="1"/>
  <c r="F60" i="39"/>
  <c r="F61" i="39"/>
  <c r="S261" i="39"/>
  <c r="T255" i="39"/>
  <c r="S115" i="39"/>
  <c r="S102" i="39" s="1"/>
  <c r="U433" i="39"/>
  <c r="T534" i="39"/>
  <c r="T480" i="39"/>
  <c r="T120" i="39" s="1"/>
  <c r="U478" i="39"/>
  <c r="R491" i="39"/>
  <c r="S154" i="39"/>
  <c r="T75" i="39"/>
  <c r="T531" i="39"/>
  <c r="T424" i="39"/>
  <c r="T125" i="39" s="1"/>
  <c r="U423" i="39"/>
  <c r="U193" i="39"/>
  <c r="T281" i="39"/>
  <c r="U449" i="39"/>
  <c r="U450" i="39" s="1"/>
  <c r="V447" i="39"/>
  <c r="O397" i="39"/>
  <c r="O353" i="39"/>
  <c r="O375" i="39"/>
  <c r="O377" i="39" s="1"/>
  <c r="O366" i="39"/>
  <c r="O368" i="39" s="1"/>
  <c r="W483" i="39"/>
  <c r="T256" i="39"/>
  <c r="T431" i="39"/>
  <c r="S215" i="39"/>
  <c r="T267" i="39"/>
  <c r="T459" i="39"/>
  <c r="S361" i="39"/>
  <c r="S187" i="39"/>
  <c r="T260" i="39"/>
  <c r="T450" i="39"/>
  <c r="T124" i="39"/>
  <c r="T438" i="39"/>
  <c r="S188" i="39"/>
  <c r="T188" i="39" s="1"/>
  <c r="U145" i="39"/>
  <c r="T270" i="39"/>
  <c r="T269" i="39"/>
  <c r="T299" i="39"/>
  <c r="U237" i="39"/>
  <c r="T525" i="39"/>
  <c r="T475" i="39"/>
  <c r="U472" i="39"/>
  <c r="R509" i="39"/>
  <c r="R517" i="39" s="1"/>
  <c r="S510" i="39"/>
  <c r="T354" i="39"/>
  <c r="U530" i="39"/>
  <c r="V419" i="39"/>
  <c r="U420" i="39"/>
  <c r="P182" i="39"/>
  <c r="R490" i="39"/>
  <c r="S146" i="39"/>
  <c r="R89" i="39"/>
  <c r="R147" i="39"/>
  <c r="R150" i="39" s="1"/>
  <c r="G405" i="39"/>
  <c r="G406" i="39" s="1"/>
  <c r="G56" i="39" s="1"/>
  <c r="G58" i="39" s="1"/>
  <c r="G63" i="39"/>
  <c r="G65" i="39" s="1"/>
  <c r="G66" i="39" s="1"/>
  <c r="T259" i="39"/>
  <c r="T391" i="39"/>
  <c r="S393" i="39"/>
  <c r="T258" i="39"/>
  <c r="S271" i="39"/>
  <c r="T190" i="39"/>
  <c r="S118" i="39"/>
  <c r="T454" i="39"/>
  <c r="S107" i="39"/>
  <c r="S502" i="39"/>
  <c r="S105" i="39"/>
  <c r="S177" i="39"/>
  <c r="R178" i="39"/>
  <c r="R179" i="39" s="1"/>
  <c r="T464" i="39"/>
  <c r="T532" i="39" s="1"/>
  <c r="V216" i="39"/>
  <c r="T19" i="39"/>
  <c r="T44" i="39" s="1"/>
  <c r="U18" i="39"/>
  <c r="Q73" i="39"/>
  <c r="Q457" i="39" s="1"/>
  <c r="P359" i="39"/>
  <c r="W252" i="39"/>
  <c r="I401" i="39"/>
  <c r="J416" i="39"/>
  <c r="I402" i="39"/>
  <c r="R394" i="39"/>
  <c r="R400" i="39"/>
  <c r="R523" i="39"/>
  <c r="R498" i="39"/>
  <c r="Q275" i="38"/>
  <c r="S150" i="38"/>
  <c r="R204" i="38"/>
  <c r="Q359" i="38"/>
  <c r="R288" i="38"/>
  <c r="Q289" i="38"/>
  <c r="U525" i="38"/>
  <c r="U475" i="38"/>
  <c r="V472" i="38"/>
  <c r="T468" i="38"/>
  <c r="U145" i="38"/>
  <c r="T459" i="38"/>
  <c r="S361" i="38"/>
  <c r="R310" i="38"/>
  <c r="Q311" i="38"/>
  <c r="U454" i="38"/>
  <c r="T107" i="38"/>
  <c r="T118" i="38"/>
  <c r="U294" i="38"/>
  <c r="U193" i="38"/>
  <c r="T281" i="38"/>
  <c r="R306" i="38"/>
  <c r="Q307" i="38"/>
  <c r="Q315" i="38"/>
  <c r="R314" i="38"/>
  <c r="T160" i="38"/>
  <c r="S161" i="38"/>
  <c r="S165" i="38" s="1"/>
  <c r="T267" i="38"/>
  <c r="U438" i="38"/>
  <c r="T299" i="38"/>
  <c r="U237" i="38"/>
  <c r="R262" i="38"/>
  <c r="Q182" i="38"/>
  <c r="P397" i="38"/>
  <c r="P375" i="38"/>
  <c r="P377" i="38" s="1"/>
  <c r="P366" i="38"/>
  <c r="P368" i="38" s="1"/>
  <c r="P353" i="38"/>
  <c r="Q319" i="38"/>
  <c r="R318" i="38"/>
  <c r="W216" i="38"/>
  <c r="R508" i="38"/>
  <c r="S367" i="38"/>
  <c r="R301" i="38"/>
  <c r="Q302" i="38"/>
  <c r="Q303" i="38" s="1"/>
  <c r="Q336" i="38" s="1"/>
  <c r="R73" i="38"/>
  <c r="R457" i="38" s="1"/>
  <c r="U427" i="38"/>
  <c r="S491" i="38"/>
  <c r="T154" i="38"/>
  <c r="T444" i="38"/>
  <c r="U441" i="38"/>
  <c r="T219" i="38"/>
  <c r="U256" i="38"/>
  <c r="U19" i="38"/>
  <c r="V18" i="38"/>
  <c r="S261" i="38"/>
  <c r="T255" i="38"/>
  <c r="T202" i="38"/>
  <c r="U75" i="38"/>
  <c r="R510" i="38"/>
  <c r="S354" i="38"/>
  <c r="U534" i="38"/>
  <c r="U480" i="38"/>
  <c r="U120" i="38" s="1"/>
  <c r="V478" i="38"/>
  <c r="U258" i="38"/>
  <c r="S115" i="38"/>
  <c r="S102" i="38" s="1"/>
  <c r="V423" i="38"/>
  <c r="U531" i="38"/>
  <c r="O380" i="38"/>
  <c r="T485" i="38"/>
  <c r="U483" i="38"/>
  <c r="J401" i="38"/>
  <c r="K416" i="38"/>
  <c r="J402" i="38"/>
  <c r="H405" i="38"/>
  <c r="H406" i="38" s="1"/>
  <c r="H56" i="38" s="1"/>
  <c r="H58" i="38" s="1"/>
  <c r="H63" i="38"/>
  <c r="H65" i="38" s="1"/>
  <c r="H66" i="38" s="1"/>
  <c r="P277" i="38"/>
  <c r="U186" i="38"/>
  <c r="S394" i="38"/>
  <c r="S400" i="38"/>
  <c r="U322" i="38"/>
  <c r="R523" i="38"/>
  <c r="R498" i="38"/>
  <c r="T124" i="38"/>
  <c r="R323" i="38"/>
  <c r="Q324" i="38"/>
  <c r="Q325" i="38" s="1"/>
  <c r="T44" i="38"/>
  <c r="I403" i="38"/>
  <c r="U450" i="38"/>
  <c r="R273" i="38"/>
  <c r="Q274" i="38"/>
  <c r="U391" i="38"/>
  <c r="T393" i="38"/>
  <c r="U433" i="38"/>
  <c r="T431" i="38"/>
  <c r="S215" i="38"/>
  <c r="U530" i="38"/>
  <c r="V419" i="38"/>
  <c r="U420" i="38"/>
  <c r="U464" i="38"/>
  <c r="U532" i="38" s="1"/>
  <c r="V252" i="38"/>
  <c r="T271" i="38"/>
  <c r="U190" i="38"/>
  <c r="U139" i="38"/>
  <c r="V449" i="38"/>
  <c r="V450" i="38" s="1"/>
  <c r="W447" i="38"/>
  <c r="S490" i="38"/>
  <c r="T146" i="38"/>
  <c r="T147" i="38" s="1"/>
  <c r="T150" i="38" s="1"/>
  <c r="S89" i="38"/>
  <c r="O355" i="38"/>
  <c r="O76" i="38"/>
  <c r="V25" i="38"/>
  <c r="U26" i="38"/>
  <c r="T169" i="38"/>
  <c r="S170" i="38"/>
  <c r="S173" i="38" s="1"/>
  <c r="T177" i="38"/>
  <c r="S178" i="38"/>
  <c r="U269" i="38"/>
  <c r="L130" i="36"/>
  <c r="J130" i="36"/>
  <c r="M130" i="36"/>
  <c r="N130" i="36"/>
  <c r="R199" i="36"/>
  <c r="T267" i="36"/>
  <c r="J46" i="36"/>
  <c r="L46" i="36"/>
  <c r="P204" i="36"/>
  <c r="P102" i="36"/>
  <c r="R203" i="36"/>
  <c r="Q205" i="36"/>
  <c r="R115" i="36"/>
  <c r="R102" i="36" s="1"/>
  <c r="T449" i="36"/>
  <c r="T427" i="36"/>
  <c r="T281" i="36"/>
  <c r="U193" i="36"/>
  <c r="R469" i="36"/>
  <c r="R119" i="36" s="1"/>
  <c r="N41" i="36"/>
  <c r="N42" i="36" s="1"/>
  <c r="Q165" i="36"/>
  <c r="S424" i="36"/>
  <c r="S125" i="36" s="1"/>
  <c r="P165" i="36"/>
  <c r="R160" i="36"/>
  <c r="S160" i="36" s="1"/>
  <c r="D61" i="36"/>
  <c r="K45" i="36"/>
  <c r="S486" i="36"/>
  <c r="N49" i="36"/>
  <c r="N52" i="36" s="1"/>
  <c r="P511" i="36"/>
  <c r="R202" i="36"/>
  <c r="Q262" i="36"/>
  <c r="Q263" i="36"/>
  <c r="F61" i="36"/>
  <c r="F60" i="36"/>
  <c r="R502" i="36"/>
  <c r="R105" i="36"/>
  <c r="O359" i="36"/>
  <c r="G60" i="36"/>
  <c r="G61" i="36"/>
  <c r="S391" i="36"/>
  <c r="S393" i="36" s="1"/>
  <c r="R465" i="36"/>
  <c r="R126" i="36" s="1"/>
  <c r="R124" i="36"/>
  <c r="I42" i="36"/>
  <c r="I45" i="36"/>
  <c r="R509" i="36"/>
  <c r="R517" i="36" s="1"/>
  <c r="V423" i="36"/>
  <c r="U531" i="36"/>
  <c r="I401" i="36"/>
  <c r="J416" i="36"/>
  <c r="I402" i="36"/>
  <c r="R261" i="36"/>
  <c r="T454" i="36"/>
  <c r="S107" i="36"/>
  <c r="U216" i="36"/>
  <c r="Q510" i="36"/>
  <c r="R354" i="36"/>
  <c r="F45" i="36"/>
  <c r="F42" i="36"/>
  <c r="T299" i="36"/>
  <c r="H403" i="36"/>
  <c r="N372" i="36"/>
  <c r="Q394" i="36"/>
  <c r="Q73" i="36" s="1"/>
  <c r="P457" i="36"/>
  <c r="S444" i="36"/>
  <c r="T441" i="36"/>
  <c r="T219" i="36" s="1"/>
  <c r="D42" i="36"/>
  <c r="D45" i="36"/>
  <c r="E42" i="36"/>
  <c r="E45" i="36"/>
  <c r="W252" i="36"/>
  <c r="Q502" i="36"/>
  <c r="Q105" i="36"/>
  <c r="M45" i="36"/>
  <c r="S468" i="36"/>
  <c r="T145" i="36"/>
  <c r="S534" i="36"/>
  <c r="S480" i="36"/>
  <c r="T478" i="36"/>
  <c r="U525" i="36"/>
  <c r="U475" i="36"/>
  <c r="S530" i="36"/>
  <c r="S464" i="36"/>
  <c r="S532" i="36" s="1"/>
  <c r="S420" i="36"/>
  <c r="T419" i="36"/>
  <c r="S459" i="36"/>
  <c r="R361" i="36"/>
  <c r="T485" i="36"/>
  <c r="S26" i="36"/>
  <c r="P264" i="36"/>
  <c r="R120" i="36"/>
  <c r="T118" i="36"/>
  <c r="T75" i="36"/>
  <c r="Q523" i="36"/>
  <c r="Q508" i="36"/>
  <c r="R367" i="36"/>
  <c r="T322" i="36"/>
  <c r="R215" i="36"/>
  <c r="R498" i="36" s="1"/>
  <c r="U149" i="38" l="1"/>
  <c r="H63" i="39"/>
  <c r="H65" i="39" s="1"/>
  <c r="H66" i="39" s="1"/>
  <c r="U187" i="38"/>
  <c r="U149" i="41"/>
  <c r="V21" i="38"/>
  <c r="U22" i="38"/>
  <c r="U44" i="38"/>
  <c r="K403" i="41"/>
  <c r="S400" i="36"/>
  <c r="U44" i="41"/>
  <c r="U294" i="41"/>
  <c r="U139" i="41"/>
  <c r="L402" i="41"/>
  <c r="M416" i="41"/>
  <c r="L401" i="41"/>
  <c r="K405" i="41"/>
  <c r="J403" i="41"/>
  <c r="J405" i="41" s="1"/>
  <c r="J406" i="41" s="1"/>
  <c r="U424" i="38"/>
  <c r="U125" i="38" s="1"/>
  <c r="X97" i="41"/>
  <c r="T465" i="38"/>
  <c r="T126" i="38" s="1"/>
  <c r="T469" i="38"/>
  <c r="T119" i="38" s="1"/>
  <c r="T486" i="38"/>
  <c r="T469" i="39"/>
  <c r="T119" i="39" s="1"/>
  <c r="R179" i="40"/>
  <c r="R92" i="40" s="1"/>
  <c r="T275" i="41"/>
  <c r="S277" i="41"/>
  <c r="R204" i="41"/>
  <c r="T203" i="41"/>
  <c r="T203" i="40"/>
  <c r="S205" i="41"/>
  <c r="T469" i="41"/>
  <c r="T119" i="41" s="1"/>
  <c r="T202" i="41"/>
  <c r="S262" i="41"/>
  <c r="U424" i="40"/>
  <c r="U125" i="40" s="1"/>
  <c r="S262" i="39"/>
  <c r="R204" i="40"/>
  <c r="S263" i="41"/>
  <c r="S205" i="39"/>
  <c r="U468" i="41"/>
  <c r="H60" i="41"/>
  <c r="H61" i="41"/>
  <c r="U289" i="41"/>
  <c r="V288" i="41"/>
  <c r="U154" i="41"/>
  <c r="W148" i="41"/>
  <c r="V43" i="41"/>
  <c r="Q182" i="41"/>
  <c r="T502" i="41"/>
  <c r="T105" i="41"/>
  <c r="T523" i="41"/>
  <c r="W145" i="41"/>
  <c r="S115" i="41"/>
  <c r="S102" i="41" s="1"/>
  <c r="U443" i="41"/>
  <c r="T444" i="41"/>
  <c r="R264" i="41"/>
  <c r="V427" i="41"/>
  <c r="U186" i="41"/>
  <c r="V318" i="41"/>
  <c r="U319" i="41"/>
  <c r="V431" i="41"/>
  <c r="U215" i="41"/>
  <c r="U459" i="41"/>
  <c r="U530" i="41"/>
  <c r="U464" i="41"/>
  <c r="U532" i="41" s="1"/>
  <c r="U420" i="41"/>
  <c r="V419" i="41"/>
  <c r="W216" i="41"/>
  <c r="V433" i="41"/>
  <c r="T465" i="41"/>
  <c r="T126" i="41" s="1"/>
  <c r="T124" i="41"/>
  <c r="R264" i="40"/>
  <c r="U454" i="41"/>
  <c r="T107" i="41"/>
  <c r="W483" i="41"/>
  <c r="I405" i="41"/>
  <c r="I406" i="41" s="1"/>
  <c r="I56" i="41" s="1"/>
  <c r="I58" i="41" s="1"/>
  <c r="I63" i="41"/>
  <c r="I65" i="41" s="1"/>
  <c r="I66" i="41" s="1"/>
  <c r="V525" i="41"/>
  <c r="V475" i="41"/>
  <c r="W472" i="41"/>
  <c r="V299" i="41"/>
  <c r="W237" i="41"/>
  <c r="U22" i="41"/>
  <c r="V21" i="41"/>
  <c r="S509" i="41"/>
  <c r="S517" i="41" s="1"/>
  <c r="V314" i="41"/>
  <c r="U315" i="41"/>
  <c r="W252" i="41"/>
  <c r="W193" i="41"/>
  <c r="V281" i="41"/>
  <c r="U118" i="41"/>
  <c r="U75" i="41"/>
  <c r="U324" i="41"/>
  <c r="U325" i="41" s="1"/>
  <c r="V322" i="41"/>
  <c r="U26" i="41"/>
  <c r="V25" i="41"/>
  <c r="V423" i="41"/>
  <c r="U531" i="41"/>
  <c r="U424" i="41"/>
  <c r="U125" i="41" s="1"/>
  <c r="V19" i="41"/>
  <c r="V149" i="41" s="1"/>
  <c r="W18" i="41"/>
  <c r="U267" i="41"/>
  <c r="T271" i="41"/>
  <c r="T274" i="41" s="1"/>
  <c r="U190" i="41"/>
  <c r="V534" i="41"/>
  <c r="V480" i="41"/>
  <c r="V120" i="41" s="1"/>
  <c r="W478" i="41"/>
  <c r="T276" i="41"/>
  <c r="U438" i="41"/>
  <c r="U307" i="41"/>
  <c r="V306" i="41"/>
  <c r="W441" i="41"/>
  <c r="V219" i="41"/>
  <c r="U187" i="41"/>
  <c r="T490" i="41"/>
  <c r="U146" i="41"/>
  <c r="T89" i="41"/>
  <c r="T147" i="41"/>
  <c r="T150" i="41" s="1"/>
  <c r="T261" i="41"/>
  <c r="U255" i="41"/>
  <c r="U449" i="41"/>
  <c r="U450" i="41" s="1"/>
  <c r="V447" i="41"/>
  <c r="W496" i="41"/>
  <c r="W97" i="41"/>
  <c r="U311" i="41"/>
  <c r="V310" i="41"/>
  <c r="U484" i="41"/>
  <c r="T485" i="41"/>
  <c r="T486" i="41" s="1"/>
  <c r="T203" i="39"/>
  <c r="S205" i="40"/>
  <c r="S263" i="40"/>
  <c r="R276" i="38"/>
  <c r="S263" i="38"/>
  <c r="T199" i="38"/>
  <c r="R264" i="38"/>
  <c r="V486" i="40"/>
  <c r="R204" i="39"/>
  <c r="R264" i="39"/>
  <c r="S204" i="38"/>
  <c r="T205" i="38"/>
  <c r="U203" i="38"/>
  <c r="R179" i="38"/>
  <c r="R92" i="38" s="1"/>
  <c r="U260" i="40"/>
  <c r="U257" i="40"/>
  <c r="U259" i="40"/>
  <c r="U270" i="40"/>
  <c r="U269" i="40"/>
  <c r="U268" i="40"/>
  <c r="U258" i="40"/>
  <c r="U270" i="39"/>
  <c r="U256" i="39"/>
  <c r="T465" i="40"/>
  <c r="T126" i="40" s="1"/>
  <c r="U259" i="39"/>
  <c r="U257" i="39"/>
  <c r="S262" i="40"/>
  <c r="Q277" i="38"/>
  <c r="V269" i="38"/>
  <c r="P380" i="38"/>
  <c r="P381" i="38" s="1"/>
  <c r="R511" i="40"/>
  <c r="U260" i="39"/>
  <c r="U258" i="39"/>
  <c r="S263" i="39"/>
  <c r="U268" i="39"/>
  <c r="U269" i="39"/>
  <c r="R359" i="40"/>
  <c r="U490" i="40"/>
  <c r="U89" i="40"/>
  <c r="V146" i="40"/>
  <c r="V147" i="40" s="1"/>
  <c r="V150" i="40" s="1"/>
  <c r="O356" i="40"/>
  <c r="U454" i="40"/>
  <c r="T107" i="40"/>
  <c r="S508" i="40"/>
  <c r="T367" i="40"/>
  <c r="W485" i="40"/>
  <c r="X483" i="40"/>
  <c r="X485" i="40" s="1"/>
  <c r="T261" i="40"/>
  <c r="U255" i="40"/>
  <c r="V531" i="40"/>
  <c r="W423" i="40"/>
  <c r="U267" i="40"/>
  <c r="S73" i="40"/>
  <c r="S457" i="40" s="1"/>
  <c r="T523" i="40"/>
  <c r="T491" i="40"/>
  <c r="U154" i="40"/>
  <c r="V169" i="40"/>
  <c r="U170" i="40"/>
  <c r="U173" i="40" s="1"/>
  <c r="V433" i="40"/>
  <c r="H405" i="40"/>
  <c r="H406" i="40" s="1"/>
  <c r="H56" i="40" s="1"/>
  <c r="H58" i="40" s="1"/>
  <c r="H63" i="40"/>
  <c r="H65" i="40" s="1"/>
  <c r="H66" i="40" s="1"/>
  <c r="U449" i="40"/>
  <c r="U450" i="40" s="1"/>
  <c r="V447" i="40"/>
  <c r="V25" i="40"/>
  <c r="U26" i="40"/>
  <c r="V431" i="40"/>
  <c r="U215" i="40"/>
  <c r="V427" i="40"/>
  <c r="V186" i="40"/>
  <c r="U534" i="40"/>
  <c r="U480" i="40"/>
  <c r="U120" i="40" s="1"/>
  <c r="V478" i="40"/>
  <c r="U160" i="40"/>
  <c r="T161" i="40"/>
  <c r="T165" i="40" s="1"/>
  <c r="Q366" i="40"/>
  <c r="Q368" i="40" s="1"/>
  <c r="Q375" i="40"/>
  <c r="Q377" i="40" s="1"/>
  <c r="Q380" i="40" s="1"/>
  <c r="Q353" i="40"/>
  <c r="Q397" i="40"/>
  <c r="G61" i="40"/>
  <c r="G60" i="40"/>
  <c r="T502" i="40"/>
  <c r="T105" i="40"/>
  <c r="U281" i="40"/>
  <c r="V193" i="40"/>
  <c r="P355" i="40"/>
  <c r="P76" i="40"/>
  <c r="T498" i="40"/>
  <c r="U459" i="40"/>
  <c r="T361" i="40"/>
  <c r="V139" i="40"/>
  <c r="W299" i="40"/>
  <c r="X237" i="40"/>
  <c r="S510" i="40"/>
  <c r="T354" i="40"/>
  <c r="V187" i="40"/>
  <c r="T394" i="40"/>
  <c r="T400" i="40"/>
  <c r="P381" i="40"/>
  <c r="V177" i="40"/>
  <c r="U178" i="40"/>
  <c r="V525" i="40"/>
  <c r="V475" i="40"/>
  <c r="W472" i="40"/>
  <c r="V294" i="40"/>
  <c r="T468" i="40"/>
  <c r="W252" i="40"/>
  <c r="T202" i="40"/>
  <c r="U438" i="40"/>
  <c r="V391" i="40"/>
  <c r="U393" i="40"/>
  <c r="Q182" i="40"/>
  <c r="T271" i="40"/>
  <c r="U190" i="40"/>
  <c r="K416" i="40"/>
  <c r="J401" i="40"/>
  <c r="J402" i="40"/>
  <c r="W145" i="40"/>
  <c r="T115" i="40"/>
  <c r="T102" i="40" s="1"/>
  <c r="U118" i="40"/>
  <c r="U124" i="40"/>
  <c r="I403" i="40"/>
  <c r="U147" i="40"/>
  <c r="U150" i="40" s="1"/>
  <c r="U444" i="40"/>
  <c r="V441" i="40"/>
  <c r="U219" i="40"/>
  <c r="X216" i="40"/>
  <c r="U75" i="40"/>
  <c r="X18" i="40"/>
  <c r="X19" i="40" s="1"/>
  <c r="W19" i="40"/>
  <c r="W188" i="40" s="1"/>
  <c r="X188" i="40" s="1"/>
  <c r="V530" i="40"/>
  <c r="V464" i="40"/>
  <c r="V532" i="40" s="1"/>
  <c r="W419" i="40"/>
  <c r="V420" i="40"/>
  <c r="S502" i="40"/>
  <c r="S105" i="40"/>
  <c r="S119" i="40"/>
  <c r="T469" i="40"/>
  <c r="S509" i="40"/>
  <c r="S517" i="40" s="1"/>
  <c r="U322" i="40"/>
  <c r="U256" i="40"/>
  <c r="V260" i="38"/>
  <c r="R511" i="39"/>
  <c r="T465" i="39"/>
  <c r="T126" i="39" s="1"/>
  <c r="T202" i="39"/>
  <c r="H61" i="39"/>
  <c r="H60" i="39"/>
  <c r="U525" i="39"/>
  <c r="U475" i="39"/>
  <c r="V472" i="39"/>
  <c r="U531" i="39"/>
  <c r="U424" i="39"/>
  <c r="U125" i="39" s="1"/>
  <c r="V423" i="39"/>
  <c r="J401" i="39"/>
  <c r="K416" i="39"/>
  <c r="J402" i="39"/>
  <c r="S509" i="39"/>
  <c r="S517" i="39" s="1"/>
  <c r="T118" i="39"/>
  <c r="U468" i="39"/>
  <c r="V145" i="39"/>
  <c r="I403" i="39"/>
  <c r="W216" i="39"/>
  <c r="U454" i="39"/>
  <c r="T107" i="39"/>
  <c r="G60" i="39"/>
  <c r="G61" i="39"/>
  <c r="U124" i="39"/>
  <c r="U438" i="39"/>
  <c r="S491" i="39"/>
  <c r="T154" i="39"/>
  <c r="V427" i="39"/>
  <c r="V25" i="39"/>
  <c r="U26" i="39"/>
  <c r="V530" i="39"/>
  <c r="W419" i="39"/>
  <c r="V420" i="39"/>
  <c r="T187" i="39"/>
  <c r="S523" i="39"/>
  <c r="S498" i="39"/>
  <c r="X483" i="39"/>
  <c r="U75" i="39"/>
  <c r="U484" i="39"/>
  <c r="T485" i="39"/>
  <c r="T486" i="39" s="1"/>
  <c r="X252" i="39"/>
  <c r="U464" i="39"/>
  <c r="U532" i="39" s="1"/>
  <c r="U299" i="39"/>
  <c r="V237" i="39"/>
  <c r="U431" i="39"/>
  <c r="T215" i="39"/>
  <c r="V449" i="39"/>
  <c r="V450" i="39" s="1"/>
  <c r="W447" i="39"/>
  <c r="T186" i="39"/>
  <c r="V22" i="39"/>
  <c r="W21" i="39"/>
  <c r="T510" i="39"/>
  <c r="U354" i="39"/>
  <c r="U160" i="39"/>
  <c r="T161" i="39"/>
  <c r="T165" i="39" s="1"/>
  <c r="R73" i="39"/>
  <c r="R457" i="39" s="1"/>
  <c r="Q359" i="39"/>
  <c r="T149" i="39"/>
  <c r="U459" i="39"/>
  <c r="T361" i="39"/>
  <c r="U502" i="39"/>
  <c r="U105" i="39"/>
  <c r="U534" i="39"/>
  <c r="V478" i="39"/>
  <c r="U480" i="39"/>
  <c r="U120" i="39" s="1"/>
  <c r="T261" i="39"/>
  <c r="U255" i="39"/>
  <c r="U444" i="39"/>
  <c r="V441" i="39"/>
  <c r="U219" i="39"/>
  <c r="V322" i="39"/>
  <c r="Q182" i="39"/>
  <c r="V256" i="38"/>
  <c r="V18" i="39"/>
  <c r="U19" i="39"/>
  <c r="U44" i="39" s="1"/>
  <c r="T177" i="39"/>
  <c r="S178" i="39"/>
  <c r="S179" i="39" s="1"/>
  <c r="T271" i="39"/>
  <c r="U190" i="39"/>
  <c r="S394" i="39"/>
  <c r="S400" i="39"/>
  <c r="S490" i="39"/>
  <c r="T146" i="39"/>
  <c r="S89" i="39"/>
  <c r="S147" i="39"/>
  <c r="S150" i="39" s="1"/>
  <c r="T502" i="39"/>
  <c r="T105" i="39"/>
  <c r="O380" i="39"/>
  <c r="O381" i="39" s="1"/>
  <c r="T115" i="39"/>
  <c r="T102" i="39" s="1"/>
  <c r="T139" i="39"/>
  <c r="R92" i="39"/>
  <c r="P366" i="39"/>
  <c r="P368" i="39" s="1"/>
  <c r="P375" i="39"/>
  <c r="P377" i="39" s="1"/>
  <c r="P397" i="39"/>
  <c r="P353" i="39"/>
  <c r="V433" i="39"/>
  <c r="U391" i="39"/>
  <c r="T393" i="39"/>
  <c r="U267" i="39"/>
  <c r="O355" i="39"/>
  <c r="O76" i="39"/>
  <c r="U281" i="39"/>
  <c r="V193" i="39"/>
  <c r="S508" i="39"/>
  <c r="T367" i="39"/>
  <c r="T169" i="39"/>
  <c r="S170" i="39"/>
  <c r="S173" i="39" s="1"/>
  <c r="R511" i="38"/>
  <c r="V502" i="38"/>
  <c r="V105" i="38"/>
  <c r="H61" i="38"/>
  <c r="H60" i="38"/>
  <c r="S510" i="38"/>
  <c r="T354" i="38"/>
  <c r="O356" i="38"/>
  <c r="S310" i="38"/>
  <c r="R311" i="38"/>
  <c r="T261" i="38"/>
  <c r="U255" i="38"/>
  <c r="U177" i="38"/>
  <c r="T178" i="38"/>
  <c r="S523" i="38"/>
  <c r="S498" i="38"/>
  <c r="I405" i="38"/>
  <c r="I406" i="38" s="1"/>
  <c r="I56" i="38" s="1"/>
  <c r="I58" i="38" s="1"/>
  <c r="I63" i="38"/>
  <c r="I65" i="38" s="1"/>
  <c r="I66" i="38" s="1"/>
  <c r="S73" i="38"/>
  <c r="S457" i="38" s="1"/>
  <c r="W18" i="38"/>
  <c r="V19" i="38"/>
  <c r="V44" i="38" s="1"/>
  <c r="U444" i="38"/>
  <c r="V441" i="38"/>
  <c r="U219" i="38"/>
  <c r="V257" i="38"/>
  <c r="X216" i="38"/>
  <c r="U160" i="38"/>
  <c r="T161" i="38"/>
  <c r="T165" i="38" s="1"/>
  <c r="U468" i="38"/>
  <c r="V145" i="38"/>
  <c r="V259" i="38"/>
  <c r="R275" i="38"/>
  <c r="W252" i="38"/>
  <c r="U431" i="38"/>
  <c r="T215" i="38"/>
  <c r="S323" i="38"/>
  <c r="R324" i="38"/>
  <c r="R325" i="38" s="1"/>
  <c r="L416" i="38"/>
  <c r="K401" i="38"/>
  <c r="K402" i="38"/>
  <c r="V258" i="38"/>
  <c r="V75" i="38"/>
  <c r="T115" i="38"/>
  <c r="T102" i="38" s="1"/>
  <c r="U188" i="38"/>
  <c r="V531" i="38"/>
  <c r="W423" i="38"/>
  <c r="T490" i="38"/>
  <c r="T89" i="38"/>
  <c r="U146" i="38"/>
  <c r="U147" i="38" s="1"/>
  <c r="U150" i="38" s="1"/>
  <c r="T394" i="38"/>
  <c r="T400" i="38"/>
  <c r="J403" i="38"/>
  <c r="V534" i="38"/>
  <c r="V480" i="38"/>
  <c r="V120" i="38" s="1"/>
  <c r="W478" i="38"/>
  <c r="T491" i="38"/>
  <c r="U154" i="38"/>
  <c r="R359" i="38"/>
  <c r="R182" i="38"/>
  <c r="S314" i="38"/>
  <c r="R315" i="38"/>
  <c r="S288" i="38"/>
  <c r="R289" i="38"/>
  <c r="U169" i="38"/>
  <c r="T170" i="38"/>
  <c r="T173" i="38" s="1"/>
  <c r="V139" i="38"/>
  <c r="V391" i="38"/>
  <c r="U393" i="38"/>
  <c r="U485" i="38"/>
  <c r="V483" i="38"/>
  <c r="O381" i="38"/>
  <c r="U202" i="38"/>
  <c r="R319" i="38"/>
  <c r="S318" i="38"/>
  <c r="V438" i="38"/>
  <c r="S306" i="38"/>
  <c r="R307" i="38"/>
  <c r="Q366" i="38"/>
  <c r="Q368" i="38" s="1"/>
  <c r="Q375" i="38"/>
  <c r="Q377" i="38" s="1"/>
  <c r="Q353" i="38"/>
  <c r="Q397" i="38"/>
  <c r="S273" i="38"/>
  <c r="R274" i="38"/>
  <c r="U459" i="38"/>
  <c r="T361" i="38"/>
  <c r="U124" i="38"/>
  <c r="U502" i="38"/>
  <c r="U105" i="38"/>
  <c r="S301" i="38"/>
  <c r="S262" i="38"/>
  <c r="U267" i="38"/>
  <c r="U281" i="38"/>
  <c r="V193" i="38"/>
  <c r="T509" i="38"/>
  <c r="T517" i="38" s="1"/>
  <c r="V525" i="38"/>
  <c r="V475" i="38"/>
  <c r="W472" i="38"/>
  <c r="W25" i="38"/>
  <c r="V26" i="38"/>
  <c r="W449" i="38"/>
  <c r="W450" i="38" s="1"/>
  <c r="X447" i="38"/>
  <c r="X449" i="38" s="1"/>
  <c r="U271" i="38"/>
  <c r="V190" i="38"/>
  <c r="V530" i="38"/>
  <c r="V420" i="38"/>
  <c r="V464" i="38"/>
  <c r="V532" i="38" s="1"/>
  <c r="W419" i="38"/>
  <c r="V433" i="38"/>
  <c r="V322" i="38"/>
  <c r="V427" i="38"/>
  <c r="S508" i="38"/>
  <c r="T367" i="38"/>
  <c r="P355" i="38"/>
  <c r="P76" i="38"/>
  <c r="U299" i="38"/>
  <c r="V237" i="38"/>
  <c r="V270" i="38"/>
  <c r="V294" i="38"/>
  <c r="V454" i="38"/>
  <c r="U107" i="38"/>
  <c r="U118" i="38"/>
  <c r="V268" i="38"/>
  <c r="S199" i="36"/>
  <c r="U267" i="36"/>
  <c r="Q204" i="36"/>
  <c r="S115" i="36"/>
  <c r="S102" i="36" s="1"/>
  <c r="R205" i="36"/>
  <c r="S203" i="36"/>
  <c r="O353" i="36"/>
  <c r="O375" i="36"/>
  <c r="O377" i="36" s="1"/>
  <c r="O366" i="36"/>
  <c r="O368" i="36" s="1"/>
  <c r="O397" i="36"/>
  <c r="T450" i="36"/>
  <c r="U449" i="36"/>
  <c r="U450" i="36" s="1"/>
  <c r="U427" i="36"/>
  <c r="I403" i="36"/>
  <c r="I405" i="36" s="1"/>
  <c r="I406" i="36" s="1"/>
  <c r="I56" i="36" s="1"/>
  <c r="I58" i="36" s="1"/>
  <c r="V193" i="36"/>
  <c r="U281" i="36"/>
  <c r="S469" i="36"/>
  <c r="S119" i="36" s="1"/>
  <c r="N45" i="36"/>
  <c r="T424" i="36"/>
  <c r="T125" i="36" s="1"/>
  <c r="R161" i="36"/>
  <c r="R165" i="36" s="1"/>
  <c r="T486" i="36"/>
  <c r="Q264" i="36"/>
  <c r="R262" i="36"/>
  <c r="R263" i="36"/>
  <c r="U322" i="36"/>
  <c r="U485" i="36"/>
  <c r="S120" i="36"/>
  <c r="Q457" i="36"/>
  <c r="V216" i="36"/>
  <c r="R394" i="36"/>
  <c r="R73" i="36" s="1"/>
  <c r="T26" i="36"/>
  <c r="V525" i="36"/>
  <c r="V475" i="36"/>
  <c r="S202" i="36"/>
  <c r="T391" i="36"/>
  <c r="T393" i="36" s="1"/>
  <c r="U75" i="36"/>
  <c r="U118" i="36"/>
  <c r="R508" i="36"/>
  <c r="S367" i="36"/>
  <c r="T468" i="36"/>
  <c r="U145" i="36"/>
  <c r="S509" i="36"/>
  <c r="S517" i="36" s="1"/>
  <c r="T160" i="36"/>
  <c r="S161" i="36"/>
  <c r="S165" i="36" s="1"/>
  <c r="P359" i="36"/>
  <c r="S261" i="36"/>
  <c r="Q511" i="36"/>
  <c r="U299" i="36"/>
  <c r="U454" i="36"/>
  <c r="T107" i="36"/>
  <c r="R523" i="36"/>
  <c r="T459" i="36"/>
  <c r="S361" i="36"/>
  <c r="T444" i="36"/>
  <c r="U441" i="36"/>
  <c r="U219" i="36" s="1"/>
  <c r="V531" i="36"/>
  <c r="W423" i="36"/>
  <c r="S215" i="36"/>
  <c r="S498" i="36" s="1"/>
  <c r="T530" i="36"/>
  <c r="T464" i="36"/>
  <c r="T532" i="36" s="1"/>
  <c r="T420" i="36"/>
  <c r="U419" i="36"/>
  <c r="X252" i="36"/>
  <c r="R510" i="36"/>
  <c r="S354" i="36"/>
  <c r="K416" i="36"/>
  <c r="J401" i="36"/>
  <c r="J402" i="36"/>
  <c r="S465" i="36"/>
  <c r="S126" i="36" s="1"/>
  <c r="S124" i="36"/>
  <c r="T534" i="36"/>
  <c r="T480" i="36"/>
  <c r="U478" i="36"/>
  <c r="H405" i="36"/>
  <c r="H406" i="36" s="1"/>
  <c r="H56" i="36" s="1"/>
  <c r="H58" i="36" s="1"/>
  <c r="H63" i="36"/>
  <c r="H65" i="36" s="1"/>
  <c r="H66" i="36" s="1"/>
  <c r="I63" i="36" l="1"/>
  <c r="I65" i="36" s="1"/>
  <c r="I66" i="36" s="1"/>
  <c r="W294" i="40"/>
  <c r="X294" i="40" s="1"/>
  <c r="W186" i="40"/>
  <c r="X186" i="40" s="1"/>
  <c r="W149" i="40"/>
  <c r="X149" i="40" s="1"/>
  <c r="U149" i="39"/>
  <c r="V464" i="39"/>
  <c r="V532" i="39" s="1"/>
  <c r="U186" i="39"/>
  <c r="V186" i="38"/>
  <c r="V44" i="41"/>
  <c r="V186" i="41"/>
  <c r="K406" i="41"/>
  <c r="V139" i="41"/>
  <c r="V188" i="38"/>
  <c r="V149" i="38"/>
  <c r="V22" i="38"/>
  <c r="W21" i="38"/>
  <c r="V187" i="38"/>
  <c r="J403" i="39"/>
  <c r="J63" i="39" s="1"/>
  <c r="J65" i="39" s="1"/>
  <c r="J66" i="39" s="1"/>
  <c r="T400" i="36"/>
  <c r="K403" i="38"/>
  <c r="L403" i="41"/>
  <c r="L405" i="41" s="1"/>
  <c r="L406" i="41" s="1"/>
  <c r="V187" i="41"/>
  <c r="N416" i="41"/>
  <c r="M401" i="41"/>
  <c r="M402" i="41"/>
  <c r="V424" i="38"/>
  <c r="V125" i="38" s="1"/>
  <c r="S179" i="40"/>
  <c r="S92" i="40" s="1"/>
  <c r="U465" i="38"/>
  <c r="U126" i="38" s="1"/>
  <c r="U469" i="38"/>
  <c r="U119" i="38" s="1"/>
  <c r="U486" i="38"/>
  <c r="U469" i="39"/>
  <c r="U119" i="39" s="1"/>
  <c r="S204" i="39"/>
  <c r="T205" i="39"/>
  <c r="U203" i="40"/>
  <c r="U203" i="41"/>
  <c r="U203" i="39"/>
  <c r="T205" i="41"/>
  <c r="S264" i="41"/>
  <c r="T262" i="41"/>
  <c r="T262" i="39"/>
  <c r="S264" i="39"/>
  <c r="S204" i="41"/>
  <c r="U469" i="41"/>
  <c r="U119" i="41" s="1"/>
  <c r="T277" i="41"/>
  <c r="V203" i="38"/>
  <c r="V424" i="40"/>
  <c r="V125" i="40" s="1"/>
  <c r="S264" i="40"/>
  <c r="S204" i="40"/>
  <c r="T263" i="41"/>
  <c r="T205" i="40"/>
  <c r="W480" i="41"/>
  <c r="W120" i="41" s="1"/>
  <c r="X478" i="41"/>
  <c r="W534" i="41"/>
  <c r="V22" i="41"/>
  <c r="W21" i="41"/>
  <c r="X216" i="41"/>
  <c r="V484" i="41"/>
  <c r="U485" i="41"/>
  <c r="U486" i="41" s="1"/>
  <c r="X252" i="41"/>
  <c r="W299" i="41"/>
  <c r="X237" i="41"/>
  <c r="V459" i="41"/>
  <c r="V311" i="41"/>
  <c r="W310" i="41"/>
  <c r="V267" i="41"/>
  <c r="T263" i="40"/>
  <c r="U502" i="41"/>
  <c r="U105" i="41"/>
  <c r="X441" i="41"/>
  <c r="W219" i="41"/>
  <c r="V26" i="41"/>
  <c r="W25" i="41"/>
  <c r="W525" i="41"/>
  <c r="W475" i="41"/>
  <c r="X472" i="41"/>
  <c r="V454" i="41"/>
  <c r="U107" i="41"/>
  <c r="W431" i="41"/>
  <c r="V215" i="41"/>
  <c r="V498" i="41" s="1"/>
  <c r="W427" i="41"/>
  <c r="V188" i="41"/>
  <c r="V449" i="41"/>
  <c r="V450" i="41" s="1"/>
  <c r="W447" i="41"/>
  <c r="T509" i="41"/>
  <c r="T517" i="41" s="1"/>
  <c r="U523" i="41"/>
  <c r="U490" i="41"/>
  <c r="V146" i="41"/>
  <c r="U89" i="41"/>
  <c r="U147" i="41"/>
  <c r="U150" i="41" s="1"/>
  <c r="V438" i="41"/>
  <c r="U271" i="41"/>
  <c r="U274" i="41" s="1"/>
  <c r="V190" i="41"/>
  <c r="W314" i="41"/>
  <c r="V315" i="41"/>
  <c r="V118" i="41"/>
  <c r="I60" i="41"/>
  <c r="I61" i="41"/>
  <c r="V530" i="41"/>
  <c r="V464" i="41"/>
  <c r="V532" i="41" s="1"/>
  <c r="W419" i="41"/>
  <c r="V420" i="41"/>
  <c r="U261" i="41"/>
  <c r="V255" i="41"/>
  <c r="W19" i="41"/>
  <c r="X18" i="41"/>
  <c r="X19" i="41" s="1"/>
  <c r="V294" i="41"/>
  <c r="X483" i="41"/>
  <c r="U202" i="41"/>
  <c r="U465" i="41"/>
  <c r="U126" i="41" s="1"/>
  <c r="U124" i="41"/>
  <c r="U498" i="41"/>
  <c r="T115" i="41"/>
  <c r="T102" i="41" s="1"/>
  <c r="X145" i="41"/>
  <c r="V531" i="41"/>
  <c r="W423" i="41"/>
  <c r="V424" i="41"/>
  <c r="V125" i="41" s="1"/>
  <c r="V324" i="41"/>
  <c r="V325" i="41" s="1"/>
  <c r="W322" i="41"/>
  <c r="W433" i="41"/>
  <c r="V443" i="41"/>
  <c r="U444" i="41"/>
  <c r="X148" i="41"/>
  <c r="W43" i="41"/>
  <c r="W288" i="41"/>
  <c r="V289" i="41"/>
  <c r="V75" i="41"/>
  <c r="R182" i="41"/>
  <c r="W306" i="41"/>
  <c r="V307" i="41"/>
  <c r="U276" i="41"/>
  <c r="X193" i="41"/>
  <c r="X281" i="41" s="1"/>
  <c r="W281" i="41"/>
  <c r="W318" i="41"/>
  <c r="V319" i="41"/>
  <c r="V468" i="41"/>
  <c r="V154" i="41"/>
  <c r="U275" i="41"/>
  <c r="U205" i="38"/>
  <c r="T204" i="38"/>
  <c r="W486" i="40"/>
  <c r="X486" i="40" s="1"/>
  <c r="T263" i="38"/>
  <c r="U199" i="38"/>
  <c r="V256" i="40"/>
  <c r="Q380" i="38"/>
  <c r="Q381" i="38" s="1"/>
  <c r="V257" i="39"/>
  <c r="S179" i="38"/>
  <c r="S92" i="38" s="1"/>
  <c r="V270" i="40"/>
  <c r="V260" i="40"/>
  <c r="U465" i="40"/>
  <c r="U126" i="40" s="1"/>
  <c r="T262" i="38"/>
  <c r="V259" i="40"/>
  <c r="S511" i="38"/>
  <c r="U202" i="40"/>
  <c r="T262" i="40"/>
  <c r="V269" i="39"/>
  <c r="H60" i="40"/>
  <c r="H61" i="40"/>
  <c r="W433" i="40"/>
  <c r="U394" i="40"/>
  <c r="U400" i="40"/>
  <c r="W139" i="40"/>
  <c r="X139" i="40" s="1"/>
  <c r="V258" i="40"/>
  <c r="W177" i="40"/>
  <c r="V178" i="40"/>
  <c r="V322" i="40"/>
  <c r="W391" i="40"/>
  <c r="V393" i="40"/>
  <c r="W525" i="40"/>
  <c r="W475" i="40"/>
  <c r="X472" i="40"/>
  <c r="T73" i="40"/>
  <c r="T457" i="40" s="1"/>
  <c r="W44" i="40"/>
  <c r="X44" i="40" s="1"/>
  <c r="Q355" i="40"/>
  <c r="Q76" i="40"/>
  <c r="V534" i="40"/>
  <c r="V480" i="40"/>
  <c r="V120" i="40" s="1"/>
  <c r="W478" i="40"/>
  <c r="W427" i="40"/>
  <c r="U523" i="40"/>
  <c r="W169" i="40"/>
  <c r="V170" i="40"/>
  <c r="V173" i="40" s="1"/>
  <c r="S359" i="40"/>
  <c r="T508" i="40"/>
  <c r="U367" i="40"/>
  <c r="V190" i="40"/>
  <c r="U271" i="40"/>
  <c r="V160" i="40"/>
  <c r="U161" i="40"/>
  <c r="U165" i="40" s="1"/>
  <c r="V270" i="39"/>
  <c r="V268" i="39"/>
  <c r="V257" i="40"/>
  <c r="V118" i="40"/>
  <c r="P356" i="40"/>
  <c r="Q381" i="40"/>
  <c r="U498" i="40"/>
  <c r="W431" i="40"/>
  <c r="V215" i="40"/>
  <c r="V267" i="40"/>
  <c r="W531" i="40"/>
  <c r="X423" i="40"/>
  <c r="S511" i="40"/>
  <c r="R353" i="40"/>
  <c r="R366" i="40"/>
  <c r="R368" i="40" s="1"/>
  <c r="R375" i="40"/>
  <c r="R377" i="40" s="1"/>
  <c r="R397" i="40"/>
  <c r="V75" i="40"/>
  <c r="W256" i="38"/>
  <c r="V259" i="39"/>
  <c r="V438" i="40"/>
  <c r="X252" i="40"/>
  <c r="T510" i="40"/>
  <c r="U354" i="40"/>
  <c r="U115" i="40"/>
  <c r="U102" i="40" s="1"/>
  <c r="X145" i="40"/>
  <c r="U502" i="40"/>
  <c r="U105" i="40"/>
  <c r="U465" i="39"/>
  <c r="U126" i="39" s="1"/>
  <c r="V124" i="40"/>
  <c r="W187" i="40"/>
  <c r="X187" i="40" s="1"/>
  <c r="V281" i="40"/>
  <c r="W193" i="40"/>
  <c r="W25" i="40"/>
  <c r="V26" i="40"/>
  <c r="V269" i="40"/>
  <c r="W530" i="40"/>
  <c r="X419" i="40"/>
  <c r="W420" i="40"/>
  <c r="W464" i="40"/>
  <c r="W532" i="40" s="1"/>
  <c r="I405" i="40"/>
  <c r="I406" i="40" s="1"/>
  <c r="I56" i="40" s="1"/>
  <c r="I58" i="40" s="1"/>
  <c r="I63" i="40"/>
  <c r="I65" i="40" s="1"/>
  <c r="I66" i="40" s="1"/>
  <c r="J403" i="40"/>
  <c r="U468" i="40"/>
  <c r="X299" i="40"/>
  <c r="V459" i="40"/>
  <c r="U361" i="40"/>
  <c r="U491" i="40"/>
  <c r="V154" i="40"/>
  <c r="U261" i="40"/>
  <c r="V255" i="40"/>
  <c r="T509" i="40"/>
  <c r="T517" i="40" s="1"/>
  <c r="V268" i="40"/>
  <c r="X450" i="38"/>
  <c r="X502" i="38" s="1"/>
  <c r="T119" i="40"/>
  <c r="U469" i="40"/>
  <c r="V444" i="40"/>
  <c r="W441" i="40"/>
  <c r="V219" i="40"/>
  <c r="V498" i="40" s="1"/>
  <c r="L416" i="40"/>
  <c r="K401" i="40"/>
  <c r="K402" i="40"/>
  <c r="R182" i="40"/>
  <c r="V449" i="40"/>
  <c r="V450" i="40" s="1"/>
  <c r="W447" i="40"/>
  <c r="V454" i="40"/>
  <c r="U107" i="40"/>
  <c r="V490" i="40"/>
  <c r="V89" i="40"/>
  <c r="W146" i="40"/>
  <c r="W147" i="40" s="1"/>
  <c r="W150" i="40" s="1"/>
  <c r="V256" i="39"/>
  <c r="S511" i="39"/>
  <c r="U202" i="39"/>
  <c r="V260" i="39"/>
  <c r="R359" i="39"/>
  <c r="W259" i="38"/>
  <c r="U177" i="39"/>
  <c r="T178" i="39"/>
  <c r="T179" i="39" s="1"/>
  <c r="R182" i="39"/>
  <c r="T523" i="39"/>
  <c r="T498" i="39"/>
  <c r="W427" i="39"/>
  <c r="T491" i="39"/>
  <c r="U154" i="39"/>
  <c r="I405" i="39"/>
  <c r="I406" i="39" s="1"/>
  <c r="I56" i="39" s="1"/>
  <c r="I58" i="39" s="1"/>
  <c r="I63" i="39"/>
  <c r="I65" i="39" s="1"/>
  <c r="I66" i="39" s="1"/>
  <c r="V468" i="39"/>
  <c r="W145" i="39"/>
  <c r="V281" i="39"/>
  <c r="W193" i="39"/>
  <c r="U261" i="39"/>
  <c r="V255" i="39"/>
  <c r="V431" i="39"/>
  <c r="U215" i="39"/>
  <c r="V484" i="39"/>
  <c r="U485" i="39"/>
  <c r="U486" i="39" s="1"/>
  <c r="V75" i="39"/>
  <c r="V258" i="39"/>
  <c r="T508" i="39"/>
  <c r="U367" i="39"/>
  <c r="V531" i="39"/>
  <c r="V424" i="39"/>
  <c r="V125" i="39" s="1"/>
  <c r="W423" i="39"/>
  <c r="W464" i="39" s="1"/>
  <c r="W532" i="39" s="1"/>
  <c r="W270" i="38"/>
  <c r="V19" i="39"/>
  <c r="V44" i="39" s="1"/>
  <c r="W18" i="39"/>
  <c r="U294" i="39"/>
  <c r="U115" i="39"/>
  <c r="U102" i="39" s="1"/>
  <c r="V160" i="39"/>
  <c r="U161" i="39"/>
  <c r="U165" i="39" s="1"/>
  <c r="V502" i="39"/>
  <c r="V105" i="39"/>
  <c r="W530" i="39"/>
  <c r="X419" i="39"/>
  <c r="W420" i="39"/>
  <c r="W433" i="39"/>
  <c r="U139" i="39"/>
  <c r="W322" i="39"/>
  <c r="U510" i="39"/>
  <c r="V354" i="39"/>
  <c r="V438" i="39"/>
  <c r="T509" i="39"/>
  <c r="T517" i="39" s="1"/>
  <c r="L416" i="39"/>
  <c r="K401" i="39"/>
  <c r="K402" i="39"/>
  <c r="U188" i="39"/>
  <c r="V188" i="39" s="1"/>
  <c r="W268" i="38"/>
  <c r="P355" i="39"/>
  <c r="P76" i="39"/>
  <c r="P380" i="39"/>
  <c r="S73" i="39"/>
  <c r="S457" i="39" s="1"/>
  <c r="U187" i="39"/>
  <c r="V454" i="39"/>
  <c r="U107" i="39"/>
  <c r="J405" i="39"/>
  <c r="J406" i="39" s="1"/>
  <c r="J56" i="39" s="1"/>
  <c r="J58" i="39" s="1"/>
  <c r="V525" i="39"/>
  <c r="V475" i="39"/>
  <c r="W472" i="39"/>
  <c r="V267" i="39"/>
  <c r="S92" i="39"/>
  <c r="O356" i="39"/>
  <c r="T394" i="39"/>
  <c r="T400" i="39"/>
  <c r="T490" i="39"/>
  <c r="U146" i="39"/>
  <c r="T89" i="39"/>
  <c r="T147" i="39"/>
  <c r="T150" i="39" s="1"/>
  <c r="U271" i="39"/>
  <c r="V190" i="39"/>
  <c r="V534" i="39"/>
  <c r="V480" i="39"/>
  <c r="V120" i="39" s="1"/>
  <c r="W478" i="39"/>
  <c r="T263" i="39"/>
  <c r="U118" i="39"/>
  <c r="U169" i="39"/>
  <c r="T170" i="39"/>
  <c r="T173" i="39" s="1"/>
  <c r="V391" i="39"/>
  <c r="U393" i="39"/>
  <c r="V444" i="39"/>
  <c r="W441" i="39"/>
  <c r="V219" i="39"/>
  <c r="V459" i="39"/>
  <c r="U361" i="39"/>
  <c r="Q366" i="39"/>
  <c r="Q368" i="39" s="1"/>
  <c r="Q397" i="39"/>
  <c r="Q375" i="39"/>
  <c r="Q377" i="39" s="1"/>
  <c r="Q353" i="39"/>
  <c r="W22" i="39"/>
  <c r="X21" i="39"/>
  <c r="X22" i="39" s="1"/>
  <c r="W449" i="39"/>
  <c r="W450" i="39" s="1"/>
  <c r="X447" i="39"/>
  <c r="X449" i="39" s="1"/>
  <c r="V299" i="39"/>
  <c r="W237" i="39"/>
  <c r="V124" i="39"/>
  <c r="V26" i="39"/>
  <c r="W25" i="39"/>
  <c r="X216" i="39"/>
  <c r="T301" i="38"/>
  <c r="R277" i="38"/>
  <c r="W258" i="38"/>
  <c r="S264" i="38"/>
  <c r="T508" i="38"/>
  <c r="U367" i="38"/>
  <c r="V271" i="38"/>
  <c r="W190" i="38"/>
  <c r="S319" i="38"/>
  <c r="T318" i="38"/>
  <c r="R353" i="38"/>
  <c r="R397" i="38"/>
  <c r="R375" i="38"/>
  <c r="R377" i="38" s="1"/>
  <c r="R366" i="38"/>
  <c r="R368" i="38" s="1"/>
  <c r="W260" i="38"/>
  <c r="U261" i="38"/>
  <c r="V255" i="38"/>
  <c r="V299" i="38"/>
  <c r="W237" i="38"/>
  <c r="W427" i="38"/>
  <c r="T273" i="38"/>
  <c r="S274" i="38"/>
  <c r="K405" i="38"/>
  <c r="K406" i="38" s="1"/>
  <c r="K56" i="38" s="1"/>
  <c r="K58" i="38" s="1"/>
  <c r="K63" i="38"/>
  <c r="K65" i="38" s="1"/>
  <c r="K66" i="38" s="1"/>
  <c r="T523" i="38"/>
  <c r="T498" i="38"/>
  <c r="S359" i="38"/>
  <c r="W433" i="38"/>
  <c r="V281" i="38"/>
  <c r="W193" i="38"/>
  <c r="U491" i="38"/>
  <c r="V154" i="38"/>
  <c r="J405" i="38"/>
  <c r="J406" i="38" s="1"/>
  <c r="J56" i="38" s="1"/>
  <c r="J58" i="38" s="1"/>
  <c r="J63" i="38"/>
  <c r="J65" i="38" s="1"/>
  <c r="J66" i="38" s="1"/>
  <c r="M416" i="38"/>
  <c r="L401" i="38"/>
  <c r="L402" i="38"/>
  <c r="V431" i="38"/>
  <c r="U215" i="38"/>
  <c r="W257" i="38"/>
  <c r="I60" i="38"/>
  <c r="I61" i="38"/>
  <c r="T510" i="38"/>
  <c r="U354" i="38"/>
  <c r="V169" i="38"/>
  <c r="U170" i="38"/>
  <c r="U173" i="38" s="1"/>
  <c r="W502" i="38"/>
  <c r="W105" i="38"/>
  <c r="X18" i="38"/>
  <c r="X19" i="38" s="1"/>
  <c r="W19" i="38"/>
  <c r="W139" i="38" s="1"/>
  <c r="X139" i="38" s="1"/>
  <c r="W322" i="38"/>
  <c r="W530" i="38"/>
  <c r="W420" i="38"/>
  <c r="W464" i="38"/>
  <c r="W532" i="38" s="1"/>
  <c r="X419" i="38"/>
  <c r="Q355" i="38"/>
  <c r="Q76" i="38"/>
  <c r="S307" i="38"/>
  <c r="T306" i="38"/>
  <c r="V202" i="38"/>
  <c r="U394" i="38"/>
  <c r="U400" i="38"/>
  <c r="T73" i="38"/>
  <c r="T457" i="38" s="1"/>
  <c r="W531" i="38"/>
  <c r="X423" i="38"/>
  <c r="V468" i="38"/>
  <c r="W145" i="38"/>
  <c r="V177" i="38"/>
  <c r="U178" i="38"/>
  <c r="W525" i="38"/>
  <c r="W475" i="38"/>
  <c r="X472" i="38"/>
  <c r="V267" i="38"/>
  <c r="W391" i="38"/>
  <c r="V393" i="38"/>
  <c r="X252" i="38"/>
  <c r="V444" i="38"/>
  <c r="W441" i="38"/>
  <c r="V219" i="38"/>
  <c r="V459" i="38"/>
  <c r="U361" i="38"/>
  <c r="U509" i="38"/>
  <c r="U517" i="38" s="1"/>
  <c r="P356" i="38"/>
  <c r="V124" i="38"/>
  <c r="V118" i="38"/>
  <c r="W438" i="38"/>
  <c r="V485" i="38"/>
  <c r="W483" i="38"/>
  <c r="T314" i="38"/>
  <c r="S315" i="38"/>
  <c r="U490" i="38"/>
  <c r="V146" i="38"/>
  <c r="U89" i="38"/>
  <c r="T323" i="38"/>
  <c r="S324" i="38"/>
  <c r="S325" i="38" s="1"/>
  <c r="V160" i="38"/>
  <c r="U161" i="38"/>
  <c r="U165" i="38" s="1"/>
  <c r="U115" i="38"/>
  <c r="U102" i="38" s="1"/>
  <c r="T310" i="38"/>
  <c r="S311" i="38"/>
  <c r="W454" i="38"/>
  <c r="V107" i="38"/>
  <c r="X25" i="38"/>
  <c r="X26" i="38" s="1"/>
  <c r="W26" i="38"/>
  <c r="S289" i="38"/>
  <c r="T288" i="38"/>
  <c r="S182" i="38"/>
  <c r="W480" i="38"/>
  <c r="W120" i="38" s="1"/>
  <c r="W534" i="38"/>
  <c r="X478" i="38"/>
  <c r="W75" i="38"/>
  <c r="S275" i="38"/>
  <c r="W269" i="38"/>
  <c r="S276" i="38"/>
  <c r="V267" i="36"/>
  <c r="T199" i="36"/>
  <c r="T115" i="36"/>
  <c r="T102" i="36" s="1"/>
  <c r="S205" i="36"/>
  <c r="T203" i="36"/>
  <c r="R204" i="36"/>
  <c r="P375" i="36"/>
  <c r="P377" i="36" s="1"/>
  <c r="P353" i="36"/>
  <c r="P366" i="36"/>
  <c r="P368" i="36" s="1"/>
  <c r="P397" i="36"/>
  <c r="V449" i="36"/>
  <c r="V450" i="36" s="1"/>
  <c r="V427" i="36"/>
  <c r="J403" i="36"/>
  <c r="J405" i="36" s="1"/>
  <c r="J406" i="36" s="1"/>
  <c r="J56" i="36" s="1"/>
  <c r="J58" i="36" s="1"/>
  <c r="V281" i="36"/>
  <c r="W193" i="36"/>
  <c r="T469" i="36"/>
  <c r="T119" i="36" s="1"/>
  <c r="U424" i="36"/>
  <c r="R264" i="36"/>
  <c r="U486" i="36"/>
  <c r="S263" i="36"/>
  <c r="T202" i="36"/>
  <c r="Q359" i="36"/>
  <c r="I61" i="36"/>
  <c r="I60" i="36"/>
  <c r="T502" i="36"/>
  <c r="T105" i="36"/>
  <c r="V454" i="36"/>
  <c r="U107" i="36"/>
  <c r="V118" i="36"/>
  <c r="L416" i="36"/>
  <c r="K401" i="36"/>
  <c r="K402" i="36"/>
  <c r="V75" i="36"/>
  <c r="S262" i="36"/>
  <c r="U459" i="36"/>
  <c r="T361" i="36"/>
  <c r="S508" i="36"/>
  <c r="T367" i="36"/>
  <c r="W216" i="36"/>
  <c r="U534" i="36"/>
  <c r="U480" i="36"/>
  <c r="V478" i="36"/>
  <c r="U530" i="36"/>
  <c r="U464" i="36"/>
  <c r="U532" i="36" s="1"/>
  <c r="U420" i="36"/>
  <c r="V419" i="36"/>
  <c r="U444" i="36"/>
  <c r="V441" i="36"/>
  <c r="V219" i="36" s="1"/>
  <c r="V299" i="36"/>
  <c r="U468" i="36"/>
  <c r="V145" i="36"/>
  <c r="R511" i="36"/>
  <c r="S394" i="36"/>
  <c r="S73" i="36" s="1"/>
  <c r="V485" i="36"/>
  <c r="S502" i="36"/>
  <c r="S105" i="36"/>
  <c r="T120" i="36"/>
  <c r="T465" i="36"/>
  <c r="T126" i="36" s="1"/>
  <c r="T124" i="36"/>
  <c r="U391" i="36"/>
  <c r="U393" i="36" s="1"/>
  <c r="U26" i="36"/>
  <c r="T261" i="36"/>
  <c r="H60" i="36"/>
  <c r="H61" i="36"/>
  <c r="S510" i="36"/>
  <c r="T354" i="36"/>
  <c r="O380" i="36"/>
  <c r="O381" i="36" s="1"/>
  <c r="S523" i="36"/>
  <c r="O355" i="36"/>
  <c r="O76" i="36"/>
  <c r="R457" i="36"/>
  <c r="T215" i="36"/>
  <c r="W531" i="36"/>
  <c r="X423" i="36"/>
  <c r="T509" i="36"/>
  <c r="T517" i="36" s="1"/>
  <c r="U160" i="36"/>
  <c r="T161" i="36"/>
  <c r="T165" i="36" s="1"/>
  <c r="W525" i="36"/>
  <c r="W475" i="36"/>
  <c r="V322" i="36"/>
  <c r="C29" i="19"/>
  <c r="C15" i="19"/>
  <c r="N414" i="10"/>
  <c r="M414" i="10"/>
  <c r="L414" i="10"/>
  <c r="K414" i="10"/>
  <c r="N411" i="10"/>
  <c r="M411" i="10"/>
  <c r="L411" i="10"/>
  <c r="K411" i="10"/>
  <c r="J411" i="10"/>
  <c r="J414" i="10"/>
  <c r="N410" i="10"/>
  <c r="N409" i="10"/>
  <c r="M410" i="10"/>
  <c r="M409" i="10"/>
  <c r="L410" i="10"/>
  <c r="L409" i="10"/>
  <c r="K410" i="10"/>
  <c r="K409" i="10"/>
  <c r="J409" i="10"/>
  <c r="J410" i="10"/>
  <c r="K403" i="39" l="1"/>
  <c r="K405" i="39" s="1"/>
  <c r="K406" i="39" s="1"/>
  <c r="K56" i="39" s="1"/>
  <c r="K58" i="39" s="1"/>
  <c r="W187" i="38"/>
  <c r="X187" i="38" s="1"/>
  <c r="W186" i="38"/>
  <c r="X186" i="38" s="1"/>
  <c r="W294" i="38"/>
  <c r="W22" i="38"/>
  <c r="X21" i="38"/>
  <c r="X22" i="38" s="1"/>
  <c r="W149" i="38"/>
  <c r="X149" i="38" s="1"/>
  <c r="W188" i="38"/>
  <c r="X188" i="38" s="1"/>
  <c r="X43" i="41"/>
  <c r="J63" i="36"/>
  <c r="J65" i="36" s="1"/>
  <c r="J66" i="36" s="1"/>
  <c r="L403" i="38"/>
  <c r="U400" i="36"/>
  <c r="W187" i="41"/>
  <c r="X187" i="41" s="1"/>
  <c r="M403" i="41"/>
  <c r="N401" i="41"/>
  <c r="N402" i="41"/>
  <c r="W424" i="38"/>
  <c r="W125" i="38" s="1"/>
  <c r="V465" i="38"/>
  <c r="V126" i="38" s="1"/>
  <c r="V486" i="38"/>
  <c r="V469" i="38"/>
  <c r="V119" i="38" s="1"/>
  <c r="T179" i="40"/>
  <c r="T92" i="40" s="1"/>
  <c r="V469" i="39"/>
  <c r="V119" i="39" s="1"/>
  <c r="T204" i="39"/>
  <c r="U205" i="39"/>
  <c r="V203" i="39"/>
  <c r="V203" i="41"/>
  <c r="U205" i="41"/>
  <c r="U262" i="39"/>
  <c r="T204" i="41"/>
  <c r="W424" i="40"/>
  <c r="W125" i="40" s="1"/>
  <c r="T264" i="41"/>
  <c r="V469" i="41"/>
  <c r="V119" i="41" s="1"/>
  <c r="V205" i="38"/>
  <c r="T204" i="40"/>
  <c r="U263" i="41"/>
  <c r="U205" i="40"/>
  <c r="U262" i="41"/>
  <c r="V202" i="41"/>
  <c r="U277" i="41"/>
  <c r="W468" i="41"/>
  <c r="T264" i="40"/>
  <c r="U263" i="40"/>
  <c r="V275" i="41"/>
  <c r="V276" i="41"/>
  <c r="X318" i="41"/>
  <c r="W319" i="41"/>
  <c r="V271" i="41"/>
  <c r="V274" i="41" s="1"/>
  <c r="W190" i="41"/>
  <c r="W449" i="41"/>
  <c r="W450" i="41" s="1"/>
  <c r="X447" i="41"/>
  <c r="X299" i="41"/>
  <c r="W44" i="41"/>
  <c r="X44" i="41" s="1"/>
  <c r="W75" i="41"/>
  <c r="X433" i="41"/>
  <c r="W324" i="41"/>
  <c r="W325" i="41" s="1"/>
  <c r="X322" i="41"/>
  <c r="V465" i="41"/>
  <c r="V126" i="41" s="1"/>
  <c r="V124" i="41"/>
  <c r="V502" i="41"/>
  <c r="V105" i="41"/>
  <c r="V523" i="41"/>
  <c r="W154" i="41"/>
  <c r="X288" i="41"/>
  <c r="W289" i="41"/>
  <c r="W186" i="41"/>
  <c r="X186" i="41" s="1"/>
  <c r="W22" i="41"/>
  <c r="X21" i="41"/>
  <c r="X22" i="41" s="1"/>
  <c r="W149" i="41"/>
  <c r="X149" i="41" s="1"/>
  <c r="W26" i="41"/>
  <c r="X25" i="41"/>
  <c r="X306" i="41"/>
  <c r="W307" i="41"/>
  <c r="W531" i="41"/>
  <c r="W424" i="41"/>
  <c r="W125" i="41" s="1"/>
  <c r="X423" i="41"/>
  <c r="W255" i="41"/>
  <c r="V261" i="41"/>
  <c r="W315" i="41"/>
  <c r="X314" i="41"/>
  <c r="V490" i="41"/>
  <c r="W146" i="41"/>
  <c r="V89" i="41"/>
  <c r="V147" i="41"/>
  <c r="V150" i="41" s="1"/>
  <c r="W188" i="41"/>
  <c r="X188" i="41" s="1"/>
  <c r="U509" i="41"/>
  <c r="U517" i="41" s="1"/>
  <c r="W267" i="41"/>
  <c r="W484" i="41"/>
  <c r="V485" i="41"/>
  <c r="V486" i="41" s="1"/>
  <c r="W454" i="41"/>
  <c r="V107" i="41"/>
  <c r="W459" i="41"/>
  <c r="W530" i="41"/>
  <c r="W464" i="41"/>
  <c r="W532" i="41" s="1"/>
  <c r="X419" i="41"/>
  <c r="W420" i="41"/>
  <c r="X431" i="41"/>
  <c r="X215" i="41" s="1"/>
  <c r="W215" i="41"/>
  <c r="X480" i="41"/>
  <c r="X534" i="41"/>
  <c r="U115" i="41"/>
  <c r="U102" i="41" s="1"/>
  <c r="W139" i="41"/>
  <c r="X139" i="41" s="1"/>
  <c r="W294" i="41"/>
  <c r="X294" i="41" s="1"/>
  <c r="X525" i="41"/>
  <c r="X475" i="41"/>
  <c r="W311" i="41"/>
  <c r="X310" i="41"/>
  <c r="S182" i="41"/>
  <c r="W443" i="41"/>
  <c r="V444" i="41"/>
  <c r="W438" i="41"/>
  <c r="W498" i="41"/>
  <c r="X427" i="41"/>
  <c r="W118" i="41"/>
  <c r="X219" i="41"/>
  <c r="U204" i="38"/>
  <c r="T264" i="38"/>
  <c r="V199" i="38"/>
  <c r="U262" i="38"/>
  <c r="V202" i="40"/>
  <c r="R380" i="38"/>
  <c r="R381" i="38" s="1"/>
  <c r="W260" i="39"/>
  <c r="T92" i="39"/>
  <c r="X105" i="38"/>
  <c r="W257" i="39"/>
  <c r="T179" i="38"/>
  <c r="T92" i="38" s="1"/>
  <c r="V203" i="40"/>
  <c r="W260" i="40"/>
  <c r="V468" i="40"/>
  <c r="V465" i="40"/>
  <c r="V126" i="40" s="1"/>
  <c r="W259" i="40"/>
  <c r="X269" i="38"/>
  <c r="W268" i="40"/>
  <c r="W269" i="40"/>
  <c r="T359" i="40"/>
  <c r="I60" i="40"/>
  <c r="I61" i="40"/>
  <c r="U509" i="40"/>
  <c r="U517" i="40" s="1"/>
  <c r="V502" i="40"/>
  <c r="V105" i="40"/>
  <c r="S182" i="40"/>
  <c r="V491" i="40"/>
  <c r="W154" i="40"/>
  <c r="W459" i="40"/>
  <c r="V361" i="40"/>
  <c r="W257" i="40"/>
  <c r="W454" i="40"/>
  <c r="V107" i="40"/>
  <c r="U510" i="40"/>
  <c r="V354" i="40"/>
  <c r="X531" i="40"/>
  <c r="Q356" i="40"/>
  <c r="X525" i="40"/>
  <c r="X475" i="40"/>
  <c r="W258" i="40"/>
  <c r="W268" i="39"/>
  <c r="W26" i="40"/>
  <c r="X25" i="40"/>
  <c r="X26" i="40" s="1"/>
  <c r="W438" i="40"/>
  <c r="W256" i="40"/>
  <c r="W190" i="40"/>
  <c r="V271" i="40"/>
  <c r="X427" i="40"/>
  <c r="W118" i="40"/>
  <c r="W270" i="40"/>
  <c r="W269" i="39"/>
  <c r="X431" i="40"/>
  <c r="X215" i="40" s="1"/>
  <c r="W215" i="40"/>
  <c r="T276" i="38"/>
  <c r="K403" i="40"/>
  <c r="W281" i="40"/>
  <c r="X193" i="40"/>
  <c r="X281" i="40" s="1"/>
  <c r="W267" i="40"/>
  <c r="X169" i="40"/>
  <c r="X170" i="40" s="1"/>
  <c r="X173" i="40" s="1"/>
  <c r="W170" i="40"/>
  <c r="W173" i="40" s="1"/>
  <c r="W322" i="40"/>
  <c r="X177" i="40"/>
  <c r="X178" i="40" s="1"/>
  <c r="W178" i="40"/>
  <c r="X433" i="40"/>
  <c r="W160" i="40"/>
  <c r="V161" i="40"/>
  <c r="V165" i="40" s="1"/>
  <c r="M416" i="40"/>
  <c r="L401" i="40"/>
  <c r="L402" i="40"/>
  <c r="W444" i="40"/>
  <c r="X441" i="40"/>
  <c r="W219" i="40"/>
  <c r="V261" i="40"/>
  <c r="W255" i="40"/>
  <c r="W124" i="40"/>
  <c r="W449" i="40"/>
  <c r="W450" i="40" s="1"/>
  <c r="X447" i="40"/>
  <c r="X449" i="40" s="1"/>
  <c r="S353" i="40"/>
  <c r="S397" i="40"/>
  <c r="S375" i="40"/>
  <c r="S377" i="40" s="1"/>
  <c r="S366" i="40"/>
  <c r="S368" i="40" s="1"/>
  <c r="W490" i="40"/>
  <c r="W89" i="40"/>
  <c r="X146" i="40"/>
  <c r="V115" i="40"/>
  <c r="V102" i="40" s="1"/>
  <c r="J405" i="40"/>
  <c r="J406" i="40" s="1"/>
  <c r="J56" i="40" s="1"/>
  <c r="J58" i="40" s="1"/>
  <c r="J63" i="40"/>
  <c r="J65" i="40" s="1"/>
  <c r="J66" i="40" s="1"/>
  <c r="X530" i="40"/>
  <c r="X420" i="40"/>
  <c r="X464" i="40"/>
  <c r="X532" i="40" s="1"/>
  <c r="R355" i="40"/>
  <c r="R76" i="40"/>
  <c r="U508" i="40"/>
  <c r="V367" i="40"/>
  <c r="W480" i="40"/>
  <c r="W120" i="40" s="1"/>
  <c r="X478" i="40"/>
  <c r="W534" i="40"/>
  <c r="V394" i="40"/>
  <c r="V400" i="40"/>
  <c r="R380" i="40"/>
  <c r="R381" i="40" s="1"/>
  <c r="T275" i="38"/>
  <c r="U262" i="40"/>
  <c r="U119" i="40"/>
  <c r="V469" i="40"/>
  <c r="W75" i="40"/>
  <c r="V523" i="40"/>
  <c r="T511" i="40"/>
  <c r="X391" i="40"/>
  <c r="W393" i="40"/>
  <c r="U73" i="40"/>
  <c r="U457" i="40" s="1"/>
  <c r="U263" i="39"/>
  <c r="W256" i="39"/>
  <c r="Q380" i="39"/>
  <c r="Q381" i="39" s="1"/>
  <c r="W270" i="39"/>
  <c r="W259" i="39"/>
  <c r="I61" i="39"/>
  <c r="I60" i="39"/>
  <c r="J60" i="39"/>
  <c r="J61" i="39"/>
  <c r="W299" i="39"/>
  <c r="X237" i="39"/>
  <c r="V115" i="39"/>
  <c r="V102" i="39" s="1"/>
  <c r="V169" i="39"/>
  <c r="U170" i="39"/>
  <c r="U173" i="39" s="1"/>
  <c r="V271" i="39"/>
  <c r="W190" i="39"/>
  <c r="W525" i="39"/>
  <c r="W475" i="39"/>
  <c r="X472" i="39"/>
  <c r="V139" i="39"/>
  <c r="W124" i="39"/>
  <c r="W160" i="39"/>
  <c r="V161" i="39"/>
  <c r="V165" i="39" s="1"/>
  <c r="W431" i="39"/>
  <c r="V215" i="39"/>
  <c r="W281" i="39"/>
  <c r="X193" i="39"/>
  <c r="X281" i="39" s="1"/>
  <c r="W468" i="39"/>
  <c r="X145" i="39"/>
  <c r="V118" i="39"/>
  <c r="P356" i="39"/>
  <c r="K63" i="39"/>
  <c r="K65" i="39" s="1"/>
  <c r="K66" i="39" s="1"/>
  <c r="V510" i="39"/>
  <c r="W354" i="39"/>
  <c r="X433" i="39"/>
  <c r="X530" i="39"/>
  <c r="X420" i="39"/>
  <c r="V202" i="39"/>
  <c r="U523" i="39"/>
  <c r="U498" i="39"/>
  <c r="U263" i="38"/>
  <c r="P381" i="39"/>
  <c r="U509" i="39"/>
  <c r="U517" i="39" s="1"/>
  <c r="V187" i="39"/>
  <c r="M416" i="39"/>
  <c r="L401" i="39"/>
  <c r="L403" i="39" s="1"/>
  <c r="L402" i="39"/>
  <c r="W438" i="39"/>
  <c r="W75" i="39"/>
  <c r="W255" i="39"/>
  <c r="V261" i="39"/>
  <c r="U491" i="39"/>
  <c r="V154" i="39"/>
  <c r="S182" i="39"/>
  <c r="R366" i="39"/>
  <c r="R368" i="39" s="1"/>
  <c r="R353" i="39"/>
  <c r="R397" i="39"/>
  <c r="R375" i="39"/>
  <c r="R377" i="39" s="1"/>
  <c r="Q355" i="39"/>
  <c r="Q76" i="39"/>
  <c r="X25" i="39"/>
  <c r="X26" i="39" s="1"/>
  <c r="W26" i="39"/>
  <c r="X450" i="39"/>
  <c r="U394" i="39"/>
  <c r="U400" i="39"/>
  <c r="T73" i="39"/>
  <c r="T457" i="39" s="1"/>
  <c r="W454" i="39"/>
  <c r="V107" i="39"/>
  <c r="T264" i="39"/>
  <c r="V149" i="39"/>
  <c r="W502" i="39"/>
  <c r="W105" i="39"/>
  <c r="W391" i="39"/>
  <c r="V393" i="39"/>
  <c r="W534" i="39"/>
  <c r="W480" i="39"/>
  <c r="W120" i="39" s="1"/>
  <c r="X478" i="39"/>
  <c r="U490" i="39"/>
  <c r="V146" i="39"/>
  <c r="U89" i="39"/>
  <c r="U147" i="39"/>
  <c r="U150" i="39" s="1"/>
  <c r="X322" i="39"/>
  <c r="U508" i="39"/>
  <c r="V367" i="39"/>
  <c r="W484" i="39"/>
  <c r="V485" i="39"/>
  <c r="V486" i="39" s="1"/>
  <c r="X441" i="39"/>
  <c r="W444" i="39"/>
  <c r="W219" i="39"/>
  <c r="W459" i="39"/>
  <c r="V361" i="39"/>
  <c r="V294" i="39"/>
  <c r="X18" i="39"/>
  <c r="X19" i="39" s="1"/>
  <c r="W19" i="39"/>
  <c r="W44" i="39" s="1"/>
  <c r="T511" i="39"/>
  <c r="X427" i="39"/>
  <c r="V186" i="39"/>
  <c r="V177" i="39"/>
  <c r="U178" i="39"/>
  <c r="U179" i="39" s="1"/>
  <c r="V465" i="39"/>
  <c r="V126" i="39" s="1"/>
  <c r="W267" i="39"/>
  <c r="S359" i="39"/>
  <c r="W531" i="39"/>
  <c r="X423" i="39"/>
  <c r="W424" i="39"/>
  <c r="W125" i="39" s="1"/>
  <c r="W258" i="39"/>
  <c r="U301" i="38"/>
  <c r="J60" i="38"/>
  <c r="J61" i="38"/>
  <c r="W485" i="38"/>
  <c r="X483" i="38"/>
  <c r="X485" i="38" s="1"/>
  <c r="W118" i="38"/>
  <c r="X530" i="38"/>
  <c r="X420" i="38"/>
  <c r="X464" i="38"/>
  <c r="X532" i="38" s="1"/>
  <c r="U523" i="38"/>
  <c r="U498" i="38"/>
  <c r="X433" i="38"/>
  <c r="S277" i="38"/>
  <c r="W299" i="38"/>
  <c r="X237" i="38"/>
  <c r="X256" i="38"/>
  <c r="R355" i="38"/>
  <c r="R76" i="38"/>
  <c r="T182" i="38"/>
  <c r="W444" i="38"/>
  <c r="X441" i="38"/>
  <c r="W219" i="38"/>
  <c r="W177" i="38"/>
  <c r="V178" i="38"/>
  <c r="W431" i="38"/>
  <c r="V215" i="38"/>
  <c r="V491" i="38"/>
  <c r="W154" i="38"/>
  <c r="W281" i="38"/>
  <c r="X193" i="38"/>
  <c r="X281" i="38" s="1"/>
  <c r="K60" i="38"/>
  <c r="K61" i="38"/>
  <c r="U273" i="38"/>
  <c r="T274" i="38"/>
  <c r="W203" i="38"/>
  <c r="X203" i="38" s="1"/>
  <c r="T307" i="38"/>
  <c r="U306" i="38"/>
  <c r="V490" i="38"/>
  <c r="W146" i="38"/>
  <c r="W147" i="38" s="1"/>
  <c r="V89" i="38"/>
  <c r="V115" i="38"/>
  <c r="V102" i="38" s="1"/>
  <c r="V394" i="38"/>
  <c r="V400" i="38"/>
  <c r="W468" i="38"/>
  <c r="X145" i="38"/>
  <c r="Q356" i="38"/>
  <c r="W124" i="38"/>
  <c r="W271" i="38"/>
  <c r="X190" i="38"/>
  <c r="X271" i="38" s="1"/>
  <c r="W44" i="38"/>
  <c r="X44" i="38" s="1"/>
  <c r="U510" i="38"/>
  <c r="V354" i="38"/>
  <c r="T289" i="38"/>
  <c r="U288" i="38"/>
  <c r="X259" i="38"/>
  <c r="W160" i="38"/>
  <c r="V161" i="38"/>
  <c r="V165" i="38" s="1"/>
  <c r="X438" i="38"/>
  <c r="X391" i="38"/>
  <c r="W393" i="38"/>
  <c r="V147" i="38"/>
  <c r="V150" i="38" s="1"/>
  <c r="X531" i="38"/>
  <c r="W169" i="38"/>
  <c r="V170" i="38"/>
  <c r="V173" i="38" s="1"/>
  <c r="L405" i="38"/>
  <c r="L406" i="38" s="1"/>
  <c r="L56" i="38" s="1"/>
  <c r="L58" i="38" s="1"/>
  <c r="L63" i="38"/>
  <c r="L65" i="38" s="1"/>
  <c r="L66" i="38" s="1"/>
  <c r="X268" i="38"/>
  <c r="X270" i="38"/>
  <c r="X454" i="38"/>
  <c r="X107" i="38" s="1"/>
  <c r="W107" i="38"/>
  <c r="X75" i="38"/>
  <c r="X258" i="38"/>
  <c r="X322" i="38"/>
  <c r="N416" i="38"/>
  <c r="M401" i="38"/>
  <c r="M402" i="38"/>
  <c r="W255" i="38"/>
  <c r="V261" i="38"/>
  <c r="U318" i="38"/>
  <c r="T319" i="38"/>
  <c r="U508" i="38"/>
  <c r="V367" i="38"/>
  <c r="U323" i="38"/>
  <c r="T324" i="38"/>
  <c r="T325" i="38" s="1"/>
  <c r="U310" i="38"/>
  <c r="T311" i="38"/>
  <c r="W267" i="38"/>
  <c r="U73" i="38"/>
  <c r="U457" i="38" s="1"/>
  <c r="X294" i="38"/>
  <c r="X257" i="38"/>
  <c r="S366" i="38"/>
  <c r="S368" i="38" s="1"/>
  <c r="S397" i="38"/>
  <c r="S353" i="38"/>
  <c r="S375" i="38"/>
  <c r="S377" i="38" s="1"/>
  <c r="X427" i="38"/>
  <c r="T511" i="38"/>
  <c r="X525" i="38"/>
  <c r="X475" i="38"/>
  <c r="X480" i="38"/>
  <c r="X120" i="38" s="1"/>
  <c r="X534" i="38"/>
  <c r="V509" i="38"/>
  <c r="V517" i="38" s="1"/>
  <c r="U314" i="38"/>
  <c r="T315" i="38"/>
  <c r="W459" i="38"/>
  <c r="V361" i="38"/>
  <c r="T359" i="38"/>
  <c r="W202" i="38"/>
  <c r="X202" i="38" s="1"/>
  <c r="X260" i="38"/>
  <c r="U199" i="36"/>
  <c r="W267" i="36"/>
  <c r="U115" i="36"/>
  <c r="U102" i="36" s="1"/>
  <c r="S204" i="36"/>
  <c r="U203" i="36"/>
  <c r="T205" i="36"/>
  <c r="Q397" i="36"/>
  <c r="Q353" i="36"/>
  <c r="Q375" i="36"/>
  <c r="Q377" i="36" s="1"/>
  <c r="Q366" i="36"/>
  <c r="Q368" i="36" s="1"/>
  <c r="X449" i="36"/>
  <c r="W449" i="36"/>
  <c r="W427" i="36"/>
  <c r="U469" i="36"/>
  <c r="U119" i="36" s="1"/>
  <c r="X193" i="36"/>
  <c r="X281" i="36" s="1"/>
  <c r="W281" i="36"/>
  <c r="U125" i="36"/>
  <c r="V424" i="36"/>
  <c r="V486" i="36"/>
  <c r="U202" i="36"/>
  <c r="J61" i="36"/>
  <c r="J60" i="36"/>
  <c r="R359" i="36"/>
  <c r="W299" i="36"/>
  <c r="S511" i="36"/>
  <c r="U509" i="36"/>
  <c r="U517" i="36" s="1"/>
  <c r="X531" i="36"/>
  <c r="P380" i="36"/>
  <c r="T394" i="36"/>
  <c r="T73" i="36" s="1"/>
  <c r="W75" i="36"/>
  <c r="W454" i="36"/>
  <c r="V107" i="36"/>
  <c r="V468" i="36"/>
  <c r="W145" i="36"/>
  <c r="X525" i="36"/>
  <c r="X475" i="36"/>
  <c r="V530" i="36"/>
  <c r="V464" i="36"/>
  <c r="V532" i="36" s="1"/>
  <c r="V420" i="36"/>
  <c r="W419" i="36"/>
  <c r="X216" i="36"/>
  <c r="K403" i="36"/>
  <c r="V459" i="36"/>
  <c r="U361" i="36"/>
  <c r="W118" i="36"/>
  <c r="T523" i="36"/>
  <c r="O356" i="36"/>
  <c r="S457" i="36"/>
  <c r="U465" i="36"/>
  <c r="U126" i="36" s="1"/>
  <c r="U124" i="36"/>
  <c r="V534" i="36"/>
  <c r="V480" i="36"/>
  <c r="W478" i="36"/>
  <c r="M416" i="36"/>
  <c r="L401" i="36"/>
  <c r="L402" i="36"/>
  <c r="P355" i="36"/>
  <c r="P76" i="36"/>
  <c r="V160" i="36"/>
  <c r="U161" i="36"/>
  <c r="U165" i="36" s="1"/>
  <c r="U215" i="36"/>
  <c r="U498" i="36" s="1"/>
  <c r="W485" i="36"/>
  <c r="U120" i="36"/>
  <c r="T262" i="36"/>
  <c r="W322" i="36"/>
  <c r="T263" i="36"/>
  <c r="V444" i="36"/>
  <c r="W441" i="36"/>
  <c r="W219" i="36" s="1"/>
  <c r="S264" i="36"/>
  <c r="V391" i="36"/>
  <c r="V393" i="36" s="1"/>
  <c r="T510" i="36"/>
  <c r="U354" i="36"/>
  <c r="U261" i="36"/>
  <c r="V26" i="36"/>
  <c r="T508" i="36"/>
  <c r="U367" i="36"/>
  <c r="T498" i="36"/>
  <c r="W150" i="38" l="1"/>
  <c r="X44" i="39"/>
  <c r="X424" i="38"/>
  <c r="X125" i="38" s="1"/>
  <c r="N403" i="41"/>
  <c r="V400" i="36"/>
  <c r="L403" i="36"/>
  <c r="W486" i="38"/>
  <c r="X486" i="38" s="1"/>
  <c r="M405" i="41"/>
  <c r="M406" i="41" s="1"/>
  <c r="W465" i="38"/>
  <c r="W126" i="38" s="1"/>
  <c r="U179" i="40"/>
  <c r="U92" i="40" s="1"/>
  <c r="W469" i="38"/>
  <c r="W119" i="38" s="1"/>
  <c r="W469" i="39"/>
  <c r="W119" i="39" s="1"/>
  <c r="X324" i="41"/>
  <c r="X120" i="41"/>
  <c r="X26" i="41"/>
  <c r="X449" i="41"/>
  <c r="X450" i="41" s="1"/>
  <c r="X307" i="41"/>
  <c r="V205" i="39"/>
  <c r="U204" i="39"/>
  <c r="W203" i="39"/>
  <c r="X203" i="39" s="1"/>
  <c r="U264" i="39"/>
  <c r="V262" i="39"/>
  <c r="V205" i="41"/>
  <c r="W468" i="40"/>
  <c r="X424" i="40"/>
  <c r="X125" i="40" s="1"/>
  <c r="U204" i="41"/>
  <c r="V205" i="40"/>
  <c r="W469" i="41"/>
  <c r="W119" i="41" s="1"/>
  <c r="W202" i="41"/>
  <c r="U264" i="41"/>
  <c r="U204" i="40"/>
  <c r="V262" i="41"/>
  <c r="V204" i="38"/>
  <c r="W203" i="41"/>
  <c r="X311" i="41"/>
  <c r="V277" i="41"/>
  <c r="X319" i="41"/>
  <c r="X468" i="41"/>
  <c r="X267" i="41"/>
  <c r="X255" i="41"/>
  <c r="W261" i="41"/>
  <c r="O416" i="41"/>
  <c r="O402" i="41"/>
  <c r="P402" i="41" s="1"/>
  <c r="Q402" i="41" s="1"/>
  <c r="R402" i="41" s="1"/>
  <c r="S402" i="41" s="1"/>
  <c r="T402" i="41" s="1"/>
  <c r="U402" i="41" s="1"/>
  <c r="V402" i="41" s="1"/>
  <c r="W402" i="41" s="1"/>
  <c r="X402" i="41" s="1"/>
  <c r="X443" i="41"/>
  <c r="W444" i="41"/>
  <c r="X498" i="41"/>
  <c r="X438" i="41"/>
  <c r="W465" i="41"/>
  <c r="W126" i="41" s="1"/>
  <c r="W124" i="41"/>
  <c r="V263" i="41"/>
  <c r="V115" i="41"/>
  <c r="V102" i="41" s="1"/>
  <c r="X530" i="41"/>
  <c r="X464" i="41"/>
  <c r="X532" i="41" s="1"/>
  <c r="X420" i="41"/>
  <c r="X75" i="41"/>
  <c r="T182" i="41"/>
  <c r="V509" i="41"/>
  <c r="V517" i="41" s="1"/>
  <c r="W275" i="41"/>
  <c r="X289" i="41"/>
  <c r="X118" i="41"/>
  <c r="X454" i="41"/>
  <c r="W107" i="41"/>
  <c r="X315" i="41"/>
  <c r="X531" i="41"/>
  <c r="X424" i="41"/>
  <c r="X459" i="41"/>
  <c r="W523" i="41"/>
  <c r="X484" i="41"/>
  <c r="W485" i="41"/>
  <c r="W486" i="41" s="1"/>
  <c r="X154" i="41"/>
  <c r="W502" i="41"/>
  <c r="W105" i="41"/>
  <c r="W271" i="41"/>
  <c r="W274" i="41" s="1"/>
  <c r="X190" i="41"/>
  <c r="X523" i="41"/>
  <c r="W490" i="41"/>
  <c r="X146" i="41"/>
  <c r="W89" i="41"/>
  <c r="W147" i="41"/>
  <c r="W150" i="41" s="1"/>
  <c r="W276" i="41"/>
  <c r="V115" i="36"/>
  <c r="V102" i="36" s="1"/>
  <c r="U264" i="38"/>
  <c r="W199" i="38"/>
  <c r="W202" i="40"/>
  <c r="X202" i="40" s="1"/>
  <c r="S380" i="38"/>
  <c r="S381" i="38" s="1"/>
  <c r="W465" i="40"/>
  <c r="W126" i="40" s="1"/>
  <c r="U179" i="38"/>
  <c r="U92" i="38" s="1"/>
  <c r="U511" i="40"/>
  <c r="X393" i="40"/>
  <c r="X394" i="40" s="1"/>
  <c r="T277" i="38"/>
  <c r="U275" i="38"/>
  <c r="V263" i="39"/>
  <c r="W202" i="39"/>
  <c r="X202" i="39" s="1"/>
  <c r="X269" i="40"/>
  <c r="X450" i="40"/>
  <c r="X502" i="40" s="1"/>
  <c r="X260" i="40"/>
  <c r="X259" i="40"/>
  <c r="W203" i="40"/>
  <c r="X270" i="40"/>
  <c r="X256" i="40"/>
  <c r="U276" i="38"/>
  <c r="V262" i="40"/>
  <c r="X256" i="39"/>
  <c r="X258" i="40"/>
  <c r="J60" i="40"/>
  <c r="J61" i="40"/>
  <c r="U359" i="40"/>
  <c r="V119" i="40"/>
  <c r="W469" i="40"/>
  <c r="V73" i="40"/>
  <c r="V457" i="40" s="1"/>
  <c r="L403" i="40"/>
  <c r="X268" i="40"/>
  <c r="T182" i="40"/>
  <c r="U511" i="39"/>
  <c r="R356" i="40"/>
  <c r="N416" i="40"/>
  <c r="M401" i="40"/>
  <c r="M402" i="40"/>
  <c r="K405" i="40"/>
  <c r="K406" i="40" s="1"/>
  <c r="K56" i="40" s="1"/>
  <c r="K58" i="40" s="1"/>
  <c r="K63" i="40"/>
  <c r="K65" i="40" s="1"/>
  <c r="K66" i="40" s="1"/>
  <c r="T375" i="40"/>
  <c r="T377" i="40" s="1"/>
  <c r="T366" i="40"/>
  <c r="T368" i="40" s="1"/>
  <c r="T353" i="40"/>
  <c r="T397" i="40"/>
  <c r="S380" i="40"/>
  <c r="W502" i="40"/>
  <c r="W105" i="40"/>
  <c r="X322" i="40"/>
  <c r="V509" i="40"/>
  <c r="V517" i="40" s="1"/>
  <c r="X257" i="40"/>
  <c r="W491" i="40"/>
  <c r="X154" i="40"/>
  <c r="W261" i="40"/>
  <c r="X255" i="40"/>
  <c r="W361" i="40"/>
  <c r="X459" i="40"/>
  <c r="X480" i="40"/>
  <c r="X120" i="40" s="1"/>
  <c r="X534" i="40"/>
  <c r="X490" i="40"/>
  <c r="X89" i="40"/>
  <c r="S355" i="40"/>
  <c r="S76" i="40"/>
  <c r="W523" i="40"/>
  <c r="W498" i="40"/>
  <c r="X118" i="40"/>
  <c r="X454" i="40"/>
  <c r="X107" i="40" s="1"/>
  <c r="W107" i="40"/>
  <c r="X444" i="40"/>
  <c r="X219" i="40"/>
  <c r="X498" i="40" s="1"/>
  <c r="X147" i="40"/>
  <c r="X150" i="40" s="1"/>
  <c r="X438" i="40"/>
  <c r="W394" i="40"/>
  <c r="W400" i="40"/>
  <c r="X75" i="40"/>
  <c r="V508" i="40"/>
  <c r="W367" i="40"/>
  <c r="X124" i="40"/>
  <c r="U264" i="40"/>
  <c r="W115" i="40"/>
  <c r="W102" i="40" s="1"/>
  <c r="X267" i="40"/>
  <c r="W271" i="40"/>
  <c r="X190" i="40"/>
  <c r="X271" i="40" s="1"/>
  <c r="V510" i="40"/>
  <c r="W354" i="40"/>
  <c r="V263" i="40"/>
  <c r="X160" i="40"/>
  <c r="W161" i="40"/>
  <c r="W165" i="40" s="1"/>
  <c r="U511" i="38"/>
  <c r="W465" i="39"/>
  <c r="W126" i="39" s="1"/>
  <c r="X393" i="38"/>
  <c r="X394" i="38" s="1"/>
  <c r="R380" i="39"/>
  <c r="R381" i="39" s="1"/>
  <c r="T359" i="39"/>
  <c r="W186" i="39"/>
  <c r="X186" i="39" s="1"/>
  <c r="W149" i="39"/>
  <c r="X149" i="39" s="1"/>
  <c r="V509" i="39"/>
  <c r="V517" i="39" s="1"/>
  <c r="N416" i="39"/>
  <c r="M401" i="39"/>
  <c r="M402" i="39"/>
  <c r="X531" i="39"/>
  <c r="X424" i="39"/>
  <c r="X125" i="39" s="1"/>
  <c r="X454" i="39"/>
  <c r="X107" i="39" s="1"/>
  <c r="W107" i="39"/>
  <c r="T182" i="39"/>
  <c r="X260" i="39"/>
  <c r="W510" i="39"/>
  <c r="X354" i="39"/>
  <c r="X510" i="39" s="1"/>
  <c r="V523" i="39"/>
  <c r="V498" i="39"/>
  <c r="W271" i="39"/>
  <c r="X190" i="39"/>
  <c r="X271" i="39" s="1"/>
  <c r="X299" i="39"/>
  <c r="W188" i="39"/>
  <c r="X188" i="39" s="1"/>
  <c r="X75" i="39"/>
  <c r="S366" i="39"/>
  <c r="S368" i="39" s="1"/>
  <c r="S353" i="39"/>
  <c r="S397" i="39"/>
  <c r="S375" i="39"/>
  <c r="S377" i="39" s="1"/>
  <c r="V508" i="39"/>
  <c r="W367" i="39"/>
  <c r="V490" i="39"/>
  <c r="V89" i="39"/>
  <c r="W146" i="39"/>
  <c r="V147" i="39"/>
  <c r="V150" i="39" s="1"/>
  <c r="X391" i="39"/>
  <c r="W393" i="39"/>
  <c r="U73" i="39"/>
  <c r="U457" i="39" s="1"/>
  <c r="W187" i="39"/>
  <c r="X187" i="39" s="1"/>
  <c r="X468" i="39"/>
  <c r="W139" i="39"/>
  <c r="X139" i="39" s="1"/>
  <c r="X270" i="39"/>
  <c r="V394" i="39"/>
  <c r="V400" i="39"/>
  <c r="W294" i="39"/>
  <c r="X294" i="39" s="1"/>
  <c r="W115" i="39"/>
  <c r="W102" i="39" s="1"/>
  <c r="V491" i="39"/>
  <c r="W154" i="39"/>
  <c r="X124" i="39"/>
  <c r="K61" i="39"/>
  <c r="K60" i="39"/>
  <c r="X259" i="39"/>
  <c r="X525" i="39"/>
  <c r="X475" i="39"/>
  <c r="U92" i="39"/>
  <c r="Q356" i="39"/>
  <c r="X431" i="39"/>
  <c r="X215" i="39" s="1"/>
  <c r="W215" i="39"/>
  <c r="X267" i="39"/>
  <c r="X444" i="39"/>
  <c r="X219" i="39"/>
  <c r="X534" i="39"/>
  <c r="X480" i="39"/>
  <c r="X120" i="39" s="1"/>
  <c r="X438" i="39"/>
  <c r="X464" i="39"/>
  <c r="X532" i="39" s="1"/>
  <c r="W118" i="39"/>
  <c r="W169" i="39"/>
  <c r="V170" i="39"/>
  <c r="V173" i="39" s="1"/>
  <c r="X484" i="39"/>
  <c r="X485" i="39" s="1"/>
  <c r="W485" i="39"/>
  <c r="W486" i="39" s="1"/>
  <c r="X459" i="39"/>
  <c r="W361" i="39"/>
  <c r="X268" i="39"/>
  <c r="X502" i="39"/>
  <c r="X105" i="39"/>
  <c r="R355" i="39"/>
  <c r="R76" i="39"/>
  <c r="X269" i="39"/>
  <c r="X258" i="39"/>
  <c r="W177" i="39"/>
  <c r="V178" i="39"/>
  <c r="V179" i="39" s="1"/>
  <c r="X255" i="39"/>
  <c r="W261" i="39"/>
  <c r="L406" i="39"/>
  <c r="L56" i="39" s="1"/>
  <c r="L58" i="39" s="1"/>
  <c r="L405" i="39"/>
  <c r="L63" i="39"/>
  <c r="L65" i="39" s="1"/>
  <c r="L66" i="39" s="1"/>
  <c r="X160" i="39"/>
  <c r="W161" i="39"/>
  <c r="W165" i="39" s="1"/>
  <c r="X257" i="39"/>
  <c r="W205" i="38"/>
  <c r="X205" i="38" s="1"/>
  <c r="V318" i="38"/>
  <c r="U319" i="38"/>
  <c r="W394" i="38"/>
  <c r="W400" i="38"/>
  <c r="V510" i="38"/>
  <c r="W354" i="38"/>
  <c r="X468" i="38"/>
  <c r="X124" i="38"/>
  <c r="T366" i="38"/>
  <c r="T368" i="38" s="1"/>
  <c r="T375" i="38"/>
  <c r="T377" i="38" s="1"/>
  <c r="T397" i="38"/>
  <c r="T353" i="38"/>
  <c r="X459" i="38"/>
  <c r="W361" i="38"/>
  <c r="L60" i="38"/>
  <c r="L61" i="38"/>
  <c r="V73" i="38"/>
  <c r="V457" i="38" s="1"/>
  <c r="X444" i="38"/>
  <c r="X219" i="38"/>
  <c r="W115" i="38"/>
  <c r="W102" i="38" s="1"/>
  <c r="R356" i="38"/>
  <c r="X299" i="38"/>
  <c r="V314" i="38"/>
  <c r="U315" i="38"/>
  <c r="X118" i="38"/>
  <c r="U359" i="38"/>
  <c r="V323" i="38"/>
  <c r="U324" i="38"/>
  <c r="U325" i="38" s="1"/>
  <c r="X255" i="38"/>
  <c r="X261" i="38" s="1"/>
  <c r="W261" i="38"/>
  <c r="M403" i="38"/>
  <c r="W509" i="38"/>
  <c r="W517" i="38" s="1"/>
  <c r="U289" i="38"/>
  <c r="V288" i="38"/>
  <c r="U307" i="38"/>
  <c r="V306" i="38"/>
  <c r="V273" i="38"/>
  <c r="U274" i="38"/>
  <c r="W491" i="38"/>
  <c r="X154" i="38"/>
  <c r="S355" i="38"/>
  <c r="S76" i="38"/>
  <c r="X160" i="38"/>
  <c r="W161" i="38"/>
  <c r="W165" i="38" s="1"/>
  <c r="X267" i="38"/>
  <c r="O416" i="38"/>
  <c r="N401" i="38"/>
  <c r="N402" i="38"/>
  <c r="O402" i="38" s="1"/>
  <c r="P402" i="38" s="1"/>
  <c r="Q402" i="38" s="1"/>
  <c r="R402" i="38" s="1"/>
  <c r="S402" i="38" s="1"/>
  <c r="T402" i="38" s="1"/>
  <c r="U402" i="38" s="1"/>
  <c r="V402" i="38" s="1"/>
  <c r="W402" i="38" s="1"/>
  <c r="X402" i="38" s="1"/>
  <c r="X509" i="38"/>
  <c r="X517" i="38" s="1"/>
  <c r="X169" i="38"/>
  <c r="X170" i="38" s="1"/>
  <c r="X173" i="38" s="1"/>
  <c r="W170" i="38"/>
  <c r="W173" i="38" s="1"/>
  <c r="U311" i="38"/>
  <c r="V310" i="38"/>
  <c r="V508" i="38"/>
  <c r="W367" i="38"/>
  <c r="W490" i="38"/>
  <c r="W89" i="38"/>
  <c r="X146" i="38"/>
  <c r="X147" i="38" s="1"/>
  <c r="X150" i="38" s="1"/>
  <c r="V523" i="38"/>
  <c r="V498" i="38"/>
  <c r="X177" i="38"/>
  <c r="X178" i="38" s="1"/>
  <c r="W178" i="38"/>
  <c r="V262" i="38"/>
  <c r="X431" i="38"/>
  <c r="X215" i="38" s="1"/>
  <c r="W215" i="38"/>
  <c r="V263" i="38"/>
  <c r="U182" i="38"/>
  <c r="V301" i="38"/>
  <c r="X267" i="36"/>
  <c r="V199" i="36"/>
  <c r="U205" i="36"/>
  <c r="T204" i="36"/>
  <c r="R397" i="36"/>
  <c r="R353" i="36"/>
  <c r="R375" i="36"/>
  <c r="R377" i="36" s="1"/>
  <c r="R366" i="36"/>
  <c r="R368" i="36" s="1"/>
  <c r="V203" i="36"/>
  <c r="W450" i="36"/>
  <c r="X450" i="36"/>
  <c r="X427" i="36"/>
  <c r="V469" i="36"/>
  <c r="V119" i="36" s="1"/>
  <c r="X485" i="36"/>
  <c r="V125" i="36"/>
  <c r="W424" i="36"/>
  <c r="W486" i="36"/>
  <c r="V202" i="36"/>
  <c r="T264" i="36"/>
  <c r="Q380" i="36"/>
  <c r="Q381" i="36" s="1"/>
  <c r="S359" i="36"/>
  <c r="N416" i="36"/>
  <c r="M401" i="36"/>
  <c r="M402" i="36"/>
  <c r="T457" i="36"/>
  <c r="X299" i="36"/>
  <c r="U262" i="36"/>
  <c r="U523" i="36"/>
  <c r="Q355" i="36"/>
  <c r="Q76" i="36"/>
  <c r="W459" i="36"/>
  <c r="V361" i="36"/>
  <c r="V509" i="36"/>
  <c r="V517" i="36" s="1"/>
  <c r="W26" i="36"/>
  <c r="X441" i="36"/>
  <c r="X219" i="36" s="1"/>
  <c r="W444" i="36"/>
  <c r="X322" i="36"/>
  <c r="V502" i="36"/>
  <c r="V105" i="36"/>
  <c r="P381" i="36"/>
  <c r="V215" i="36"/>
  <c r="V498" i="36" s="1"/>
  <c r="P356" i="36"/>
  <c r="X454" i="36"/>
  <c r="W107" i="36"/>
  <c r="U394" i="36"/>
  <c r="U73" i="36" s="1"/>
  <c r="U502" i="36"/>
  <c r="U105" i="36"/>
  <c r="K405" i="36"/>
  <c r="K406" i="36" s="1"/>
  <c r="K56" i="36" s="1"/>
  <c r="K58" i="36" s="1"/>
  <c r="K63" i="36"/>
  <c r="K65" i="36" s="1"/>
  <c r="K66" i="36" s="1"/>
  <c r="L405" i="36"/>
  <c r="L406" i="36" s="1"/>
  <c r="L56" i="36" s="1"/>
  <c r="L58" i="36" s="1"/>
  <c r="L63" i="36"/>
  <c r="L65" i="36" s="1"/>
  <c r="L66" i="36" s="1"/>
  <c r="U508" i="36"/>
  <c r="V367" i="36"/>
  <c r="V261" i="36"/>
  <c r="W391" i="36"/>
  <c r="W393" i="36" s="1"/>
  <c r="W160" i="36"/>
  <c r="V161" i="36"/>
  <c r="V165" i="36" s="1"/>
  <c r="W480" i="36"/>
  <c r="X478" i="36"/>
  <c r="W534" i="36"/>
  <c r="W530" i="36"/>
  <c r="W464" i="36"/>
  <c r="W532" i="36" s="1"/>
  <c r="X419" i="36"/>
  <c r="W420" i="36"/>
  <c r="X118" i="36"/>
  <c r="W468" i="36"/>
  <c r="X145" i="36"/>
  <c r="T511" i="36"/>
  <c r="U510" i="36"/>
  <c r="V354" i="36"/>
  <c r="U263" i="36"/>
  <c r="V120" i="36"/>
  <c r="V465" i="36"/>
  <c r="V126" i="36" s="1"/>
  <c r="V124" i="36"/>
  <c r="X75" i="36"/>
  <c r="M403" i="40" l="1"/>
  <c r="M405" i="40" s="1"/>
  <c r="M406" i="40" s="1"/>
  <c r="M56" i="40" s="1"/>
  <c r="M58" i="40" s="1"/>
  <c r="N405" i="41"/>
  <c r="N406" i="41" s="1"/>
  <c r="M403" i="36"/>
  <c r="M405" i="36" s="1"/>
  <c r="M406" i="36" s="1"/>
  <c r="M56" i="36" s="1"/>
  <c r="M58" i="36" s="1"/>
  <c r="N403" i="38"/>
  <c r="W400" i="36"/>
  <c r="X469" i="38"/>
  <c r="X119" i="38" s="1"/>
  <c r="X465" i="38"/>
  <c r="X126" i="38" s="1"/>
  <c r="X469" i="39"/>
  <c r="X119" i="39" s="1"/>
  <c r="V179" i="40"/>
  <c r="V92" i="40" s="1"/>
  <c r="W205" i="39"/>
  <c r="X205" i="39" s="1"/>
  <c r="X202" i="41"/>
  <c r="X271" i="41"/>
  <c r="X274" i="41" s="1"/>
  <c r="X107" i="41"/>
  <c r="X509" i="41" s="1"/>
  <c r="X485" i="41"/>
  <c r="X486" i="41" s="1"/>
  <c r="X261" i="41"/>
  <c r="X125" i="41"/>
  <c r="X444" i="41"/>
  <c r="X325" i="41"/>
  <c r="W262" i="39"/>
  <c r="V204" i="39"/>
  <c r="V264" i="39"/>
  <c r="V204" i="41"/>
  <c r="W205" i="41"/>
  <c r="X469" i="41"/>
  <c r="V204" i="40"/>
  <c r="W115" i="36"/>
  <c r="W102" i="36" s="1"/>
  <c r="V264" i="41"/>
  <c r="X276" i="41"/>
  <c r="W263" i="40"/>
  <c r="W263" i="41"/>
  <c r="X203" i="41"/>
  <c r="X275" i="41"/>
  <c r="W277" i="41"/>
  <c r="W509" i="41"/>
  <c r="W517" i="41" s="1"/>
  <c r="U182" i="41"/>
  <c r="X490" i="41"/>
  <c r="X89" i="41"/>
  <c r="X147" i="41"/>
  <c r="O405" i="41"/>
  <c r="P405" i="41" s="1"/>
  <c r="Q405" i="41" s="1"/>
  <c r="R405" i="41" s="1"/>
  <c r="S405" i="41" s="1"/>
  <c r="T405" i="41" s="1"/>
  <c r="U405" i="41" s="1"/>
  <c r="V405" i="41" s="1"/>
  <c r="W405" i="41" s="1"/>
  <c r="X405" i="41" s="1"/>
  <c r="P416" i="41"/>
  <c r="O401" i="41"/>
  <c r="W262" i="41"/>
  <c r="X465" i="41"/>
  <c r="X124" i="41"/>
  <c r="W115" i="41"/>
  <c r="X502" i="41"/>
  <c r="X105" i="41"/>
  <c r="X400" i="38"/>
  <c r="X199" i="38"/>
  <c r="X465" i="40"/>
  <c r="X126" i="40" s="1"/>
  <c r="V179" i="38"/>
  <c r="V92" i="38" s="1"/>
  <c r="W262" i="40"/>
  <c r="W262" i="38"/>
  <c r="X400" i="40"/>
  <c r="X361" i="40"/>
  <c r="S380" i="39"/>
  <c r="S381" i="39" s="1"/>
  <c r="X465" i="39"/>
  <c r="X126" i="39" s="1"/>
  <c r="W263" i="38"/>
  <c r="W204" i="38"/>
  <c r="X204" i="38" s="1"/>
  <c r="V511" i="38"/>
  <c r="V511" i="39"/>
  <c r="X523" i="40"/>
  <c r="X261" i="40"/>
  <c r="X105" i="40"/>
  <c r="X203" i="40"/>
  <c r="W205" i="40"/>
  <c r="U277" i="38"/>
  <c r="V359" i="40"/>
  <c r="M63" i="40"/>
  <c r="M65" i="40" s="1"/>
  <c r="M66" i="40" s="1"/>
  <c r="N401" i="40"/>
  <c r="O416" i="40"/>
  <c r="N402" i="40"/>
  <c r="O402" i="40" s="1"/>
  <c r="P402" i="40" s="1"/>
  <c r="Q402" i="40" s="1"/>
  <c r="R402" i="40" s="1"/>
  <c r="S402" i="40" s="1"/>
  <c r="T402" i="40" s="1"/>
  <c r="U402" i="40" s="1"/>
  <c r="V402" i="40" s="1"/>
  <c r="W402" i="40" s="1"/>
  <c r="X402" i="40" s="1"/>
  <c r="X486" i="39"/>
  <c r="X491" i="40"/>
  <c r="K60" i="40"/>
  <c r="K61" i="40"/>
  <c r="U182" i="40"/>
  <c r="X468" i="40"/>
  <c r="W73" i="40"/>
  <c r="W457" i="40" s="1"/>
  <c r="L406" i="40"/>
  <c r="L56" i="40" s="1"/>
  <c r="L58" i="40" s="1"/>
  <c r="L405" i="40"/>
  <c r="L63" i="40"/>
  <c r="L65" i="40" s="1"/>
  <c r="L66" i="40" s="1"/>
  <c r="X73" i="40"/>
  <c r="X457" i="40" s="1"/>
  <c r="W510" i="40"/>
  <c r="X354" i="40"/>
  <c r="X510" i="40" s="1"/>
  <c r="W508" i="40"/>
  <c r="X367" i="40"/>
  <c r="X508" i="40" s="1"/>
  <c r="U397" i="40"/>
  <c r="U375" i="40"/>
  <c r="U377" i="40" s="1"/>
  <c r="U366" i="40"/>
  <c r="U368" i="40" s="1"/>
  <c r="U353" i="40"/>
  <c r="X161" i="40"/>
  <c r="X165" i="40" s="1"/>
  <c r="V511" i="40"/>
  <c r="S356" i="40"/>
  <c r="T380" i="40"/>
  <c r="T381" i="40" s="1"/>
  <c r="S381" i="40"/>
  <c r="X115" i="40"/>
  <c r="X102" i="40" s="1"/>
  <c r="W509" i="40"/>
  <c r="W517" i="40" s="1"/>
  <c r="X509" i="40"/>
  <c r="X517" i="40" s="1"/>
  <c r="V264" i="40"/>
  <c r="T355" i="40"/>
  <c r="T76" i="40"/>
  <c r="W119" i="40"/>
  <c r="X469" i="40"/>
  <c r="X119" i="40" s="1"/>
  <c r="X261" i="39"/>
  <c r="X393" i="39"/>
  <c r="X394" i="39" s="1"/>
  <c r="W301" i="38"/>
  <c r="X498" i="39"/>
  <c r="U359" i="39"/>
  <c r="X161" i="39"/>
  <c r="X165" i="39" s="1"/>
  <c r="R356" i="39"/>
  <c r="W508" i="39"/>
  <c r="X367" i="39"/>
  <c r="X508" i="39" s="1"/>
  <c r="M403" i="39"/>
  <c r="U182" i="39"/>
  <c r="W263" i="39"/>
  <c r="X118" i="39"/>
  <c r="V73" i="39"/>
  <c r="V457" i="39" s="1"/>
  <c r="N401" i="39"/>
  <c r="O416" i="39"/>
  <c r="N402" i="39"/>
  <c r="O402" i="39" s="1"/>
  <c r="P402" i="39" s="1"/>
  <c r="Q402" i="39" s="1"/>
  <c r="R402" i="39" s="1"/>
  <c r="S402" i="39" s="1"/>
  <c r="T402" i="39" s="1"/>
  <c r="U402" i="39" s="1"/>
  <c r="V402" i="39" s="1"/>
  <c r="W402" i="39" s="1"/>
  <c r="X402" i="39" s="1"/>
  <c r="T397" i="39"/>
  <c r="T366" i="39"/>
  <c r="T368" i="39" s="1"/>
  <c r="T375" i="39"/>
  <c r="T377" i="39" s="1"/>
  <c r="T353" i="39"/>
  <c r="X177" i="39"/>
  <c r="X178" i="39" s="1"/>
  <c r="W178" i="39"/>
  <c r="W179" i="39" s="1"/>
  <c r="X361" i="38"/>
  <c r="W394" i="39"/>
  <c r="W400" i="39"/>
  <c r="L61" i="39"/>
  <c r="L60" i="39"/>
  <c r="X115" i="39"/>
  <c r="X102" i="39" s="1"/>
  <c r="W509" i="39"/>
  <c r="W517" i="39" s="1"/>
  <c r="X361" i="39"/>
  <c r="V92" i="39"/>
  <c r="W523" i="39"/>
  <c r="W498" i="39"/>
  <c r="X509" i="39"/>
  <c r="X517" i="39" s="1"/>
  <c r="X169" i="39"/>
  <c r="X170" i="39" s="1"/>
  <c r="X173" i="39" s="1"/>
  <c r="W170" i="39"/>
  <c r="W173" i="39" s="1"/>
  <c r="X523" i="39"/>
  <c r="W491" i="39"/>
  <c r="X154" i="39"/>
  <c r="W490" i="39"/>
  <c r="X146" i="39"/>
  <c r="W89" i="39"/>
  <c r="W147" i="39"/>
  <c r="W150" i="39" s="1"/>
  <c r="S355" i="39"/>
  <c r="S76" i="39"/>
  <c r="X498" i="38"/>
  <c r="V359" i="38"/>
  <c r="V264" i="38"/>
  <c r="W73" i="38"/>
  <c r="W457" i="38" s="1"/>
  <c r="V182" i="38"/>
  <c r="X490" i="38"/>
  <c r="X89" i="38"/>
  <c r="W273" i="38"/>
  <c r="V274" i="38"/>
  <c r="X115" i="38"/>
  <c r="X102" i="38" s="1"/>
  <c r="X73" i="38"/>
  <c r="X457" i="38" s="1"/>
  <c r="W510" i="38"/>
  <c r="X354" i="38"/>
  <c r="X510" i="38" s="1"/>
  <c r="T380" i="38"/>
  <c r="T381" i="38" s="1"/>
  <c r="W508" i="38"/>
  <c r="X367" i="38"/>
  <c r="X508" i="38" s="1"/>
  <c r="X161" i="38"/>
  <c r="X165" i="38" s="1"/>
  <c r="W306" i="38"/>
  <c r="V307" i="38"/>
  <c r="W314" i="38"/>
  <c r="V315" i="38"/>
  <c r="V276" i="38"/>
  <c r="V311" i="38"/>
  <c r="W310" i="38"/>
  <c r="M405" i="38"/>
  <c r="M406" i="38" s="1"/>
  <c r="M56" i="38" s="1"/>
  <c r="M58" i="38" s="1"/>
  <c r="M63" i="38"/>
  <c r="M65" i="38" s="1"/>
  <c r="M66" i="38" s="1"/>
  <c r="W523" i="38"/>
  <c r="W498" i="38"/>
  <c r="N405" i="38"/>
  <c r="O405" i="38" s="1"/>
  <c r="P405" i="38" s="1"/>
  <c r="Q405" i="38" s="1"/>
  <c r="R405" i="38" s="1"/>
  <c r="S405" i="38" s="1"/>
  <c r="T405" i="38" s="1"/>
  <c r="U405" i="38" s="1"/>
  <c r="V405" i="38" s="1"/>
  <c r="W405" i="38" s="1"/>
  <c r="X405" i="38" s="1"/>
  <c r="N63" i="38"/>
  <c r="N65" i="38" s="1"/>
  <c r="N66" i="38" s="1"/>
  <c r="W288" i="38"/>
  <c r="V289" i="38"/>
  <c r="W323" i="38"/>
  <c r="V324" i="38"/>
  <c r="V325" i="38" s="1"/>
  <c r="X491" i="38"/>
  <c r="X523" i="38"/>
  <c r="O401" i="38"/>
  <c r="P416" i="38"/>
  <c r="S356" i="38"/>
  <c r="U366" i="38"/>
  <c r="U368" i="38" s="1"/>
  <c r="U397" i="38"/>
  <c r="U375" i="38"/>
  <c r="U377" i="38" s="1"/>
  <c r="U353" i="38"/>
  <c r="V275" i="38"/>
  <c r="T355" i="38"/>
  <c r="T76" i="38"/>
  <c r="W318" i="38"/>
  <c r="V319" i="38"/>
  <c r="W199" i="36"/>
  <c r="U204" i="36"/>
  <c r="W203" i="36"/>
  <c r="V205" i="36"/>
  <c r="S353" i="36"/>
  <c r="S366" i="36"/>
  <c r="S368" i="36" s="1"/>
  <c r="S375" i="36"/>
  <c r="S377" i="36" s="1"/>
  <c r="S397" i="36"/>
  <c r="W469" i="36"/>
  <c r="W119" i="36" s="1"/>
  <c r="X486" i="36"/>
  <c r="X26" i="36"/>
  <c r="X107" i="36"/>
  <c r="X509" i="36" s="1"/>
  <c r="W125" i="36"/>
  <c r="X424" i="36"/>
  <c r="W202" i="36"/>
  <c r="R380" i="36"/>
  <c r="R381" i="36" s="1"/>
  <c r="V263" i="36"/>
  <c r="T359" i="36"/>
  <c r="L60" i="36"/>
  <c r="L61" i="36"/>
  <c r="W120" i="36"/>
  <c r="Q356" i="36"/>
  <c r="V510" i="36"/>
  <c r="W354" i="36"/>
  <c r="W465" i="36"/>
  <c r="W126" i="36" s="1"/>
  <c r="W124" i="36"/>
  <c r="V523" i="36"/>
  <c r="X459" i="36"/>
  <c r="W361" i="36"/>
  <c r="R355" i="36"/>
  <c r="R76" i="36"/>
  <c r="X468" i="36"/>
  <c r="V508" i="36"/>
  <c r="W367" i="36"/>
  <c r="U457" i="36"/>
  <c r="W509" i="36"/>
  <c r="W517" i="36" s="1"/>
  <c r="U511" i="36"/>
  <c r="U264" i="36"/>
  <c r="W502" i="36"/>
  <c r="W105" i="36"/>
  <c r="M63" i="36"/>
  <c r="M65" i="36" s="1"/>
  <c r="M66" i="36" s="1"/>
  <c r="W261" i="36"/>
  <c r="V394" i="36"/>
  <c r="V73" i="36" s="1"/>
  <c r="K61" i="36"/>
  <c r="K60" i="36"/>
  <c r="O416" i="36"/>
  <c r="N401" i="36"/>
  <c r="N402" i="36"/>
  <c r="O402" i="36" s="1"/>
  <c r="P402" i="36" s="1"/>
  <c r="Q402" i="36" s="1"/>
  <c r="R402" i="36" s="1"/>
  <c r="S402" i="36" s="1"/>
  <c r="T402" i="36" s="1"/>
  <c r="U402" i="36" s="1"/>
  <c r="V402" i="36" s="1"/>
  <c r="W402" i="36" s="1"/>
  <c r="X402" i="36" s="1"/>
  <c r="X530" i="36"/>
  <c r="X464" i="36"/>
  <c r="X532" i="36" s="1"/>
  <c r="X420" i="36"/>
  <c r="X215" i="36"/>
  <c r="W215" i="36"/>
  <c r="X160" i="36"/>
  <c r="W161" i="36"/>
  <c r="W165" i="36" s="1"/>
  <c r="X391" i="36"/>
  <c r="X393" i="36" s="1"/>
  <c r="V262" i="36"/>
  <c r="X534" i="36"/>
  <c r="X480" i="36"/>
  <c r="X444" i="36"/>
  <c r="N403" i="39" l="1"/>
  <c r="N63" i="39" s="1"/>
  <c r="N65" i="39" s="1"/>
  <c r="N66" i="39" s="1"/>
  <c r="X400" i="36"/>
  <c r="W179" i="40"/>
  <c r="X179" i="40" s="1"/>
  <c r="X92" i="40" s="1"/>
  <c r="W204" i="39"/>
  <c r="X204" i="39" s="1"/>
  <c r="X262" i="41"/>
  <c r="X115" i="41"/>
  <c r="X102" i="41" s="1"/>
  <c r="X263" i="41"/>
  <c r="X150" i="41"/>
  <c r="X119" i="41"/>
  <c r="X126" i="41"/>
  <c r="X517" i="41"/>
  <c r="W264" i="39"/>
  <c r="X262" i="39"/>
  <c r="W204" i="41"/>
  <c r="X205" i="41"/>
  <c r="X115" i="36"/>
  <c r="X277" i="41"/>
  <c r="X263" i="40"/>
  <c r="W264" i="40"/>
  <c r="W102" i="41"/>
  <c r="O499" i="41"/>
  <c r="O77" i="41"/>
  <c r="Q416" i="41"/>
  <c r="P401" i="41"/>
  <c r="W264" i="41"/>
  <c r="V182" i="41"/>
  <c r="X262" i="38"/>
  <c r="X263" i="38"/>
  <c r="W511" i="38"/>
  <c r="X262" i="40"/>
  <c r="W179" i="38"/>
  <c r="T380" i="39"/>
  <c r="T381" i="39" s="1"/>
  <c r="W264" i="38"/>
  <c r="X205" i="40"/>
  <c r="W204" i="40"/>
  <c r="X263" i="39"/>
  <c r="X400" i="39"/>
  <c r="W511" i="40"/>
  <c r="W359" i="40"/>
  <c r="X359" i="40" s="1"/>
  <c r="M60" i="40"/>
  <c r="M61" i="40"/>
  <c r="N403" i="40"/>
  <c r="X511" i="40"/>
  <c r="V182" i="40"/>
  <c r="L60" i="40"/>
  <c r="L61" i="40"/>
  <c r="U355" i="40"/>
  <c r="U76" i="40"/>
  <c r="V353" i="40"/>
  <c r="V397" i="40"/>
  <c r="V366" i="40"/>
  <c r="V368" i="40" s="1"/>
  <c r="V375" i="40"/>
  <c r="V377" i="40" s="1"/>
  <c r="T356" i="40"/>
  <c r="U380" i="40"/>
  <c r="U381" i="40" s="1"/>
  <c r="O401" i="40"/>
  <c r="P416" i="40"/>
  <c r="X511" i="39"/>
  <c r="S356" i="39"/>
  <c r="X491" i="39"/>
  <c r="X179" i="39"/>
  <c r="X92" i="39" s="1"/>
  <c r="W92" i="39"/>
  <c r="W73" i="39"/>
  <c r="W457" i="39" s="1"/>
  <c r="V359" i="39"/>
  <c r="W511" i="39"/>
  <c r="X73" i="39"/>
  <c r="X457" i="39" s="1"/>
  <c r="T355" i="39"/>
  <c r="T76" i="39"/>
  <c r="O401" i="39"/>
  <c r="P416" i="39"/>
  <c r="M405" i="39"/>
  <c r="M406" i="39" s="1"/>
  <c r="M56" i="39" s="1"/>
  <c r="M58" i="39" s="1"/>
  <c r="M63" i="39"/>
  <c r="M65" i="39" s="1"/>
  <c r="M66" i="39" s="1"/>
  <c r="X490" i="39"/>
  <c r="X89" i="39"/>
  <c r="X147" i="39"/>
  <c r="X150" i="39" s="1"/>
  <c r="U397" i="39"/>
  <c r="U353" i="39"/>
  <c r="U366" i="39"/>
  <c r="U368" i="39" s="1"/>
  <c r="U375" i="39"/>
  <c r="U377" i="39" s="1"/>
  <c r="V182" i="39"/>
  <c r="W276" i="38"/>
  <c r="X511" i="38"/>
  <c r="W275" i="38"/>
  <c r="W359" i="38"/>
  <c r="X359" i="38" s="1"/>
  <c r="X301" i="38"/>
  <c r="X318" i="38"/>
  <c r="W319" i="38"/>
  <c r="T356" i="38"/>
  <c r="N406" i="38"/>
  <c r="N56" i="38" s="1"/>
  <c r="N58" i="38" s="1"/>
  <c r="W311" i="38"/>
  <c r="X310" i="38"/>
  <c r="W315" i="38"/>
  <c r="X314" i="38"/>
  <c r="U380" i="38"/>
  <c r="U381" i="38" s="1"/>
  <c r="V277" i="38"/>
  <c r="M60" i="38"/>
  <c r="M61" i="38"/>
  <c r="V366" i="38"/>
  <c r="V368" i="38" s="1"/>
  <c r="V353" i="38"/>
  <c r="V397" i="38"/>
  <c r="V375" i="38"/>
  <c r="V377" i="38" s="1"/>
  <c r="U355" i="38"/>
  <c r="U76" i="38"/>
  <c r="P401" i="38"/>
  <c r="Q416" i="38"/>
  <c r="X323" i="38"/>
  <c r="W324" i="38"/>
  <c r="W325" i="38" s="1"/>
  <c r="X273" i="38"/>
  <c r="W274" i="38"/>
  <c r="O499" i="38"/>
  <c r="O77" i="38"/>
  <c r="O403" i="38"/>
  <c r="X288" i="38"/>
  <c r="W289" i="38"/>
  <c r="X306" i="38"/>
  <c r="W307" i="38"/>
  <c r="W182" i="38"/>
  <c r="X199" i="36"/>
  <c r="X203" i="36"/>
  <c r="T353" i="36"/>
  <c r="T375" i="36"/>
  <c r="T377" i="36" s="1"/>
  <c r="T397" i="36"/>
  <c r="T366" i="36"/>
  <c r="T368" i="36" s="1"/>
  <c r="W205" i="36"/>
  <c r="V204" i="36"/>
  <c r="X469" i="36"/>
  <c r="X119" i="36" s="1"/>
  <c r="N403" i="36"/>
  <c r="N405" i="36" s="1"/>
  <c r="O405" i="36" s="1"/>
  <c r="P405" i="36" s="1"/>
  <c r="Q405" i="36" s="1"/>
  <c r="R405" i="36" s="1"/>
  <c r="S405" i="36" s="1"/>
  <c r="T405" i="36" s="1"/>
  <c r="U405" i="36" s="1"/>
  <c r="V405" i="36" s="1"/>
  <c r="W405" i="36" s="1"/>
  <c r="X405" i="36" s="1"/>
  <c r="X125" i="36"/>
  <c r="X261" i="36"/>
  <c r="X517" i="36"/>
  <c r="X202" i="36"/>
  <c r="W263" i="36"/>
  <c r="S380" i="36"/>
  <c r="S381" i="36" s="1"/>
  <c r="W262" i="36"/>
  <c r="V511" i="36"/>
  <c r="M60" i="36"/>
  <c r="M61" i="36"/>
  <c r="V457" i="36"/>
  <c r="X502" i="36"/>
  <c r="X105" i="36"/>
  <c r="W394" i="36"/>
  <c r="W73" i="36" s="1"/>
  <c r="W508" i="36"/>
  <c r="X367" i="36"/>
  <c r="V264" i="36"/>
  <c r="X498" i="36"/>
  <c r="U359" i="36"/>
  <c r="W523" i="36"/>
  <c r="X161" i="36"/>
  <c r="X523" i="36"/>
  <c r="P416" i="36"/>
  <c r="O401" i="36"/>
  <c r="S355" i="36"/>
  <c r="S76" i="36"/>
  <c r="W498" i="36"/>
  <c r="W510" i="36"/>
  <c r="X354" i="36"/>
  <c r="X120" i="36"/>
  <c r="X465" i="36"/>
  <c r="X124" i="36"/>
  <c r="R356" i="36"/>
  <c r="X361" i="36"/>
  <c r="N63" i="36" l="1"/>
  <c r="N65" i="36" s="1"/>
  <c r="N66" i="36" s="1"/>
  <c r="N405" i="39"/>
  <c r="O405" i="39" s="1"/>
  <c r="P405" i="39" s="1"/>
  <c r="Q405" i="39" s="1"/>
  <c r="R405" i="39" s="1"/>
  <c r="S405" i="39" s="1"/>
  <c r="T405" i="39" s="1"/>
  <c r="U405" i="39" s="1"/>
  <c r="V405" i="39" s="1"/>
  <c r="W405" i="39" s="1"/>
  <c r="X405" i="39" s="1"/>
  <c r="W92" i="40"/>
  <c r="X264" i="41"/>
  <c r="X264" i="39"/>
  <c r="X204" i="41"/>
  <c r="X264" i="40"/>
  <c r="Q401" i="41"/>
  <c r="R416" i="41"/>
  <c r="W182" i="41"/>
  <c r="P499" i="41"/>
  <c r="P77" i="41"/>
  <c r="X264" i="38"/>
  <c r="X307" i="38"/>
  <c r="X324" i="38"/>
  <c r="X325" i="38" s="1"/>
  <c r="W92" i="38"/>
  <c r="X179" i="38"/>
  <c r="X92" i="38" s="1"/>
  <c r="X275" i="38"/>
  <c r="U380" i="39"/>
  <c r="U381" i="39" s="1"/>
  <c r="X204" i="40"/>
  <c r="V380" i="40"/>
  <c r="V381" i="40" s="1"/>
  <c r="N405" i="40"/>
  <c r="O405" i="40" s="1"/>
  <c r="P405" i="40" s="1"/>
  <c r="Q405" i="40" s="1"/>
  <c r="R405" i="40" s="1"/>
  <c r="S405" i="40" s="1"/>
  <c r="T405" i="40" s="1"/>
  <c r="U405" i="40" s="1"/>
  <c r="V405" i="40" s="1"/>
  <c r="W405" i="40" s="1"/>
  <c r="X405" i="40" s="1"/>
  <c r="N63" i="40"/>
  <c r="N65" i="40" s="1"/>
  <c r="N66" i="40" s="1"/>
  <c r="X366" i="40"/>
  <c r="X368" i="40" s="1"/>
  <c r="X397" i="40"/>
  <c r="X353" i="40"/>
  <c r="X375" i="40"/>
  <c r="X377" i="40" s="1"/>
  <c r="W182" i="40"/>
  <c r="V355" i="40"/>
  <c r="V76" i="40"/>
  <c r="U356" i="40"/>
  <c r="W366" i="40"/>
  <c r="W368" i="40" s="1"/>
  <c r="W353" i="40"/>
  <c r="W397" i="40"/>
  <c r="W375" i="40"/>
  <c r="W377" i="40" s="1"/>
  <c r="O499" i="40"/>
  <c r="O77" i="40"/>
  <c r="O403" i="40"/>
  <c r="P401" i="40"/>
  <c r="Q416" i="40"/>
  <c r="X315" i="38"/>
  <c r="X319" i="38"/>
  <c r="W359" i="39"/>
  <c r="X359" i="39" s="1"/>
  <c r="M60" i="39"/>
  <c r="M61" i="39"/>
  <c r="U355" i="39"/>
  <c r="U76" i="39"/>
  <c r="P401" i="39"/>
  <c r="Q416" i="39"/>
  <c r="T356" i="39"/>
  <c r="X311" i="38"/>
  <c r="O499" i="39"/>
  <c r="O77" i="39"/>
  <c r="O403" i="39"/>
  <c r="W277" i="38"/>
  <c r="V397" i="39"/>
  <c r="V353" i="39"/>
  <c r="V366" i="39"/>
  <c r="V368" i="39" s="1"/>
  <c r="V375" i="39"/>
  <c r="V377" i="39" s="1"/>
  <c r="W182" i="39"/>
  <c r="X276" i="38"/>
  <c r="V355" i="38"/>
  <c r="V76" i="38"/>
  <c r="Q401" i="38"/>
  <c r="R416" i="38"/>
  <c r="P499" i="38"/>
  <c r="P77" i="38"/>
  <c r="P403" i="38"/>
  <c r="N60" i="38"/>
  <c r="N61" i="38"/>
  <c r="W353" i="38"/>
  <c r="W375" i="38"/>
  <c r="W377" i="38" s="1"/>
  <c r="W366" i="38"/>
  <c r="W368" i="38" s="1"/>
  <c r="W397" i="38"/>
  <c r="O74" i="38"/>
  <c r="U356" i="38"/>
  <c r="X289" i="38"/>
  <c r="X274" i="38"/>
  <c r="X182" i="38"/>
  <c r="V380" i="38"/>
  <c r="X366" i="38"/>
  <c r="X368" i="38" s="1"/>
  <c r="X375" i="38"/>
  <c r="X377" i="38" s="1"/>
  <c r="X353" i="38"/>
  <c r="X397" i="38"/>
  <c r="X205" i="36"/>
  <c r="W204" i="36"/>
  <c r="U366" i="36"/>
  <c r="U368" i="36" s="1"/>
  <c r="U397" i="36"/>
  <c r="U353" i="36"/>
  <c r="U375" i="36"/>
  <c r="U377" i="36" s="1"/>
  <c r="N406" i="36"/>
  <c r="N56" i="36" s="1"/>
  <c r="N58" i="36" s="1"/>
  <c r="N61" i="36" s="1"/>
  <c r="X263" i="36"/>
  <c r="X510" i="36"/>
  <c r="X394" i="36"/>
  <c r="X73" i="36" s="1"/>
  <c r="X165" i="36"/>
  <c r="X102" i="36"/>
  <c r="X508" i="36"/>
  <c r="X126" i="36"/>
  <c r="W264" i="36"/>
  <c r="T380" i="36"/>
  <c r="T381" i="36" s="1"/>
  <c r="X262" i="36"/>
  <c r="W511" i="36"/>
  <c r="S356" i="36"/>
  <c r="V359" i="36"/>
  <c r="O499" i="36"/>
  <c r="O77" i="36"/>
  <c r="O403" i="36"/>
  <c r="W457" i="36"/>
  <c r="P401" i="36"/>
  <c r="Q416" i="36"/>
  <c r="T355" i="36"/>
  <c r="T76" i="36"/>
  <c r="N406" i="39" l="1"/>
  <c r="N56" i="39" s="1"/>
  <c r="N58" i="39" s="1"/>
  <c r="N406" i="40"/>
  <c r="N56" i="40" s="1"/>
  <c r="N58" i="40" s="1"/>
  <c r="N61" i="40" s="1"/>
  <c r="Q499" i="41"/>
  <c r="Q77" i="41"/>
  <c r="X182" i="41"/>
  <c r="R401" i="41"/>
  <c r="S416" i="41"/>
  <c r="V380" i="39"/>
  <c r="V381" i="39" s="1"/>
  <c r="P499" i="40"/>
  <c r="P77" i="40"/>
  <c r="P403" i="40"/>
  <c r="O74" i="40"/>
  <c r="X182" i="40"/>
  <c r="W380" i="40"/>
  <c r="X380" i="40" s="1"/>
  <c r="X381" i="40" s="1"/>
  <c r="V356" i="40"/>
  <c r="Q401" i="40"/>
  <c r="R416" i="40"/>
  <c r="W355" i="40"/>
  <c r="W76" i="40"/>
  <c r="X355" i="40"/>
  <c r="X76" i="40"/>
  <c r="X277" i="38"/>
  <c r="X182" i="39"/>
  <c r="P499" i="39"/>
  <c r="P77" i="39"/>
  <c r="P403" i="39"/>
  <c r="V355" i="39"/>
  <c r="V76" i="39"/>
  <c r="W375" i="39"/>
  <c r="W377" i="39" s="1"/>
  <c r="W397" i="39"/>
  <c r="W353" i="39"/>
  <c r="W366" i="39"/>
  <c r="W368" i="39" s="1"/>
  <c r="X375" i="39"/>
  <c r="X377" i="39" s="1"/>
  <c r="X353" i="39"/>
  <c r="X366" i="39"/>
  <c r="X368" i="39" s="1"/>
  <c r="X397" i="39"/>
  <c r="U356" i="39"/>
  <c r="O74" i="39"/>
  <c r="Q401" i="39"/>
  <c r="R416" i="39"/>
  <c r="X355" i="38"/>
  <c r="X76" i="38"/>
  <c r="W355" i="38"/>
  <c r="W76" i="38"/>
  <c r="R401" i="38"/>
  <c r="S416" i="38"/>
  <c r="P74" i="38"/>
  <c r="Q499" i="38"/>
  <c r="Q77" i="38"/>
  <c r="Q403" i="38"/>
  <c r="W380" i="38"/>
  <c r="X380" i="38" s="1"/>
  <c r="X381" i="38" s="1"/>
  <c r="V381" i="38"/>
  <c r="V356" i="38"/>
  <c r="X204" i="36"/>
  <c r="V366" i="36"/>
  <c r="V368" i="36" s="1"/>
  <c r="V397" i="36"/>
  <c r="V375" i="36"/>
  <c r="V377" i="36" s="1"/>
  <c r="V353" i="36"/>
  <c r="N60" i="36"/>
  <c r="X264" i="36"/>
  <c r="X511" i="36"/>
  <c r="W359" i="36"/>
  <c r="Q401" i="36"/>
  <c r="R416" i="36"/>
  <c r="T356" i="36"/>
  <c r="P499" i="36"/>
  <c r="P77" i="36"/>
  <c r="P403" i="36"/>
  <c r="U355" i="36"/>
  <c r="U76" i="36"/>
  <c r="O74" i="36"/>
  <c r="U380" i="36"/>
  <c r="I405" i="10"/>
  <c r="N404" i="10"/>
  <c r="N405" i="10" s="1"/>
  <c r="M404" i="10"/>
  <c r="M405" i="10" s="1"/>
  <c r="L404" i="10"/>
  <c r="L405" i="10" s="1"/>
  <c r="K404" i="10"/>
  <c r="K405" i="10" s="1"/>
  <c r="J404" i="10"/>
  <c r="J405" i="10" s="1"/>
  <c r="I404" i="10"/>
  <c r="N398" i="10"/>
  <c r="M398" i="10"/>
  <c r="L398" i="10"/>
  <c r="K398" i="10"/>
  <c r="J398" i="10"/>
  <c r="I398" i="10"/>
  <c r="N394" i="10"/>
  <c r="N400" i="10" s="1"/>
  <c r="M394" i="10"/>
  <c r="L394" i="10"/>
  <c r="K394" i="10"/>
  <c r="J394" i="10"/>
  <c r="I394" i="10"/>
  <c r="N384" i="10"/>
  <c r="M384" i="10"/>
  <c r="L384" i="10"/>
  <c r="K384" i="10"/>
  <c r="J384" i="10"/>
  <c r="I384" i="10"/>
  <c r="N379" i="10"/>
  <c r="M379" i="10"/>
  <c r="L379" i="10"/>
  <c r="K379" i="10"/>
  <c r="J379" i="10"/>
  <c r="I379" i="10"/>
  <c r="N372" i="10"/>
  <c r="M372" i="10"/>
  <c r="L372" i="10"/>
  <c r="K372" i="10"/>
  <c r="J372" i="10"/>
  <c r="I372" i="10"/>
  <c r="I368" i="10"/>
  <c r="J364" i="10"/>
  <c r="K364" i="10" s="1"/>
  <c r="I364" i="10"/>
  <c r="N356" i="10"/>
  <c r="M356" i="10"/>
  <c r="L356" i="10"/>
  <c r="K356" i="10"/>
  <c r="J356" i="10"/>
  <c r="I356" i="10"/>
  <c r="I350" i="10"/>
  <c r="J350" i="10" s="1"/>
  <c r="I344" i="10"/>
  <c r="I351" i="10" s="1"/>
  <c r="N338" i="10"/>
  <c r="M338" i="10"/>
  <c r="L338" i="10"/>
  <c r="K338" i="10"/>
  <c r="J338" i="10"/>
  <c r="I338" i="10"/>
  <c r="I332" i="10"/>
  <c r="J332" i="10" s="1"/>
  <c r="N320" i="10"/>
  <c r="M320" i="10"/>
  <c r="L320" i="10"/>
  <c r="K320" i="10"/>
  <c r="J320" i="10"/>
  <c r="I320" i="10"/>
  <c r="N316" i="10"/>
  <c r="M316" i="10"/>
  <c r="L316" i="10"/>
  <c r="K316" i="10"/>
  <c r="J316" i="10"/>
  <c r="I316" i="10"/>
  <c r="N310" i="10"/>
  <c r="M310" i="10"/>
  <c r="L310" i="10"/>
  <c r="K310" i="10"/>
  <c r="J310" i="10"/>
  <c r="I310" i="10"/>
  <c r="N304" i="10"/>
  <c r="M304" i="10"/>
  <c r="L304" i="10"/>
  <c r="K304" i="10"/>
  <c r="J304" i="10"/>
  <c r="I304" i="10"/>
  <c r="N298" i="10"/>
  <c r="M298" i="10"/>
  <c r="L298" i="10"/>
  <c r="K298" i="10"/>
  <c r="J298" i="10"/>
  <c r="I298" i="10"/>
  <c r="N291" i="10"/>
  <c r="M291" i="10"/>
  <c r="L291" i="10"/>
  <c r="K291" i="10"/>
  <c r="J291" i="10"/>
  <c r="I291" i="10"/>
  <c r="N284" i="10"/>
  <c r="M284" i="10"/>
  <c r="L284" i="10"/>
  <c r="K284" i="10"/>
  <c r="J284" i="10"/>
  <c r="I284" i="10"/>
  <c r="N279" i="10"/>
  <c r="M279" i="10"/>
  <c r="L279" i="10"/>
  <c r="K279" i="10"/>
  <c r="J279" i="10"/>
  <c r="I279" i="10"/>
  <c r="N274" i="10"/>
  <c r="M274" i="10"/>
  <c r="L274" i="10"/>
  <c r="K274" i="10"/>
  <c r="J274" i="10"/>
  <c r="I274" i="10"/>
  <c r="N268" i="10"/>
  <c r="M268" i="10"/>
  <c r="L268" i="10"/>
  <c r="K268" i="10"/>
  <c r="J268" i="10"/>
  <c r="I268" i="10"/>
  <c r="N263" i="10"/>
  <c r="M263" i="10"/>
  <c r="L263" i="10"/>
  <c r="K263" i="10"/>
  <c r="J263" i="10"/>
  <c r="I263" i="10"/>
  <c r="N258" i="10"/>
  <c r="M258" i="10"/>
  <c r="L258" i="10"/>
  <c r="K258" i="10"/>
  <c r="J258" i="10"/>
  <c r="I258" i="10"/>
  <c r="N253" i="10"/>
  <c r="M253" i="10"/>
  <c r="L253" i="10"/>
  <c r="K253" i="10"/>
  <c r="J253" i="10"/>
  <c r="I253" i="10"/>
  <c r="N241" i="10"/>
  <c r="M241" i="10"/>
  <c r="L241" i="10"/>
  <c r="K241" i="10"/>
  <c r="J241" i="10"/>
  <c r="I241" i="10"/>
  <c r="N236" i="10"/>
  <c r="M236" i="10"/>
  <c r="L236" i="10"/>
  <c r="K236" i="10"/>
  <c r="J236" i="10"/>
  <c r="I236" i="10"/>
  <c r="N231" i="10"/>
  <c r="M231" i="10"/>
  <c r="L231" i="10"/>
  <c r="K231" i="10"/>
  <c r="J231" i="10"/>
  <c r="I231" i="10"/>
  <c r="N226" i="10"/>
  <c r="M226" i="10"/>
  <c r="L226" i="10"/>
  <c r="K226" i="10"/>
  <c r="J226" i="10"/>
  <c r="I226" i="10"/>
  <c r="N205" i="10"/>
  <c r="M205" i="10"/>
  <c r="L205" i="10"/>
  <c r="K205" i="10"/>
  <c r="J205" i="10"/>
  <c r="I205" i="10"/>
  <c r="N200" i="10"/>
  <c r="M200" i="10"/>
  <c r="L200" i="10"/>
  <c r="K200" i="10"/>
  <c r="J200" i="10"/>
  <c r="I200" i="10"/>
  <c r="N199" i="10"/>
  <c r="M199" i="10"/>
  <c r="L199" i="10"/>
  <c r="K199" i="10"/>
  <c r="J199" i="10"/>
  <c r="I199" i="10"/>
  <c r="N191" i="10"/>
  <c r="M191" i="10"/>
  <c r="L191" i="10"/>
  <c r="K191" i="10"/>
  <c r="J191" i="10"/>
  <c r="I191" i="10"/>
  <c r="N179" i="10"/>
  <c r="M179" i="10"/>
  <c r="L179" i="10"/>
  <c r="K179" i="10"/>
  <c r="J179" i="10"/>
  <c r="I179" i="10"/>
  <c r="N176" i="10"/>
  <c r="M176" i="10"/>
  <c r="L176" i="10"/>
  <c r="K176" i="10"/>
  <c r="J176" i="10"/>
  <c r="I176" i="10"/>
  <c r="N169" i="10"/>
  <c r="M169" i="10"/>
  <c r="L169" i="10"/>
  <c r="K169" i="10"/>
  <c r="J169" i="10"/>
  <c r="I169" i="10"/>
  <c r="N161" i="10"/>
  <c r="M161" i="10"/>
  <c r="L161" i="10"/>
  <c r="K161" i="10"/>
  <c r="J161" i="10"/>
  <c r="I161" i="10"/>
  <c r="J157" i="10"/>
  <c r="J159" i="10" s="1"/>
  <c r="N154" i="10"/>
  <c r="N157" i="10" s="1"/>
  <c r="N159" i="10" s="1"/>
  <c r="M154" i="10"/>
  <c r="M157" i="10" s="1"/>
  <c r="M159" i="10" s="1"/>
  <c r="L154" i="10"/>
  <c r="L157" i="10" s="1"/>
  <c r="L159" i="10" s="1"/>
  <c r="K154" i="10"/>
  <c r="K157" i="10" s="1"/>
  <c r="K159" i="10" s="1"/>
  <c r="J154" i="10"/>
  <c r="I154" i="10"/>
  <c r="I157" i="10" s="1"/>
  <c r="I159" i="10" s="1"/>
  <c r="N142" i="10"/>
  <c r="M142" i="10"/>
  <c r="L142" i="10"/>
  <c r="L144" i="10" s="1"/>
  <c r="K142" i="10"/>
  <c r="J142" i="10"/>
  <c r="I142" i="10"/>
  <c r="N133" i="10"/>
  <c r="N144" i="10" s="1"/>
  <c r="M133" i="10"/>
  <c r="L133" i="10"/>
  <c r="K133" i="10"/>
  <c r="J133" i="10"/>
  <c r="J144" i="10" s="1"/>
  <c r="I133" i="10"/>
  <c r="I144" i="10" s="1"/>
  <c r="N117" i="10"/>
  <c r="M117" i="10"/>
  <c r="L117" i="10"/>
  <c r="K117" i="10"/>
  <c r="J117" i="10"/>
  <c r="I117" i="10"/>
  <c r="N110" i="10"/>
  <c r="M110" i="10"/>
  <c r="L110" i="10"/>
  <c r="K110" i="10"/>
  <c r="J110" i="10"/>
  <c r="I110" i="10"/>
  <c r="N98" i="10"/>
  <c r="M98" i="10"/>
  <c r="L98" i="10"/>
  <c r="K98" i="10"/>
  <c r="J98" i="10"/>
  <c r="I98" i="10"/>
  <c r="N90" i="10"/>
  <c r="M90" i="10"/>
  <c r="L90" i="10"/>
  <c r="K90" i="10"/>
  <c r="J90" i="10"/>
  <c r="I90" i="10"/>
  <c r="N83" i="10"/>
  <c r="M83" i="10"/>
  <c r="L83" i="10"/>
  <c r="K83" i="10"/>
  <c r="J83" i="10"/>
  <c r="I83" i="10"/>
  <c r="I84" i="10" s="1"/>
  <c r="N79" i="10"/>
  <c r="M79" i="10"/>
  <c r="L79" i="10"/>
  <c r="K79" i="10"/>
  <c r="K84" i="10" s="1"/>
  <c r="K103" i="10" s="1"/>
  <c r="J79" i="10"/>
  <c r="I79" i="10"/>
  <c r="N72" i="10"/>
  <c r="M72" i="10"/>
  <c r="L72" i="10"/>
  <c r="K72" i="10"/>
  <c r="J72" i="10"/>
  <c r="I72" i="10"/>
  <c r="N55" i="10"/>
  <c r="M55" i="10"/>
  <c r="L55" i="10"/>
  <c r="K55" i="10"/>
  <c r="J55" i="10"/>
  <c r="I55" i="10"/>
  <c r="N38" i="10"/>
  <c r="M38" i="10"/>
  <c r="L38" i="10"/>
  <c r="K38" i="10"/>
  <c r="J38" i="10"/>
  <c r="I38" i="10"/>
  <c r="K34" i="10"/>
  <c r="N30" i="10"/>
  <c r="N26" i="10"/>
  <c r="N34" i="10" s="1"/>
  <c r="M26" i="10"/>
  <c r="M34" i="10" s="1"/>
  <c r="L26" i="10"/>
  <c r="L34" i="10" s="1"/>
  <c r="K26" i="10"/>
  <c r="J26" i="10"/>
  <c r="J34" i="10" s="1"/>
  <c r="I26" i="10"/>
  <c r="I34" i="10" s="1"/>
  <c r="N23" i="10"/>
  <c r="N31" i="10" s="1"/>
  <c r="M23" i="10"/>
  <c r="L23" i="10"/>
  <c r="K23" i="10"/>
  <c r="K31" i="10" s="1"/>
  <c r="J23" i="10"/>
  <c r="J30" i="10" s="1"/>
  <c r="I23" i="10"/>
  <c r="N14" i="10"/>
  <c r="M14" i="10"/>
  <c r="L14" i="10"/>
  <c r="K14" i="10"/>
  <c r="K30" i="10" s="1"/>
  <c r="J14" i="10"/>
  <c r="I14" i="10"/>
  <c r="N60" i="39" l="1"/>
  <c r="N61" i="39"/>
  <c r="N60" i="40"/>
  <c r="S401" i="41"/>
  <c r="T416" i="41"/>
  <c r="R499" i="41"/>
  <c r="R77" i="41"/>
  <c r="S416" i="40"/>
  <c r="R401" i="40"/>
  <c r="W381" i="40"/>
  <c r="P74" i="40"/>
  <c r="Q499" i="40"/>
  <c r="Q77" i="40"/>
  <c r="Q403" i="40"/>
  <c r="W356" i="40"/>
  <c r="X356" i="40" s="1"/>
  <c r="W355" i="39"/>
  <c r="W76" i="39"/>
  <c r="P74" i="39"/>
  <c r="S416" i="39"/>
  <c r="R401" i="39"/>
  <c r="V356" i="39"/>
  <c r="W380" i="39"/>
  <c r="X380" i="39" s="1"/>
  <c r="X381" i="39" s="1"/>
  <c r="Q499" i="39"/>
  <c r="Q77" i="39"/>
  <c r="Q403" i="39"/>
  <c r="X355" i="39"/>
  <c r="X76" i="39"/>
  <c r="W356" i="38"/>
  <c r="X356" i="38" s="1"/>
  <c r="Q74" i="38"/>
  <c r="W381" i="38"/>
  <c r="R499" i="38"/>
  <c r="R77" i="38"/>
  <c r="R403" i="38"/>
  <c r="T416" i="38"/>
  <c r="S401" i="38"/>
  <c r="W366" i="36"/>
  <c r="W368" i="36" s="1"/>
  <c r="W353" i="36"/>
  <c r="W375" i="36"/>
  <c r="W377" i="36" s="1"/>
  <c r="W397" i="36"/>
  <c r="X457" i="36"/>
  <c r="V355" i="36"/>
  <c r="V76" i="36"/>
  <c r="U356" i="36"/>
  <c r="V380" i="36"/>
  <c r="U381" i="36"/>
  <c r="P74" i="36"/>
  <c r="S416" i="36"/>
  <c r="R401" i="36"/>
  <c r="Q499" i="36"/>
  <c r="Q77" i="36"/>
  <c r="Q403" i="36"/>
  <c r="L400" i="10"/>
  <c r="J400" i="10"/>
  <c r="I400" i="10"/>
  <c r="J344" i="10"/>
  <c r="K344" i="10" s="1"/>
  <c r="L344" i="10" s="1"/>
  <c r="K144" i="10"/>
  <c r="M144" i="10"/>
  <c r="K400" i="10"/>
  <c r="M400" i="10"/>
  <c r="K118" i="10"/>
  <c r="N84" i="10"/>
  <c r="L84" i="10"/>
  <c r="M84" i="10"/>
  <c r="I30" i="10"/>
  <c r="L30" i="10"/>
  <c r="N103" i="10"/>
  <c r="N118" i="10" s="1"/>
  <c r="J84" i="10"/>
  <c r="M31" i="10"/>
  <c r="J351" i="10"/>
  <c r="K350" i="10"/>
  <c r="L350" i="10" s="1"/>
  <c r="M350" i="10" s="1"/>
  <c r="N350" i="10" s="1"/>
  <c r="I103" i="10"/>
  <c r="I118" i="10" s="1"/>
  <c r="I91" i="10"/>
  <c r="I99" i="10" s="1"/>
  <c r="I101" i="10" s="1"/>
  <c r="J103" i="10"/>
  <c r="J118" i="10" s="1"/>
  <c r="J91" i="10"/>
  <c r="J99" i="10" s="1"/>
  <c r="J101" i="10" s="1"/>
  <c r="L103" i="10"/>
  <c r="L118" i="10" s="1"/>
  <c r="L91" i="10"/>
  <c r="L99" i="10" s="1"/>
  <c r="L101" i="10" s="1"/>
  <c r="M103" i="10"/>
  <c r="M118" i="10" s="1"/>
  <c r="M91" i="10"/>
  <c r="M99" i="10" s="1"/>
  <c r="M101" i="10" s="1"/>
  <c r="J333" i="10"/>
  <c r="K332" i="10"/>
  <c r="M344" i="10"/>
  <c r="L364" i="10"/>
  <c r="K368" i="10"/>
  <c r="M30" i="10"/>
  <c r="I333" i="10"/>
  <c r="I31" i="10"/>
  <c r="K91" i="10"/>
  <c r="K99" i="10" s="1"/>
  <c r="K101" i="10" s="1"/>
  <c r="J31" i="10"/>
  <c r="J368" i="10"/>
  <c r="L31" i="10"/>
  <c r="N91" i="10"/>
  <c r="N99" i="10" s="1"/>
  <c r="N101" i="10" s="1"/>
  <c r="S499" i="41" l="1"/>
  <c r="S77" i="41"/>
  <c r="T401" i="41"/>
  <c r="U416" i="41"/>
  <c r="R499" i="40"/>
  <c r="R77" i="40"/>
  <c r="R403" i="40"/>
  <c r="T416" i="40"/>
  <c r="S401" i="40"/>
  <c r="Q74" i="40"/>
  <c r="W381" i="39"/>
  <c r="R499" i="39"/>
  <c r="R77" i="39"/>
  <c r="R403" i="39"/>
  <c r="W356" i="39"/>
  <c r="T416" i="39"/>
  <c r="S401" i="39"/>
  <c r="Q74" i="39"/>
  <c r="S499" i="38"/>
  <c r="S77" i="38"/>
  <c r="S403" i="38"/>
  <c r="U416" i="38"/>
  <c r="T401" i="38"/>
  <c r="R74" i="38"/>
  <c r="X359" i="36"/>
  <c r="W380" i="36"/>
  <c r="V356" i="36"/>
  <c r="W355" i="36"/>
  <c r="W76" i="36"/>
  <c r="V381" i="36"/>
  <c r="R499" i="36"/>
  <c r="R77" i="36"/>
  <c r="R403" i="36"/>
  <c r="T416" i="36"/>
  <c r="S401" i="36"/>
  <c r="Q74" i="36"/>
  <c r="L368" i="10"/>
  <c r="M364" i="10"/>
  <c r="K351" i="10"/>
  <c r="L351" i="10"/>
  <c r="N344" i="10"/>
  <c r="N351" i="10" s="1"/>
  <c r="M351" i="10"/>
  <c r="L332" i="10"/>
  <c r="K333" i="10"/>
  <c r="V416" i="41" l="1"/>
  <c r="U401" i="41"/>
  <c r="T499" i="41"/>
  <c r="T77" i="41"/>
  <c r="S499" i="40"/>
  <c r="S77" i="40"/>
  <c r="S403" i="40"/>
  <c r="R74" i="40"/>
  <c r="U416" i="40"/>
  <c r="T401" i="40"/>
  <c r="S499" i="39"/>
  <c r="S77" i="39"/>
  <c r="S403" i="39"/>
  <c r="R74" i="39"/>
  <c r="U416" i="39"/>
  <c r="T401" i="39"/>
  <c r="X356" i="39"/>
  <c r="T499" i="38"/>
  <c r="T77" i="38"/>
  <c r="T403" i="38"/>
  <c r="S74" i="38"/>
  <c r="V416" i="38"/>
  <c r="U401" i="38"/>
  <c r="X397" i="36"/>
  <c r="X353" i="36"/>
  <c r="X375" i="36"/>
  <c r="X366" i="36"/>
  <c r="W381" i="36"/>
  <c r="R74" i="36"/>
  <c r="S499" i="36"/>
  <c r="S77" i="36"/>
  <c r="S403" i="36"/>
  <c r="U416" i="36"/>
  <c r="T401" i="36"/>
  <c r="W356" i="36"/>
  <c r="N364" i="10"/>
  <c r="N368" i="10" s="1"/>
  <c r="M368" i="10"/>
  <c r="M332" i="10"/>
  <c r="L333" i="10"/>
  <c r="U499" i="41" l="1"/>
  <c r="U77" i="41"/>
  <c r="W416" i="41"/>
  <c r="V401" i="41"/>
  <c r="S74" i="40"/>
  <c r="T499" i="40"/>
  <c r="T77" i="40"/>
  <c r="T403" i="40"/>
  <c r="V416" i="40"/>
  <c r="U401" i="40"/>
  <c r="S74" i="39"/>
  <c r="T499" i="39"/>
  <c r="T77" i="39"/>
  <c r="T403" i="39"/>
  <c r="V416" i="39"/>
  <c r="U401" i="39"/>
  <c r="U499" i="38"/>
  <c r="U77" i="38"/>
  <c r="U403" i="38"/>
  <c r="T74" i="38"/>
  <c r="W416" i="38"/>
  <c r="V401" i="38"/>
  <c r="X76" i="36"/>
  <c r="X355" i="36"/>
  <c r="X356" i="36" s="1"/>
  <c r="X368" i="36"/>
  <c r="X377" i="36"/>
  <c r="V416" i="36"/>
  <c r="U401" i="36"/>
  <c r="T499" i="36"/>
  <c r="T77" i="36"/>
  <c r="T403" i="36"/>
  <c r="S74" i="36"/>
  <c r="N332" i="10"/>
  <c r="N333" i="10" s="1"/>
  <c r="M333" i="10"/>
  <c r="V499" i="41" l="1"/>
  <c r="V77" i="41"/>
  <c r="X416" i="41"/>
  <c r="X401" i="41" s="1"/>
  <c r="W401" i="41"/>
  <c r="U499" i="40"/>
  <c r="U77" i="40"/>
  <c r="U403" i="40"/>
  <c r="V401" i="40"/>
  <c r="W416" i="40"/>
  <c r="T74" i="40"/>
  <c r="T74" i="39"/>
  <c r="U499" i="39"/>
  <c r="U77" i="39"/>
  <c r="U403" i="39"/>
  <c r="W416" i="39"/>
  <c r="V401" i="39"/>
  <c r="V499" i="38"/>
  <c r="V77" i="38"/>
  <c r="V403" i="38"/>
  <c r="W401" i="38"/>
  <c r="X416" i="38"/>
  <c r="X401" i="38" s="1"/>
  <c r="U74" i="38"/>
  <c r="X380" i="36"/>
  <c r="U499" i="36"/>
  <c r="U77" i="36"/>
  <c r="U403" i="36"/>
  <c r="T74" i="36"/>
  <c r="W416" i="36"/>
  <c r="V401" i="36"/>
  <c r="X499" i="41" l="1"/>
  <c r="X77" i="41"/>
  <c r="W499" i="41"/>
  <c r="W77" i="41"/>
  <c r="U74" i="40"/>
  <c r="W401" i="40"/>
  <c r="X416" i="40"/>
  <c r="X401" i="40" s="1"/>
  <c r="V499" i="40"/>
  <c r="V77" i="40"/>
  <c r="V403" i="40"/>
  <c r="V499" i="39"/>
  <c r="V77" i="39"/>
  <c r="V403" i="39"/>
  <c r="W401" i="39"/>
  <c r="X416" i="39"/>
  <c r="X401" i="39" s="1"/>
  <c r="U74" i="39"/>
  <c r="V74" i="38"/>
  <c r="X499" i="38"/>
  <c r="X77" i="38"/>
  <c r="X403" i="38"/>
  <c r="W499" i="38"/>
  <c r="W77" i="38"/>
  <c r="W403" i="38"/>
  <c r="X381" i="36"/>
  <c r="V499" i="36"/>
  <c r="V77" i="36"/>
  <c r="V403" i="36"/>
  <c r="X416" i="36"/>
  <c r="X401" i="36" s="1"/>
  <c r="W401" i="36"/>
  <c r="U74" i="36"/>
  <c r="I411" i="10"/>
  <c r="I413" i="10"/>
  <c r="H413" i="10"/>
  <c r="H411" i="10"/>
  <c r="G413" i="10"/>
  <c r="G411" i="10"/>
  <c r="F411" i="10"/>
  <c r="F413" i="10"/>
  <c r="D413" i="10"/>
  <c r="D411" i="10"/>
  <c r="W499" i="40" l="1"/>
  <c r="W77" i="40"/>
  <c r="W403" i="40"/>
  <c r="X499" i="40"/>
  <c r="X77" i="40"/>
  <c r="X403" i="40"/>
  <c r="V74" i="40"/>
  <c r="X499" i="39"/>
  <c r="X77" i="39"/>
  <c r="X403" i="39"/>
  <c r="W499" i="39"/>
  <c r="W77" i="39"/>
  <c r="W403" i="39"/>
  <c r="V74" i="39"/>
  <c r="W74" i="38"/>
  <c r="X74" i="38"/>
  <c r="X499" i="36"/>
  <c r="X77" i="36"/>
  <c r="X403" i="36"/>
  <c r="V74" i="36"/>
  <c r="W499" i="36"/>
  <c r="W77" i="36"/>
  <c r="W403" i="36"/>
  <c r="X74" i="40" l="1"/>
  <c r="W74" i="40"/>
  <c r="W74" i="39"/>
  <c r="X74" i="39"/>
  <c r="W74" i="36"/>
  <c r="X74" i="36"/>
  <c r="R101" i="9" l="1"/>
  <c r="O101" i="9"/>
  <c r="L101" i="9"/>
  <c r="I101" i="9"/>
  <c r="F101" i="9"/>
  <c r="C101" i="9"/>
  <c r="R70" i="9" l="1"/>
  <c r="M72" i="9"/>
  <c r="H74" i="9"/>
  <c r="C71" i="9"/>
  <c r="N415" i="10" l="1"/>
  <c r="E415" i="10"/>
  <c r="F415" i="10"/>
  <c r="G415" i="10"/>
  <c r="H415" i="10"/>
  <c r="I415" i="10"/>
  <c r="J415" i="10"/>
  <c r="K415" i="10"/>
  <c r="L415" i="10"/>
  <c r="M415" i="10"/>
  <c r="D415" i="10"/>
  <c r="B33" i="19" l="1"/>
  <c r="B25" i="19"/>
  <c r="D8" i="19"/>
  <c r="D11" i="19" s="1"/>
  <c r="E8" i="19"/>
  <c r="F8" i="19"/>
  <c r="F11" i="19" s="1"/>
  <c r="G8" i="19"/>
  <c r="G11" i="19" s="1"/>
  <c r="C8" i="19"/>
  <c r="C11" i="19" s="1"/>
  <c r="G20" i="19" l="1"/>
  <c r="G18" i="19"/>
  <c r="G21" i="19"/>
  <c r="G14" i="19"/>
  <c r="G23" i="19"/>
  <c r="G17" i="19"/>
  <c r="G22" i="19"/>
  <c r="G19" i="19"/>
  <c r="G16" i="19"/>
  <c r="G24" i="19"/>
  <c r="F17" i="19"/>
  <c r="F18" i="19"/>
  <c r="F22" i="19"/>
  <c r="F14" i="19"/>
  <c r="F19" i="19"/>
  <c r="F23" i="19"/>
  <c r="F21" i="19"/>
  <c r="F16" i="19"/>
  <c r="F29" i="19" s="1"/>
  <c r="F20" i="19"/>
  <c r="F24" i="19"/>
  <c r="E11" i="19"/>
  <c r="E15" i="19" s="1"/>
  <c r="D16" i="19"/>
  <c r="D18" i="19"/>
  <c r="D20" i="19"/>
  <c r="D22" i="19"/>
  <c r="D24" i="19"/>
  <c r="D21" i="19"/>
  <c r="D23" i="19"/>
  <c r="D19" i="19"/>
  <c r="D17" i="19"/>
  <c r="D14" i="19"/>
  <c r="C19" i="19"/>
  <c r="C18" i="19"/>
  <c r="C20" i="19"/>
  <c r="C17" i="19"/>
  <c r="C21" i="19"/>
  <c r="C24" i="19"/>
  <c r="C16" i="19"/>
  <c r="C23" i="19"/>
  <c r="C22" i="19"/>
  <c r="C14" i="19"/>
  <c r="E20" i="19" l="1"/>
  <c r="E24" i="19"/>
  <c r="E19" i="19"/>
  <c r="E17" i="19"/>
  <c r="E14" i="19"/>
  <c r="E23" i="19"/>
  <c r="E21" i="19"/>
  <c r="E22" i="19"/>
  <c r="E18" i="19"/>
  <c r="E16" i="19"/>
  <c r="D28" i="19"/>
  <c r="D31" i="19"/>
  <c r="D30" i="19"/>
  <c r="D32" i="19"/>
  <c r="D25" i="19"/>
  <c r="G30" i="19"/>
  <c r="G32" i="19"/>
  <c r="G28" i="19"/>
  <c r="G31" i="19"/>
  <c r="F30" i="19"/>
  <c r="F32" i="19"/>
  <c r="F28" i="19"/>
  <c r="F31" i="19"/>
  <c r="G25" i="19"/>
  <c r="C28" i="19"/>
  <c r="C32" i="19"/>
  <c r="C31" i="19"/>
  <c r="C30" i="19"/>
  <c r="F25" i="19"/>
  <c r="C25" i="19"/>
  <c r="E25" i="19" l="1"/>
  <c r="E28" i="19"/>
  <c r="E32" i="19"/>
  <c r="E31" i="19"/>
  <c r="E30" i="19"/>
  <c r="C33" i="19"/>
  <c r="G33" i="19"/>
  <c r="D33" i="19"/>
  <c r="F33" i="19"/>
  <c r="E33" i="19" l="1"/>
  <c r="P70" i="16" l="1"/>
  <c r="C39" i="16"/>
  <c r="D39" i="16"/>
  <c r="E39" i="16"/>
  <c r="F39" i="16"/>
  <c r="G39" i="16"/>
  <c r="H39" i="16"/>
  <c r="I39" i="16"/>
  <c r="J39" i="16"/>
  <c r="K39" i="16"/>
  <c r="L39" i="16"/>
  <c r="M39" i="16"/>
  <c r="N39" i="16"/>
  <c r="O39" i="16"/>
  <c r="P39" i="16"/>
  <c r="B39" i="16"/>
  <c r="A39" i="16"/>
  <c r="P51" i="16"/>
  <c r="P49" i="16"/>
  <c r="P47" i="16"/>
  <c r="P45" i="16"/>
  <c r="P43" i="16"/>
  <c r="P31" i="16"/>
  <c r="P23" i="16"/>
  <c r="P21" i="16"/>
  <c r="P19" i="16"/>
  <c r="P25" i="16"/>
  <c r="G17" i="16"/>
  <c r="H17" i="16"/>
  <c r="I17" i="16"/>
  <c r="J17" i="16"/>
  <c r="K17" i="16"/>
  <c r="L17" i="16"/>
  <c r="M17" i="16"/>
  <c r="N17" i="16"/>
  <c r="O17" i="16"/>
  <c r="P17" i="16"/>
  <c r="F17" i="16"/>
  <c r="A17" i="16"/>
  <c r="P15" i="16"/>
  <c r="P35" i="16"/>
  <c r="P33" i="16"/>
  <c r="P37" i="16"/>
  <c r="P29" i="16"/>
  <c r="P41" i="16"/>
  <c r="P27" i="16"/>
  <c r="AA20" i="15" l="1"/>
  <c r="AB20" i="15"/>
  <c r="AC20" i="15"/>
  <c r="AD20" i="15"/>
  <c r="AE20" i="15"/>
  <c r="AF20" i="15"/>
  <c r="AG20" i="15"/>
  <c r="AH20" i="15"/>
  <c r="AI20" i="15"/>
  <c r="AA21" i="15"/>
  <c r="AB21" i="15"/>
  <c r="AC21" i="15"/>
  <c r="AD21" i="15"/>
  <c r="AE21" i="15"/>
  <c r="AF21" i="15"/>
  <c r="AG21" i="15"/>
  <c r="AH21" i="15"/>
  <c r="AI21" i="15"/>
  <c r="AA22" i="15"/>
  <c r="AB22" i="15"/>
  <c r="AC22" i="15"/>
  <c r="AD22" i="15"/>
  <c r="AE22" i="15"/>
  <c r="AF22" i="15"/>
  <c r="AG22" i="15"/>
  <c r="AH22" i="15"/>
  <c r="AI22" i="15"/>
  <c r="AA23" i="15"/>
  <c r="AB23" i="15"/>
  <c r="AC23" i="15"/>
  <c r="AD23" i="15"/>
  <c r="AE23" i="15"/>
  <c r="AF23" i="15"/>
  <c r="AG23" i="15"/>
  <c r="AH23" i="15"/>
  <c r="AI23" i="15"/>
  <c r="AA24" i="15"/>
  <c r="AB24" i="15"/>
  <c r="AC24" i="15"/>
  <c r="AD24" i="15"/>
  <c r="AE24" i="15"/>
  <c r="AF24" i="15"/>
  <c r="AG24" i="15"/>
  <c r="AH24" i="15"/>
  <c r="AI24" i="15"/>
  <c r="AA25" i="15"/>
  <c r="AB25" i="15"/>
  <c r="AC25" i="15"/>
  <c r="AD25" i="15"/>
  <c r="AE25" i="15"/>
  <c r="AF25" i="15"/>
  <c r="AG25" i="15"/>
  <c r="AH25" i="15"/>
  <c r="AI25" i="15"/>
  <c r="AA26" i="15"/>
  <c r="AB26" i="15"/>
  <c r="AC26" i="15"/>
  <c r="AD26" i="15"/>
  <c r="AE26" i="15"/>
  <c r="AF26" i="15"/>
  <c r="AG26" i="15"/>
  <c r="AH26" i="15"/>
  <c r="AI26" i="15"/>
  <c r="Z24" i="15"/>
  <c r="Z23" i="15"/>
  <c r="Z21" i="15"/>
  <c r="V20" i="15"/>
  <c r="W20" i="15"/>
  <c r="X20" i="15"/>
  <c r="Y20" i="15"/>
  <c r="V21" i="15"/>
  <c r="W21" i="15"/>
  <c r="X21" i="15"/>
  <c r="Y21" i="15"/>
  <c r="V22" i="15"/>
  <c r="W22" i="15"/>
  <c r="X22" i="15"/>
  <c r="Y22" i="15"/>
  <c r="V23" i="15"/>
  <c r="W23" i="15"/>
  <c r="X23" i="15"/>
  <c r="Y23" i="15"/>
  <c r="V24" i="15"/>
  <c r="W24" i="15"/>
  <c r="X24" i="15"/>
  <c r="Y24" i="15"/>
  <c r="V25" i="15"/>
  <c r="W25" i="15"/>
  <c r="X25" i="15"/>
  <c r="Y25" i="15"/>
  <c r="V26" i="15"/>
  <c r="W26" i="15"/>
  <c r="X26" i="15"/>
  <c r="Y26" i="15"/>
  <c r="U24" i="15"/>
  <c r="U23" i="15"/>
  <c r="U21" i="15"/>
  <c r="Y17" i="15"/>
  <c r="T27" i="15"/>
  <c r="Y6" i="15"/>
  <c r="Z26" i="15"/>
  <c r="U26" i="15"/>
  <c r="Z25" i="15"/>
  <c r="U25" i="15"/>
  <c r="Z22" i="15"/>
  <c r="U22" i="15"/>
  <c r="Z20" i="15"/>
  <c r="U20" i="15"/>
  <c r="E38" i="10"/>
  <c r="F38" i="10"/>
  <c r="G38" i="10"/>
  <c r="H38" i="10"/>
  <c r="D38" i="10"/>
  <c r="B37" i="10"/>
  <c r="B35" i="10"/>
  <c r="B36" i="10"/>
  <c r="V389" i="41" l="1"/>
  <c r="V501" i="41" s="1"/>
  <c r="J356" i="41"/>
  <c r="J393" i="41"/>
  <c r="J76" i="41"/>
  <c r="J74" i="41"/>
  <c r="N356" i="41"/>
  <c r="N76" i="41"/>
  <c r="N74" i="41"/>
  <c r="N393" i="41"/>
  <c r="N387" i="41"/>
  <c r="N340" i="41" s="1"/>
  <c r="N385" i="41"/>
  <c r="N489" i="41"/>
  <c r="N389" i="41"/>
  <c r="N501" i="41" s="1"/>
  <c r="X390" i="41"/>
  <c r="P390" i="41"/>
  <c r="Q387" i="41"/>
  <c r="Q340" i="41" s="1"/>
  <c r="R386" i="41"/>
  <c r="R280" i="41" s="1"/>
  <c r="S385" i="41"/>
  <c r="T384" i="41"/>
  <c r="U389" i="41"/>
  <c r="U501" i="41" s="1"/>
  <c r="J387" i="41"/>
  <c r="J340" i="41" s="1"/>
  <c r="K92" i="41"/>
  <c r="K384" i="41"/>
  <c r="K91" i="41"/>
  <c r="S386" i="41"/>
  <c r="M387" i="41"/>
  <c r="M340" i="41" s="1"/>
  <c r="X387" i="41"/>
  <c r="X340" i="41" s="1"/>
  <c r="Q386" i="41"/>
  <c r="Q280" i="41" s="1"/>
  <c r="L387" i="41"/>
  <c r="L340" i="41" s="1"/>
  <c r="W387" i="41"/>
  <c r="W340" i="41" s="1"/>
  <c r="Q385" i="41"/>
  <c r="R384" i="41"/>
  <c r="S389" i="41"/>
  <c r="S501" i="41" s="1"/>
  <c r="Q390" i="41"/>
  <c r="M389" i="41"/>
  <c r="M501" i="41" s="1"/>
  <c r="T389" i="41"/>
  <c r="T501" i="41" s="1"/>
  <c r="J389" i="41"/>
  <c r="J501" i="41" s="1"/>
  <c r="L389" i="41"/>
  <c r="L501" i="41" s="1"/>
  <c r="K385" i="41"/>
  <c r="K489" i="41"/>
  <c r="R389" i="41"/>
  <c r="R501" i="41" s="1"/>
  <c r="O390" i="41"/>
  <c r="K386" i="41"/>
  <c r="U384" i="41"/>
  <c r="M385" i="41"/>
  <c r="M489" i="41"/>
  <c r="R385" i="41"/>
  <c r="P386" i="41"/>
  <c r="P280" i="41" s="1"/>
  <c r="K76" i="41"/>
  <c r="K74" i="41"/>
  <c r="K356" i="41"/>
  <c r="K393" i="41"/>
  <c r="V387" i="41"/>
  <c r="V340" i="41" s="1"/>
  <c r="X385" i="41"/>
  <c r="Q384" i="41"/>
  <c r="J385" i="41"/>
  <c r="J489" i="41"/>
  <c r="N390" i="41"/>
  <c r="N386" i="41"/>
  <c r="N91" i="41"/>
  <c r="N92" i="41"/>
  <c r="N384" i="41"/>
  <c r="O384" i="41"/>
  <c r="T390" i="41"/>
  <c r="U387" i="41"/>
  <c r="U340" i="41" s="1"/>
  <c r="V386" i="41"/>
  <c r="V280" i="41" s="1"/>
  <c r="W385" i="41"/>
  <c r="X384" i="41"/>
  <c r="P384" i="41"/>
  <c r="Q389" i="41"/>
  <c r="Q501" i="41" s="1"/>
  <c r="R387" i="41"/>
  <c r="R340" i="41" s="1"/>
  <c r="W390" i="41"/>
  <c r="L385" i="41"/>
  <c r="L489" i="41"/>
  <c r="X386" i="41"/>
  <c r="X280" i="41" s="1"/>
  <c r="K387" i="41"/>
  <c r="K340" i="41" s="1"/>
  <c r="U390" i="41"/>
  <c r="O385" i="41"/>
  <c r="M390" i="41"/>
  <c r="M386" i="41"/>
  <c r="M91" i="41"/>
  <c r="M92" i="41"/>
  <c r="M384" i="41"/>
  <c r="O386" i="41"/>
  <c r="O280" i="41" s="1"/>
  <c r="S390" i="41"/>
  <c r="T387" i="41"/>
  <c r="T340" i="41" s="1"/>
  <c r="U386" i="41"/>
  <c r="U280" i="41" s="1"/>
  <c r="V385" i="41"/>
  <c r="W384" i="41"/>
  <c r="X389" i="41"/>
  <c r="X501" i="41" s="1"/>
  <c r="P389" i="41"/>
  <c r="P501" i="41" s="1"/>
  <c r="K390" i="41"/>
  <c r="T385" i="41"/>
  <c r="M356" i="41"/>
  <c r="M76" i="41"/>
  <c r="M393" i="41"/>
  <c r="M74" i="41"/>
  <c r="P387" i="41"/>
  <c r="P340" i="41" s="1"/>
  <c r="S384" i="41"/>
  <c r="L76" i="41"/>
  <c r="L74" i="41"/>
  <c r="L356" i="41"/>
  <c r="L393" i="41"/>
  <c r="V390" i="41"/>
  <c r="O389" i="41"/>
  <c r="O501" i="41" s="1"/>
  <c r="K389" i="41"/>
  <c r="K501" i="41" s="1"/>
  <c r="W386" i="41"/>
  <c r="W280" i="41" s="1"/>
  <c r="P385" i="41"/>
  <c r="J384" i="41"/>
  <c r="J91" i="41"/>
  <c r="J92" i="41"/>
  <c r="J390" i="41"/>
  <c r="J386" i="41"/>
  <c r="L390" i="41"/>
  <c r="L386" i="41"/>
  <c r="L92" i="41"/>
  <c r="L384" i="41"/>
  <c r="L91" i="41"/>
  <c r="O387" i="41"/>
  <c r="O340" i="41" s="1"/>
  <c r="R390" i="41"/>
  <c r="S387" i="41"/>
  <c r="S340" i="41" s="1"/>
  <c r="T386" i="41"/>
  <c r="T280" i="41" s="1"/>
  <c r="U385" i="41"/>
  <c r="V384" i="41"/>
  <c r="W389" i="41"/>
  <c r="W501" i="41" s="1"/>
  <c r="Y27" i="15"/>
  <c r="Y7" i="15"/>
  <c r="D332" i="10"/>
  <c r="E332" i="10" s="1"/>
  <c r="F332" i="10" s="1"/>
  <c r="G332" i="10" s="1"/>
  <c r="H332" i="10" s="1"/>
  <c r="B330" i="10"/>
  <c r="D268" i="10"/>
  <c r="E268" i="10"/>
  <c r="F268" i="10"/>
  <c r="G268" i="10"/>
  <c r="H268" i="10"/>
  <c r="K93" i="41" l="1"/>
  <c r="N93" i="41"/>
  <c r="N359" i="41"/>
  <c r="N375" i="41"/>
  <c r="N376" i="41" s="1"/>
  <c r="N353" i="41"/>
  <c r="V388" i="41"/>
  <c r="V168" i="41"/>
  <c r="V158" i="41"/>
  <c r="K341" i="41"/>
  <c r="K342" i="41" s="1"/>
  <c r="U168" i="41"/>
  <c r="U158" i="41"/>
  <c r="R388" i="41"/>
  <c r="R158" i="41"/>
  <c r="R168" i="41"/>
  <c r="U388" i="41"/>
  <c r="L280" i="41"/>
  <c r="L285" i="41"/>
  <c r="S158" i="41"/>
  <c r="S168" i="41"/>
  <c r="M359" i="41"/>
  <c r="M361" i="41" s="1"/>
  <c r="M362" i="41" s="1"/>
  <c r="O388" i="41"/>
  <c r="O158" i="41"/>
  <c r="O168" i="41"/>
  <c r="N285" i="41"/>
  <c r="N280" i="41"/>
  <c r="Q168" i="41"/>
  <c r="Q158" i="41"/>
  <c r="Q388" i="41"/>
  <c r="K359" i="41"/>
  <c r="K361" i="41" s="1"/>
  <c r="K362" i="41" s="1"/>
  <c r="K280" i="41"/>
  <c r="K285" i="41"/>
  <c r="T388" i="41"/>
  <c r="T168" i="41"/>
  <c r="T158" i="41"/>
  <c r="N388" i="41"/>
  <c r="M168" i="41"/>
  <c r="M158" i="41"/>
  <c r="K388" i="41"/>
  <c r="K158" i="41"/>
  <c r="K168" i="41"/>
  <c r="J359" i="41"/>
  <c r="J361" i="41" s="1"/>
  <c r="J362" i="41" s="1"/>
  <c r="M285" i="41"/>
  <c r="M280" i="41"/>
  <c r="X168" i="41"/>
  <c r="X388" i="41"/>
  <c r="X158" i="41"/>
  <c r="L93" i="41"/>
  <c r="L359" i="41"/>
  <c r="L361" i="41" s="1"/>
  <c r="L362" i="41" s="1"/>
  <c r="N158" i="41"/>
  <c r="N168" i="41"/>
  <c r="M341" i="41"/>
  <c r="M342" i="41" s="1"/>
  <c r="N341" i="41"/>
  <c r="L158" i="41"/>
  <c r="L168" i="41"/>
  <c r="J93" i="41"/>
  <c r="J280" i="41"/>
  <c r="J285" i="41"/>
  <c r="J168" i="41"/>
  <c r="J388" i="41"/>
  <c r="J391" i="41" s="1"/>
  <c r="J158" i="41"/>
  <c r="W388" i="41"/>
  <c r="W158" i="41"/>
  <c r="W168" i="41"/>
  <c r="M93" i="41"/>
  <c r="L388" i="41"/>
  <c r="P388" i="41"/>
  <c r="P158" i="41"/>
  <c r="P168" i="41"/>
  <c r="M388" i="41"/>
  <c r="L341" i="41"/>
  <c r="L342" i="41" s="1"/>
  <c r="S388" i="41"/>
  <c r="S280" i="41"/>
  <c r="J341" i="41"/>
  <c r="J342" i="41" s="1"/>
  <c r="N176" i="41" l="1"/>
  <c r="K391" i="41"/>
  <c r="L391" i="41" s="1"/>
  <c r="M391" i="41" s="1"/>
  <c r="N391" i="41" s="1"/>
  <c r="O391" i="41" s="1"/>
  <c r="P391" i="41" s="1"/>
  <c r="Q391" i="41" s="1"/>
  <c r="R391" i="41" s="1"/>
  <c r="S391" i="41" s="1"/>
  <c r="T391" i="41" s="1"/>
  <c r="U391" i="41" s="1"/>
  <c r="V391" i="41" s="1"/>
  <c r="W391" i="41" s="1"/>
  <c r="X391" i="41" s="1"/>
  <c r="M353" i="41"/>
  <c r="M354" i="41" s="1"/>
  <c r="M355" i="41" s="1"/>
  <c r="T176" i="41"/>
  <c r="M375" i="41"/>
  <c r="M376" i="41" s="1"/>
  <c r="M377" i="41" s="1"/>
  <c r="M380" i="41" s="1"/>
  <c r="M381" i="41" s="1"/>
  <c r="K366" i="41"/>
  <c r="K367" i="41" s="1"/>
  <c r="K368" i="41" s="1"/>
  <c r="K371" i="41" s="1"/>
  <c r="K372" i="41" s="1"/>
  <c r="V176" i="41"/>
  <c r="W176" i="41"/>
  <c r="O176" i="41"/>
  <c r="K176" i="41"/>
  <c r="L176" i="41"/>
  <c r="X176" i="41"/>
  <c r="Q176" i="41"/>
  <c r="S176" i="41"/>
  <c r="N342" i="41"/>
  <c r="N345" i="41" s="1"/>
  <c r="K353" i="41"/>
  <c r="K354" i="41" s="1"/>
  <c r="P176" i="41"/>
  <c r="R176" i="41"/>
  <c r="J366" i="41"/>
  <c r="J367" i="41" s="1"/>
  <c r="J368" i="41" s="1"/>
  <c r="J176" i="41"/>
  <c r="L169" i="41"/>
  <c r="L170" i="41" s="1"/>
  <c r="M345" i="41"/>
  <c r="M346" i="41" s="1"/>
  <c r="L345" i="41"/>
  <c r="L346" i="41" s="1"/>
  <c r="J283" i="41"/>
  <c r="J284" i="41" s="1"/>
  <c r="L160" i="41"/>
  <c r="L161" i="41" s="1"/>
  <c r="L165" i="41" s="1"/>
  <c r="M366" i="41"/>
  <c r="M367" i="41" s="1"/>
  <c r="M368" i="41" s="1"/>
  <c r="J345" i="41"/>
  <c r="J346" i="41" s="1"/>
  <c r="J160" i="41"/>
  <c r="J161" i="41" s="1"/>
  <c r="J165" i="41" s="1"/>
  <c r="N354" i="41"/>
  <c r="O354" i="41" s="1"/>
  <c r="L366" i="41"/>
  <c r="L367" i="41" s="1"/>
  <c r="L368" i="41" s="1"/>
  <c r="K169" i="41"/>
  <c r="K170" i="41" s="1"/>
  <c r="N377" i="41"/>
  <c r="N380" i="41" s="1"/>
  <c r="O376" i="41"/>
  <c r="P376" i="41" s="1"/>
  <c r="Q376" i="41" s="1"/>
  <c r="R376" i="41" s="1"/>
  <c r="S376" i="41" s="1"/>
  <c r="T376" i="41" s="1"/>
  <c r="U376" i="41" s="1"/>
  <c r="V376" i="41" s="1"/>
  <c r="W376" i="41" s="1"/>
  <c r="X376" i="41" s="1"/>
  <c r="M283" i="41"/>
  <c r="M332" i="41" s="1"/>
  <c r="M169" i="41"/>
  <c r="M170" i="41" s="1"/>
  <c r="J169" i="41"/>
  <c r="J170" i="41" s="1"/>
  <c r="N169" i="41"/>
  <c r="O169" i="41" s="1"/>
  <c r="L353" i="41"/>
  <c r="J353" i="41"/>
  <c r="K160" i="41"/>
  <c r="K161" i="41" s="1"/>
  <c r="K165" i="41" s="1"/>
  <c r="M176" i="41"/>
  <c r="K283" i="41"/>
  <c r="K332" i="41" s="1"/>
  <c r="L283" i="41"/>
  <c r="L332" i="41" s="1"/>
  <c r="U176" i="41"/>
  <c r="K345" i="41"/>
  <c r="K346" i="41" s="1"/>
  <c r="N366" i="41"/>
  <c r="N367" i="41" s="1"/>
  <c r="N361" i="41"/>
  <c r="N160" i="41"/>
  <c r="N161" i="41" s="1"/>
  <c r="L375" i="41"/>
  <c r="L376" i="41" s="1"/>
  <c r="L377" i="41" s="1"/>
  <c r="L380" i="41" s="1"/>
  <c r="L381" i="41" s="1"/>
  <c r="J375" i="41"/>
  <c r="M160" i="41"/>
  <c r="M161" i="41" s="1"/>
  <c r="M165" i="41" s="1"/>
  <c r="K375" i="41"/>
  <c r="K376" i="41" s="1"/>
  <c r="K377" i="41" s="1"/>
  <c r="K380" i="41" s="1"/>
  <c r="K381" i="41" s="1"/>
  <c r="N283" i="41"/>
  <c r="N284" i="41" s="1"/>
  <c r="O393" i="41" l="1"/>
  <c r="O400" i="41" s="1"/>
  <c r="M284" i="41"/>
  <c r="K355" i="41"/>
  <c r="N170" i="41"/>
  <c r="N177" i="41" s="1"/>
  <c r="M36" i="41"/>
  <c r="M113" i="41"/>
  <c r="J371" i="41"/>
  <c r="J372" i="41" s="1"/>
  <c r="J113" i="41"/>
  <c r="J36" i="41"/>
  <c r="N165" i="41"/>
  <c r="J177" i="41"/>
  <c r="J178" i="41" s="1"/>
  <c r="J47" i="41" s="1"/>
  <c r="J173" i="41"/>
  <c r="J179" i="41" s="1"/>
  <c r="J34" i="41" s="1"/>
  <c r="M177" i="41"/>
  <c r="M178" i="41" s="1"/>
  <c r="M47" i="41" s="1"/>
  <c r="M173" i="41"/>
  <c r="M179" i="41" s="1"/>
  <c r="L113" i="41"/>
  <c r="L36" i="41"/>
  <c r="N368" i="41"/>
  <c r="O367" i="41"/>
  <c r="L284" i="41"/>
  <c r="M371" i="41"/>
  <c r="M372" i="41" s="1"/>
  <c r="L354" i="41"/>
  <c r="L355" i="41" s="1"/>
  <c r="N355" i="41"/>
  <c r="N362" i="41"/>
  <c r="O361" i="41"/>
  <c r="P361" i="41" s="1"/>
  <c r="Q361" i="41" s="1"/>
  <c r="R361" i="41" s="1"/>
  <c r="S361" i="41" s="1"/>
  <c r="T361" i="41" s="1"/>
  <c r="U361" i="41" s="1"/>
  <c r="V361" i="41" s="1"/>
  <c r="W361" i="41" s="1"/>
  <c r="X361" i="41" s="1"/>
  <c r="O283" i="41"/>
  <c r="N332" i="41"/>
  <c r="N346" i="41"/>
  <c r="N173" i="41"/>
  <c r="N179" i="41" s="1"/>
  <c r="K177" i="41"/>
  <c r="K178" i="41" s="1"/>
  <c r="K47" i="41" s="1"/>
  <c r="K173" i="41"/>
  <c r="K179" i="41" s="1"/>
  <c r="O510" i="41"/>
  <c r="P354" i="41"/>
  <c r="J376" i="41"/>
  <c r="J377" i="41" s="1"/>
  <c r="K284" i="41"/>
  <c r="O170" i="41"/>
  <c r="O173" i="41" s="1"/>
  <c r="P169" i="41"/>
  <c r="N381" i="41"/>
  <c r="L371" i="41"/>
  <c r="L372" i="41" s="1"/>
  <c r="L173" i="41"/>
  <c r="L179" i="41" s="1"/>
  <c r="L177" i="41"/>
  <c r="L178" i="41" s="1"/>
  <c r="L47" i="41" s="1"/>
  <c r="J354" i="41"/>
  <c r="J355" i="41" s="1"/>
  <c r="K36" i="41"/>
  <c r="K113" i="41"/>
  <c r="C283" i="41" a="1"/>
  <c r="C283" i="41" s="1"/>
  <c r="J332" i="41"/>
  <c r="O394" i="41" l="1"/>
  <c r="O73" i="41" s="1"/>
  <c r="O457" i="41" s="1"/>
  <c r="O359" i="41" s="1"/>
  <c r="P393" i="41"/>
  <c r="Q393" i="41" s="1"/>
  <c r="K34" i="41"/>
  <c r="J380" i="41"/>
  <c r="J381" i="41" s="1"/>
  <c r="M34" i="41"/>
  <c r="L34" i="41"/>
  <c r="P510" i="41"/>
  <c r="Q354" i="41"/>
  <c r="N34" i="41"/>
  <c r="O403" i="41"/>
  <c r="Q169" i="41"/>
  <c r="P170" i="41"/>
  <c r="P173" i="41" s="1"/>
  <c r="P283" i="41"/>
  <c r="O332" i="41"/>
  <c r="O508" i="41"/>
  <c r="O511" i="41" s="1"/>
  <c r="P367" i="41"/>
  <c r="N36" i="41"/>
  <c r="N113" i="41"/>
  <c r="N178" i="41"/>
  <c r="N47" i="41" s="1"/>
  <c r="O177" i="41"/>
  <c r="N371" i="41"/>
  <c r="O371" i="41" s="1"/>
  <c r="P371" i="41" s="1"/>
  <c r="Q371" i="41" s="1"/>
  <c r="R371" i="41" s="1"/>
  <c r="S371" i="41" s="1"/>
  <c r="T371" i="41" s="1"/>
  <c r="U371" i="41" s="1"/>
  <c r="V371" i="41" s="1"/>
  <c r="W371" i="41" s="1"/>
  <c r="X371" i="41" s="1"/>
  <c r="P400" i="41" l="1"/>
  <c r="P403" i="41" s="1"/>
  <c r="P394" i="41"/>
  <c r="P73" i="41" s="1"/>
  <c r="P457" i="41" s="1"/>
  <c r="P359" i="41" s="1"/>
  <c r="Q394" i="41"/>
  <c r="Q73" i="41" s="1"/>
  <c r="Q457" i="41" s="1"/>
  <c r="R393" i="41"/>
  <c r="R169" i="41"/>
  <c r="Q170" i="41"/>
  <c r="Q173" i="41" s="1"/>
  <c r="N372" i="41"/>
  <c r="O353" i="41"/>
  <c r="O375" i="41"/>
  <c r="O377" i="41" s="1"/>
  <c r="O380" i="41" s="1"/>
  <c r="O397" i="41"/>
  <c r="O366" i="41"/>
  <c r="O368" i="41" s="1"/>
  <c r="O178" i="41"/>
  <c r="O179" i="41" s="1"/>
  <c r="O92" i="41" s="1"/>
  <c r="P177" i="41"/>
  <c r="O491" i="41"/>
  <c r="Q283" i="41"/>
  <c r="P332" i="41"/>
  <c r="P508" i="41"/>
  <c r="P511" i="41" s="1"/>
  <c r="Q367" i="41"/>
  <c r="Q510" i="41"/>
  <c r="R354" i="41"/>
  <c r="Q400" i="41" l="1"/>
  <c r="R400" i="41" s="1"/>
  <c r="R510" i="41"/>
  <c r="S354" i="41"/>
  <c r="R283" i="41"/>
  <c r="Q332" i="41"/>
  <c r="Q359" i="41"/>
  <c r="Q508" i="41"/>
  <c r="Q511" i="41" s="1"/>
  <c r="R367" i="41"/>
  <c r="O381" i="41"/>
  <c r="O355" i="41"/>
  <c r="O76" i="41"/>
  <c r="Q177" i="41"/>
  <c r="P178" i="41"/>
  <c r="P179" i="41" s="1"/>
  <c r="P92" i="41" s="1"/>
  <c r="P491" i="41"/>
  <c r="P375" i="41"/>
  <c r="P377" i="41" s="1"/>
  <c r="P380" i="41" s="1"/>
  <c r="P366" i="41"/>
  <c r="P368" i="41" s="1"/>
  <c r="P397" i="41"/>
  <c r="P353" i="41"/>
  <c r="S169" i="41"/>
  <c r="R170" i="41"/>
  <c r="R173" i="41" s="1"/>
  <c r="R394" i="41"/>
  <c r="R73" i="41" s="1"/>
  <c r="R457" i="41" s="1"/>
  <c r="S393" i="41"/>
  <c r="Q403" i="41" l="1"/>
  <c r="P381" i="41"/>
  <c r="R359" i="41"/>
  <c r="S283" i="41"/>
  <c r="R332" i="41"/>
  <c r="T169" i="41"/>
  <c r="S170" i="41"/>
  <c r="S173" i="41" s="1"/>
  <c r="Q491" i="41"/>
  <c r="R177" i="41"/>
  <c r="Q178" i="41"/>
  <c r="Q179" i="41" s="1"/>
  <c r="Q92" i="41" s="1"/>
  <c r="T354" i="41"/>
  <c r="S510" i="41"/>
  <c r="S394" i="41"/>
  <c r="S73" i="41" s="1"/>
  <c r="S457" i="41" s="1"/>
  <c r="T393" i="41"/>
  <c r="R508" i="41"/>
  <c r="R511" i="41" s="1"/>
  <c r="S367" i="41"/>
  <c r="S400" i="41"/>
  <c r="R403" i="41"/>
  <c r="O356" i="41"/>
  <c r="O74" i="41"/>
  <c r="Q353" i="41"/>
  <c r="Q366" i="41"/>
  <c r="Q368" i="41" s="1"/>
  <c r="Q397" i="41"/>
  <c r="Q375" i="41"/>
  <c r="Q377" i="41" s="1"/>
  <c r="Q380" i="41" s="1"/>
  <c r="P355" i="41"/>
  <c r="P76" i="41"/>
  <c r="Y8" i="2"/>
  <c r="Q381" i="41" l="1"/>
  <c r="P356" i="41"/>
  <c r="P74" i="41"/>
  <c r="T400" i="41"/>
  <c r="S403" i="41"/>
  <c r="Q355" i="41"/>
  <c r="Q76" i="41"/>
  <c r="S359" i="41"/>
  <c r="T283" i="41"/>
  <c r="S332" i="41"/>
  <c r="T394" i="41"/>
  <c r="T73" i="41" s="1"/>
  <c r="T457" i="41" s="1"/>
  <c r="U393" i="41"/>
  <c r="T367" i="41"/>
  <c r="S508" i="41"/>
  <c r="S511" i="41" s="1"/>
  <c r="U169" i="41"/>
  <c r="T170" i="41"/>
  <c r="T173" i="41" s="1"/>
  <c r="R491" i="41"/>
  <c r="S177" i="41"/>
  <c r="R178" i="41"/>
  <c r="R179" i="41" s="1"/>
  <c r="R92" i="41" s="1"/>
  <c r="T510" i="41"/>
  <c r="U354" i="41"/>
  <c r="R366" i="41"/>
  <c r="R368" i="41" s="1"/>
  <c r="R397" i="41"/>
  <c r="R353" i="41"/>
  <c r="R375" i="41"/>
  <c r="R377" i="41" s="1"/>
  <c r="R380" i="41" s="1"/>
  <c r="Y18" i="2"/>
  <c r="Y26" i="2"/>
  <c r="Y34" i="2"/>
  <c r="Y42" i="2"/>
  <c r="Y50" i="2"/>
  <c r="Y58" i="2"/>
  <c r="Y66" i="2"/>
  <c r="Y74" i="2"/>
  <c r="Y82" i="2"/>
  <c r="Y90" i="2"/>
  <c r="Y98" i="2"/>
  <c r="Y106" i="2"/>
  <c r="Y118" i="2"/>
  <c r="Y126" i="2"/>
  <c r="Y134" i="2"/>
  <c r="Y142" i="2"/>
  <c r="Y150" i="2"/>
  <c r="Y158" i="2"/>
  <c r="Y166" i="2"/>
  <c r="Y174" i="2"/>
  <c r="Y182" i="2"/>
  <c r="Y190" i="2"/>
  <c r="Y198" i="2"/>
  <c r="Y206" i="2"/>
  <c r="Y157" i="2"/>
  <c r="Y19" i="2"/>
  <c r="Y27" i="2"/>
  <c r="Y35" i="2"/>
  <c r="Y43" i="2"/>
  <c r="Y51" i="2"/>
  <c r="Y59" i="2"/>
  <c r="Y67" i="2"/>
  <c r="Y75" i="2"/>
  <c r="Y83" i="2"/>
  <c r="Y91" i="2"/>
  <c r="Y99" i="2"/>
  <c r="Y107" i="2"/>
  <c r="Y119" i="2"/>
  <c r="Y127" i="2"/>
  <c r="Y135" i="2"/>
  <c r="Y143" i="2"/>
  <c r="Y151" i="2"/>
  <c r="Y159" i="2"/>
  <c r="Y167" i="2"/>
  <c r="Y175" i="2"/>
  <c r="Y183" i="2"/>
  <c r="Y191" i="2"/>
  <c r="Y199" i="2"/>
  <c r="Y207" i="2"/>
  <c r="Y133" i="2"/>
  <c r="Y20" i="2"/>
  <c r="Y28" i="2"/>
  <c r="Y36" i="2"/>
  <c r="Y44" i="2"/>
  <c r="Y52" i="2"/>
  <c r="Y60" i="2"/>
  <c r="Y68" i="2"/>
  <c r="Y76" i="2"/>
  <c r="Y84" i="2"/>
  <c r="Y92" i="2"/>
  <c r="Y100" i="2"/>
  <c r="Y108" i="2"/>
  <c r="Y120" i="2"/>
  <c r="Y128" i="2"/>
  <c r="Y136" i="2"/>
  <c r="Y144" i="2"/>
  <c r="Y152" i="2"/>
  <c r="Y160" i="2"/>
  <c r="Y168" i="2"/>
  <c r="Y176" i="2"/>
  <c r="Y184" i="2"/>
  <c r="Y192" i="2"/>
  <c r="Y200" i="2"/>
  <c r="Y208" i="2"/>
  <c r="Y33" i="2"/>
  <c r="Y97" i="2"/>
  <c r="Y173" i="2"/>
  <c r="Y21" i="2"/>
  <c r="Y29" i="2"/>
  <c r="Y37" i="2"/>
  <c r="Y45" i="2"/>
  <c r="Y53" i="2"/>
  <c r="Y61" i="2"/>
  <c r="Y69" i="2"/>
  <c r="Y77" i="2"/>
  <c r="Y85" i="2"/>
  <c r="Y93" i="2"/>
  <c r="Y101" i="2"/>
  <c r="Y109" i="2"/>
  <c r="Y121" i="2"/>
  <c r="Y129" i="2"/>
  <c r="Y137" i="2"/>
  <c r="Y145" i="2"/>
  <c r="Y153" i="2"/>
  <c r="Y161" i="2"/>
  <c r="Y169" i="2"/>
  <c r="Y177" i="2"/>
  <c r="Y185" i="2"/>
  <c r="Y193" i="2"/>
  <c r="Y201" i="2"/>
  <c r="Y209" i="2"/>
  <c r="Y17" i="2"/>
  <c r="Y57" i="2"/>
  <c r="Y73" i="2"/>
  <c r="Y105" i="2"/>
  <c r="Y141" i="2"/>
  <c r="Y181" i="2"/>
  <c r="Y205" i="2"/>
  <c r="Y22" i="2"/>
  <c r="Y30" i="2"/>
  <c r="Y38" i="2"/>
  <c r="Y46" i="2"/>
  <c r="Y54" i="2"/>
  <c r="Y62" i="2"/>
  <c r="Y70" i="2"/>
  <c r="Y78" i="2"/>
  <c r="Y86" i="2"/>
  <c r="Y94" i="2"/>
  <c r="Y102" i="2"/>
  <c r="Y110" i="2"/>
  <c r="Y122" i="2"/>
  <c r="Y130" i="2"/>
  <c r="Y138" i="2"/>
  <c r="Y146" i="2"/>
  <c r="Y154" i="2"/>
  <c r="Y162" i="2"/>
  <c r="Y170" i="2"/>
  <c r="Y178" i="2"/>
  <c r="Y186" i="2"/>
  <c r="Y194" i="2"/>
  <c r="Y202" i="2"/>
  <c r="Y210" i="2"/>
  <c r="Y49" i="2"/>
  <c r="Y117" i="2"/>
  <c r="Y189" i="2"/>
  <c r="Y15" i="2"/>
  <c r="Y23" i="2"/>
  <c r="Y31" i="2"/>
  <c r="Y39" i="2"/>
  <c r="Y47" i="2"/>
  <c r="Y55" i="2"/>
  <c r="Y63" i="2"/>
  <c r="Y71" i="2"/>
  <c r="Y79" i="2"/>
  <c r="Y87" i="2"/>
  <c r="Y95" i="2"/>
  <c r="Y103" i="2"/>
  <c r="Y115" i="2"/>
  <c r="Y123" i="2"/>
  <c r="Y131" i="2"/>
  <c r="Y139" i="2"/>
  <c r="Y147" i="2"/>
  <c r="Y155" i="2"/>
  <c r="Y163" i="2"/>
  <c r="Y171" i="2"/>
  <c r="Y179" i="2"/>
  <c r="Y187" i="2"/>
  <c r="Y195" i="2"/>
  <c r="Y203" i="2"/>
  <c r="Y25" i="2"/>
  <c r="Y65" i="2"/>
  <c r="Y89" i="2"/>
  <c r="Y125" i="2"/>
  <c r="Y165" i="2"/>
  <c r="Y197" i="2"/>
  <c r="Y16" i="2"/>
  <c r="Y24" i="2"/>
  <c r="Y32" i="2"/>
  <c r="Y40" i="2"/>
  <c r="Y48" i="2"/>
  <c r="Y56" i="2"/>
  <c r="Y64" i="2"/>
  <c r="Y72" i="2"/>
  <c r="Y80" i="2"/>
  <c r="Y88" i="2"/>
  <c r="Y96" i="2"/>
  <c r="Y104" i="2"/>
  <c r="Y116" i="2"/>
  <c r="Y124" i="2"/>
  <c r="Y132" i="2"/>
  <c r="Y140" i="2"/>
  <c r="Y148" i="2"/>
  <c r="Y156" i="2"/>
  <c r="Y164" i="2"/>
  <c r="Y172" i="2"/>
  <c r="Y180" i="2"/>
  <c r="Y188" i="2"/>
  <c r="Y196" i="2"/>
  <c r="Y204" i="2"/>
  <c r="Y81" i="2"/>
  <c r="Y41" i="2"/>
  <c r="Y149" i="2"/>
  <c r="Z8" i="2"/>
  <c r="B19" i="16"/>
  <c r="C19" i="16"/>
  <c r="D19" i="16"/>
  <c r="E19" i="16"/>
  <c r="F19" i="16"/>
  <c r="G19" i="16"/>
  <c r="H19" i="16"/>
  <c r="I19" i="16"/>
  <c r="J19" i="16"/>
  <c r="K19" i="16"/>
  <c r="L19" i="16"/>
  <c r="M19" i="16"/>
  <c r="N19" i="16"/>
  <c r="O19" i="16"/>
  <c r="C21" i="16"/>
  <c r="D21" i="16"/>
  <c r="E21" i="16"/>
  <c r="F21" i="16"/>
  <c r="G21" i="16"/>
  <c r="H21" i="16"/>
  <c r="I21" i="16"/>
  <c r="J21" i="16"/>
  <c r="K21" i="16"/>
  <c r="L21" i="16"/>
  <c r="M21" i="16"/>
  <c r="N21" i="16"/>
  <c r="O21" i="16"/>
  <c r="B21" i="16"/>
  <c r="B23" i="16"/>
  <c r="C23" i="16"/>
  <c r="D23" i="16"/>
  <c r="E23" i="16"/>
  <c r="F23" i="16"/>
  <c r="G23" i="16"/>
  <c r="H23" i="16"/>
  <c r="I23" i="16"/>
  <c r="J23" i="16"/>
  <c r="K23" i="16"/>
  <c r="L23" i="16"/>
  <c r="M23" i="16"/>
  <c r="N23" i="16"/>
  <c r="O23" i="16"/>
  <c r="C25" i="16"/>
  <c r="D25" i="16"/>
  <c r="E25" i="16"/>
  <c r="F25" i="16"/>
  <c r="G25" i="16"/>
  <c r="H25" i="16"/>
  <c r="I25" i="16"/>
  <c r="J25" i="16"/>
  <c r="K25" i="16"/>
  <c r="L25" i="16"/>
  <c r="M25" i="16"/>
  <c r="N25" i="16"/>
  <c r="O25" i="16"/>
  <c r="B25" i="16"/>
  <c r="B27" i="16"/>
  <c r="C27" i="16"/>
  <c r="D27" i="16"/>
  <c r="E27" i="16"/>
  <c r="F27" i="16"/>
  <c r="G27" i="16"/>
  <c r="H27" i="16"/>
  <c r="I27" i="16"/>
  <c r="J27" i="16"/>
  <c r="K27" i="16"/>
  <c r="L27" i="16"/>
  <c r="M27" i="16"/>
  <c r="N27" i="16"/>
  <c r="O27" i="16"/>
  <c r="C29" i="16"/>
  <c r="D29" i="16"/>
  <c r="E29" i="16"/>
  <c r="F29" i="16"/>
  <c r="G29" i="16"/>
  <c r="H29" i="16"/>
  <c r="I29" i="16"/>
  <c r="J29" i="16"/>
  <c r="K29" i="16"/>
  <c r="L29" i="16"/>
  <c r="M29" i="16"/>
  <c r="N29" i="16"/>
  <c r="O29" i="16"/>
  <c r="B29" i="16"/>
  <c r="B31" i="16"/>
  <c r="C31" i="16"/>
  <c r="D31" i="16"/>
  <c r="E31" i="16"/>
  <c r="F31" i="16"/>
  <c r="G31" i="16"/>
  <c r="H31" i="16"/>
  <c r="I31" i="16"/>
  <c r="J31" i="16"/>
  <c r="K31" i="16"/>
  <c r="L31" i="16"/>
  <c r="M31" i="16"/>
  <c r="N31" i="16"/>
  <c r="O31" i="16"/>
  <c r="C33" i="16"/>
  <c r="D33" i="16"/>
  <c r="E33" i="16"/>
  <c r="F33" i="16"/>
  <c r="G33" i="16"/>
  <c r="H33" i="16"/>
  <c r="I33" i="16"/>
  <c r="J33" i="16"/>
  <c r="K33" i="16"/>
  <c r="L33" i="16"/>
  <c r="M33" i="16"/>
  <c r="N33" i="16"/>
  <c r="O33" i="16"/>
  <c r="B33" i="16"/>
  <c r="B35" i="16"/>
  <c r="C35" i="16"/>
  <c r="D35" i="16"/>
  <c r="E35" i="16"/>
  <c r="F35" i="16"/>
  <c r="G35" i="16"/>
  <c r="H35" i="16"/>
  <c r="I35" i="16"/>
  <c r="J35" i="16"/>
  <c r="K35" i="16"/>
  <c r="L35" i="16"/>
  <c r="M35" i="16"/>
  <c r="N35" i="16"/>
  <c r="O35" i="16"/>
  <c r="C37" i="16"/>
  <c r="D37" i="16"/>
  <c r="E37" i="16"/>
  <c r="F37" i="16"/>
  <c r="G37" i="16"/>
  <c r="H37" i="16"/>
  <c r="I37" i="16"/>
  <c r="J37" i="16"/>
  <c r="K37" i="16"/>
  <c r="L37" i="16"/>
  <c r="M37" i="16"/>
  <c r="N37" i="16"/>
  <c r="O37" i="16"/>
  <c r="B37" i="16"/>
  <c r="B41" i="16"/>
  <c r="C41" i="16"/>
  <c r="D41" i="16"/>
  <c r="E41" i="16"/>
  <c r="F41" i="16"/>
  <c r="G41" i="16"/>
  <c r="H41" i="16"/>
  <c r="I41" i="16"/>
  <c r="J41" i="16"/>
  <c r="K41" i="16"/>
  <c r="L41" i="16"/>
  <c r="M41" i="16"/>
  <c r="N41" i="16"/>
  <c r="O41" i="16"/>
  <c r="C43" i="16"/>
  <c r="D43" i="16"/>
  <c r="E43" i="16"/>
  <c r="F43" i="16"/>
  <c r="G43" i="16"/>
  <c r="H43" i="16"/>
  <c r="I43" i="16"/>
  <c r="J43" i="16"/>
  <c r="K43" i="16"/>
  <c r="L43" i="16"/>
  <c r="M43" i="16"/>
  <c r="N43" i="16"/>
  <c r="O43" i="16"/>
  <c r="B43" i="16"/>
  <c r="B45" i="16"/>
  <c r="C45" i="16"/>
  <c r="D45" i="16"/>
  <c r="E45" i="16"/>
  <c r="F45" i="16"/>
  <c r="G45" i="16"/>
  <c r="H45" i="16"/>
  <c r="I45" i="16"/>
  <c r="J45" i="16"/>
  <c r="K45" i="16"/>
  <c r="L45" i="16"/>
  <c r="M45" i="16"/>
  <c r="N45" i="16"/>
  <c r="O45" i="16"/>
  <c r="C47" i="16"/>
  <c r="D47" i="16"/>
  <c r="E47" i="16"/>
  <c r="F47" i="16"/>
  <c r="G47" i="16"/>
  <c r="H47" i="16"/>
  <c r="I47" i="16"/>
  <c r="J47" i="16"/>
  <c r="K47" i="16"/>
  <c r="L47" i="16"/>
  <c r="M47" i="16"/>
  <c r="N47" i="16"/>
  <c r="O47" i="16"/>
  <c r="B47" i="16"/>
  <c r="B49" i="16"/>
  <c r="C49" i="16"/>
  <c r="D49" i="16"/>
  <c r="E49" i="16"/>
  <c r="F49" i="16"/>
  <c r="G49" i="16"/>
  <c r="H49" i="16"/>
  <c r="I49" i="16"/>
  <c r="J49" i="16"/>
  <c r="K49" i="16"/>
  <c r="L49" i="16"/>
  <c r="M49" i="16"/>
  <c r="N49" i="16"/>
  <c r="O49" i="16"/>
  <c r="C51" i="16"/>
  <c r="D51" i="16"/>
  <c r="E51" i="16"/>
  <c r="F51" i="16"/>
  <c r="G51" i="16"/>
  <c r="H51" i="16"/>
  <c r="I51" i="16"/>
  <c r="J51" i="16"/>
  <c r="K51" i="16"/>
  <c r="L51" i="16"/>
  <c r="M51" i="16"/>
  <c r="N51" i="16"/>
  <c r="O51" i="16"/>
  <c r="B51" i="16"/>
  <c r="C70" i="16"/>
  <c r="D70" i="16"/>
  <c r="E70" i="16"/>
  <c r="F70" i="16"/>
  <c r="G70" i="16"/>
  <c r="H70" i="16"/>
  <c r="I70" i="16"/>
  <c r="J70" i="16"/>
  <c r="K70" i="16"/>
  <c r="L70" i="16"/>
  <c r="M70" i="16"/>
  <c r="N70" i="16"/>
  <c r="O70" i="16"/>
  <c r="B70" i="16"/>
  <c r="C15" i="16"/>
  <c r="D15" i="16"/>
  <c r="E15" i="16"/>
  <c r="F15" i="16"/>
  <c r="G15" i="16"/>
  <c r="H15" i="16"/>
  <c r="I15" i="16"/>
  <c r="J15" i="16"/>
  <c r="K15" i="16"/>
  <c r="L15" i="16"/>
  <c r="M15" i="16"/>
  <c r="N15" i="16"/>
  <c r="O15" i="16"/>
  <c r="B15" i="16"/>
  <c r="A70" i="16"/>
  <c r="A51" i="16"/>
  <c r="A49" i="16"/>
  <c r="A47" i="16"/>
  <c r="A45" i="16"/>
  <c r="A43" i="16"/>
  <c r="A41" i="16"/>
  <c r="A37" i="16"/>
  <c r="A35" i="16"/>
  <c r="A33" i="16"/>
  <c r="A31" i="16"/>
  <c r="A29" i="16"/>
  <c r="A27" i="16"/>
  <c r="A25" i="16"/>
  <c r="A23" i="16"/>
  <c r="A21" i="16"/>
  <c r="A19" i="16"/>
  <c r="R381" i="41" l="1"/>
  <c r="U283" i="41"/>
  <c r="T332" i="41"/>
  <c r="R355" i="41"/>
  <c r="R76" i="41"/>
  <c r="U394" i="41"/>
  <c r="U73" i="41" s="1"/>
  <c r="U457" i="41" s="1"/>
  <c r="V393" i="41"/>
  <c r="S366" i="41"/>
  <c r="S368" i="41" s="1"/>
  <c r="S353" i="41"/>
  <c r="S375" i="41"/>
  <c r="S377" i="41" s="1"/>
  <c r="S380" i="41" s="1"/>
  <c r="S397" i="41"/>
  <c r="V169" i="41"/>
  <c r="U170" i="41"/>
  <c r="U173" i="41" s="1"/>
  <c r="T359" i="41"/>
  <c r="Q356" i="41"/>
  <c r="Q74" i="41"/>
  <c r="S491" i="41"/>
  <c r="T177" i="41"/>
  <c r="S178" i="41"/>
  <c r="S179" i="41" s="1"/>
  <c r="S92" i="41" s="1"/>
  <c r="V354" i="41"/>
  <c r="U510" i="41"/>
  <c r="T508" i="41"/>
  <c r="T511" i="41" s="1"/>
  <c r="U367" i="41"/>
  <c r="U400" i="41"/>
  <c r="T403" i="41"/>
  <c r="Y211" i="2"/>
  <c r="Y111" i="2"/>
  <c r="K7" i="4"/>
  <c r="K109" i="4" s="1"/>
  <c r="S381" i="41" l="1"/>
  <c r="S355" i="41"/>
  <c r="S76" i="41"/>
  <c r="R356" i="41"/>
  <c r="R74" i="41"/>
  <c r="V400" i="41"/>
  <c r="U403" i="41"/>
  <c r="V283" i="41"/>
  <c r="U332" i="41"/>
  <c r="U508" i="41"/>
  <c r="U511" i="41" s="1"/>
  <c r="V367" i="41"/>
  <c r="T353" i="41"/>
  <c r="T375" i="41"/>
  <c r="T377" i="41" s="1"/>
  <c r="T380" i="41" s="1"/>
  <c r="T366" i="41"/>
  <c r="T368" i="41" s="1"/>
  <c r="T397" i="41"/>
  <c r="T491" i="41"/>
  <c r="U177" i="41"/>
  <c r="T178" i="41"/>
  <c r="T179" i="41" s="1"/>
  <c r="T92" i="41" s="1"/>
  <c r="U359" i="41"/>
  <c r="W169" i="41"/>
  <c r="V170" i="41"/>
  <c r="V173" i="41" s="1"/>
  <c r="W393" i="41"/>
  <c r="V394" i="41"/>
  <c r="V73" i="41" s="1"/>
  <c r="V457" i="41" s="1"/>
  <c r="W354" i="41"/>
  <c r="V510" i="41"/>
  <c r="K11" i="4"/>
  <c r="K119" i="4"/>
  <c r="K122" i="4"/>
  <c r="K82" i="4"/>
  <c r="K38" i="4"/>
  <c r="K14" i="4"/>
  <c r="K142" i="4"/>
  <c r="K47" i="4"/>
  <c r="K105" i="4"/>
  <c r="K139" i="4"/>
  <c r="K100" i="4"/>
  <c r="K51" i="4"/>
  <c r="K64" i="4"/>
  <c r="K44" i="4"/>
  <c r="K56" i="4"/>
  <c r="K138" i="4"/>
  <c r="K83" i="4"/>
  <c r="K29" i="4"/>
  <c r="K98" i="4"/>
  <c r="K61" i="4"/>
  <c r="K137" i="4"/>
  <c r="K114" i="4"/>
  <c r="K60" i="4"/>
  <c r="K102" i="4"/>
  <c r="K35" i="4"/>
  <c r="K121" i="4"/>
  <c r="K123" i="4"/>
  <c r="K87" i="4"/>
  <c r="K108" i="4"/>
  <c r="K27" i="4"/>
  <c r="K62" i="4"/>
  <c r="K40" i="4"/>
  <c r="K133" i="4"/>
  <c r="K89" i="4"/>
  <c r="K36" i="4"/>
  <c r="K17" i="4"/>
  <c r="K45" i="4"/>
  <c r="K74" i="4"/>
  <c r="K26" i="4"/>
  <c r="K10" i="4"/>
  <c r="K104" i="4"/>
  <c r="K120" i="4"/>
  <c r="K18" i="4"/>
  <c r="K128" i="4"/>
  <c r="K88" i="4"/>
  <c r="K66" i="4"/>
  <c r="K144" i="4"/>
  <c r="K96" i="4"/>
  <c r="K80" i="4"/>
  <c r="K112" i="4"/>
  <c r="K58" i="4"/>
  <c r="K34" i="4"/>
  <c r="K50" i="4"/>
  <c r="K42" i="4"/>
  <c r="K136" i="4"/>
  <c r="K21" i="4"/>
  <c r="K70" i="4"/>
  <c r="K67" i="4"/>
  <c r="K41" i="4"/>
  <c r="K107" i="4"/>
  <c r="K129" i="4"/>
  <c r="K31" i="4"/>
  <c r="K73" i="4"/>
  <c r="K125" i="4"/>
  <c r="K145" i="4"/>
  <c r="K86" i="4"/>
  <c r="K37" i="4"/>
  <c r="K134" i="4"/>
  <c r="K140" i="4"/>
  <c r="K95" i="4"/>
  <c r="K85" i="4"/>
  <c r="K59" i="4"/>
  <c r="K135" i="4"/>
  <c r="K12" i="4"/>
  <c r="K101" i="4"/>
  <c r="K75" i="4"/>
  <c r="K126" i="4"/>
  <c r="K115" i="4"/>
  <c r="K97" i="4"/>
  <c r="K143" i="4"/>
  <c r="K69" i="4"/>
  <c r="K92" i="4"/>
  <c r="K132" i="4"/>
  <c r="K23" i="4"/>
  <c r="K48" i="4"/>
  <c r="K130" i="4"/>
  <c r="K55" i="4"/>
  <c r="K141" i="4"/>
  <c r="K91" i="4"/>
  <c r="K39" i="4"/>
  <c r="K53" i="4"/>
  <c r="K19" i="4"/>
  <c r="K124" i="4"/>
  <c r="K106" i="4"/>
  <c r="K111" i="4"/>
  <c r="K13" i="4"/>
  <c r="K110" i="4"/>
  <c r="K33" i="4"/>
  <c r="K54" i="4"/>
  <c r="K20" i="4"/>
  <c r="K84" i="4"/>
  <c r="K81" i="4"/>
  <c r="K117" i="4"/>
  <c r="K30" i="4"/>
  <c r="K16" i="4"/>
  <c r="K52" i="4"/>
  <c r="K25" i="4"/>
  <c r="K32" i="4"/>
  <c r="K116" i="4"/>
  <c r="K94" i="4"/>
  <c r="K57" i="4"/>
  <c r="K63" i="4"/>
  <c r="K103" i="4"/>
  <c r="K49" i="4"/>
  <c r="K22" i="4"/>
  <c r="K24" i="4"/>
  <c r="K68" i="4"/>
  <c r="K65" i="4"/>
  <c r="K131" i="4"/>
  <c r="K93" i="4"/>
  <c r="K113" i="4"/>
  <c r="K118" i="4"/>
  <c r="K43" i="4"/>
  <c r="K72" i="4"/>
  <c r="K90" i="4"/>
  <c r="K127" i="4"/>
  <c r="K99" i="4"/>
  <c r="K46" i="4"/>
  <c r="K71" i="4"/>
  <c r="K15" i="4"/>
  <c r="K28" i="4"/>
  <c r="U491" i="41" l="1"/>
  <c r="V177" i="41"/>
  <c r="U178" i="41"/>
  <c r="U179" i="41" s="1"/>
  <c r="U92" i="41" s="1"/>
  <c r="W283" i="41"/>
  <c r="V332" i="41"/>
  <c r="V359" i="41"/>
  <c r="S356" i="41"/>
  <c r="S74" i="41"/>
  <c r="X393" i="41"/>
  <c r="W394" i="41"/>
  <c r="W73" i="41" s="1"/>
  <c r="W457" i="41" s="1"/>
  <c r="V508" i="41"/>
  <c r="V511" i="41" s="1"/>
  <c r="W367" i="41"/>
  <c r="X354" i="41"/>
  <c r="X510" i="41" s="1"/>
  <c r="W510" i="41"/>
  <c r="X169" i="41"/>
  <c r="W170" i="41"/>
  <c r="W173" i="41" s="1"/>
  <c r="T381" i="41"/>
  <c r="U353" i="41"/>
  <c r="U375" i="41"/>
  <c r="U377" i="41" s="1"/>
  <c r="U380" i="41" s="1"/>
  <c r="U397" i="41"/>
  <c r="U366" i="41"/>
  <c r="U368" i="41" s="1"/>
  <c r="T355" i="41"/>
  <c r="T76" i="41"/>
  <c r="W400" i="41"/>
  <c r="V403" i="41"/>
  <c r="K146" i="4"/>
  <c r="K76" i="4"/>
  <c r="X17" i="15"/>
  <c r="W17" i="15"/>
  <c r="V17" i="15"/>
  <c r="U17" i="15"/>
  <c r="U6" i="15"/>
  <c r="U8" i="15" s="1"/>
  <c r="V6" i="15"/>
  <c r="W6" i="15"/>
  <c r="X6" i="15"/>
  <c r="S27" i="15"/>
  <c r="R27" i="15"/>
  <c r="Q27" i="15"/>
  <c r="P27" i="15"/>
  <c r="O27" i="15"/>
  <c r="N27" i="15"/>
  <c r="M27" i="15"/>
  <c r="L27" i="15"/>
  <c r="K27" i="15"/>
  <c r="J27" i="15"/>
  <c r="I27" i="15"/>
  <c r="H27" i="15"/>
  <c r="G27" i="15"/>
  <c r="F27" i="15"/>
  <c r="E27" i="15"/>
  <c r="D27" i="15"/>
  <c r="C27" i="15"/>
  <c r="G31" i="14"/>
  <c r="F31" i="14"/>
  <c r="E31" i="14"/>
  <c r="D31" i="14"/>
  <c r="C31" i="14"/>
  <c r="G26" i="14"/>
  <c r="F26" i="14"/>
  <c r="E26" i="14"/>
  <c r="D26" i="14"/>
  <c r="C26" i="14"/>
  <c r="G25" i="14"/>
  <c r="F25" i="14"/>
  <c r="E25" i="14"/>
  <c r="D25" i="14"/>
  <c r="C25" i="14"/>
  <c r="G14" i="14"/>
  <c r="F14" i="14"/>
  <c r="E14" i="14"/>
  <c r="D14" i="14"/>
  <c r="C14" i="14"/>
  <c r="G6" i="14"/>
  <c r="F6" i="14"/>
  <c r="E6" i="14"/>
  <c r="D6" i="14"/>
  <c r="C6" i="14"/>
  <c r="C36" i="14" s="1"/>
  <c r="B163" i="10"/>
  <c r="B164" i="10"/>
  <c r="B165" i="10"/>
  <c r="B166" i="10"/>
  <c r="B167" i="10"/>
  <c r="B168" i="10"/>
  <c r="B170" i="10"/>
  <c r="B171" i="10"/>
  <c r="B172" i="10"/>
  <c r="B173" i="10"/>
  <c r="B174" i="10"/>
  <c r="B175" i="10"/>
  <c r="B177" i="10"/>
  <c r="B178" i="10"/>
  <c r="B180" i="10"/>
  <c r="B181" i="10"/>
  <c r="B182" i="10"/>
  <c r="B183" i="10"/>
  <c r="B184" i="10"/>
  <c r="B185" i="10"/>
  <c r="B186" i="10"/>
  <c r="B187" i="10"/>
  <c r="B188" i="10"/>
  <c r="B189" i="10"/>
  <c r="B190" i="10"/>
  <c r="U381" i="41" l="1"/>
  <c r="V491" i="41"/>
  <c r="W177" i="41"/>
  <c r="V178" i="41"/>
  <c r="V179" i="41" s="1"/>
  <c r="V92" i="41" s="1"/>
  <c r="X283" i="41"/>
  <c r="W332" i="41"/>
  <c r="X367" i="41"/>
  <c r="X508" i="41" s="1"/>
  <c r="X511" i="41" s="1"/>
  <c r="W508" i="41"/>
  <c r="W511" i="41" s="1"/>
  <c r="W359" i="41"/>
  <c r="V366" i="41"/>
  <c r="V368" i="41" s="1"/>
  <c r="V375" i="41"/>
  <c r="V377" i="41" s="1"/>
  <c r="V380" i="41" s="1"/>
  <c r="V353" i="41"/>
  <c r="V397" i="41"/>
  <c r="U355" i="41"/>
  <c r="U76" i="41"/>
  <c r="X400" i="41"/>
  <c r="X403" i="41" s="1"/>
  <c r="W403" i="41"/>
  <c r="X394" i="41"/>
  <c r="T356" i="41"/>
  <c r="T74" i="41"/>
  <c r="X170" i="41"/>
  <c r="X173" i="41" s="1"/>
  <c r="L450" i="41"/>
  <c r="M450" i="41"/>
  <c r="N450" i="41"/>
  <c r="J450" i="41"/>
  <c r="K450" i="41"/>
  <c r="J292" i="41"/>
  <c r="J95" i="41"/>
  <c r="J222" i="41"/>
  <c r="J226" i="41" s="1"/>
  <c r="J494" i="41"/>
  <c r="L292" i="41"/>
  <c r="L222" i="41"/>
  <c r="L494" i="41"/>
  <c r="L95" i="41"/>
  <c r="K292" i="41"/>
  <c r="K95" i="41"/>
  <c r="K494" i="41"/>
  <c r="K222" i="41"/>
  <c r="K226" i="41" s="1"/>
  <c r="M292" i="41"/>
  <c r="M222" i="41"/>
  <c r="M226" i="41" s="1"/>
  <c r="M95" i="41"/>
  <c r="M494" i="41"/>
  <c r="N292" i="41"/>
  <c r="N494" i="41"/>
  <c r="N95" i="41"/>
  <c r="N222" i="41"/>
  <c r="N226" i="41" s="1"/>
  <c r="X7" i="15"/>
  <c r="F38" i="14"/>
  <c r="F34" i="14" s="1"/>
  <c r="F35" i="14" s="1"/>
  <c r="C38" i="14"/>
  <c r="C34" i="14" s="1"/>
  <c r="G38" i="14"/>
  <c r="G34" i="14" s="1"/>
  <c r="G35" i="14" s="1"/>
  <c r="D38" i="14"/>
  <c r="D34" i="14" s="1"/>
  <c r="D35" i="14" s="1"/>
  <c r="E38" i="14"/>
  <c r="E34" i="14" s="1"/>
  <c r="E35" i="14" s="1"/>
  <c r="U7" i="15"/>
  <c r="W7" i="15"/>
  <c r="V7" i="15"/>
  <c r="V381" i="41" l="1"/>
  <c r="X332" i="41"/>
  <c r="X73" i="41"/>
  <c r="X457" i="41" s="1"/>
  <c r="U356" i="41"/>
  <c r="U74" i="41"/>
  <c r="W491" i="41"/>
  <c r="X177" i="41"/>
  <c r="W178" i="41"/>
  <c r="W179" i="41" s="1"/>
  <c r="W92" i="41" s="1"/>
  <c r="V355" i="41"/>
  <c r="V76" i="41"/>
  <c r="W397" i="41"/>
  <c r="W366" i="41"/>
  <c r="W368" i="41" s="1"/>
  <c r="W353" i="41"/>
  <c r="W375" i="41"/>
  <c r="W377" i="41" s="1"/>
  <c r="W380" i="41" s="1"/>
  <c r="W381" i="41" s="1"/>
  <c r="J105" i="41"/>
  <c r="J106" i="41" s="1"/>
  <c r="J502" i="41"/>
  <c r="J503" i="41" s="1"/>
  <c r="J63" i="41"/>
  <c r="J56" i="41"/>
  <c r="N502" i="41"/>
  <c r="N503" i="41" s="1"/>
  <c r="N105" i="41"/>
  <c r="N106" i="41" s="1"/>
  <c r="O105" i="41"/>
  <c r="O502" i="41"/>
  <c r="N63" i="41"/>
  <c r="N56" i="41"/>
  <c r="M105" i="41"/>
  <c r="M106" i="41" s="1"/>
  <c r="M502" i="41"/>
  <c r="M503" i="41" s="1"/>
  <c r="M63" i="41"/>
  <c r="M56" i="41"/>
  <c r="K105" i="41"/>
  <c r="K106" i="41" s="1"/>
  <c r="K502" i="41"/>
  <c r="K503" i="41" s="1"/>
  <c r="K63" i="41"/>
  <c r="K56" i="41"/>
  <c r="L105" i="41"/>
  <c r="L106" i="41" s="1"/>
  <c r="L502" i="41"/>
  <c r="L503" i="41" s="1"/>
  <c r="L63" i="41"/>
  <c r="L56" i="41"/>
  <c r="L432" i="41"/>
  <c r="L295" i="41"/>
  <c r="L296" i="41" s="1"/>
  <c r="L333" i="41"/>
  <c r="M432" i="41"/>
  <c r="M295" i="41"/>
  <c r="M296" i="41" s="1"/>
  <c r="M333" i="41"/>
  <c r="N295" i="41"/>
  <c r="N432" i="41"/>
  <c r="N333" i="41"/>
  <c r="J295" i="41"/>
  <c r="J432" i="41"/>
  <c r="J296" i="41"/>
  <c r="J333" i="41"/>
  <c r="K295" i="41"/>
  <c r="K296" i="41" s="1"/>
  <c r="K432" i="41"/>
  <c r="K333" i="41"/>
  <c r="L226" i="41"/>
  <c r="AI27" i="15"/>
  <c r="AH27" i="15"/>
  <c r="V27" i="15"/>
  <c r="U27" i="15"/>
  <c r="W27" i="15"/>
  <c r="AF27" i="15"/>
  <c r="AG27" i="15"/>
  <c r="AE27" i="15"/>
  <c r="AD27" i="15"/>
  <c r="AA27" i="15"/>
  <c r="AC27" i="15"/>
  <c r="AB27" i="15"/>
  <c r="Z27" i="15"/>
  <c r="X27" i="15"/>
  <c r="U9" i="15"/>
  <c r="C35" i="14"/>
  <c r="C37" i="14" s="1"/>
  <c r="B154" i="10"/>
  <c r="B157" i="10"/>
  <c r="B158" i="10"/>
  <c r="W355" i="41" l="1"/>
  <c r="W76" i="41"/>
  <c r="X359" i="41"/>
  <c r="V356" i="41"/>
  <c r="V74" i="41"/>
  <c r="X178" i="41"/>
  <c r="X179" i="41" s="1"/>
  <c r="X92" i="41" s="1"/>
  <c r="X491" i="41"/>
  <c r="O208" i="41"/>
  <c r="N296" i="41"/>
  <c r="J495" i="41"/>
  <c r="J497" i="41" s="1"/>
  <c r="J504" i="41" s="1"/>
  <c r="J51" i="41" s="1"/>
  <c r="J229" i="41"/>
  <c r="J96" i="41"/>
  <c r="J98" i="41" s="1"/>
  <c r="J99" i="41" s="1"/>
  <c r="U10" i="15"/>
  <c r="U11" i="15" s="1"/>
  <c r="C39" i="14"/>
  <c r="X375" i="41" l="1"/>
  <c r="X377" i="41" s="1"/>
  <c r="X366" i="41"/>
  <c r="X368" i="41" s="1"/>
  <c r="X397" i="41"/>
  <c r="X353" i="41"/>
  <c r="W356" i="41"/>
  <c r="W74" i="41"/>
  <c r="J108" i="41"/>
  <c r="J110" i="41" s="1"/>
  <c r="J111" i="41" s="1"/>
  <c r="J507" i="41"/>
  <c r="J129" i="41"/>
  <c r="J233" i="41"/>
  <c r="J35" i="41" s="1"/>
  <c r="J48" i="41"/>
  <c r="C40" i="14"/>
  <c r="D36" i="14"/>
  <c r="D37" i="14" s="1"/>
  <c r="V8" i="15"/>
  <c r="V9" i="15" s="1"/>
  <c r="X355" i="41" l="1"/>
  <c r="X76" i="41"/>
  <c r="X380" i="41"/>
  <c r="X381" i="41" s="1"/>
  <c r="K495" i="41"/>
  <c r="K497" i="41" s="1"/>
  <c r="K504" i="41" s="1"/>
  <c r="K51" i="41" s="1"/>
  <c r="J512" i="41"/>
  <c r="K96" i="41"/>
  <c r="K98" i="41" s="1"/>
  <c r="K99" i="41" s="1"/>
  <c r="K229" i="41"/>
  <c r="J53" i="41"/>
  <c r="J50" i="41"/>
  <c r="J49" i="41"/>
  <c r="J52" i="41" s="1"/>
  <c r="J46" i="41"/>
  <c r="J41" i="41"/>
  <c r="J39" i="41"/>
  <c r="J130" i="41" s="1"/>
  <c r="J71" i="41"/>
  <c r="J70" i="41"/>
  <c r="J57" i="41" s="1"/>
  <c r="J58" i="41" s="1"/>
  <c r="V10" i="15"/>
  <c r="V11" i="15" s="1"/>
  <c r="D39" i="14"/>
  <c r="X356" i="41" l="1"/>
  <c r="X74" i="41"/>
  <c r="K108" i="41"/>
  <c r="K110" i="41" s="1"/>
  <c r="K111" i="41" s="1"/>
  <c r="K507" i="41"/>
  <c r="K233" i="41"/>
  <c r="K35" i="41" s="1"/>
  <c r="K48" i="41"/>
  <c r="K129" i="41"/>
  <c r="J85" i="41"/>
  <c r="J78" i="41"/>
  <c r="J81" i="41" s="1"/>
  <c r="J82" i="41" s="1"/>
  <c r="J64" i="41"/>
  <c r="J65" i="41" s="1"/>
  <c r="J66" i="41" s="1"/>
  <c r="J234" i="41"/>
  <c r="J42" i="41"/>
  <c r="J45" i="41"/>
  <c r="J61" i="41"/>
  <c r="J60" i="41"/>
  <c r="W8" i="15"/>
  <c r="W9" i="15" s="1"/>
  <c r="D40" i="14"/>
  <c r="E36" i="14"/>
  <c r="E37" i="14" s="1"/>
  <c r="C1" i="11"/>
  <c r="H404" i="10"/>
  <c r="H405" i="10" s="1"/>
  <c r="G404" i="10"/>
  <c r="G405" i="10" s="1"/>
  <c r="F404" i="10"/>
  <c r="F405" i="10" s="1"/>
  <c r="E404" i="10"/>
  <c r="E405" i="10" s="1"/>
  <c r="D404" i="10"/>
  <c r="D405" i="10" s="1"/>
  <c r="B404" i="10"/>
  <c r="B403" i="10"/>
  <c r="B402" i="10"/>
  <c r="B401" i="10"/>
  <c r="B399" i="10"/>
  <c r="H398" i="10"/>
  <c r="G398" i="10"/>
  <c r="F398" i="10"/>
  <c r="E398" i="10"/>
  <c r="D398" i="10"/>
  <c r="B398" i="10"/>
  <c r="B397" i="10"/>
  <c r="B396" i="10"/>
  <c r="B395" i="10"/>
  <c r="H394" i="10"/>
  <c r="H400" i="10" s="1"/>
  <c r="G394" i="10"/>
  <c r="F394" i="10"/>
  <c r="E394" i="10"/>
  <c r="D394" i="10"/>
  <c r="B394" i="10"/>
  <c r="B393" i="10"/>
  <c r="B392" i="10"/>
  <c r="B391" i="10"/>
  <c r="B390" i="10"/>
  <c r="B389" i="10"/>
  <c r="B388" i="10"/>
  <c r="B387" i="10"/>
  <c r="H384" i="10"/>
  <c r="G384" i="10"/>
  <c r="F384" i="10"/>
  <c r="E384" i="10"/>
  <c r="D384" i="10"/>
  <c r="B383" i="10"/>
  <c r="B382" i="10"/>
  <c r="B381" i="10"/>
  <c r="H379" i="10"/>
  <c r="G379" i="10"/>
  <c r="F379" i="10"/>
  <c r="E379" i="10"/>
  <c r="D379" i="10"/>
  <c r="B378" i="10"/>
  <c r="B377" i="10"/>
  <c r="B376" i="10"/>
  <c r="B375" i="10"/>
  <c r="B374" i="10"/>
  <c r="H372" i="10"/>
  <c r="G372" i="10"/>
  <c r="F372" i="10"/>
  <c r="E372" i="10"/>
  <c r="D372" i="10"/>
  <c r="B371" i="10"/>
  <c r="B370" i="10"/>
  <c r="B367" i="10"/>
  <c r="B366" i="10"/>
  <c r="B365" i="10"/>
  <c r="D364" i="10"/>
  <c r="E364" i="10" s="1"/>
  <c r="B364" i="10"/>
  <c r="B363" i="10"/>
  <c r="B362" i="10"/>
  <c r="B361" i="10"/>
  <c r="B360" i="10"/>
  <c r="B359" i="10"/>
  <c r="B358" i="10"/>
  <c r="H356" i="10"/>
  <c r="G356" i="10"/>
  <c r="F356" i="10"/>
  <c r="E356" i="10"/>
  <c r="D356" i="10"/>
  <c r="B355" i="10"/>
  <c r="B354" i="10"/>
  <c r="B353" i="10"/>
  <c r="D350" i="10"/>
  <c r="E350" i="10" s="1"/>
  <c r="F350" i="10" s="1"/>
  <c r="G350" i="10" s="1"/>
  <c r="H350" i="10" s="1"/>
  <c r="B350" i="10"/>
  <c r="B349" i="10"/>
  <c r="B348" i="10"/>
  <c r="B347" i="10"/>
  <c r="B346" i="10"/>
  <c r="B345" i="10"/>
  <c r="D344" i="10"/>
  <c r="E344" i="10" s="1"/>
  <c r="B344" i="10"/>
  <c r="B343" i="10"/>
  <c r="B342" i="10"/>
  <c r="B341" i="10"/>
  <c r="B340" i="10"/>
  <c r="H338" i="10"/>
  <c r="G338" i="10"/>
  <c r="F338" i="10"/>
  <c r="E338" i="10"/>
  <c r="D338" i="10"/>
  <c r="B337" i="10"/>
  <c r="B336" i="10"/>
  <c r="B335" i="10"/>
  <c r="D333" i="10"/>
  <c r="B332" i="10"/>
  <c r="B331" i="10"/>
  <c r="B329" i="10"/>
  <c r="B328" i="10"/>
  <c r="B327" i="10"/>
  <c r="B326" i="10"/>
  <c r="B325" i="10"/>
  <c r="B323" i="10"/>
  <c r="B322" i="10"/>
  <c r="H320" i="10"/>
  <c r="G320" i="10"/>
  <c r="F320" i="10"/>
  <c r="E320" i="10"/>
  <c r="D320" i="10"/>
  <c r="B319" i="10"/>
  <c r="B318" i="10"/>
  <c r="H316" i="10"/>
  <c r="G316" i="10"/>
  <c r="F316" i="10"/>
  <c r="E316" i="10"/>
  <c r="D316" i="10"/>
  <c r="B315" i="10"/>
  <c r="B314" i="10"/>
  <c r="B313" i="10"/>
  <c r="B312" i="10"/>
  <c r="H310" i="10"/>
  <c r="G310" i="10"/>
  <c r="F310" i="10"/>
  <c r="E310" i="10"/>
  <c r="D310" i="10"/>
  <c r="B309" i="10"/>
  <c r="B308" i="10"/>
  <c r="B307" i="10"/>
  <c r="B306" i="10"/>
  <c r="H304" i="10"/>
  <c r="G304" i="10"/>
  <c r="F304" i="10"/>
  <c r="E304" i="10"/>
  <c r="D304" i="10"/>
  <c r="B303" i="10"/>
  <c r="B302" i="10"/>
  <c r="B301" i="10"/>
  <c r="B300" i="10"/>
  <c r="H298" i="10"/>
  <c r="G298" i="10"/>
  <c r="F298" i="10"/>
  <c r="E298" i="10"/>
  <c r="D298" i="10"/>
  <c r="B293" i="10"/>
  <c r="H291" i="10"/>
  <c r="G291" i="10"/>
  <c r="F291" i="10"/>
  <c r="E291" i="10"/>
  <c r="D291" i="10"/>
  <c r="B290" i="10"/>
  <c r="B289" i="10"/>
  <c r="B288" i="10"/>
  <c r="B287" i="10"/>
  <c r="B286" i="10"/>
  <c r="H284" i="10"/>
  <c r="G284" i="10"/>
  <c r="F284" i="10"/>
  <c r="E284" i="10"/>
  <c r="D284" i="10"/>
  <c r="B283" i="10"/>
  <c r="B282" i="10"/>
  <c r="B281" i="10"/>
  <c r="H279" i="10"/>
  <c r="G279" i="10"/>
  <c r="F279" i="10"/>
  <c r="E279" i="10"/>
  <c r="D279" i="10"/>
  <c r="B278" i="10"/>
  <c r="B277" i="10"/>
  <c r="B276" i="10"/>
  <c r="H274" i="10"/>
  <c r="G274" i="10"/>
  <c r="F274" i="10"/>
  <c r="E274" i="10"/>
  <c r="D274" i="10"/>
  <c r="B273" i="10"/>
  <c r="B272" i="10"/>
  <c r="B271" i="10"/>
  <c r="B270" i="10"/>
  <c r="B267" i="10"/>
  <c r="B266" i="10"/>
  <c r="B265" i="10"/>
  <c r="H263" i="10"/>
  <c r="G263" i="10"/>
  <c r="F263" i="10"/>
  <c r="E263" i="10"/>
  <c r="D263" i="10"/>
  <c r="B262" i="10"/>
  <c r="B261" i="10"/>
  <c r="B260" i="10"/>
  <c r="H258" i="10"/>
  <c r="G258" i="10"/>
  <c r="F258" i="10"/>
  <c r="E258" i="10"/>
  <c r="D258" i="10"/>
  <c r="B257" i="10"/>
  <c r="B256" i="10"/>
  <c r="B255" i="10"/>
  <c r="H253" i="10"/>
  <c r="G253" i="10"/>
  <c r="F253" i="10"/>
  <c r="E253" i="10"/>
  <c r="D253" i="10"/>
  <c r="B252" i="10"/>
  <c r="B251" i="10"/>
  <c r="B250" i="10"/>
  <c r="B249" i="10"/>
  <c r="B248" i="10"/>
  <c r="B247" i="10"/>
  <c r="B246" i="10"/>
  <c r="B245" i="10"/>
  <c r="B244" i="10"/>
  <c r="B243" i="10"/>
  <c r="H241" i="10"/>
  <c r="G241" i="10"/>
  <c r="F241" i="10"/>
  <c r="E241" i="10"/>
  <c r="D241" i="10"/>
  <c r="B240" i="10"/>
  <c r="B239" i="10"/>
  <c r="B238" i="10"/>
  <c r="B237" i="10"/>
  <c r="H236" i="10"/>
  <c r="G236" i="10"/>
  <c r="F236" i="10"/>
  <c r="E236" i="10"/>
  <c r="D236" i="10"/>
  <c r="B235" i="10"/>
  <c r="B234" i="10"/>
  <c r="B233" i="10"/>
  <c r="H231" i="10"/>
  <c r="G231" i="10"/>
  <c r="F231" i="10"/>
  <c r="E231" i="10"/>
  <c r="D231" i="10"/>
  <c r="B230" i="10"/>
  <c r="B229" i="10"/>
  <c r="B228" i="10"/>
  <c r="H226" i="10"/>
  <c r="G226" i="10"/>
  <c r="F226" i="10"/>
  <c r="E226" i="10"/>
  <c r="D226" i="10"/>
  <c r="B225" i="10"/>
  <c r="B224" i="10"/>
  <c r="B223" i="10"/>
  <c r="B222" i="10"/>
  <c r="B221" i="10"/>
  <c r="B220" i="10"/>
  <c r="B217" i="10"/>
  <c r="B216" i="10"/>
  <c r="B215" i="10"/>
  <c r="B214" i="10"/>
  <c r="B213" i="10"/>
  <c r="B212" i="10"/>
  <c r="B211" i="10"/>
  <c r="B210" i="10"/>
  <c r="B209" i="10"/>
  <c r="B208" i="10"/>
  <c r="B207" i="10"/>
  <c r="B206" i="10"/>
  <c r="H205" i="10"/>
  <c r="G205" i="10"/>
  <c r="F205" i="10"/>
  <c r="E205" i="10"/>
  <c r="D205" i="10"/>
  <c r="B204" i="10"/>
  <c r="B203" i="10"/>
  <c r="H200" i="10"/>
  <c r="G200" i="10"/>
  <c r="F200" i="10"/>
  <c r="E200" i="10"/>
  <c r="D200" i="10"/>
  <c r="B200" i="10"/>
  <c r="H199" i="10"/>
  <c r="G199" i="10"/>
  <c r="F199" i="10"/>
  <c r="E199" i="10"/>
  <c r="D199" i="10"/>
  <c r="B198" i="10"/>
  <c r="B197" i="10"/>
  <c r="B196" i="10"/>
  <c r="B195" i="10"/>
  <c r="B194" i="10"/>
  <c r="B193" i="10"/>
  <c r="B192" i="10"/>
  <c r="H191" i="10"/>
  <c r="G191" i="10"/>
  <c r="F191" i="10"/>
  <c r="E191" i="10"/>
  <c r="D191" i="10"/>
  <c r="H179" i="10"/>
  <c r="G179" i="10"/>
  <c r="F179" i="10"/>
  <c r="E179" i="10"/>
  <c r="D179" i="10"/>
  <c r="H176" i="10"/>
  <c r="G176" i="10"/>
  <c r="F176" i="10"/>
  <c r="E176" i="10"/>
  <c r="D176" i="10"/>
  <c r="H169" i="10"/>
  <c r="G169" i="10"/>
  <c r="F169" i="10"/>
  <c r="E169" i="10"/>
  <c r="D169" i="10"/>
  <c r="H161" i="10"/>
  <c r="G161" i="10"/>
  <c r="F161" i="10"/>
  <c r="E161" i="10"/>
  <c r="D161" i="10"/>
  <c r="B160" i="10"/>
  <c r="H156" i="10"/>
  <c r="B156" i="10"/>
  <c r="B155" i="10"/>
  <c r="G153" i="10"/>
  <c r="F153" i="10"/>
  <c r="B153" i="10"/>
  <c r="H152" i="10"/>
  <c r="G152" i="10"/>
  <c r="F152" i="10"/>
  <c r="E152" i="10"/>
  <c r="D152" i="10"/>
  <c r="B152" i="10"/>
  <c r="B151" i="10"/>
  <c r="B150" i="10"/>
  <c r="B149" i="10"/>
  <c r="B148" i="10"/>
  <c r="B147" i="10"/>
  <c r="B145" i="10"/>
  <c r="B143" i="10"/>
  <c r="H142" i="10"/>
  <c r="G142" i="10"/>
  <c r="F142" i="10"/>
  <c r="E142" i="10"/>
  <c r="D142" i="10"/>
  <c r="B142" i="10"/>
  <c r="B141" i="10"/>
  <c r="B140" i="10"/>
  <c r="B139" i="10"/>
  <c r="B138" i="10"/>
  <c r="B137" i="10"/>
  <c r="B136" i="10"/>
  <c r="B135" i="10"/>
  <c r="B134" i="10"/>
  <c r="H133" i="10"/>
  <c r="G133" i="10"/>
  <c r="F133" i="10"/>
  <c r="E133" i="10"/>
  <c r="D133" i="10"/>
  <c r="D144" i="10" s="1"/>
  <c r="B133" i="10"/>
  <c r="B132" i="10"/>
  <c r="B131" i="10"/>
  <c r="B130" i="10"/>
  <c r="B129" i="10"/>
  <c r="B128" i="10"/>
  <c r="B127" i="10"/>
  <c r="B126" i="10"/>
  <c r="B125" i="10"/>
  <c r="B124" i="10"/>
  <c r="B123" i="10"/>
  <c r="B122" i="10"/>
  <c r="B121" i="10"/>
  <c r="B120" i="10"/>
  <c r="H117" i="10"/>
  <c r="G117" i="10"/>
  <c r="F117" i="10"/>
  <c r="E117" i="10"/>
  <c r="D117" i="10"/>
  <c r="B117" i="10"/>
  <c r="B116" i="10"/>
  <c r="B115" i="10"/>
  <c r="B114" i="10"/>
  <c r="B113" i="10"/>
  <c r="B112" i="10"/>
  <c r="B111" i="10"/>
  <c r="H110" i="10"/>
  <c r="G110" i="10"/>
  <c r="F110" i="10"/>
  <c r="E110" i="10"/>
  <c r="D110" i="10"/>
  <c r="B110" i="10"/>
  <c r="B109" i="10"/>
  <c r="B108" i="10"/>
  <c r="B107" i="10"/>
  <c r="B106" i="10"/>
  <c r="B105" i="10"/>
  <c r="B104" i="10"/>
  <c r="B103" i="10"/>
  <c r="B100" i="10"/>
  <c r="B99" i="10"/>
  <c r="H98" i="10"/>
  <c r="G98" i="10"/>
  <c r="F98" i="10"/>
  <c r="E98" i="10"/>
  <c r="D98" i="10"/>
  <c r="B98" i="10"/>
  <c r="B97" i="10"/>
  <c r="B96" i="10"/>
  <c r="B95" i="10"/>
  <c r="B94" i="10"/>
  <c r="B93" i="10"/>
  <c r="B92" i="10"/>
  <c r="B91" i="10"/>
  <c r="H90" i="10"/>
  <c r="G90" i="10"/>
  <c r="F90" i="10"/>
  <c r="E90" i="10"/>
  <c r="D90" i="10"/>
  <c r="B90" i="10"/>
  <c r="B89" i="10"/>
  <c r="B88" i="10"/>
  <c r="B87" i="10"/>
  <c r="B86" i="10"/>
  <c r="B85" i="10"/>
  <c r="B84" i="10"/>
  <c r="H83" i="10"/>
  <c r="G83" i="10"/>
  <c r="F83" i="10"/>
  <c r="E83" i="10"/>
  <c r="D83" i="10"/>
  <c r="B83" i="10"/>
  <c r="B82" i="10"/>
  <c r="B81" i="10"/>
  <c r="B80" i="10"/>
  <c r="H79" i="10"/>
  <c r="H84" i="10" s="1"/>
  <c r="G79" i="10"/>
  <c r="F79" i="10"/>
  <c r="E79" i="10"/>
  <c r="D79" i="10"/>
  <c r="B79" i="10"/>
  <c r="B78" i="10"/>
  <c r="B77" i="10"/>
  <c r="B76" i="10"/>
  <c r="B75" i="10"/>
  <c r="B74" i="10"/>
  <c r="H72" i="10"/>
  <c r="G72" i="10"/>
  <c r="F72" i="10"/>
  <c r="E72" i="10"/>
  <c r="D72" i="10"/>
  <c r="B71" i="10"/>
  <c r="B70" i="10"/>
  <c r="B69" i="10"/>
  <c r="B68" i="10"/>
  <c r="B67" i="10"/>
  <c r="B66" i="10"/>
  <c r="B65" i="10"/>
  <c r="B64" i="10"/>
  <c r="B63" i="10"/>
  <c r="B62" i="10"/>
  <c r="B61" i="10"/>
  <c r="B60" i="10"/>
  <c r="B59" i="10"/>
  <c r="B58" i="10"/>
  <c r="B57" i="10"/>
  <c r="H55" i="10"/>
  <c r="G55" i="10"/>
  <c r="F55" i="10"/>
  <c r="E55" i="10"/>
  <c r="D55" i="10"/>
  <c r="B54" i="10"/>
  <c r="B53" i="10"/>
  <c r="B52" i="10"/>
  <c r="B51" i="10"/>
  <c r="B50" i="10"/>
  <c r="B49" i="10"/>
  <c r="B48" i="10"/>
  <c r="B47" i="10"/>
  <c r="B46" i="10"/>
  <c r="B45" i="10"/>
  <c r="B44" i="10"/>
  <c r="B43" i="10"/>
  <c r="B42" i="10"/>
  <c r="B41" i="10"/>
  <c r="B40" i="10"/>
  <c r="B33" i="10"/>
  <c r="B32" i="10"/>
  <c r="B29" i="10"/>
  <c r="B28" i="10"/>
  <c r="B27" i="10"/>
  <c r="H26" i="10"/>
  <c r="H34" i="10" s="1"/>
  <c r="G26" i="10"/>
  <c r="G34" i="10" s="1"/>
  <c r="F26" i="10"/>
  <c r="F34" i="10" s="1"/>
  <c r="E26" i="10"/>
  <c r="E34" i="10" s="1"/>
  <c r="D26" i="10"/>
  <c r="D34" i="10" s="1"/>
  <c r="B26" i="10"/>
  <c r="B25" i="10"/>
  <c r="B24" i="10"/>
  <c r="H23" i="10"/>
  <c r="G23" i="10"/>
  <c r="F23" i="10"/>
  <c r="E23" i="10"/>
  <c r="D23" i="10"/>
  <c r="B23" i="10"/>
  <c r="B22" i="10"/>
  <c r="B21" i="10"/>
  <c r="B20" i="10"/>
  <c r="B19" i="10"/>
  <c r="B18" i="10"/>
  <c r="B17" i="10"/>
  <c r="B16" i="10"/>
  <c r="B15" i="10"/>
  <c r="H14" i="10"/>
  <c r="H31" i="10" s="1"/>
  <c r="G14" i="10"/>
  <c r="F14" i="10"/>
  <c r="E14" i="10"/>
  <c r="D14" i="10"/>
  <c r="B14" i="10"/>
  <c r="B13" i="10"/>
  <c r="B12" i="10"/>
  <c r="B11" i="10"/>
  <c r="J83" i="41" l="1"/>
  <c r="L495" i="41"/>
  <c r="L497" i="41" s="1"/>
  <c r="L504" i="41" s="1"/>
  <c r="L51" i="41" s="1"/>
  <c r="K53" i="41"/>
  <c r="K512" i="41"/>
  <c r="K70" i="41"/>
  <c r="K57" i="41" s="1"/>
  <c r="K58" i="41" s="1"/>
  <c r="K71" i="41"/>
  <c r="L96" i="41"/>
  <c r="L98" i="41" s="1"/>
  <c r="L99" i="41" s="1"/>
  <c r="L229" i="41"/>
  <c r="K49" i="41"/>
  <c r="K52" i="41" s="1"/>
  <c r="K50" i="41"/>
  <c r="K46" i="41"/>
  <c r="K39" i="41"/>
  <c r="K130" i="41" s="1"/>
  <c r="K41" i="41"/>
  <c r="J7" i="41"/>
  <c r="J8" i="41" s="1"/>
  <c r="I7" i="41"/>
  <c r="I8" i="41" s="1"/>
  <c r="H7" i="41"/>
  <c r="H8" i="41" s="1"/>
  <c r="E7" i="41"/>
  <c r="E8" i="41" s="1"/>
  <c r="D7" i="41"/>
  <c r="D8" i="41" s="1"/>
  <c r="G7" i="41"/>
  <c r="G8" i="41" s="1"/>
  <c r="F7" i="41"/>
  <c r="F8" i="41" s="1"/>
  <c r="I7" i="40"/>
  <c r="I8" i="40" s="1"/>
  <c r="H7" i="40"/>
  <c r="H8" i="40" s="1"/>
  <c r="G7" i="40"/>
  <c r="G8" i="40" s="1"/>
  <c r="N7" i="40"/>
  <c r="N8" i="40" s="1"/>
  <c r="F7" i="40"/>
  <c r="F8" i="40" s="1"/>
  <c r="M7" i="40"/>
  <c r="M8" i="40" s="1"/>
  <c r="E7" i="40"/>
  <c r="E8" i="40" s="1"/>
  <c r="L7" i="40"/>
  <c r="L8" i="40" s="1"/>
  <c r="D7" i="40"/>
  <c r="D8" i="40" s="1"/>
  <c r="K7" i="40"/>
  <c r="K8" i="40" s="1"/>
  <c r="J7" i="40"/>
  <c r="J8" i="40" s="1"/>
  <c r="J7" i="39"/>
  <c r="J8" i="39" s="1"/>
  <c r="I7" i="39"/>
  <c r="I8" i="39" s="1"/>
  <c r="H7" i="39"/>
  <c r="H8" i="39" s="1"/>
  <c r="M7" i="39"/>
  <c r="M8" i="39" s="1"/>
  <c r="G7" i="39"/>
  <c r="G8" i="39" s="1"/>
  <c r="E7" i="39"/>
  <c r="E8" i="39" s="1"/>
  <c r="N7" i="39"/>
  <c r="N8" i="39" s="1"/>
  <c r="F7" i="39"/>
  <c r="F8" i="39" s="1"/>
  <c r="L7" i="39"/>
  <c r="L8" i="39" s="1"/>
  <c r="D7" i="39"/>
  <c r="D8" i="39" s="1"/>
  <c r="K7" i="39"/>
  <c r="K8" i="39" s="1"/>
  <c r="I7" i="38"/>
  <c r="I8" i="38" s="1"/>
  <c r="H7" i="38"/>
  <c r="H8" i="38" s="1"/>
  <c r="J7" i="38"/>
  <c r="J8" i="38" s="1"/>
  <c r="G7" i="38"/>
  <c r="G8" i="38" s="1"/>
  <c r="N7" i="38"/>
  <c r="N8" i="38" s="1"/>
  <c r="F7" i="38"/>
  <c r="F8" i="38" s="1"/>
  <c r="M7" i="38"/>
  <c r="M8" i="38" s="1"/>
  <c r="E7" i="38"/>
  <c r="E8" i="38" s="1"/>
  <c r="L7" i="38"/>
  <c r="L8" i="38" s="1"/>
  <c r="D7" i="38"/>
  <c r="D8" i="38" s="1"/>
  <c r="K7" i="38"/>
  <c r="K8" i="38" s="1"/>
  <c r="I7" i="36"/>
  <c r="I8" i="36" s="1"/>
  <c r="H7" i="36"/>
  <c r="H8" i="36" s="1"/>
  <c r="J7" i="36"/>
  <c r="J8" i="36" s="1"/>
  <c r="G7" i="36"/>
  <c r="G8" i="36" s="1"/>
  <c r="E7" i="36"/>
  <c r="E8" i="36" s="1"/>
  <c r="N7" i="36"/>
  <c r="N8" i="36" s="1"/>
  <c r="F7" i="36"/>
  <c r="F8" i="36" s="1"/>
  <c r="M7" i="36"/>
  <c r="M8" i="36" s="1"/>
  <c r="L7" i="36"/>
  <c r="L8" i="36" s="1"/>
  <c r="D7" i="36"/>
  <c r="D8" i="36" s="1"/>
  <c r="K7" i="36"/>
  <c r="K8" i="36" s="1"/>
  <c r="W10" i="15"/>
  <c r="W11" i="15" s="1"/>
  <c r="F400" i="10"/>
  <c r="D30" i="10"/>
  <c r="G31" i="10"/>
  <c r="D400" i="10"/>
  <c r="E400" i="10"/>
  <c r="F31" i="10"/>
  <c r="F84" i="10"/>
  <c r="F91" i="10" s="1"/>
  <c r="F99" i="10" s="1"/>
  <c r="F101" i="10" s="1"/>
  <c r="F144" i="10"/>
  <c r="G84" i="10"/>
  <c r="G91" i="10" s="1"/>
  <c r="G99" i="10" s="1"/>
  <c r="G101" i="10" s="1"/>
  <c r="G144" i="10"/>
  <c r="H144" i="10"/>
  <c r="D31" i="10"/>
  <c r="G400" i="10"/>
  <c r="E31" i="10"/>
  <c r="H103" i="10"/>
  <c r="H118" i="10" s="1"/>
  <c r="H91" i="10"/>
  <c r="H99" i="10" s="1"/>
  <c r="H101" i="10" s="1"/>
  <c r="E84" i="10"/>
  <c r="E103" i="10" s="1"/>
  <c r="E118" i="10" s="1"/>
  <c r="D154" i="10"/>
  <c r="D157" i="10" s="1"/>
  <c r="D159" i="10" s="1"/>
  <c r="E154" i="10"/>
  <c r="E157" i="10" s="1"/>
  <c r="E159" i="10" s="1"/>
  <c r="F154" i="10"/>
  <c r="F157" i="10" s="1"/>
  <c r="F159" i="10" s="1"/>
  <c r="G154" i="10"/>
  <c r="G157" i="10" s="1"/>
  <c r="G159" i="10" s="1"/>
  <c r="D351" i="10"/>
  <c r="H154" i="10"/>
  <c r="H157" i="10" s="1"/>
  <c r="H159" i="10" s="1"/>
  <c r="E144" i="10"/>
  <c r="E30" i="10"/>
  <c r="F30" i="10"/>
  <c r="D84" i="10"/>
  <c r="D103" i="10" s="1"/>
  <c r="D118" i="10" s="1"/>
  <c r="E39" i="14"/>
  <c r="E368" i="10"/>
  <c r="F364" i="10"/>
  <c r="F344" i="10"/>
  <c r="E351" i="10"/>
  <c r="D91" i="10"/>
  <c r="D99" i="10" s="1"/>
  <c r="D101" i="10" s="1"/>
  <c r="E91" i="10"/>
  <c r="E99" i="10" s="1"/>
  <c r="E101" i="10" s="1"/>
  <c r="G30" i="10"/>
  <c r="D368" i="10"/>
  <c r="H30" i="10"/>
  <c r="L108" i="41" l="1"/>
  <c r="L110" i="41" s="1"/>
  <c r="L111" i="41" s="1"/>
  <c r="L507" i="41"/>
  <c r="L233" i="41"/>
  <c r="L35" i="41" s="1"/>
  <c r="L48" i="41"/>
  <c r="L129" i="41"/>
  <c r="K42" i="41"/>
  <c r="K45" i="41"/>
  <c r="K78" i="41"/>
  <c r="K81" i="41" s="1"/>
  <c r="K82" i="41" s="1"/>
  <c r="K64" i="41"/>
  <c r="K65" i="41" s="1"/>
  <c r="K66" i="41" s="1"/>
  <c r="K85" i="41"/>
  <c r="K234" i="41"/>
  <c r="K60" i="41"/>
  <c r="K61" i="41"/>
  <c r="G103" i="10"/>
  <c r="G118" i="10" s="1"/>
  <c r="F103" i="10"/>
  <c r="F118" i="10" s="1"/>
  <c r="X8" i="15"/>
  <c r="X9" i="15" s="1"/>
  <c r="F36" i="14"/>
  <c r="F37" i="14" s="1"/>
  <c r="E40" i="14"/>
  <c r="F351" i="10"/>
  <c r="G344" i="10"/>
  <c r="F368" i="10"/>
  <c r="G364" i="10"/>
  <c r="E333" i="10"/>
  <c r="Q53" i="9"/>
  <c r="J53" i="9"/>
  <c r="C53" i="9"/>
  <c r="D59" i="9"/>
  <c r="E59" i="9" s="1"/>
  <c r="D58" i="9"/>
  <c r="E58" i="9" s="1"/>
  <c r="D57" i="9"/>
  <c r="E57" i="9" s="1"/>
  <c r="D56" i="9"/>
  <c r="E56" i="9" s="1"/>
  <c r="M495" i="41" l="1"/>
  <c r="M497" i="41" s="1"/>
  <c r="M504" i="41" s="1"/>
  <c r="M51" i="41" s="1"/>
  <c r="K7" i="41"/>
  <c r="K8" i="41" s="1"/>
  <c r="K83" i="41"/>
  <c r="L53" i="41"/>
  <c r="L512" i="41"/>
  <c r="L49" i="41"/>
  <c r="L52" i="41" s="1"/>
  <c r="L50" i="41"/>
  <c r="M96" i="41"/>
  <c r="M98" i="41" s="1"/>
  <c r="M99" i="41" s="1"/>
  <c r="M229" i="41"/>
  <c r="L46" i="41"/>
  <c r="L39" i="41"/>
  <c r="L130" i="41" s="1"/>
  <c r="L41" i="41"/>
  <c r="L70" i="41"/>
  <c r="L57" i="41" s="1"/>
  <c r="L58" i="41" s="1"/>
  <c r="L71" i="41"/>
  <c r="X10" i="15"/>
  <c r="X11" i="15" s="1"/>
  <c r="F39" i="14"/>
  <c r="G351" i="10"/>
  <c r="H344" i="10"/>
  <c r="F333" i="10"/>
  <c r="G368" i="10"/>
  <c r="H364" i="10"/>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L42" i="41" l="1"/>
  <c r="L45" i="41"/>
  <c r="M233" i="41"/>
  <c r="M35" i="41" s="1"/>
  <c r="M48" i="41"/>
  <c r="M108" i="41"/>
  <c r="M110" i="41" s="1"/>
  <c r="M111" i="41" s="1"/>
  <c r="M507" i="41"/>
  <c r="M129" i="41"/>
  <c r="L78" i="41"/>
  <c r="L81" i="41" s="1"/>
  <c r="L82" i="41" s="1"/>
  <c r="L64" i="41"/>
  <c r="L65" i="41" s="1"/>
  <c r="L66" i="41" s="1"/>
  <c r="L85" i="41"/>
  <c r="L234" i="41"/>
  <c r="L60" i="41"/>
  <c r="L61" i="41"/>
  <c r="Y8" i="15"/>
  <c r="Y9" i="15" s="1"/>
  <c r="F40" i="14"/>
  <c r="G36" i="14"/>
  <c r="G37" i="14" s="1"/>
  <c r="H351" i="10"/>
  <c r="H368" i="10"/>
  <c r="G333" i="10"/>
  <c r="U13" i="2"/>
  <c r="U12" i="2"/>
  <c r="L7" i="41" l="1"/>
  <c r="L8" i="41" s="1"/>
  <c r="L83" i="41"/>
  <c r="N495" i="41"/>
  <c r="N497" i="41" s="1"/>
  <c r="N504" i="41" s="1"/>
  <c r="N51" i="41" s="1"/>
  <c r="M53" i="41"/>
  <c r="M512" i="41"/>
  <c r="N96" i="41"/>
  <c r="N229" i="41"/>
  <c r="M49" i="41"/>
  <c r="M52" i="41" s="1"/>
  <c r="M50" i="41"/>
  <c r="M46" i="41"/>
  <c r="M41" i="41"/>
  <c r="M39" i="41"/>
  <c r="M130" i="41" s="1"/>
  <c r="M70" i="41"/>
  <c r="M57" i="41" s="1"/>
  <c r="M58" i="41" s="1"/>
  <c r="M71" i="41"/>
  <c r="Y10" i="15"/>
  <c r="Y11" i="15" s="1"/>
  <c r="G39" i="14"/>
  <c r="H333" i="10"/>
  <c r="T8" i="2"/>
  <c r="U8" i="2"/>
  <c r="V8" i="2"/>
  <c r="W8" i="2"/>
  <c r="X8" i="2"/>
  <c r="S8" i="2"/>
  <c r="C15" i="2"/>
  <c r="D15" i="2"/>
  <c r="E15" i="2"/>
  <c r="F15" i="2"/>
  <c r="G15" i="2"/>
  <c r="H15" i="2"/>
  <c r="I15" i="2"/>
  <c r="J15" i="2"/>
  <c r="K15" i="2"/>
  <c r="L15" i="2"/>
  <c r="M15" i="2"/>
  <c r="N15" i="2"/>
  <c r="O15" i="2"/>
  <c r="P15" i="2"/>
  <c r="Q15" i="2"/>
  <c r="R15" i="2"/>
  <c r="C16" i="2"/>
  <c r="D16" i="2"/>
  <c r="E16" i="2"/>
  <c r="F16" i="2"/>
  <c r="G16" i="2"/>
  <c r="H16" i="2"/>
  <c r="I16" i="2"/>
  <c r="J16" i="2"/>
  <c r="K16" i="2"/>
  <c r="L16" i="2"/>
  <c r="M16" i="2"/>
  <c r="N16" i="2"/>
  <c r="O16" i="2"/>
  <c r="P16" i="2"/>
  <c r="Q16" i="2"/>
  <c r="R16" i="2"/>
  <c r="C17" i="2"/>
  <c r="D17" i="2"/>
  <c r="E17" i="2"/>
  <c r="F17" i="2"/>
  <c r="G17" i="2"/>
  <c r="H17" i="2"/>
  <c r="I17" i="2"/>
  <c r="J17" i="2"/>
  <c r="K17" i="2"/>
  <c r="L17" i="2"/>
  <c r="M17" i="2"/>
  <c r="N17" i="2"/>
  <c r="O17" i="2"/>
  <c r="P17" i="2"/>
  <c r="Q17" i="2"/>
  <c r="R17" i="2"/>
  <c r="C18" i="2"/>
  <c r="D18" i="2"/>
  <c r="E18" i="2"/>
  <c r="F18" i="2"/>
  <c r="G18" i="2"/>
  <c r="H18" i="2"/>
  <c r="I18" i="2"/>
  <c r="J18" i="2"/>
  <c r="K18" i="2"/>
  <c r="L18" i="2"/>
  <c r="M18" i="2"/>
  <c r="N18" i="2"/>
  <c r="O18" i="2"/>
  <c r="P18" i="2"/>
  <c r="Q18" i="2"/>
  <c r="R18" i="2"/>
  <c r="C19" i="2"/>
  <c r="D19" i="2"/>
  <c r="E19" i="2"/>
  <c r="F19" i="2"/>
  <c r="G19" i="2"/>
  <c r="H19" i="2"/>
  <c r="I19" i="2"/>
  <c r="J19" i="2"/>
  <c r="K19" i="2"/>
  <c r="L19" i="2"/>
  <c r="M19" i="2"/>
  <c r="N19" i="2"/>
  <c r="O19" i="2"/>
  <c r="P19" i="2"/>
  <c r="Q19" i="2"/>
  <c r="R19" i="2"/>
  <c r="C20" i="2"/>
  <c r="D20" i="2"/>
  <c r="E20" i="2"/>
  <c r="F20" i="2"/>
  <c r="G20" i="2"/>
  <c r="H20" i="2"/>
  <c r="I20" i="2"/>
  <c r="J20" i="2"/>
  <c r="K20" i="2"/>
  <c r="L20" i="2"/>
  <c r="M20" i="2"/>
  <c r="N20" i="2"/>
  <c r="O20" i="2"/>
  <c r="P20" i="2"/>
  <c r="Q20" i="2"/>
  <c r="R20" i="2"/>
  <c r="C21" i="2"/>
  <c r="D21" i="2"/>
  <c r="E21" i="2"/>
  <c r="F21" i="2"/>
  <c r="G21" i="2"/>
  <c r="H21" i="2"/>
  <c r="I21" i="2"/>
  <c r="J21" i="2"/>
  <c r="K21" i="2"/>
  <c r="L21" i="2"/>
  <c r="M21" i="2"/>
  <c r="N21" i="2"/>
  <c r="O21" i="2"/>
  <c r="P21" i="2"/>
  <c r="Q21" i="2"/>
  <c r="R21" i="2"/>
  <c r="C22" i="2"/>
  <c r="D22" i="2"/>
  <c r="E22" i="2"/>
  <c r="F22" i="2"/>
  <c r="G22" i="2"/>
  <c r="H22" i="2"/>
  <c r="I22" i="2"/>
  <c r="J22" i="2"/>
  <c r="K22" i="2"/>
  <c r="L22" i="2"/>
  <c r="M22" i="2"/>
  <c r="N22" i="2"/>
  <c r="O22" i="2"/>
  <c r="P22" i="2"/>
  <c r="Q22" i="2"/>
  <c r="R22" i="2"/>
  <c r="C23" i="2"/>
  <c r="D23" i="2"/>
  <c r="E23" i="2"/>
  <c r="F23" i="2"/>
  <c r="G23" i="2"/>
  <c r="H23" i="2"/>
  <c r="I23" i="2"/>
  <c r="J23" i="2"/>
  <c r="K23" i="2"/>
  <c r="L23" i="2"/>
  <c r="M23" i="2"/>
  <c r="N23" i="2"/>
  <c r="O23" i="2"/>
  <c r="P23" i="2"/>
  <c r="Q23" i="2"/>
  <c r="R23" i="2"/>
  <c r="C24" i="2"/>
  <c r="D24" i="2"/>
  <c r="E24" i="2"/>
  <c r="F24" i="2"/>
  <c r="G24" i="2"/>
  <c r="H24" i="2"/>
  <c r="I24" i="2"/>
  <c r="J24" i="2"/>
  <c r="K24" i="2"/>
  <c r="L24" i="2"/>
  <c r="M24" i="2"/>
  <c r="N24" i="2"/>
  <c r="O24" i="2"/>
  <c r="P24" i="2"/>
  <c r="Q24" i="2"/>
  <c r="R24" i="2"/>
  <c r="C25" i="2"/>
  <c r="D25" i="2"/>
  <c r="E25" i="2"/>
  <c r="F25" i="2"/>
  <c r="G25" i="2"/>
  <c r="H25" i="2"/>
  <c r="I25" i="2"/>
  <c r="J25" i="2"/>
  <c r="K25" i="2"/>
  <c r="L25" i="2"/>
  <c r="M25" i="2"/>
  <c r="N25" i="2"/>
  <c r="O25" i="2"/>
  <c r="P25" i="2"/>
  <c r="Q25" i="2"/>
  <c r="R25" i="2"/>
  <c r="C26" i="2"/>
  <c r="D26" i="2"/>
  <c r="E26" i="2"/>
  <c r="F26" i="2"/>
  <c r="G26" i="2"/>
  <c r="H26" i="2"/>
  <c r="I26" i="2"/>
  <c r="J26" i="2"/>
  <c r="K26" i="2"/>
  <c r="L26" i="2"/>
  <c r="M26" i="2"/>
  <c r="N26" i="2"/>
  <c r="O26" i="2"/>
  <c r="P26" i="2"/>
  <c r="Q26" i="2"/>
  <c r="R26" i="2"/>
  <c r="C27" i="2"/>
  <c r="D27" i="2"/>
  <c r="E27" i="2"/>
  <c r="F27" i="2"/>
  <c r="G27" i="2"/>
  <c r="H27" i="2"/>
  <c r="I27" i="2"/>
  <c r="J27" i="2"/>
  <c r="K27" i="2"/>
  <c r="L27" i="2"/>
  <c r="M27" i="2"/>
  <c r="N27" i="2"/>
  <c r="O27" i="2"/>
  <c r="P27" i="2"/>
  <c r="Q27" i="2"/>
  <c r="R27" i="2"/>
  <c r="C28" i="2"/>
  <c r="D28" i="2"/>
  <c r="E28" i="2"/>
  <c r="F28" i="2"/>
  <c r="G28" i="2"/>
  <c r="H28" i="2"/>
  <c r="I28" i="2"/>
  <c r="J28" i="2"/>
  <c r="K28" i="2"/>
  <c r="L28" i="2"/>
  <c r="M28" i="2"/>
  <c r="N28" i="2"/>
  <c r="O28" i="2"/>
  <c r="P28" i="2"/>
  <c r="Q28" i="2"/>
  <c r="R28" i="2"/>
  <c r="C29" i="2"/>
  <c r="D29" i="2"/>
  <c r="E29" i="2"/>
  <c r="F29" i="2"/>
  <c r="G29" i="2"/>
  <c r="H29" i="2"/>
  <c r="I29" i="2"/>
  <c r="J29" i="2"/>
  <c r="K29" i="2"/>
  <c r="L29" i="2"/>
  <c r="M29" i="2"/>
  <c r="N29" i="2"/>
  <c r="O29" i="2"/>
  <c r="P29" i="2"/>
  <c r="Q29" i="2"/>
  <c r="R29" i="2"/>
  <c r="C30" i="2"/>
  <c r="D30" i="2"/>
  <c r="E30" i="2"/>
  <c r="F30" i="2"/>
  <c r="G30" i="2"/>
  <c r="H30" i="2"/>
  <c r="I30" i="2"/>
  <c r="J30" i="2"/>
  <c r="K30" i="2"/>
  <c r="L30" i="2"/>
  <c r="M30" i="2"/>
  <c r="N30" i="2"/>
  <c r="O30" i="2"/>
  <c r="P30" i="2"/>
  <c r="Q30" i="2"/>
  <c r="R30" i="2"/>
  <c r="C31" i="2"/>
  <c r="D31" i="2"/>
  <c r="E31" i="2"/>
  <c r="F31" i="2"/>
  <c r="G31" i="2"/>
  <c r="H31" i="2"/>
  <c r="I31" i="2"/>
  <c r="J31" i="2"/>
  <c r="K31" i="2"/>
  <c r="L31" i="2"/>
  <c r="M31" i="2"/>
  <c r="N31" i="2"/>
  <c r="O31" i="2"/>
  <c r="P31" i="2"/>
  <c r="Q31" i="2"/>
  <c r="R31" i="2"/>
  <c r="C32" i="2"/>
  <c r="D32" i="2"/>
  <c r="E32" i="2"/>
  <c r="F32" i="2"/>
  <c r="G32" i="2"/>
  <c r="H32" i="2"/>
  <c r="I32" i="2"/>
  <c r="J32" i="2"/>
  <c r="K32" i="2"/>
  <c r="L32" i="2"/>
  <c r="M32" i="2"/>
  <c r="N32" i="2"/>
  <c r="O32" i="2"/>
  <c r="P32" i="2"/>
  <c r="Q32" i="2"/>
  <c r="R32" i="2"/>
  <c r="C33" i="2"/>
  <c r="D33" i="2"/>
  <c r="E33" i="2"/>
  <c r="F33" i="2"/>
  <c r="G33" i="2"/>
  <c r="H33" i="2"/>
  <c r="I33" i="2"/>
  <c r="J33" i="2"/>
  <c r="K33" i="2"/>
  <c r="L33" i="2"/>
  <c r="M33" i="2"/>
  <c r="N33" i="2"/>
  <c r="O33" i="2"/>
  <c r="P33" i="2"/>
  <c r="Q33" i="2"/>
  <c r="R33" i="2"/>
  <c r="C34" i="2"/>
  <c r="D34" i="2"/>
  <c r="E34" i="2"/>
  <c r="F34" i="2"/>
  <c r="G34" i="2"/>
  <c r="H34" i="2"/>
  <c r="I34" i="2"/>
  <c r="J34" i="2"/>
  <c r="K34" i="2"/>
  <c r="L34" i="2"/>
  <c r="M34" i="2"/>
  <c r="N34" i="2"/>
  <c r="O34" i="2"/>
  <c r="P34" i="2"/>
  <c r="Q34" i="2"/>
  <c r="R34" i="2"/>
  <c r="C35" i="2"/>
  <c r="D35" i="2"/>
  <c r="E35" i="2"/>
  <c r="F35" i="2"/>
  <c r="G35" i="2"/>
  <c r="H35" i="2"/>
  <c r="I35" i="2"/>
  <c r="J35" i="2"/>
  <c r="K35" i="2"/>
  <c r="L35" i="2"/>
  <c r="M35" i="2"/>
  <c r="N35" i="2"/>
  <c r="O35" i="2"/>
  <c r="P35" i="2"/>
  <c r="Q35" i="2"/>
  <c r="R35" i="2"/>
  <c r="C36" i="2"/>
  <c r="D36" i="2"/>
  <c r="E36" i="2"/>
  <c r="F36" i="2"/>
  <c r="G36" i="2"/>
  <c r="H36" i="2"/>
  <c r="I36" i="2"/>
  <c r="J36" i="2"/>
  <c r="K36" i="2"/>
  <c r="L36" i="2"/>
  <c r="M36" i="2"/>
  <c r="N36" i="2"/>
  <c r="O36" i="2"/>
  <c r="P36" i="2"/>
  <c r="Q36" i="2"/>
  <c r="R36" i="2"/>
  <c r="C37" i="2"/>
  <c r="D37" i="2"/>
  <c r="E37" i="2"/>
  <c r="F37" i="2"/>
  <c r="G37" i="2"/>
  <c r="H37" i="2"/>
  <c r="I37" i="2"/>
  <c r="J37" i="2"/>
  <c r="K37" i="2"/>
  <c r="L37" i="2"/>
  <c r="M37" i="2"/>
  <c r="N37" i="2"/>
  <c r="O37" i="2"/>
  <c r="P37" i="2"/>
  <c r="Q37" i="2"/>
  <c r="R37" i="2"/>
  <c r="C38" i="2"/>
  <c r="D38" i="2"/>
  <c r="E38" i="2"/>
  <c r="F38" i="2"/>
  <c r="G38" i="2"/>
  <c r="H38" i="2"/>
  <c r="I38" i="2"/>
  <c r="J38" i="2"/>
  <c r="K38" i="2"/>
  <c r="L38" i="2"/>
  <c r="M38" i="2"/>
  <c r="N38" i="2"/>
  <c r="O38" i="2"/>
  <c r="P38" i="2"/>
  <c r="Q38" i="2"/>
  <c r="R38" i="2"/>
  <c r="C39" i="2"/>
  <c r="D39" i="2"/>
  <c r="E39" i="2"/>
  <c r="F39" i="2"/>
  <c r="G39" i="2"/>
  <c r="H39" i="2"/>
  <c r="I39" i="2"/>
  <c r="J39" i="2"/>
  <c r="K39" i="2"/>
  <c r="L39" i="2"/>
  <c r="M39" i="2"/>
  <c r="N39" i="2"/>
  <c r="O39" i="2"/>
  <c r="P39" i="2"/>
  <c r="Q39" i="2"/>
  <c r="R39" i="2"/>
  <c r="C40" i="2"/>
  <c r="D40" i="2"/>
  <c r="E40" i="2"/>
  <c r="F40" i="2"/>
  <c r="G40" i="2"/>
  <c r="H40" i="2"/>
  <c r="I40" i="2"/>
  <c r="J40" i="2"/>
  <c r="K40" i="2"/>
  <c r="L40" i="2"/>
  <c r="M40" i="2"/>
  <c r="N40" i="2"/>
  <c r="O40" i="2"/>
  <c r="P40" i="2"/>
  <c r="Q40" i="2"/>
  <c r="R40" i="2"/>
  <c r="C41" i="2"/>
  <c r="D41" i="2"/>
  <c r="E41" i="2"/>
  <c r="F41" i="2"/>
  <c r="G41" i="2"/>
  <c r="H41" i="2"/>
  <c r="I41" i="2"/>
  <c r="J41" i="2"/>
  <c r="K41" i="2"/>
  <c r="L41" i="2"/>
  <c r="M41" i="2"/>
  <c r="N41" i="2"/>
  <c r="O41" i="2"/>
  <c r="P41" i="2"/>
  <c r="Q41" i="2"/>
  <c r="R41" i="2"/>
  <c r="C42" i="2"/>
  <c r="D42" i="2"/>
  <c r="E42" i="2"/>
  <c r="F42" i="2"/>
  <c r="G42" i="2"/>
  <c r="H42" i="2"/>
  <c r="I42" i="2"/>
  <c r="J42" i="2"/>
  <c r="K42" i="2"/>
  <c r="L42" i="2"/>
  <c r="M42" i="2"/>
  <c r="N42" i="2"/>
  <c r="O42" i="2"/>
  <c r="P42" i="2"/>
  <c r="Q42" i="2"/>
  <c r="R42" i="2"/>
  <c r="C43" i="2"/>
  <c r="D43" i="2"/>
  <c r="E43" i="2"/>
  <c r="F43" i="2"/>
  <c r="G43" i="2"/>
  <c r="H43" i="2"/>
  <c r="I43" i="2"/>
  <c r="J43" i="2"/>
  <c r="K43" i="2"/>
  <c r="L43" i="2"/>
  <c r="M43" i="2"/>
  <c r="N43" i="2"/>
  <c r="O43" i="2"/>
  <c r="P43" i="2"/>
  <c r="Q43" i="2"/>
  <c r="R43" i="2"/>
  <c r="C44" i="2"/>
  <c r="D44" i="2"/>
  <c r="E44" i="2"/>
  <c r="F44" i="2"/>
  <c r="G44" i="2"/>
  <c r="H44" i="2"/>
  <c r="I44" i="2"/>
  <c r="J44" i="2"/>
  <c r="K44" i="2"/>
  <c r="L44" i="2"/>
  <c r="M44" i="2"/>
  <c r="N44" i="2"/>
  <c r="O44" i="2"/>
  <c r="P44" i="2"/>
  <c r="Q44" i="2"/>
  <c r="R44" i="2"/>
  <c r="C45" i="2"/>
  <c r="D45" i="2"/>
  <c r="E45" i="2"/>
  <c r="F45" i="2"/>
  <c r="G45" i="2"/>
  <c r="H45" i="2"/>
  <c r="I45" i="2"/>
  <c r="J45" i="2"/>
  <c r="K45" i="2"/>
  <c r="L45" i="2"/>
  <c r="M45" i="2"/>
  <c r="N45" i="2"/>
  <c r="O45" i="2"/>
  <c r="P45" i="2"/>
  <c r="Q45" i="2"/>
  <c r="R45" i="2"/>
  <c r="C46" i="2"/>
  <c r="D46" i="2"/>
  <c r="E46" i="2"/>
  <c r="F46" i="2"/>
  <c r="G46" i="2"/>
  <c r="H46" i="2"/>
  <c r="I46" i="2"/>
  <c r="J46" i="2"/>
  <c r="K46" i="2"/>
  <c r="L46" i="2"/>
  <c r="M46" i="2"/>
  <c r="N46" i="2"/>
  <c r="O46" i="2"/>
  <c r="P46" i="2"/>
  <c r="Q46" i="2"/>
  <c r="R46" i="2"/>
  <c r="C47" i="2"/>
  <c r="D47" i="2"/>
  <c r="E47" i="2"/>
  <c r="F47" i="2"/>
  <c r="G47" i="2"/>
  <c r="H47" i="2"/>
  <c r="I47" i="2"/>
  <c r="J47" i="2"/>
  <c r="K47" i="2"/>
  <c r="L47" i="2"/>
  <c r="M47" i="2"/>
  <c r="N47" i="2"/>
  <c r="O47" i="2"/>
  <c r="P47" i="2"/>
  <c r="Q47" i="2"/>
  <c r="R47" i="2"/>
  <c r="C48" i="2"/>
  <c r="D48" i="2"/>
  <c r="E48" i="2"/>
  <c r="F48" i="2"/>
  <c r="G48" i="2"/>
  <c r="H48" i="2"/>
  <c r="I48" i="2"/>
  <c r="J48" i="2"/>
  <c r="K48" i="2"/>
  <c r="L48" i="2"/>
  <c r="M48" i="2"/>
  <c r="N48" i="2"/>
  <c r="O48" i="2"/>
  <c r="P48" i="2"/>
  <c r="Q48" i="2"/>
  <c r="R48" i="2"/>
  <c r="C49" i="2"/>
  <c r="D49" i="2"/>
  <c r="E49" i="2"/>
  <c r="F49" i="2"/>
  <c r="G49" i="2"/>
  <c r="H49" i="2"/>
  <c r="I49" i="2"/>
  <c r="J49" i="2"/>
  <c r="K49" i="2"/>
  <c r="L49" i="2"/>
  <c r="M49" i="2"/>
  <c r="N49" i="2"/>
  <c r="O49" i="2"/>
  <c r="P49" i="2"/>
  <c r="Q49" i="2"/>
  <c r="R49" i="2"/>
  <c r="C50" i="2"/>
  <c r="D50" i="2"/>
  <c r="E50" i="2"/>
  <c r="F50" i="2"/>
  <c r="G50" i="2"/>
  <c r="H50" i="2"/>
  <c r="I50" i="2"/>
  <c r="J50" i="2"/>
  <c r="K50" i="2"/>
  <c r="L50" i="2"/>
  <c r="M50" i="2"/>
  <c r="N50" i="2"/>
  <c r="O50" i="2"/>
  <c r="P50" i="2"/>
  <c r="Q50" i="2"/>
  <c r="R50" i="2"/>
  <c r="C51" i="2"/>
  <c r="D51" i="2"/>
  <c r="E51" i="2"/>
  <c r="F51" i="2"/>
  <c r="G51" i="2"/>
  <c r="H51" i="2"/>
  <c r="I51" i="2"/>
  <c r="J51" i="2"/>
  <c r="K51" i="2"/>
  <c r="L51" i="2"/>
  <c r="M51" i="2"/>
  <c r="N51" i="2"/>
  <c r="O51" i="2"/>
  <c r="P51" i="2"/>
  <c r="Q51" i="2"/>
  <c r="R51" i="2"/>
  <c r="C52" i="2"/>
  <c r="D52" i="2"/>
  <c r="E52" i="2"/>
  <c r="F52" i="2"/>
  <c r="G52" i="2"/>
  <c r="H52" i="2"/>
  <c r="I52" i="2"/>
  <c r="J52" i="2"/>
  <c r="K52" i="2"/>
  <c r="L52" i="2"/>
  <c r="M52" i="2"/>
  <c r="N52" i="2"/>
  <c r="O52" i="2"/>
  <c r="P52" i="2"/>
  <c r="Q52" i="2"/>
  <c r="R52" i="2"/>
  <c r="C53" i="2"/>
  <c r="D53" i="2"/>
  <c r="E53" i="2"/>
  <c r="F53" i="2"/>
  <c r="G53" i="2"/>
  <c r="H53" i="2"/>
  <c r="I53" i="2"/>
  <c r="J53" i="2"/>
  <c r="K53" i="2"/>
  <c r="L53" i="2"/>
  <c r="M53" i="2"/>
  <c r="N53" i="2"/>
  <c r="O53" i="2"/>
  <c r="P53" i="2"/>
  <c r="Q53" i="2"/>
  <c r="R53" i="2"/>
  <c r="C54" i="2"/>
  <c r="D54" i="2"/>
  <c r="E54" i="2"/>
  <c r="F54" i="2"/>
  <c r="G54" i="2"/>
  <c r="H54" i="2"/>
  <c r="I54" i="2"/>
  <c r="J54" i="2"/>
  <c r="K54" i="2"/>
  <c r="L54" i="2"/>
  <c r="M54" i="2"/>
  <c r="N54" i="2"/>
  <c r="O54" i="2"/>
  <c r="P54" i="2"/>
  <c r="Q54" i="2"/>
  <c r="R54" i="2"/>
  <c r="C55" i="2"/>
  <c r="D55" i="2"/>
  <c r="E55" i="2"/>
  <c r="F55" i="2"/>
  <c r="G55" i="2"/>
  <c r="H55" i="2"/>
  <c r="I55" i="2"/>
  <c r="J55" i="2"/>
  <c r="K55" i="2"/>
  <c r="L55" i="2"/>
  <c r="M55" i="2"/>
  <c r="N55" i="2"/>
  <c r="O55" i="2"/>
  <c r="P55" i="2"/>
  <c r="Q55" i="2"/>
  <c r="R55" i="2"/>
  <c r="C56" i="2"/>
  <c r="D56" i="2"/>
  <c r="E56" i="2"/>
  <c r="F56" i="2"/>
  <c r="G56" i="2"/>
  <c r="H56" i="2"/>
  <c r="I56" i="2"/>
  <c r="J56" i="2"/>
  <c r="K56" i="2"/>
  <c r="L56" i="2"/>
  <c r="M56" i="2"/>
  <c r="N56" i="2"/>
  <c r="O56" i="2"/>
  <c r="P56" i="2"/>
  <c r="Q56" i="2"/>
  <c r="R56" i="2"/>
  <c r="C57" i="2"/>
  <c r="D57" i="2"/>
  <c r="E57" i="2"/>
  <c r="F57" i="2"/>
  <c r="G57" i="2"/>
  <c r="H57" i="2"/>
  <c r="I57" i="2"/>
  <c r="J57" i="2"/>
  <c r="K57" i="2"/>
  <c r="L57" i="2"/>
  <c r="M57" i="2"/>
  <c r="N57" i="2"/>
  <c r="O57" i="2"/>
  <c r="P57" i="2"/>
  <c r="Q57" i="2"/>
  <c r="R57" i="2"/>
  <c r="C58" i="2"/>
  <c r="D58" i="2"/>
  <c r="E58" i="2"/>
  <c r="F58" i="2"/>
  <c r="G58" i="2"/>
  <c r="H58" i="2"/>
  <c r="I58" i="2"/>
  <c r="J58" i="2"/>
  <c r="K58" i="2"/>
  <c r="L58" i="2"/>
  <c r="M58" i="2"/>
  <c r="N58" i="2"/>
  <c r="O58" i="2"/>
  <c r="P58" i="2"/>
  <c r="Q58" i="2"/>
  <c r="R58" i="2"/>
  <c r="C59" i="2"/>
  <c r="D59" i="2"/>
  <c r="E59" i="2"/>
  <c r="F59" i="2"/>
  <c r="G59" i="2"/>
  <c r="H59" i="2"/>
  <c r="I59" i="2"/>
  <c r="J59" i="2"/>
  <c r="K59" i="2"/>
  <c r="L59" i="2"/>
  <c r="M59" i="2"/>
  <c r="N59" i="2"/>
  <c r="O59" i="2"/>
  <c r="P59" i="2"/>
  <c r="Q59" i="2"/>
  <c r="R59" i="2"/>
  <c r="C60" i="2"/>
  <c r="D60" i="2"/>
  <c r="E60" i="2"/>
  <c r="F60" i="2"/>
  <c r="G60" i="2"/>
  <c r="H60" i="2"/>
  <c r="I60" i="2"/>
  <c r="J60" i="2"/>
  <c r="K60" i="2"/>
  <c r="L60" i="2"/>
  <c r="M60" i="2"/>
  <c r="N60" i="2"/>
  <c r="O60" i="2"/>
  <c r="P60" i="2"/>
  <c r="Q60" i="2"/>
  <c r="R60" i="2"/>
  <c r="C61" i="2"/>
  <c r="D61" i="2"/>
  <c r="E61" i="2"/>
  <c r="F61" i="2"/>
  <c r="G61" i="2"/>
  <c r="H61" i="2"/>
  <c r="I61" i="2"/>
  <c r="J61" i="2"/>
  <c r="K61" i="2"/>
  <c r="L61" i="2"/>
  <c r="M61" i="2"/>
  <c r="N61" i="2"/>
  <c r="O61" i="2"/>
  <c r="P61" i="2"/>
  <c r="Q61" i="2"/>
  <c r="R61" i="2"/>
  <c r="C62" i="2"/>
  <c r="D62" i="2"/>
  <c r="E62" i="2"/>
  <c r="F62" i="2"/>
  <c r="G62" i="2"/>
  <c r="H62" i="2"/>
  <c r="I62" i="2"/>
  <c r="J62" i="2"/>
  <c r="K62" i="2"/>
  <c r="L62" i="2"/>
  <c r="M62" i="2"/>
  <c r="N62" i="2"/>
  <c r="O62" i="2"/>
  <c r="P62" i="2"/>
  <c r="Q62" i="2"/>
  <c r="R62" i="2"/>
  <c r="C63" i="2"/>
  <c r="D63" i="2"/>
  <c r="E63" i="2"/>
  <c r="F63" i="2"/>
  <c r="G63" i="2"/>
  <c r="H63" i="2"/>
  <c r="I63" i="2"/>
  <c r="J63" i="2"/>
  <c r="K63" i="2"/>
  <c r="L63" i="2"/>
  <c r="M63" i="2"/>
  <c r="N63" i="2"/>
  <c r="O63" i="2"/>
  <c r="P63" i="2"/>
  <c r="Q63" i="2"/>
  <c r="R63" i="2"/>
  <c r="C64" i="2"/>
  <c r="D64" i="2"/>
  <c r="E64" i="2"/>
  <c r="F64" i="2"/>
  <c r="G64" i="2"/>
  <c r="H64" i="2"/>
  <c r="I64" i="2"/>
  <c r="J64" i="2"/>
  <c r="K64" i="2"/>
  <c r="L64" i="2"/>
  <c r="M64" i="2"/>
  <c r="N64" i="2"/>
  <c r="O64" i="2"/>
  <c r="P64" i="2"/>
  <c r="Q64" i="2"/>
  <c r="R64" i="2"/>
  <c r="C65" i="2"/>
  <c r="D65" i="2"/>
  <c r="E65" i="2"/>
  <c r="F65" i="2"/>
  <c r="G65" i="2"/>
  <c r="H65" i="2"/>
  <c r="I65" i="2"/>
  <c r="J65" i="2"/>
  <c r="K65" i="2"/>
  <c r="L65" i="2"/>
  <c r="M65" i="2"/>
  <c r="N65" i="2"/>
  <c r="O65" i="2"/>
  <c r="P65" i="2"/>
  <c r="Q65" i="2"/>
  <c r="R65" i="2"/>
  <c r="C66" i="2"/>
  <c r="D66" i="2"/>
  <c r="E66" i="2"/>
  <c r="F66" i="2"/>
  <c r="G66" i="2"/>
  <c r="H66" i="2"/>
  <c r="I66" i="2"/>
  <c r="J66" i="2"/>
  <c r="K66" i="2"/>
  <c r="L66" i="2"/>
  <c r="M66" i="2"/>
  <c r="N66" i="2"/>
  <c r="O66" i="2"/>
  <c r="P66" i="2"/>
  <c r="Q66" i="2"/>
  <c r="R66" i="2"/>
  <c r="C67" i="2"/>
  <c r="D67" i="2"/>
  <c r="E67" i="2"/>
  <c r="F67" i="2"/>
  <c r="G67" i="2"/>
  <c r="H67" i="2"/>
  <c r="I67" i="2"/>
  <c r="J67" i="2"/>
  <c r="K67" i="2"/>
  <c r="L67" i="2"/>
  <c r="M67" i="2"/>
  <c r="N67" i="2"/>
  <c r="O67" i="2"/>
  <c r="P67" i="2"/>
  <c r="Q67" i="2"/>
  <c r="R67" i="2"/>
  <c r="C68" i="2"/>
  <c r="D68" i="2"/>
  <c r="E68" i="2"/>
  <c r="F68" i="2"/>
  <c r="G68" i="2"/>
  <c r="H68" i="2"/>
  <c r="I68" i="2"/>
  <c r="J68" i="2"/>
  <c r="K68" i="2"/>
  <c r="L68" i="2"/>
  <c r="M68" i="2"/>
  <c r="N68" i="2"/>
  <c r="O68" i="2"/>
  <c r="P68" i="2"/>
  <c r="Q68" i="2"/>
  <c r="R68" i="2"/>
  <c r="C69" i="2"/>
  <c r="D69" i="2"/>
  <c r="E69" i="2"/>
  <c r="F69" i="2"/>
  <c r="G69" i="2"/>
  <c r="H69" i="2"/>
  <c r="I69" i="2"/>
  <c r="J69" i="2"/>
  <c r="K69" i="2"/>
  <c r="L69" i="2"/>
  <c r="M69" i="2"/>
  <c r="N69" i="2"/>
  <c r="O69" i="2"/>
  <c r="P69" i="2"/>
  <c r="Q69" i="2"/>
  <c r="R69" i="2"/>
  <c r="C70" i="2"/>
  <c r="D70" i="2"/>
  <c r="E70" i="2"/>
  <c r="F70" i="2"/>
  <c r="G70" i="2"/>
  <c r="H70" i="2"/>
  <c r="I70" i="2"/>
  <c r="J70" i="2"/>
  <c r="K70" i="2"/>
  <c r="L70" i="2"/>
  <c r="M70" i="2"/>
  <c r="N70" i="2"/>
  <c r="O70" i="2"/>
  <c r="P70" i="2"/>
  <c r="Q70" i="2"/>
  <c r="R70" i="2"/>
  <c r="C71" i="2"/>
  <c r="D71" i="2"/>
  <c r="E71" i="2"/>
  <c r="F71" i="2"/>
  <c r="G71" i="2"/>
  <c r="H71" i="2"/>
  <c r="I71" i="2"/>
  <c r="J71" i="2"/>
  <c r="K71" i="2"/>
  <c r="L71" i="2"/>
  <c r="M71" i="2"/>
  <c r="N71" i="2"/>
  <c r="O71" i="2"/>
  <c r="P71" i="2"/>
  <c r="Q71" i="2"/>
  <c r="R71" i="2"/>
  <c r="C72" i="2"/>
  <c r="D72" i="2"/>
  <c r="E72" i="2"/>
  <c r="F72" i="2"/>
  <c r="G72" i="2"/>
  <c r="H72" i="2"/>
  <c r="I72" i="2"/>
  <c r="J72" i="2"/>
  <c r="K72" i="2"/>
  <c r="L72" i="2"/>
  <c r="M72" i="2"/>
  <c r="N72" i="2"/>
  <c r="O72" i="2"/>
  <c r="P72" i="2"/>
  <c r="Q72" i="2"/>
  <c r="R72" i="2"/>
  <c r="C73" i="2"/>
  <c r="D73" i="2"/>
  <c r="E73" i="2"/>
  <c r="F73" i="2"/>
  <c r="G73" i="2"/>
  <c r="H73" i="2"/>
  <c r="I73" i="2"/>
  <c r="J73" i="2"/>
  <c r="K73" i="2"/>
  <c r="L73" i="2"/>
  <c r="M73" i="2"/>
  <c r="N73" i="2"/>
  <c r="O73" i="2"/>
  <c r="P73" i="2"/>
  <c r="Q73" i="2"/>
  <c r="R73" i="2"/>
  <c r="C74" i="2"/>
  <c r="D74" i="2"/>
  <c r="E74" i="2"/>
  <c r="F74" i="2"/>
  <c r="G74" i="2"/>
  <c r="H74" i="2"/>
  <c r="I74" i="2"/>
  <c r="J74" i="2"/>
  <c r="K74" i="2"/>
  <c r="L74" i="2"/>
  <c r="M74" i="2"/>
  <c r="N74" i="2"/>
  <c r="O74" i="2"/>
  <c r="P74" i="2"/>
  <c r="Q74" i="2"/>
  <c r="R74" i="2"/>
  <c r="C75" i="2"/>
  <c r="D75" i="2"/>
  <c r="E75" i="2"/>
  <c r="F75" i="2"/>
  <c r="G75" i="2"/>
  <c r="H75" i="2"/>
  <c r="I75" i="2"/>
  <c r="J75" i="2"/>
  <c r="K75" i="2"/>
  <c r="L75" i="2"/>
  <c r="M75" i="2"/>
  <c r="N75" i="2"/>
  <c r="O75" i="2"/>
  <c r="P75" i="2"/>
  <c r="Q75" i="2"/>
  <c r="R75" i="2"/>
  <c r="C76" i="2"/>
  <c r="D76" i="2"/>
  <c r="E76" i="2"/>
  <c r="F76" i="2"/>
  <c r="G76" i="2"/>
  <c r="H76" i="2"/>
  <c r="I76" i="2"/>
  <c r="J76" i="2"/>
  <c r="K76" i="2"/>
  <c r="L76" i="2"/>
  <c r="M76" i="2"/>
  <c r="N76" i="2"/>
  <c r="O76" i="2"/>
  <c r="P76" i="2"/>
  <c r="Q76" i="2"/>
  <c r="R76" i="2"/>
  <c r="C77" i="2"/>
  <c r="D77" i="2"/>
  <c r="E77" i="2"/>
  <c r="F77" i="2"/>
  <c r="G77" i="2"/>
  <c r="H77" i="2"/>
  <c r="I77" i="2"/>
  <c r="J77" i="2"/>
  <c r="K77" i="2"/>
  <c r="L77" i="2"/>
  <c r="M77" i="2"/>
  <c r="N77" i="2"/>
  <c r="O77" i="2"/>
  <c r="P77" i="2"/>
  <c r="Q77" i="2"/>
  <c r="R77" i="2"/>
  <c r="C78" i="2"/>
  <c r="D78" i="2"/>
  <c r="E78" i="2"/>
  <c r="F78" i="2"/>
  <c r="G78" i="2"/>
  <c r="H78" i="2"/>
  <c r="I78" i="2"/>
  <c r="J78" i="2"/>
  <c r="K78" i="2"/>
  <c r="L78" i="2"/>
  <c r="M78" i="2"/>
  <c r="N78" i="2"/>
  <c r="O78" i="2"/>
  <c r="P78" i="2"/>
  <c r="Q78" i="2"/>
  <c r="R78" i="2"/>
  <c r="C79" i="2"/>
  <c r="D79" i="2"/>
  <c r="E79" i="2"/>
  <c r="F79" i="2"/>
  <c r="G79" i="2"/>
  <c r="H79" i="2"/>
  <c r="I79" i="2"/>
  <c r="J79" i="2"/>
  <c r="K79" i="2"/>
  <c r="L79" i="2"/>
  <c r="M79" i="2"/>
  <c r="N79" i="2"/>
  <c r="O79" i="2"/>
  <c r="P79" i="2"/>
  <c r="Q79" i="2"/>
  <c r="R79" i="2"/>
  <c r="C80" i="2"/>
  <c r="D80" i="2"/>
  <c r="E80" i="2"/>
  <c r="F80" i="2"/>
  <c r="G80" i="2"/>
  <c r="H80" i="2"/>
  <c r="I80" i="2"/>
  <c r="J80" i="2"/>
  <c r="K80" i="2"/>
  <c r="L80" i="2"/>
  <c r="M80" i="2"/>
  <c r="N80" i="2"/>
  <c r="O80" i="2"/>
  <c r="P80" i="2"/>
  <c r="Q80" i="2"/>
  <c r="R80" i="2"/>
  <c r="C81" i="2"/>
  <c r="D81" i="2"/>
  <c r="E81" i="2"/>
  <c r="F81" i="2"/>
  <c r="G81" i="2"/>
  <c r="H81" i="2"/>
  <c r="I81" i="2"/>
  <c r="J81" i="2"/>
  <c r="K81" i="2"/>
  <c r="L81" i="2"/>
  <c r="M81" i="2"/>
  <c r="N81" i="2"/>
  <c r="O81" i="2"/>
  <c r="P81" i="2"/>
  <c r="Q81" i="2"/>
  <c r="R81" i="2"/>
  <c r="C82" i="2"/>
  <c r="D82" i="2"/>
  <c r="E82" i="2"/>
  <c r="F82" i="2"/>
  <c r="G82" i="2"/>
  <c r="H82" i="2"/>
  <c r="I82" i="2"/>
  <c r="J82" i="2"/>
  <c r="K82" i="2"/>
  <c r="L82" i="2"/>
  <c r="M82" i="2"/>
  <c r="N82" i="2"/>
  <c r="O82" i="2"/>
  <c r="P82" i="2"/>
  <c r="Q82" i="2"/>
  <c r="R82" i="2"/>
  <c r="C83" i="2"/>
  <c r="D83" i="2"/>
  <c r="E83" i="2"/>
  <c r="F83" i="2"/>
  <c r="G83" i="2"/>
  <c r="H83" i="2"/>
  <c r="I83" i="2"/>
  <c r="J83" i="2"/>
  <c r="K83" i="2"/>
  <c r="L83" i="2"/>
  <c r="M83" i="2"/>
  <c r="N83" i="2"/>
  <c r="O83" i="2"/>
  <c r="P83" i="2"/>
  <c r="Q83" i="2"/>
  <c r="R83" i="2"/>
  <c r="C84" i="2"/>
  <c r="D84" i="2"/>
  <c r="E84" i="2"/>
  <c r="F84" i="2"/>
  <c r="G84" i="2"/>
  <c r="H84" i="2"/>
  <c r="I84" i="2"/>
  <c r="J84" i="2"/>
  <c r="K84" i="2"/>
  <c r="L84" i="2"/>
  <c r="M84" i="2"/>
  <c r="N84" i="2"/>
  <c r="O84" i="2"/>
  <c r="P84" i="2"/>
  <c r="Q84" i="2"/>
  <c r="R84" i="2"/>
  <c r="C85" i="2"/>
  <c r="D85" i="2"/>
  <c r="E85" i="2"/>
  <c r="F85" i="2"/>
  <c r="G85" i="2"/>
  <c r="H85" i="2"/>
  <c r="I85" i="2"/>
  <c r="J85" i="2"/>
  <c r="K85" i="2"/>
  <c r="L85" i="2"/>
  <c r="M85" i="2"/>
  <c r="N85" i="2"/>
  <c r="O85" i="2"/>
  <c r="P85" i="2"/>
  <c r="Q85" i="2"/>
  <c r="R85" i="2"/>
  <c r="C86" i="2"/>
  <c r="D86" i="2"/>
  <c r="E86" i="2"/>
  <c r="F86" i="2"/>
  <c r="G86" i="2"/>
  <c r="H86" i="2"/>
  <c r="I86" i="2"/>
  <c r="J86" i="2"/>
  <c r="K86" i="2"/>
  <c r="L86" i="2"/>
  <c r="M86" i="2"/>
  <c r="N86" i="2"/>
  <c r="O86" i="2"/>
  <c r="P86" i="2"/>
  <c r="Q86" i="2"/>
  <c r="R86" i="2"/>
  <c r="C87" i="2"/>
  <c r="D87" i="2"/>
  <c r="E87" i="2"/>
  <c r="F87" i="2"/>
  <c r="G87" i="2"/>
  <c r="H87" i="2"/>
  <c r="I87" i="2"/>
  <c r="J87" i="2"/>
  <c r="K87" i="2"/>
  <c r="L87" i="2"/>
  <c r="M87" i="2"/>
  <c r="N87" i="2"/>
  <c r="O87" i="2"/>
  <c r="P87" i="2"/>
  <c r="Q87" i="2"/>
  <c r="R87" i="2"/>
  <c r="C88" i="2"/>
  <c r="D88" i="2"/>
  <c r="E88" i="2"/>
  <c r="F88" i="2"/>
  <c r="G88" i="2"/>
  <c r="H88" i="2"/>
  <c r="I88" i="2"/>
  <c r="J88" i="2"/>
  <c r="K88" i="2"/>
  <c r="L88" i="2"/>
  <c r="M88" i="2"/>
  <c r="N88" i="2"/>
  <c r="O88" i="2"/>
  <c r="P88" i="2"/>
  <c r="Q88" i="2"/>
  <c r="R88" i="2"/>
  <c r="C89" i="2"/>
  <c r="D89" i="2"/>
  <c r="E89" i="2"/>
  <c r="F89" i="2"/>
  <c r="G89" i="2"/>
  <c r="H89" i="2"/>
  <c r="I89" i="2"/>
  <c r="J89" i="2"/>
  <c r="K89" i="2"/>
  <c r="L89" i="2"/>
  <c r="M89" i="2"/>
  <c r="N89" i="2"/>
  <c r="O89" i="2"/>
  <c r="P89" i="2"/>
  <c r="Q89" i="2"/>
  <c r="R89" i="2"/>
  <c r="C90" i="2"/>
  <c r="D90" i="2"/>
  <c r="E90" i="2"/>
  <c r="F90" i="2"/>
  <c r="G90" i="2"/>
  <c r="H90" i="2"/>
  <c r="I90" i="2"/>
  <c r="J90" i="2"/>
  <c r="K90" i="2"/>
  <c r="L90" i="2"/>
  <c r="M90" i="2"/>
  <c r="N90" i="2"/>
  <c r="O90" i="2"/>
  <c r="P90" i="2"/>
  <c r="Q90" i="2"/>
  <c r="R90" i="2"/>
  <c r="C91" i="2"/>
  <c r="D91" i="2"/>
  <c r="E91" i="2"/>
  <c r="F91" i="2"/>
  <c r="G91" i="2"/>
  <c r="H91" i="2"/>
  <c r="I91" i="2"/>
  <c r="J91" i="2"/>
  <c r="K91" i="2"/>
  <c r="L91" i="2"/>
  <c r="M91" i="2"/>
  <c r="N91" i="2"/>
  <c r="O91" i="2"/>
  <c r="P91" i="2"/>
  <c r="Q91" i="2"/>
  <c r="R91" i="2"/>
  <c r="C92" i="2"/>
  <c r="D92" i="2"/>
  <c r="E92" i="2"/>
  <c r="F92" i="2"/>
  <c r="G92" i="2"/>
  <c r="H92" i="2"/>
  <c r="I92" i="2"/>
  <c r="J92" i="2"/>
  <c r="K92" i="2"/>
  <c r="L92" i="2"/>
  <c r="M92" i="2"/>
  <c r="N92" i="2"/>
  <c r="O92" i="2"/>
  <c r="P92" i="2"/>
  <c r="Q92" i="2"/>
  <c r="R92" i="2"/>
  <c r="C93" i="2"/>
  <c r="D93" i="2"/>
  <c r="E93" i="2"/>
  <c r="F93" i="2"/>
  <c r="G93" i="2"/>
  <c r="H93" i="2"/>
  <c r="I93" i="2"/>
  <c r="J93" i="2"/>
  <c r="K93" i="2"/>
  <c r="L93" i="2"/>
  <c r="M93" i="2"/>
  <c r="N93" i="2"/>
  <c r="O93" i="2"/>
  <c r="P93" i="2"/>
  <c r="Q93" i="2"/>
  <c r="R93" i="2"/>
  <c r="C94" i="2"/>
  <c r="D94" i="2"/>
  <c r="E94" i="2"/>
  <c r="F94" i="2"/>
  <c r="G94" i="2"/>
  <c r="H94" i="2"/>
  <c r="I94" i="2"/>
  <c r="J94" i="2"/>
  <c r="K94" i="2"/>
  <c r="L94" i="2"/>
  <c r="M94" i="2"/>
  <c r="N94" i="2"/>
  <c r="O94" i="2"/>
  <c r="P94" i="2"/>
  <c r="Q94" i="2"/>
  <c r="R94" i="2"/>
  <c r="C95" i="2"/>
  <c r="D95" i="2"/>
  <c r="E95" i="2"/>
  <c r="F95" i="2"/>
  <c r="G95" i="2"/>
  <c r="H95" i="2"/>
  <c r="I95" i="2"/>
  <c r="J95" i="2"/>
  <c r="K95" i="2"/>
  <c r="L95" i="2"/>
  <c r="M95" i="2"/>
  <c r="N95" i="2"/>
  <c r="O95" i="2"/>
  <c r="P95" i="2"/>
  <c r="Q95" i="2"/>
  <c r="R95" i="2"/>
  <c r="C96" i="2"/>
  <c r="D96" i="2"/>
  <c r="E96" i="2"/>
  <c r="F96" i="2"/>
  <c r="G96" i="2"/>
  <c r="H96" i="2"/>
  <c r="I96" i="2"/>
  <c r="J96" i="2"/>
  <c r="K96" i="2"/>
  <c r="L96" i="2"/>
  <c r="M96" i="2"/>
  <c r="N96" i="2"/>
  <c r="O96" i="2"/>
  <c r="P96" i="2"/>
  <c r="Q96" i="2"/>
  <c r="R96" i="2"/>
  <c r="C97" i="2"/>
  <c r="D97" i="2"/>
  <c r="E97" i="2"/>
  <c r="F97" i="2"/>
  <c r="G97" i="2"/>
  <c r="H97" i="2"/>
  <c r="I97" i="2"/>
  <c r="J97" i="2"/>
  <c r="K97" i="2"/>
  <c r="L97" i="2"/>
  <c r="M97" i="2"/>
  <c r="N97" i="2"/>
  <c r="O97" i="2"/>
  <c r="P97" i="2"/>
  <c r="Q97" i="2"/>
  <c r="R97" i="2"/>
  <c r="C98" i="2"/>
  <c r="D98" i="2"/>
  <c r="E98" i="2"/>
  <c r="F98" i="2"/>
  <c r="G98" i="2"/>
  <c r="H98" i="2"/>
  <c r="I98" i="2"/>
  <c r="J98" i="2"/>
  <c r="K98" i="2"/>
  <c r="L98" i="2"/>
  <c r="M98" i="2"/>
  <c r="N98" i="2"/>
  <c r="O98" i="2"/>
  <c r="P98" i="2"/>
  <c r="Q98" i="2"/>
  <c r="R98" i="2"/>
  <c r="C99" i="2"/>
  <c r="D99" i="2"/>
  <c r="E99" i="2"/>
  <c r="F99" i="2"/>
  <c r="G99" i="2"/>
  <c r="H99" i="2"/>
  <c r="I99" i="2"/>
  <c r="J99" i="2"/>
  <c r="K99" i="2"/>
  <c r="L99" i="2"/>
  <c r="M99" i="2"/>
  <c r="N99" i="2"/>
  <c r="O99" i="2"/>
  <c r="P99" i="2"/>
  <c r="Q99" i="2"/>
  <c r="R99" i="2"/>
  <c r="C100" i="2"/>
  <c r="D100" i="2"/>
  <c r="E100" i="2"/>
  <c r="F100" i="2"/>
  <c r="G100" i="2"/>
  <c r="H100" i="2"/>
  <c r="I100" i="2"/>
  <c r="J100" i="2"/>
  <c r="K100" i="2"/>
  <c r="L100" i="2"/>
  <c r="M100" i="2"/>
  <c r="N100" i="2"/>
  <c r="O100" i="2"/>
  <c r="P100" i="2"/>
  <c r="Q100" i="2"/>
  <c r="R100" i="2"/>
  <c r="C101" i="2"/>
  <c r="D101" i="2"/>
  <c r="E101" i="2"/>
  <c r="F101" i="2"/>
  <c r="G101" i="2"/>
  <c r="H101" i="2"/>
  <c r="I101" i="2"/>
  <c r="J101" i="2"/>
  <c r="K101" i="2"/>
  <c r="L101" i="2"/>
  <c r="M101" i="2"/>
  <c r="N101" i="2"/>
  <c r="O101" i="2"/>
  <c r="P101" i="2"/>
  <c r="Q101" i="2"/>
  <c r="R101" i="2"/>
  <c r="C102" i="2"/>
  <c r="D102" i="2"/>
  <c r="E102" i="2"/>
  <c r="F102" i="2"/>
  <c r="G102" i="2"/>
  <c r="H102" i="2"/>
  <c r="I102" i="2"/>
  <c r="J102" i="2"/>
  <c r="K102" i="2"/>
  <c r="L102" i="2"/>
  <c r="M102" i="2"/>
  <c r="N102" i="2"/>
  <c r="O102" i="2"/>
  <c r="P102" i="2"/>
  <c r="Q102" i="2"/>
  <c r="R102" i="2"/>
  <c r="C103" i="2"/>
  <c r="D103" i="2"/>
  <c r="E103" i="2"/>
  <c r="F103" i="2"/>
  <c r="G103" i="2"/>
  <c r="H103" i="2"/>
  <c r="I103" i="2"/>
  <c r="J103" i="2"/>
  <c r="K103" i="2"/>
  <c r="L103" i="2"/>
  <c r="M103" i="2"/>
  <c r="N103" i="2"/>
  <c r="O103" i="2"/>
  <c r="P103" i="2"/>
  <c r="Q103" i="2"/>
  <c r="R103" i="2"/>
  <c r="C104" i="2"/>
  <c r="D104" i="2"/>
  <c r="E104" i="2"/>
  <c r="F104" i="2"/>
  <c r="G104" i="2"/>
  <c r="H104" i="2"/>
  <c r="I104" i="2"/>
  <c r="J104" i="2"/>
  <c r="K104" i="2"/>
  <c r="L104" i="2"/>
  <c r="M104" i="2"/>
  <c r="N104" i="2"/>
  <c r="O104" i="2"/>
  <c r="P104" i="2"/>
  <c r="Q104" i="2"/>
  <c r="R104" i="2"/>
  <c r="C105" i="2"/>
  <c r="D105" i="2"/>
  <c r="E105" i="2"/>
  <c r="F105" i="2"/>
  <c r="G105" i="2"/>
  <c r="H105" i="2"/>
  <c r="I105" i="2"/>
  <c r="J105" i="2"/>
  <c r="K105" i="2"/>
  <c r="L105" i="2"/>
  <c r="M105" i="2"/>
  <c r="N105" i="2"/>
  <c r="O105" i="2"/>
  <c r="P105" i="2"/>
  <c r="Q105" i="2"/>
  <c r="R105" i="2"/>
  <c r="C106" i="2"/>
  <c r="D106" i="2"/>
  <c r="E106" i="2"/>
  <c r="F106" i="2"/>
  <c r="G106" i="2"/>
  <c r="H106" i="2"/>
  <c r="I106" i="2"/>
  <c r="J106" i="2"/>
  <c r="K106" i="2"/>
  <c r="L106" i="2"/>
  <c r="M106" i="2"/>
  <c r="N106" i="2"/>
  <c r="O106" i="2"/>
  <c r="P106" i="2"/>
  <c r="Q106" i="2"/>
  <c r="R106" i="2"/>
  <c r="C107" i="2"/>
  <c r="D107" i="2"/>
  <c r="E107" i="2"/>
  <c r="F107" i="2"/>
  <c r="G107" i="2"/>
  <c r="H107" i="2"/>
  <c r="I107" i="2"/>
  <c r="J107" i="2"/>
  <c r="K107" i="2"/>
  <c r="L107" i="2"/>
  <c r="M107" i="2"/>
  <c r="N107" i="2"/>
  <c r="O107" i="2"/>
  <c r="P107" i="2"/>
  <c r="Q107" i="2"/>
  <c r="R107" i="2"/>
  <c r="C108" i="2"/>
  <c r="D108" i="2"/>
  <c r="E108" i="2"/>
  <c r="F108" i="2"/>
  <c r="G108" i="2"/>
  <c r="H108" i="2"/>
  <c r="I108" i="2"/>
  <c r="J108" i="2"/>
  <c r="K108" i="2"/>
  <c r="L108" i="2"/>
  <c r="M108" i="2"/>
  <c r="N108" i="2"/>
  <c r="O108" i="2"/>
  <c r="P108" i="2"/>
  <c r="Q108" i="2"/>
  <c r="R108" i="2"/>
  <c r="C109" i="2"/>
  <c r="D109" i="2"/>
  <c r="E109" i="2"/>
  <c r="F109" i="2"/>
  <c r="G109" i="2"/>
  <c r="H109" i="2"/>
  <c r="I109" i="2"/>
  <c r="J109" i="2"/>
  <c r="K109" i="2"/>
  <c r="L109" i="2"/>
  <c r="M109" i="2"/>
  <c r="N109" i="2"/>
  <c r="O109" i="2"/>
  <c r="P109" i="2"/>
  <c r="Q109" i="2"/>
  <c r="R109" i="2"/>
  <c r="C110" i="2"/>
  <c r="D110" i="2"/>
  <c r="E110" i="2"/>
  <c r="F110" i="2"/>
  <c r="G110" i="2"/>
  <c r="H110" i="2"/>
  <c r="I110" i="2"/>
  <c r="J110" i="2"/>
  <c r="K110" i="2"/>
  <c r="L110" i="2"/>
  <c r="M110" i="2"/>
  <c r="N110" i="2"/>
  <c r="O110" i="2"/>
  <c r="P110" i="2"/>
  <c r="Q110" i="2"/>
  <c r="R110" i="2"/>
  <c r="C111" i="2"/>
  <c r="C115" i="2"/>
  <c r="D115" i="2"/>
  <c r="E115" i="2"/>
  <c r="F115" i="2"/>
  <c r="G115" i="2"/>
  <c r="H115" i="2"/>
  <c r="I115" i="2"/>
  <c r="J115" i="2"/>
  <c r="K115" i="2"/>
  <c r="L115" i="2"/>
  <c r="M115" i="2"/>
  <c r="N115" i="2"/>
  <c r="O115" i="2"/>
  <c r="P115" i="2"/>
  <c r="Q115" i="2"/>
  <c r="R115" i="2"/>
  <c r="C116" i="2"/>
  <c r="D116" i="2"/>
  <c r="E116" i="2"/>
  <c r="F116" i="2"/>
  <c r="G116" i="2"/>
  <c r="H116" i="2"/>
  <c r="I116" i="2"/>
  <c r="J116" i="2"/>
  <c r="K116" i="2"/>
  <c r="L116" i="2"/>
  <c r="M116" i="2"/>
  <c r="N116" i="2"/>
  <c r="O116" i="2"/>
  <c r="P116" i="2"/>
  <c r="Q116" i="2"/>
  <c r="Q260" i="2" s="1"/>
  <c r="R116" i="2"/>
  <c r="C117" i="2"/>
  <c r="D117" i="2"/>
  <c r="E117" i="2"/>
  <c r="F117" i="2"/>
  <c r="G117" i="2"/>
  <c r="H117" i="2"/>
  <c r="I117" i="2"/>
  <c r="I261" i="2" s="1"/>
  <c r="J117" i="2"/>
  <c r="K117" i="2"/>
  <c r="L117" i="2"/>
  <c r="M117" i="2"/>
  <c r="N117" i="2"/>
  <c r="O117" i="2"/>
  <c r="P117" i="2"/>
  <c r="Q117" i="2"/>
  <c r="Q261" i="2" s="1"/>
  <c r="R117" i="2"/>
  <c r="C118" i="2"/>
  <c r="D118" i="2"/>
  <c r="E118" i="2"/>
  <c r="F118" i="2"/>
  <c r="G118" i="2"/>
  <c r="H118" i="2"/>
  <c r="I118" i="2"/>
  <c r="I262" i="2" s="1"/>
  <c r="J118" i="2"/>
  <c r="K118" i="2"/>
  <c r="L118" i="2"/>
  <c r="M118" i="2"/>
  <c r="N118" i="2"/>
  <c r="O118" i="2"/>
  <c r="P118" i="2"/>
  <c r="Q118" i="2"/>
  <c r="Q262" i="2" s="1"/>
  <c r="R118" i="2"/>
  <c r="C119" i="2"/>
  <c r="D119" i="2"/>
  <c r="E119" i="2"/>
  <c r="F119" i="2"/>
  <c r="G119" i="2"/>
  <c r="H119" i="2"/>
  <c r="I119" i="2"/>
  <c r="I263" i="2" s="1"/>
  <c r="J119" i="2"/>
  <c r="K119" i="2"/>
  <c r="L119" i="2"/>
  <c r="M119" i="2"/>
  <c r="N119" i="2"/>
  <c r="O119" i="2"/>
  <c r="P119" i="2"/>
  <c r="Q119" i="2"/>
  <c r="Q263" i="2" s="1"/>
  <c r="R119" i="2"/>
  <c r="C120" i="2"/>
  <c r="D120" i="2"/>
  <c r="E120" i="2"/>
  <c r="F120" i="2"/>
  <c r="G120" i="2"/>
  <c r="H120" i="2"/>
  <c r="I120" i="2"/>
  <c r="J120" i="2"/>
  <c r="K120" i="2"/>
  <c r="L120" i="2"/>
  <c r="M120" i="2"/>
  <c r="N120" i="2"/>
  <c r="O120" i="2"/>
  <c r="P120" i="2"/>
  <c r="Q120" i="2"/>
  <c r="R120" i="2"/>
  <c r="C121" i="2"/>
  <c r="D121" i="2"/>
  <c r="E121" i="2"/>
  <c r="F121" i="2"/>
  <c r="G121" i="2"/>
  <c r="H121" i="2"/>
  <c r="I121" i="2"/>
  <c r="I265" i="2" s="1"/>
  <c r="J121" i="2"/>
  <c r="K121" i="2"/>
  <c r="L121" i="2"/>
  <c r="M121" i="2"/>
  <c r="N121" i="2"/>
  <c r="O121" i="2"/>
  <c r="P121" i="2"/>
  <c r="Q121" i="2"/>
  <c r="Q265" i="2" s="1"/>
  <c r="R121" i="2"/>
  <c r="C122" i="2"/>
  <c r="D122" i="2"/>
  <c r="E122" i="2"/>
  <c r="F122" i="2"/>
  <c r="G122" i="2"/>
  <c r="H122" i="2"/>
  <c r="I122" i="2"/>
  <c r="I266" i="2" s="1"/>
  <c r="J122" i="2"/>
  <c r="K122" i="2"/>
  <c r="L122" i="2"/>
  <c r="M122" i="2"/>
  <c r="N122" i="2"/>
  <c r="O122" i="2"/>
  <c r="P122" i="2"/>
  <c r="Q122" i="2"/>
  <c r="Q266" i="2" s="1"/>
  <c r="R122" i="2"/>
  <c r="C123" i="2"/>
  <c r="D123" i="2"/>
  <c r="E123" i="2"/>
  <c r="F123" i="2"/>
  <c r="G123" i="2"/>
  <c r="H123" i="2"/>
  <c r="I123" i="2"/>
  <c r="I267" i="2" s="1"/>
  <c r="J123" i="2"/>
  <c r="K123" i="2"/>
  <c r="L123" i="2"/>
  <c r="M123" i="2"/>
  <c r="N123" i="2"/>
  <c r="O123" i="2"/>
  <c r="P123" i="2"/>
  <c r="Q123" i="2"/>
  <c r="Q267" i="2" s="1"/>
  <c r="R123" i="2"/>
  <c r="C124" i="2"/>
  <c r="D124" i="2"/>
  <c r="E124" i="2"/>
  <c r="F124" i="2"/>
  <c r="G124" i="2"/>
  <c r="H124" i="2"/>
  <c r="I124" i="2"/>
  <c r="I268" i="2" s="1"/>
  <c r="J124" i="2"/>
  <c r="K124" i="2"/>
  <c r="L124" i="2"/>
  <c r="M124" i="2"/>
  <c r="N124" i="2"/>
  <c r="O124" i="2"/>
  <c r="P124" i="2"/>
  <c r="Q124" i="2"/>
  <c r="Q268" i="2" s="1"/>
  <c r="R124" i="2"/>
  <c r="C125" i="2"/>
  <c r="D125" i="2"/>
  <c r="E125" i="2"/>
  <c r="F125" i="2"/>
  <c r="G125" i="2"/>
  <c r="H125" i="2"/>
  <c r="I125" i="2"/>
  <c r="J125" i="2"/>
  <c r="K125" i="2"/>
  <c r="L125" i="2"/>
  <c r="M125" i="2"/>
  <c r="N125" i="2"/>
  <c r="O125" i="2"/>
  <c r="P125" i="2"/>
  <c r="Q125" i="2"/>
  <c r="R125" i="2"/>
  <c r="C126" i="2"/>
  <c r="D126" i="2"/>
  <c r="E126" i="2"/>
  <c r="F126" i="2"/>
  <c r="G126" i="2"/>
  <c r="H126" i="2"/>
  <c r="I126" i="2"/>
  <c r="I270" i="2" s="1"/>
  <c r="J126" i="2"/>
  <c r="K126" i="2"/>
  <c r="L126" i="2"/>
  <c r="M126" i="2"/>
  <c r="N126" i="2"/>
  <c r="O126" i="2"/>
  <c r="P126" i="2"/>
  <c r="Q126" i="2"/>
  <c r="Q270" i="2" s="1"/>
  <c r="R126" i="2"/>
  <c r="C127" i="2"/>
  <c r="D127" i="2"/>
  <c r="E127" i="2"/>
  <c r="F127" i="2"/>
  <c r="G127" i="2"/>
  <c r="H127" i="2"/>
  <c r="I127" i="2"/>
  <c r="I271" i="2" s="1"/>
  <c r="J127" i="2"/>
  <c r="K127" i="2"/>
  <c r="L127" i="2"/>
  <c r="M127" i="2"/>
  <c r="N127" i="2"/>
  <c r="O127" i="2"/>
  <c r="P127" i="2"/>
  <c r="Q127" i="2"/>
  <c r="Q271" i="2" s="1"/>
  <c r="R127" i="2"/>
  <c r="C128" i="2"/>
  <c r="D128" i="2"/>
  <c r="E128" i="2"/>
  <c r="F128" i="2"/>
  <c r="G128" i="2"/>
  <c r="H128" i="2"/>
  <c r="I128" i="2"/>
  <c r="I272" i="2" s="1"/>
  <c r="J128" i="2"/>
  <c r="K128" i="2"/>
  <c r="L128" i="2"/>
  <c r="M128" i="2"/>
  <c r="N128" i="2"/>
  <c r="O128" i="2"/>
  <c r="P128" i="2"/>
  <c r="Q128" i="2"/>
  <c r="Q272" i="2" s="1"/>
  <c r="R128" i="2"/>
  <c r="C129" i="2"/>
  <c r="D129" i="2"/>
  <c r="E129" i="2"/>
  <c r="F129" i="2"/>
  <c r="G129" i="2"/>
  <c r="H129" i="2"/>
  <c r="I129" i="2"/>
  <c r="I273" i="2" s="1"/>
  <c r="J129" i="2"/>
  <c r="K129" i="2"/>
  <c r="L129" i="2"/>
  <c r="M129" i="2"/>
  <c r="N129" i="2"/>
  <c r="O129" i="2"/>
  <c r="P129" i="2"/>
  <c r="Q129" i="2"/>
  <c r="Q273" i="2" s="1"/>
  <c r="R129" i="2"/>
  <c r="C130" i="2"/>
  <c r="D130" i="2"/>
  <c r="E130" i="2"/>
  <c r="F130" i="2"/>
  <c r="G130" i="2"/>
  <c r="H130" i="2"/>
  <c r="I130" i="2"/>
  <c r="J130" i="2"/>
  <c r="K130" i="2"/>
  <c r="L130" i="2"/>
  <c r="M130" i="2"/>
  <c r="N130" i="2"/>
  <c r="O130" i="2"/>
  <c r="P130" i="2"/>
  <c r="Q130" i="2"/>
  <c r="R130" i="2"/>
  <c r="C131" i="2"/>
  <c r="D131" i="2"/>
  <c r="E131" i="2"/>
  <c r="F131" i="2"/>
  <c r="G131" i="2"/>
  <c r="H131" i="2"/>
  <c r="I131" i="2"/>
  <c r="I275" i="2" s="1"/>
  <c r="J131" i="2"/>
  <c r="K131" i="2"/>
  <c r="L131" i="2"/>
  <c r="M131" i="2"/>
  <c r="N131" i="2"/>
  <c r="O131" i="2"/>
  <c r="P131" i="2"/>
  <c r="Q131" i="2"/>
  <c r="Q275" i="2" s="1"/>
  <c r="R131" i="2"/>
  <c r="C132" i="2"/>
  <c r="D132" i="2"/>
  <c r="E132" i="2"/>
  <c r="F132" i="2"/>
  <c r="G132" i="2"/>
  <c r="H132" i="2"/>
  <c r="I132" i="2"/>
  <c r="I276" i="2" s="1"/>
  <c r="J132" i="2"/>
  <c r="K132" i="2"/>
  <c r="L132" i="2"/>
  <c r="M132" i="2"/>
  <c r="N132" i="2"/>
  <c r="O132" i="2"/>
  <c r="P132" i="2"/>
  <c r="Q132" i="2"/>
  <c r="Q276" i="2" s="1"/>
  <c r="R132" i="2"/>
  <c r="C133" i="2"/>
  <c r="D133" i="2"/>
  <c r="E133" i="2"/>
  <c r="F133" i="2"/>
  <c r="G133" i="2"/>
  <c r="H133" i="2"/>
  <c r="I133" i="2"/>
  <c r="J133" i="2"/>
  <c r="K133" i="2"/>
  <c r="L133" i="2"/>
  <c r="M133" i="2"/>
  <c r="N133" i="2"/>
  <c r="O133" i="2"/>
  <c r="P133" i="2"/>
  <c r="Q133" i="2"/>
  <c r="R133" i="2"/>
  <c r="C134" i="2"/>
  <c r="D134" i="2"/>
  <c r="E134" i="2"/>
  <c r="F134" i="2"/>
  <c r="G134" i="2"/>
  <c r="H134" i="2"/>
  <c r="I134" i="2"/>
  <c r="I278" i="2" s="1"/>
  <c r="J134" i="2"/>
  <c r="K134" i="2"/>
  <c r="L134" i="2"/>
  <c r="M134" i="2"/>
  <c r="N134" i="2"/>
  <c r="O134" i="2"/>
  <c r="P134" i="2"/>
  <c r="Q134" i="2"/>
  <c r="Q278" i="2" s="1"/>
  <c r="R134" i="2"/>
  <c r="C135" i="2"/>
  <c r="D135" i="2"/>
  <c r="E135" i="2"/>
  <c r="F135" i="2"/>
  <c r="G135" i="2"/>
  <c r="H135" i="2"/>
  <c r="I135" i="2"/>
  <c r="J135" i="2"/>
  <c r="K135" i="2"/>
  <c r="L135" i="2"/>
  <c r="M135" i="2"/>
  <c r="N135" i="2"/>
  <c r="O135" i="2"/>
  <c r="P135" i="2"/>
  <c r="Q135" i="2"/>
  <c r="R135" i="2"/>
  <c r="C136" i="2"/>
  <c r="D136" i="2"/>
  <c r="E136" i="2"/>
  <c r="F136" i="2"/>
  <c r="G136" i="2"/>
  <c r="H136" i="2"/>
  <c r="I136" i="2"/>
  <c r="J136" i="2"/>
  <c r="K136" i="2"/>
  <c r="L136" i="2"/>
  <c r="M136" i="2"/>
  <c r="N136" i="2"/>
  <c r="O136" i="2"/>
  <c r="P136" i="2"/>
  <c r="Q136" i="2"/>
  <c r="R136" i="2"/>
  <c r="C137" i="2"/>
  <c r="D137" i="2"/>
  <c r="E137" i="2"/>
  <c r="F137" i="2"/>
  <c r="G137" i="2"/>
  <c r="H137" i="2"/>
  <c r="I137" i="2"/>
  <c r="J137" i="2"/>
  <c r="K137" i="2"/>
  <c r="L137" i="2"/>
  <c r="M137" i="2"/>
  <c r="N137" i="2"/>
  <c r="O137" i="2"/>
  <c r="P137" i="2"/>
  <c r="Q137" i="2"/>
  <c r="R137" i="2"/>
  <c r="C138" i="2"/>
  <c r="D138" i="2"/>
  <c r="E138" i="2"/>
  <c r="F138" i="2"/>
  <c r="G138" i="2"/>
  <c r="H138" i="2"/>
  <c r="I138" i="2"/>
  <c r="J138" i="2"/>
  <c r="K138" i="2"/>
  <c r="L138" i="2"/>
  <c r="M138" i="2"/>
  <c r="N138" i="2"/>
  <c r="O138" i="2"/>
  <c r="P138" i="2"/>
  <c r="Q138" i="2"/>
  <c r="R138" i="2"/>
  <c r="C139" i="2"/>
  <c r="D139" i="2"/>
  <c r="E139" i="2"/>
  <c r="F139" i="2"/>
  <c r="G139" i="2"/>
  <c r="H139" i="2"/>
  <c r="I139" i="2"/>
  <c r="J139" i="2"/>
  <c r="K139" i="2"/>
  <c r="L139" i="2"/>
  <c r="M139" i="2"/>
  <c r="N139" i="2"/>
  <c r="O139" i="2"/>
  <c r="P139" i="2"/>
  <c r="Q139" i="2"/>
  <c r="R139" i="2"/>
  <c r="C140" i="2"/>
  <c r="D140" i="2"/>
  <c r="E140" i="2"/>
  <c r="F140" i="2"/>
  <c r="G140" i="2"/>
  <c r="H140" i="2"/>
  <c r="I140" i="2"/>
  <c r="J140" i="2"/>
  <c r="K140" i="2"/>
  <c r="L140" i="2"/>
  <c r="M140" i="2"/>
  <c r="N140" i="2"/>
  <c r="O140" i="2"/>
  <c r="P140" i="2"/>
  <c r="Q140" i="2"/>
  <c r="R140" i="2"/>
  <c r="C141" i="2"/>
  <c r="D141" i="2"/>
  <c r="E141" i="2"/>
  <c r="F141" i="2"/>
  <c r="G141" i="2"/>
  <c r="H141" i="2"/>
  <c r="I141" i="2"/>
  <c r="J141" i="2"/>
  <c r="K141" i="2"/>
  <c r="L141" i="2"/>
  <c r="M141" i="2"/>
  <c r="N141" i="2"/>
  <c r="O141" i="2"/>
  <c r="P141" i="2"/>
  <c r="Q141" i="2"/>
  <c r="R141" i="2"/>
  <c r="C142" i="2"/>
  <c r="D142" i="2"/>
  <c r="E142" i="2"/>
  <c r="F142" i="2"/>
  <c r="G142" i="2"/>
  <c r="H142" i="2"/>
  <c r="I142" i="2"/>
  <c r="J142" i="2"/>
  <c r="K142" i="2"/>
  <c r="L142" i="2"/>
  <c r="M142" i="2"/>
  <c r="N142" i="2"/>
  <c r="O142" i="2"/>
  <c r="P142" i="2"/>
  <c r="Q142" i="2"/>
  <c r="R142" i="2"/>
  <c r="C143" i="2"/>
  <c r="D143" i="2"/>
  <c r="E143" i="2"/>
  <c r="F143" i="2"/>
  <c r="G143" i="2"/>
  <c r="H143" i="2"/>
  <c r="I143" i="2"/>
  <c r="J143" i="2"/>
  <c r="K143" i="2"/>
  <c r="L143" i="2"/>
  <c r="M143" i="2"/>
  <c r="N143" i="2"/>
  <c r="O143" i="2"/>
  <c r="P143" i="2"/>
  <c r="Q143" i="2"/>
  <c r="R143" i="2"/>
  <c r="C144" i="2"/>
  <c r="D144" i="2"/>
  <c r="E144" i="2"/>
  <c r="F144" i="2"/>
  <c r="G144" i="2"/>
  <c r="H144" i="2"/>
  <c r="I144" i="2"/>
  <c r="J144" i="2"/>
  <c r="K144" i="2"/>
  <c r="L144" i="2"/>
  <c r="M144" i="2"/>
  <c r="N144" i="2"/>
  <c r="O144" i="2"/>
  <c r="P144" i="2"/>
  <c r="Q144" i="2"/>
  <c r="R144" i="2"/>
  <c r="C145" i="2"/>
  <c r="D145" i="2"/>
  <c r="E145" i="2"/>
  <c r="F145" i="2"/>
  <c r="G145" i="2"/>
  <c r="H145" i="2"/>
  <c r="I145" i="2"/>
  <c r="J145" i="2"/>
  <c r="K145" i="2"/>
  <c r="L145" i="2"/>
  <c r="M145" i="2"/>
  <c r="N145" i="2"/>
  <c r="O145" i="2"/>
  <c r="P145" i="2"/>
  <c r="Q145" i="2"/>
  <c r="R145" i="2"/>
  <c r="C146" i="2"/>
  <c r="D146" i="2"/>
  <c r="E146" i="2"/>
  <c r="F146" i="2"/>
  <c r="G146" i="2"/>
  <c r="H146" i="2"/>
  <c r="I146" i="2"/>
  <c r="J146" i="2"/>
  <c r="K146" i="2"/>
  <c r="L146" i="2"/>
  <c r="M146" i="2"/>
  <c r="N146" i="2"/>
  <c r="O146" i="2"/>
  <c r="P146" i="2"/>
  <c r="Q146" i="2"/>
  <c r="R146" i="2"/>
  <c r="C147" i="2"/>
  <c r="D147" i="2"/>
  <c r="E147" i="2"/>
  <c r="F147" i="2"/>
  <c r="G147" i="2"/>
  <c r="H147" i="2"/>
  <c r="I147" i="2"/>
  <c r="J147" i="2"/>
  <c r="K147" i="2"/>
  <c r="L147" i="2"/>
  <c r="M147" i="2"/>
  <c r="N147" i="2"/>
  <c r="O147" i="2"/>
  <c r="P147" i="2"/>
  <c r="Q147" i="2"/>
  <c r="R147" i="2"/>
  <c r="C148" i="2"/>
  <c r="D148" i="2"/>
  <c r="E148" i="2"/>
  <c r="F148" i="2"/>
  <c r="G148" i="2"/>
  <c r="H148" i="2"/>
  <c r="I148" i="2"/>
  <c r="J148" i="2"/>
  <c r="K148" i="2"/>
  <c r="L148" i="2"/>
  <c r="M148" i="2"/>
  <c r="N148" i="2"/>
  <c r="O148" i="2"/>
  <c r="P148" i="2"/>
  <c r="Q148" i="2"/>
  <c r="R148" i="2"/>
  <c r="C149" i="2"/>
  <c r="D149" i="2"/>
  <c r="E149" i="2"/>
  <c r="F149" i="2"/>
  <c r="G149" i="2"/>
  <c r="H149" i="2"/>
  <c r="I149" i="2"/>
  <c r="J149" i="2"/>
  <c r="K149" i="2"/>
  <c r="L149" i="2"/>
  <c r="M149" i="2"/>
  <c r="N149" i="2"/>
  <c r="O149" i="2"/>
  <c r="P149" i="2"/>
  <c r="Q149" i="2"/>
  <c r="R149" i="2"/>
  <c r="C150" i="2"/>
  <c r="D150" i="2"/>
  <c r="E150" i="2"/>
  <c r="F150" i="2"/>
  <c r="G150" i="2"/>
  <c r="H150" i="2"/>
  <c r="I150" i="2"/>
  <c r="J150" i="2"/>
  <c r="K150" i="2"/>
  <c r="L150" i="2"/>
  <c r="M150" i="2"/>
  <c r="N150" i="2"/>
  <c r="O150" i="2"/>
  <c r="P150" i="2"/>
  <c r="Q150" i="2"/>
  <c r="R150" i="2"/>
  <c r="C151" i="2"/>
  <c r="D151" i="2"/>
  <c r="E151" i="2"/>
  <c r="F151" i="2"/>
  <c r="G151" i="2"/>
  <c r="H151" i="2"/>
  <c r="I151" i="2"/>
  <c r="J151" i="2"/>
  <c r="K151" i="2"/>
  <c r="L151" i="2"/>
  <c r="M151" i="2"/>
  <c r="N151" i="2"/>
  <c r="O151" i="2"/>
  <c r="P151" i="2"/>
  <c r="Q151" i="2"/>
  <c r="R151" i="2"/>
  <c r="C152" i="2"/>
  <c r="D152" i="2"/>
  <c r="E152" i="2"/>
  <c r="F152" i="2"/>
  <c r="G152" i="2"/>
  <c r="H152" i="2"/>
  <c r="I152" i="2"/>
  <c r="J152" i="2"/>
  <c r="K152" i="2"/>
  <c r="L152" i="2"/>
  <c r="M152" i="2"/>
  <c r="N152" i="2"/>
  <c r="O152" i="2"/>
  <c r="P152" i="2"/>
  <c r="Q152" i="2"/>
  <c r="R152" i="2"/>
  <c r="C153" i="2"/>
  <c r="D153" i="2"/>
  <c r="E153" i="2"/>
  <c r="F153" i="2"/>
  <c r="G153" i="2"/>
  <c r="H153" i="2"/>
  <c r="I153" i="2"/>
  <c r="J153" i="2"/>
  <c r="K153" i="2"/>
  <c r="L153" i="2"/>
  <c r="M153" i="2"/>
  <c r="N153" i="2"/>
  <c r="O153" i="2"/>
  <c r="P153" i="2"/>
  <c r="Q153" i="2"/>
  <c r="R153" i="2"/>
  <c r="C154" i="2"/>
  <c r="D154" i="2"/>
  <c r="E154" i="2"/>
  <c r="F154" i="2"/>
  <c r="G154" i="2"/>
  <c r="H154" i="2"/>
  <c r="I154" i="2"/>
  <c r="J154" i="2"/>
  <c r="K154" i="2"/>
  <c r="L154" i="2"/>
  <c r="M154" i="2"/>
  <c r="N154" i="2"/>
  <c r="O154" i="2"/>
  <c r="P154" i="2"/>
  <c r="Q154" i="2"/>
  <c r="R154" i="2"/>
  <c r="C155" i="2"/>
  <c r="D155" i="2"/>
  <c r="E155" i="2"/>
  <c r="F155" i="2"/>
  <c r="G155" i="2"/>
  <c r="H155" i="2"/>
  <c r="I155" i="2"/>
  <c r="J155" i="2"/>
  <c r="K155" i="2"/>
  <c r="L155" i="2"/>
  <c r="M155" i="2"/>
  <c r="N155" i="2"/>
  <c r="O155" i="2"/>
  <c r="P155" i="2"/>
  <c r="Q155" i="2"/>
  <c r="R155" i="2"/>
  <c r="C156" i="2"/>
  <c r="D156" i="2"/>
  <c r="E156" i="2"/>
  <c r="F156" i="2"/>
  <c r="G156" i="2"/>
  <c r="H156" i="2"/>
  <c r="I156" i="2"/>
  <c r="J156" i="2"/>
  <c r="K156" i="2"/>
  <c r="L156" i="2"/>
  <c r="M156" i="2"/>
  <c r="N156" i="2"/>
  <c r="O156" i="2"/>
  <c r="P156" i="2"/>
  <c r="Q156" i="2"/>
  <c r="R156" i="2"/>
  <c r="C157" i="2"/>
  <c r="D157" i="2"/>
  <c r="E157" i="2"/>
  <c r="F157" i="2"/>
  <c r="G157" i="2"/>
  <c r="H157" i="2"/>
  <c r="I157" i="2"/>
  <c r="J157" i="2"/>
  <c r="K157" i="2"/>
  <c r="L157" i="2"/>
  <c r="M157" i="2"/>
  <c r="N157" i="2"/>
  <c r="O157" i="2"/>
  <c r="P157" i="2"/>
  <c r="Q157" i="2"/>
  <c r="R157" i="2"/>
  <c r="C158" i="2"/>
  <c r="D158" i="2"/>
  <c r="E158" i="2"/>
  <c r="F158" i="2"/>
  <c r="G158" i="2"/>
  <c r="H158" i="2"/>
  <c r="I158" i="2"/>
  <c r="J158" i="2"/>
  <c r="K158" i="2"/>
  <c r="L158" i="2"/>
  <c r="M158" i="2"/>
  <c r="N158" i="2"/>
  <c r="O158" i="2"/>
  <c r="P158" i="2"/>
  <c r="Q158" i="2"/>
  <c r="R158" i="2"/>
  <c r="C159" i="2"/>
  <c r="D159" i="2"/>
  <c r="E159" i="2"/>
  <c r="F159" i="2"/>
  <c r="G159" i="2"/>
  <c r="H159" i="2"/>
  <c r="I159" i="2"/>
  <c r="J159" i="2"/>
  <c r="K159" i="2"/>
  <c r="L159" i="2"/>
  <c r="M159" i="2"/>
  <c r="N159" i="2"/>
  <c r="O159" i="2"/>
  <c r="P159" i="2"/>
  <c r="Q159" i="2"/>
  <c r="R159" i="2"/>
  <c r="C160" i="2"/>
  <c r="D160" i="2"/>
  <c r="E160" i="2"/>
  <c r="F160" i="2"/>
  <c r="G160" i="2"/>
  <c r="H160" i="2"/>
  <c r="I160" i="2"/>
  <c r="J160" i="2"/>
  <c r="K160" i="2"/>
  <c r="L160" i="2"/>
  <c r="M160" i="2"/>
  <c r="N160" i="2"/>
  <c r="O160" i="2"/>
  <c r="P160" i="2"/>
  <c r="Q160" i="2"/>
  <c r="R160" i="2"/>
  <c r="C161" i="2"/>
  <c r="D161" i="2"/>
  <c r="E161" i="2"/>
  <c r="F161" i="2"/>
  <c r="G161" i="2"/>
  <c r="H161" i="2"/>
  <c r="I161" i="2"/>
  <c r="J161" i="2"/>
  <c r="K161" i="2"/>
  <c r="L161" i="2"/>
  <c r="M161" i="2"/>
  <c r="N161" i="2"/>
  <c r="O161" i="2"/>
  <c r="P161" i="2"/>
  <c r="Q161" i="2"/>
  <c r="R161" i="2"/>
  <c r="C162" i="2"/>
  <c r="D162" i="2"/>
  <c r="E162" i="2"/>
  <c r="F162" i="2"/>
  <c r="G162" i="2"/>
  <c r="H162" i="2"/>
  <c r="I162" i="2"/>
  <c r="J162" i="2"/>
  <c r="K162" i="2"/>
  <c r="L162" i="2"/>
  <c r="M162" i="2"/>
  <c r="N162" i="2"/>
  <c r="O162" i="2"/>
  <c r="P162" i="2"/>
  <c r="Q162" i="2"/>
  <c r="R162" i="2"/>
  <c r="C163" i="2"/>
  <c r="D163" i="2"/>
  <c r="E163" i="2"/>
  <c r="F163" i="2"/>
  <c r="G163" i="2"/>
  <c r="H163" i="2"/>
  <c r="I163" i="2"/>
  <c r="J163" i="2"/>
  <c r="K163" i="2"/>
  <c r="L163" i="2"/>
  <c r="M163" i="2"/>
  <c r="N163" i="2"/>
  <c r="O163" i="2"/>
  <c r="P163" i="2"/>
  <c r="Q163" i="2"/>
  <c r="R163" i="2"/>
  <c r="C164" i="2"/>
  <c r="D164" i="2"/>
  <c r="E164" i="2"/>
  <c r="F164" i="2"/>
  <c r="G164" i="2"/>
  <c r="H164" i="2"/>
  <c r="I164" i="2"/>
  <c r="J164" i="2"/>
  <c r="K164" i="2"/>
  <c r="L164" i="2"/>
  <c r="M164" i="2"/>
  <c r="N164" i="2"/>
  <c r="O164" i="2"/>
  <c r="P164" i="2"/>
  <c r="Q164" i="2"/>
  <c r="R164" i="2"/>
  <c r="C165" i="2"/>
  <c r="D165" i="2"/>
  <c r="E165" i="2"/>
  <c r="F165" i="2"/>
  <c r="G165" i="2"/>
  <c r="H165" i="2"/>
  <c r="I165" i="2"/>
  <c r="J165" i="2"/>
  <c r="K165" i="2"/>
  <c r="L165" i="2"/>
  <c r="M165" i="2"/>
  <c r="N165" i="2"/>
  <c r="O165" i="2"/>
  <c r="P165" i="2"/>
  <c r="Q165" i="2"/>
  <c r="R165" i="2"/>
  <c r="C166" i="2"/>
  <c r="D166" i="2"/>
  <c r="E166" i="2"/>
  <c r="F166" i="2"/>
  <c r="G166" i="2"/>
  <c r="H166" i="2"/>
  <c r="I166" i="2"/>
  <c r="J166" i="2"/>
  <c r="K166" i="2"/>
  <c r="L166" i="2"/>
  <c r="M166" i="2"/>
  <c r="N166" i="2"/>
  <c r="O166" i="2"/>
  <c r="P166" i="2"/>
  <c r="Q166" i="2"/>
  <c r="R166" i="2"/>
  <c r="C167" i="2"/>
  <c r="D167" i="2"/>
  <c r="E167" i="2"/>
  <c r="F167" i="2"/>
  <c r="G167" i="2"/>
  <c r="H167" i="2"/>
  <c r="I167" i="2"/>
  <c r="J167" i="2"/>
  <c r="K167" i="2"/>
  <c r="L167" i="2"/>
  <c r="M167" i="2"/>
  <c r="N167" i="2"/>
  <c r="O167" i="2"/>
  <c r="P167" i="2"/>
  <c r="Q167" i="2"/>
  <c r="R167" i="2"/>
  <c r="C168" i="2"/>
  <c r="D168" i="2"/>
  <c r="E168" i="2"/>
  <c r="F168" i="2"/>
  <c r="G168" i="2"/>
  <c r="H168" i="2"/>
  <c r="I168" i="2"/>
  <c r="J168" i="2"/>
  <c r="K168" i="2"/>
  <c r="L168" i="2"/>
  <c r="M168" i="2"/>
  <c r="N168" i="2"/>
  <c r="O168" i="2"/>
  <c r="P168" i="2"/>
  <c r="Q168" i="2"/>
  <c r="R168" i="2"/>
  <c r="C169" i="2"/>
  <c r="D169" i="2"/>
  <c r="E169" i="2"/>
  <c r="F169" i="2"/>
  <c r="G169" i="2"/>
  <c r="H169" i="2"/>
  <c r="I169" i="2"/>
  <c r="J169" i="2"/>
  <c r="K169" i="2"/>
  <c r="L169" i="2"/>
  <c r="M169" i="2"/>
  <c r="N169" i="2"/>
  <c r="O169" i="2"/>
  <c r="P169" i="2"/>
  <c r="Q169" i="2"/>
  <c r="R169" i="2"/>
  <c r="C170" i="2"/>
  <c r="D170" i="2"/>
  <c r="E170" i="2"/>
  <c r="F170" i="2"/>
  <c r="G170" i="2"/>
  <c r="H170" i="2"/>
  <c r="I170" i="2"/>
  <c r="J170" i="2"/>
  <c r="K170" i="2"/>
  <c r="L170" i="2"/>
  <c r="M170" i="2"/>
  <c r="N170" i="2"/>
  <c r="O170" i="2"/>
  <c r="P170" i="2"/>
  <c r="Q170" i="2"/>
  <c r="R170" i="2"/>
  <c r="C171" i="2"/>
  <c r="D171" i="2"/>
  <c r="E171" i="2"/>
  <c r="F171" i="2"/>
  <c r="G171" i="2"/>
  <c r="H171" i="2"/>
  <c r="I171" i="2"/>
  <c r="J171" i="2"/>
  <c r="K171" i="2"/>
  <c r="L171" i="2"/>
  <c r="M171" i="2"/>
  <c r="N171" i="2"/>
  <c r="O171" i="2"/>
  <c r="P171" i="2"/>
  <c r="Q171" i="2"/>
  <c r="R171" i="2"/>
  <c r="C172" i="2"/>
  <c r="D172" i="2"/>
  <c r="E172" i="2"/>
  <c r="F172" i="2"/>
  <c r="G172" i="2"/>
  <c r="H172" i="2"/>
  <c r="I172" i="2"/>
  <c r="J172" i="2"/>
  <c r="K172" i="2"/>
  <c r="L172" i="2"/>
  <c r="M172" i="2"/>
  <c r="N172" i="2"/>
  <c r="O172" i="2"/>
  <c r="P172" i="2"/>
  <c r="Q172" i="2"/>
  <c r="R172" i="2"/>
  <c r="C173" i="2"/>
  <c r="D173" i="2"/>
  <c r="E173" i="2"/>
  <c r="F173" i="2"/>
  <c r="G173" i="2"/>
  <c r="H173" i="2"/>
  <c r="I173" i="2"/>
  <c r="J173" i="2"/>
  <c r="K173" i="2"/>
  <c r="L173" i="2"/>
  <c r="M173" i="2"/>
  <c r="N173" i="2"/>
  <c r="O173" i="2"/>
  <c r="P173" i="2"/>
  <c r="Q173" i="2"/>
  <c r="R173" i="2"/>
  <c r="C174" i="2"/>
  <c r="D174" i="2"/>
  <c r="E174" i="2"/>
  <c r="F174" i="2"/>
  <c r="G174" i="2"/>
  <c r="H174" i="2"/>
  <c r="I174" i="2"/>
  <c r="J174" i="2"/>
  <c r="K174" i="2"/>
  <c r="L174" i="2"/>
  <c r="M174" i="2"/>
  <c r="N174" i="2"/>
  <c r="O174" i="2"/>
  <c r="P174" i="2"/>
  <c r="Q174" i="2"/>
  <c r="R174" i="2"/>
  <c r="C175" i="2"/>
  <c r="D175" i="2"/>
  <c r="E175" i="2"/>
  <c r="F175" i="2"/>
  <c r="G175" i="2"/>
  <c r="H175" i="2"/>
  <c r="I175" i="2"/>
  <c r="J175" i="2"/>
  <c r="K175" i="2"/>
  <c r="L175" i="2"/>
  <c r="M175" i="2"/>
  <c r="N175" i="2"/>
  <c r="O175" i="2"/>
  <c r="P175" i="2"/>
  <c r="Q175" i="2"/>
  <c r="R175" i="2"/>
  <c r="C176" i="2"/>
  <c r="D176" i="2"/>
  <c r="E176" i="2"/>
  <c r="F176" i="2"/>
  <c r="G176" i="2"/>
  <c r="H176" i="2"/>
  <c r="I176" i="2"/>
  <c r="J176" i="2"/>
  <c r="K176" i="2"/>
  <c r="L176" i="2"/>
  <c r="M176" i="2"/>
  <c r="N176" i="2"/>
  <c r="O176" i="2"/>
  <c r="P176" i="2"/>
  <c r="Q176" i="2"/>
  <c r="R176" i="2"/>
  <c r="C177" i="2"/>
  <c r="D177" i="2"/>
  <c r="E177" i="2"/>
  <c r="F177" i="2"/>
  <c r="G177" i="2"/>
  <c r="H177" i="2"/>
  <c r="I177" i="2"/>
  <c r="J177" i="2"/>
  <c r="K177" i="2"/>
  <c r="L177" i="2"/>
  <c r="M177" i="2"/>
  <c r="N177" i="2"/>
  <c r="O177" i="2"/>
  <c r="P177" i="2"/>
  <c r="Q177" i="2"/>
  <c r="R177" i="2"/>
  <c r="C178" i="2"/>
  <c r="D178" i="2"/>
  <c r="E178" i="2"/>
  <c r="F178" i="2"/>
  <c r="G178" i="2"/>
  <c r="H178" i="2"/>
  <c r="I178" i="2"/>
  <c r="J178" i="2"/>
  <c r="K178" i="2"/>
  <c r="L178" i="2"/>
  <c r="M178" i="2"/>
  <c r="N178" i="2"/>
  <c r="O178" i="2"/>
  <c r="P178" i="2"/>
  <c r="Q178" i="2"/>
  <c r="R178" i="2"/>
  <c r="C179" i="2"/>
  <c r="D179" i="2"/>
  <c r="E179" i="2"/>
  <c r="F179" i="2"/>
  <c r="G179" i="2"/>
  <c r="H179" i="2"/>
  <c r="I179" i="2"/>
  <c r="J179" i="2"/>
  <c r="K179" i="2"/>
  <c r="L179" i="2"/>
  <c r="M179" i="2"/>
  <c r="N179" i="2"/>
  <c r="O179" i="2"/>
  <c r="P179" i="2"/>
  <c r="Q179" i="2"/>
  <c r="R179" i="2"/>
  <c r="C180" i="2"/>
  <c r="D180" i="2"/>
  <c r="E180" i="2"/>
  <c r="F180" i="2"/>
  <c r="G180" i="2"/>
  <c r="H180" i="2"/>
  <c r="I180" i="2"/>
  <c r="J180" i="2"/>
  <c r="K180" i="2"/>
  <c r="L180" i="2"/>
  <c r="M180" i="2"/>
  <c r="N180" i="2"/>
  <c r="O180" i="2"/>
  <c r="P180" i="2"/>
  <c r="Q180" i="2"/>
  <c r="R180" i="2"/>
  <c r="C181" i="2"/>
  <c r="D181" i="2"/>
  <c r="E181" i="2"/>
  <c r="F181" i="2"/>
  <c r="G181" i="2"/>
  <c r="H181" i="2"/>
  <c r="I181" i="2"/>
  <c r="J181" i="2"/>
  <c r="K181" i="2"/>
  <c r="L181" i="2"/>
  <c r="M181" i="2"/>
  <c r="N181" i="2"/>
  <c r="O181" i="2"/>
  <c r="P181" i="2"/>
  <c r="Q181" i="2"/>
  <c r="R181" i="2"/>
  <c r="C182" i="2"/>
  <c r="D182" i="2"/>
  <c r="E182" i="2"/>
  <c r="F182" i="2"/>
  <c r="G182" i="2"/>
  <c r="H182" i="2"/>
  <c r="I182" i="2"/>
  <c r="J182" i="2"/>
  <c r="K182" i="2"/>
  <c r="L182" i="2"/>
  <c r="M182" i="2"/>
  <c r="N182" i="2"/>
  <c r="O182" i="2"/>
  <c r="P182" i="2"/>
  <c r="Q182" i="2"/>
  <c r="R182" i="2"/>
  <c r="C183" i="2"/>
  <c r="D183" i="2"/>
  <c r="E183" i="2"/>
  <c r="F183" i="2"/>
  <c r="G183" i="2"/>
  <c r="H183" i="2"/>
  <c r="I183" i="2"/>
  <c r="J183" i="2"/>
  <c r="K183" i="2"/>
  <c r="L183" i="2"/>
  <c r="M183" i="2"/>
  <c r="N183" i="2"/>
  <c r="O183" i="2"/>
  <c r="P183" i="2"/>
  <c r="Q183" i="2"/>
  <c r="R183" i="2"/>
  <c r="C184" i="2"/>
  <c r="D184" i="2"/>
  <c r="E184" i="2"/>
  <c r="F184" i="2"/>
  <c r="G184" i="2"/>
  <c r="H184" i="2"/>
  <c r="I184" i="2"/>
  <c r="J184" i="2"/>
  <c r="K184" i="2"/>
  <c r="L184" i="2"/>
  <c r="M184" i="2"/>
  <c r="N184" i="2"/>
  <c r="O184" i="2"/>
  <c r="P184" i="2"/>
  <c r="Q184" i="2"/>
  <c r="R184" i="2"/>
  <c r="C185" i="2"/>
  <c r="D185" i="2"/>
  <c r="E185" i="2"/>
  <c r="F185" i="2"/>
  <c r="G185" i="2"/>
  <c r="H185" i="2"/>
  <c r="I185" i="2"/>
  <c r="J185" i="2"/>
  <c r="K185" i="2"/>
  <c r="L185" i="2"/>
  <c r="M185" i="2"/>
  <c r="N185" i="2"/>
  <c r="O185" i="2"/>
  <c r="P185" i="2"/>
  <c r="Q185" i="2"/>
  <c r="R185" i="2"/>
  <c r="C186" i="2"/>
  <c r="D186" i="2"/>
  <c r="E186" i="2"/>
  <c r="F186" i="2"/>
  <c r="G186" i="2"/>
  <c r="H186" i="2"/>
  <c r="I186" i="2"/>
  <c r="J186" i="2"/>
  <c r="K186" i="2"/>
  <c r="L186" i="2"/>
  <c r="M186" i="2"/>
  <c r="N186" i="2"/>
  <c r="O186" i="2"/>
  <c r="P186" i="2"/>
  <c r="Q186" i="2"/>
  <c r="R186" i="2"/>
  <c r="C187" i="2"/>
  <c r="D187" i="2"/>
  <c r="E187" i="2"/>
  <c r="F187" i="2"/>
  <c r="G187" i="2"/>
  <c r="H187" i="2"/>
  <c r="I187" i="2"/>
  <c r="J187" i="2"/>
  <c r="K187" i="2"/>
  <c r="L187" i="2"/>
  <c r="M187" i="2"/>
  <c r="N187" i="2"/>
  <c r="O187" i="2"/>
  <c r="P187" i="2"/>
  <c r="Q187" i="2"/>
  <c r="R187" i="2"/>
  <c r="C188" i="2"/>
  <c r="D188" i="2"/>
  <c r="E188" i="2"/>
  <c r="F188" i="2"/>
  <c r="G188" i="2"/>
  <c r="H188" i="2"/>
  <c r="I188" i="2"/>
  <c r="J188" i="2"/>
  <c r="K188" i="2"/>
  <c r="L188" i="2"/>
  <c r="M188" i="2"/>
  <c r="N188" i="2"/>
  <c r="O188" i="2"/>
  <c r="P188" i="2"/>
  <c r="Q188" i="2"/>
  <c r="R188" i="2"/>
  <c r="C189" i="2"/>
  <c r="D189" i="2"/>
  <c r="E189" i="2"/>
  <c r="F189" i="2"/>
  <c r="G189" i="2"/>
  <c r="H189" i="2"/>
  <c r="I189" i="2"/>
  <c r="J189" i="2"/>
  <c r="K189" i="2"/>
  <c r="L189" i="2"/>
  <c r="M189" i="2"/>
  <c r="N189" i="2"/>
  <c r="O189" i="2"/>
  <c r="P189" i="2"/>
  <c r="Q189" i="2"/>
  <c r="R189" i="2"/>
  <c r="C190" i="2"/>
  <c r="D190" i="2"/>
  <c r="E190" i="2"/>
  <c r="F190" i="2"/>
  <c r="G190" i="2"/>
  <c r="H190" i="2"/>
  <c r="I190" i="2"/>
  <c r="J190" i="2"/>
  <c r="K190" i="2"/>
  <c r="L190" i="2"/>
  <c r="M190" i="2"/>
  <c r="N190" i="2"/>
  <c r="O190" i="2"/>
  <c r="P190" i="2"/>
  <c r="Q190" i="2"/>
  <c r="R190" i="2"/>
  <c r="C191" i="2"/>
  <c r="D191" i="2"/>
  <c r="E191" i="2"/>
  <c r="F191" i="2"/>
  <c r="G191" i="2"/>
  <c r="H191" i="2"/>
  <c r="I191" i="2"/>
  <c r="J191" i="2"/>
  <c r="K191" i="2"/>
  <c r="L191" i="2"/>
  <c r="M191" i="2"/>
  <c r="N191" i="2"/>
  <c r="O191" i="2"/>
  <c r="P191" i="2"/>
  <c r="Q191" i="2"/>
  <c r="R191" i="2"/>
  <c r="C192" i="2"/>
  <c r="D192" i="2"/>
  <c r="E192" i="2"/>
  <c r="F192" i="2"/>
  <c r="G192" i="2"/>
  <c r="H192" i="2"/>
  <c r="I192" i="2"/>
  <c r="J192" i="2"/>
  <c r="K192" i="2"/>
  <c r="L192" i="2"/>
  <c r="M192" i="2"/>
  <c r="N192" i="2"/>
  <c r="O192" i="2"/>
  <c r="P192" i="2"/>
  <c r="Q192" i="2"/>
  <c r="R192" i="2"/>
  <c r="C193" i="2"/>
  <c r="D193" i="2"/>
  <c r="E193" i="2"/>
  <c r="F193" i="2"/>
  <c r="G193" i="2"/>
  <c r="H193" i="2"/>
  <c r="I193" i="2"/>
  <c r="J193" i="2"/>
  <c r="K193" i="2"/>
  <c r="L193" i="2"/>
  <c r="M193" i="2"/>
  <c r="N193" i="2"/>
  <c r="O193" i="2"/>
  <c r="P193" i="2"/>
  <c r="Q193" i="2"/>
  <c r="R193" i="2"/>
  <c r="C194" i="2"/>
  <c r="D194" i="2"/>
  <c r="E194" i="2"/>
  <c r="F194" i="2"/>
  <c r="G194" i="2"/>
  <c r="H194" i="2"/>
  <c r="I194" i="2"/>
  <c r="J194" i="2"/>
  <c r="K194" i="2"/>
  <c r="L194" i="2"/>
  <c r="M194" i="2"/>
  <c r="N194" i="2"/>
  <c r="O194" i="2"/>
  <c r="P194" i="2"/>
  <c r="Q194" i="2"/>
  <c r="R194" i="2"/>
  <c r="C195" i="2"/>
  <c r="D195" i="2"/>
  <c r="E195" i="2"/>
  <c r="F195" i="2"/>
  <c r="G195" i="2"/>
  <c r="H195" i="2"/>
  <c r="I195" i="2"/>
  <c r="J195" i="2"/>
  <c r="K195" i="2"/>
  <c r="L195" i="2"/>
  <c r="M195" i="2"/>
  <c r="N195" i="2"/>
  <c r="O195" i="2"/>
  <c r="P195" i="2"/>
  <c r="Q195" i="2"/>
  <c r="R195" i="2"/>
  <c r="C196" i="2"/>
  <c r="D196" i="2"/>
  <c r="E196" i="2"/>
  <c r="F196" i="2"/>
  <c r="G196" i="2"/>
  <c r="H196" i="2"/>
  <c r="I196" i="2"/>
  <c r="J196" i="2"/>
  <c r="K196" i="2"/>
  <c r="L196" i="2"/>
  <c r="M196" i="2"/>
  <c r="N196" i="2"/>
  <c r="O196" i="2"/>
  <c r="P196" i="2"/>
  <c r="Q196" i="2"/>
  <c r="R196" i="2"/>
  <c r="C197" i="2"/>
  <c r="D197" i="2"/>
  <c r="E197" i="2"/>
  <c r="F197" i="2"/>
  <c r="G197" i="2"/>
  <c r="H197" i="2"/>
  <c r="I197" i="2"/>
  <c r="J197" i="2"/>
  <c r="K197" i="2"/>
  <c r="L197" i="2"/>
  <c r="M197" i="2"/>
  <c r="N197" i="2"/>
  <c r="O197" i="2"/>
  <c r="P197" i="2"/>
  <c r="Q197" i="2"/>
  <c r="R197" i="2"/>
  <c r="C198" i="2"/>
  <c r="D198" i="2"/>
  <c r="E198" i="2"/>
  <c r="F198" i="2"/>
  <c r="G198" i="2"/>
  <c r="H198" i="2"/>
  <c r="I198" i="2"/>
  <c r="J198" i="2"/>
  <c r="K198" i="2"/>
  <c r="L198" i="2"/>
  <c r="M198" i="2"/>
  <c r="N198" i="2"/>
  <c r="O198" i="2"/>
  <c r="P198" i="2"/>
  <c r="Q198" i="2"/>
  <c r="R198" i="2"/>
  <c r="C199" i="2"/>
  <c r="D199" i="2"/>
  <c r="E199" i="2"/>
  <c r="F199" i="2"/>
  <c r="G199" i="2"/>
  <c r="H199" i="2"/>
  <c r="I199" i="2"/>
  <c r="J199" i="2"/>
  <c r="K199" i="2"/>
  <c r="L199" i="2"/>
  <c r="M199" i="2"/>
  <c r="N199" i="2"/>
  <c r="O199" i="2"/>
  <c r="P199" i="2"/>
  <c r="Q199" i="2"/>
  <c r="R199" i="2"/>
  <c r="C200" i="2"/>
  <c r="D200" i="2"/>
  <c r="E200" i="2"/>
  <c r="F200" i="2"/>
  <c r="G200" i="2"/>
  <c r="H200" i="2"/>
  <c r="I200" i="2"/>
  <c r="J200" i="2"/>
  <c r="K200" i="2"/>
  <c r="L200" i="2"/>
  <c r="M200" i="2"/>
  <c r="N200" i="2"/>
  <c r="O200" i="2"/>
  <c r="P200" i="2"/>
  <c r="Q200" i="2"/>
  <c r="R200" i="2"/>
  <c r="C201" i="2"/>
  <c r="D201" i="2"/>
  <c r="E201" i="2"/>
  <c r="F201" i="2"/>
  <c r="G201" i="2"/>
  <c r="H201" i="2"/>
  <c r="I201" i="2"/>
  <c r="J201" i="2"/>
  <c r="K201" i="2"/>
  <c r="L201" i="2"/>
  <c r="M201" i="2"/>
  <c r="N201" i="2"/>
  <c r="O201" i="2"/>
  <c r="P201" i="2"/>
  <c r="Q201" i="2"/>
  <c r="R201" i="2"/>
  <c r="C202" i="2"/>
  <c r="D202" i="2"/>
  <c r="E202" i="2"/>
  <c r="F202" i="2"/>
  <c r="G202" i="2"/>
  <c r="H202" i="2"/>
  <c r="I202" i="2"/>
  <c r="J202" i="2"/>
  <c r="K202" i="2"/>
  <c r="L202" i="2"/>
  <c r="M202" i="2"/>
  <c r="N202" i="2"/>
  <c r="O202" i="2"/>
  <c r="P202" i="2"/>
  <c r="Q202" i="2"/>
  <c r="R202" i="2"/>
  <c r="C203" i="2"/>
  <c r="D203" i="2"/>
  <c r="E203" i="2"/>
  <c r="F203" i="2"/>
  <c r="G203" i="2"/>
  <c r="H203" i="2"/>
  <c r="I203" i="2"/>
  <c r="J203" i="2"/>
  <c r="K203" i="2"/>
  <c r="L203" i="2"/>
  <c r="M203" i="2"/>
  <c r="N203" i="2"/>
  <c r="O203" i="2"/>
  <c r="P203" i="2"/>
  <c r="Q203" i="2"/>
  <c r="R203" i="2"/>
  <c r="C204" i="2"/>
  <c r="D204" i="2"/>
  <c r="E204" i="2"/>
  <c r="F204" i="2"/>
  <c r="G204" i="2"/>
  <c r="H204" i="2"/>
  <c r="I204" i="2"/>
  <c r="J204" i="2"/>
  <c r="K204" i="2"/>
  <c r="L204" i="2"/>
  <c r="M204" i="2"/>
  <c r="N204" i="2"/>
  <c r="O204" i="2"/>
  <c r="P204" i="2"/>
  <c r="Q204" i="2"/>
  <c r="R204" i="2"/>
  <c r="C205" i="2"/>
  <c r="D205" i="2"/>
  <c r="E205" i="2"/>
  <c r="F205" i="2"/>
  <c r="G205" i="2"/>
  <c r="H205" i="2"/>
  <c r="I205" i="2"/>
  <c r="J205" i="2"/>
  <c r="K205" i="2"/>
  <c r="L205" i="2"/>
  <c r="M205" i="2"/>
  <c r="N205" i="2"/>
  <c r="O205" i="2"/>
  <c r="P205" i="2"/>
  <c r="Q205" i="2"/>
  <c r="R205" i="2"/>
  <c r="C206" i="2"/>
  <c r="D206" i="2"/>
  <c r="E206" i="2"/>
  <c r="F206" i="2"/>
  <c r="G206" i="2"/>
  <c r="H206" i="2"/>
  <c r="I206" i="2"/>
  <c r="J206" i="2"/>
  <c r="K206" i="2"/>
  <c r="L206" i="2"/>
  <c r="M206" i="2"/>
  <c r="N206" i="2"/>
  <c r="O206" i="2"/>
  <c r="P206" i="2"/>
  <c r="Q206" i="2"/>
  <c r="R206" i="2"/>
  <c r="C207" i="2"/>
  <c r="D207" i="2"/>
  <c r="E207" i="2"/>
  <c r="F207" i="2"/>
  <c r="G207" i="2"/>
  <c r="H207" i="2"/>
  <c r="I207" i="2"/>
  <c r="J207" i="2"/>
  <c r="K207" i="2"/>
  <c r="L207" i="2"/>
  <c r="M207" i="2"/>
  <c r="N207" i="2"/>
  <c r="O207" i="2"/>
  <c r="P207" i="2"/>
  <c r="Q207" i="2"/>
  <c r="R207" i="2"/>
  <c r="C208" i="2"/>
  <c r="D208" i="2"/>
  <c r="E208" i="2"/>
  <c r="F208" i="2"/>
  <c r="G208" i="2"/>
  <c r="H208" i="2"/>
  <c r="I208" i="2"/>
  <c r="J208" i="2"/>
  <c r="K208" i="2"/>
  <c r="L208" i="2"/>
  <c r="M208" i="2"/>
  <c r="N208" i="2"/>
  <c r="O208" i="2"/>
  <c r="P208" i="2"/>
  <c r="Q208" i="2"/>
  <c r="R208" i="2"/>
  <c r="C209" i="2"/>
  <c r="D209" i="2"/>
  <c r="E209" i="2"/>
  <c r="F209" i="2"/>
  <c r="G209" i="2"/>
  <c r="H209" i="2"/>
  <c r="I209" i="2"/>
  <c r="J209" i="2"/>
  <c r="K209" i="2"/>
  <c r="L209" i="2"/>
  <c r="M209" i="2"/>
  <c r="N209" i="2"/>
  <c r="O209" i="2"/>
  <c r="P209" i="2"/>
  <c r="Q209" i="2"/>
  <c r="R209" i="2"/>
  <c r="C210" i="2"/>
  <c r="D210" i="2"/>
  <c r="E210" i="2"/>
  <c r="F210" i="2"/>
  <c r="G210" i="2"/>
  <c r="H210" i="2"/>
  <c r="I210" i="2"/>
  <c r="J210" i="2"/>
  <c r="K210" i="2"/>
  <c r="L210" i="2"/>
  <c r="M210" i="2"/>
  <c r="N210" i="2"/>
  <c r="O210" i="2"/>
  <c r="P210" i="2"/>
  <c r="Q210" i="2"/>
  <c r="R210"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110" i="2"/>
  <c r="B39" i="2"/>
  <c r="B38" i="2"/>
  <c r="B37" i="2"/>
  <c r="B36" i="2"/>
  <c r="B35" i="2"/>
  <c r="B34" i="2"/>
  <c r="B33" i="2"/>
  <c r="B32" i="2"/>
  <c r="B31" i="2"/>
  <c r="B30" i="2"/>
  <c r="B29" i="2"/>
  <c r="B28" i="2"/>
  <c r="B27" i="2"/>
  <c r="B26" i="2"/>
  <c r="B25" i="2"/>
  <c r="B24" i="2"/>
  <c r="B23" i="2"/>
  <c r="B22" i="2"/>
  <c r="B21" i="2"/>
  <c r="B20" i="2"/>
  <c r="B19" i="2"/>
  <c r="B18" i="2"/>
  <c r="B17" i="2"/>
  <c r="B16" i="2"/>
  <c r="B15" i="2"/>
  <c r="N98" i="41" l="1"/>
  <c r="M42" i="41"/>
  <c r="M45" i="41"/>
  <c r="N108" i="41"/>
  <c r="N507" i="41"/>
  <c r="M78" i="41"/>
  <c r="M81" i="41" s="1"/>
  <c r="M82" i="41" s="1"/>
  <c r="M64" i="41"/>
  <c r="M65" i="41" s="1"/>
  <c r="M66" i="41" s="1"/>
  <c r="M85" i="41"/>
  <c r="M234" i="41"/>
  <c r="N233" i="41"/>
  <c r="N48" i="41"/>
  <c r="N53" i="41" s="1"/>
  <c r="M60" i="41"/>
  <c r="M61" i="41"/>
  <c r="I260" i="2"/>
  <c r="P273" i="2"/>
  <c r="H273" i="2"/>
  <c r="P272" i="2"/>
  <c r="H272" i="2"/>
  <c r="P271" i="2"/>
  <c r="H271" i="2"/>
  <c r="P270" i="2"/>
  <c r="H270" i="2"/>
  <c r="P268" i="2"/>
  <c r="H268" i="2"/>
  <c r="N278" i="2"/>
  <c r="F278" i="2"/>
  <c r="N276" i="2"/>
  <c r="F276" i="2"/>
  <c r="N275" i="2"/>
  <c r="F275" i="2"/>
  <c r="N273" i="2"/>
  <c r="F273" i="2"/>
  <c r="N272" i="2"/>
  <c r="F272" i="2"/>
  <c r="N271" i="2"/>
  <c r="F271" i="2"/>
  <c r="N270" i="2"/>
  <c r="F270" i="2"/>
  <c r="N268" i="2"/>
  <c r="F268" i="2"/>
  <c r="N267" i="2"/>
  <c r="F267" i="2"/>
  <c r="N266" i="2"/>
  <c r="F266" i="2"/>
  <c r="N265" i="2"/>
  <c r="O233" i="2"/>
  <c r="G233" i="2"/>
  <c r="O231" i="2"/>
  <c r="G231" i="2"/>
  <c r="O230" i="2"/>
  <c r="G230" i="2"/>
  <c r="O228" i="2"/>
  <c r="G228" i="2"/>
  <c r="O227" i="2"/>
  <c r="G227" i="2"/>
  <c r="O226" i="2"/>
  <c r="G226" i="2"/>
  <c r="O225" i="2"/>
  <c r="G225" i="2"/>
  <c r="O223" i="2"/>
  <c r="G223" i="2"/>
  <c r="O222" i="2"/>
  <c r="G222" i="2"/>
  <c r="O221" i="2"/>
  <c r="G221" i="2"/>
  <c r="O220" i="2"/>
  <c r="G220" i="2"/>
  <c r="O218" i="2"/>
  <c r="G218" i="2"/>
  <c r="O217" i="2"/>
  <c r="G217" i="2"/>
  <c r="O216" i="2"/>
  <c r="G216" i="2"/>
  <c r="O215" i="2"/>
  <c r="G215" i="2"/>
  <c r="K300" i="2"/>
  <c r="K302" i="2"/>
  <c r="C298" i="2"/>
  <c r="K286" i="2"/>
  <c r="C283" i="2"/>
  <c r="L303" i="2"/>
  <c r="D303" i="2"/>
  <c r="L302" i="2"/>
  <c r="D302" i="2"/>
  <c r="L301" i="2"/>
  <c r="D301" i="2"/>
  <c r="L300" i="2"/>
  <c r="D300" i="2"/>
  <c r="L299" i="2"/>
  <c r="D299" i="2"/>
  <c r="L298" i="2"/>
  <c r="D298" i="2"/>
  <c r="L286" i="2"/>
  <c r="D286" i="2"/>
  <c r="L285" i="2"/>
  <c r="D285" i="2"/>
  <c r="L284" i="2"/>
  <c r="D284" i="2"/>
  <c r="L283" i="2"/>
  <c r="D283" i="2"/>
  <c r="C284" i="2"/>
  <c r="K283" i="2"/>
  <c r="R303" i="2"/>
  <c r="J303" i="2"/>
  <c r="R302" i="2"/>
  <c r="J302" i="2"/>
  <c r="R301" i="2"/>
  <c r="J301" i="2"/>
  <c r="R300" i="2"/>
  <c r="J300" i="2"/>
  <c r="R299" i="2"/>
  <c r="J299" i="2"/>
  <c r="R298" i="2"/>
  <c r="J298" i="2"/>
  <c r="R286" i="2"/>
  <c r="J286" i="2"/>
  <c r="R285" i="2"/>
  <c r="J285" i="2"/>
  <c r="R284" i="2"/>
  <c r="J284" i="2"/>
  <c r="R283" i="2"/>
  <c r="J283" i="2"/>
  <c r="C303" i="2"/>
  <c r="K301" i="2"/>
  <c r="K298" i="2"/>
  <c r="C286" i="2"/>
  <c r="Q303" i="2"/>
  <c r="I303" i="2"/>
  <c r="Q302" i="2"/>
  <c r="I302" i="2"/>
  <c r="Q301" i="2"/>
  <c r="I301" i="2"/>
  <c r="Q300" i="2"/>
  <c r="I300" i="2"/>
  <c r="Q299" i="2"/>
  <c r="I299" i="2"/>
  <c r="Q298" i="2"/>
  <c r="I298" i="2"/>
  <c r="Q274" i="2"/>
  <c r="Q286" i="2"/>
  <c r="I274" i="2"/>
  <c r="I286" i="2"/>
  <c r="Q269" i="2"/>
  <c r="Q285" i="2"/>
  <c r="I269" i="2"/>
  <c r="I285" i="2"/>
  <c r="Q264" i="2"/>
  <c r="Q284" i="2"/>
  <c r="I264" i="2"/>
  <c r="I284" i="2"/>
  <c r="Q259" i="2"/>
  <c r="Q283" i="2"/>
  <c r="I259" i="2"/>
  <c r="I283" i="2"/>
  <c r="C302" i="2"/>
  <c r="C301" i="2"/>
  <c r="C300" i="2"/>
  <c r="K285" i="2"/>
  <c r="P303" i="2"/>
  <c r="H303" i="2"/>
  <c r="P302" i="2"/>
  <c r="H302" i="2"/>
  <c r="P301" i="2"/>
  <c r="H301" i="2"/>
  <c r="P300" i="2"/>
  <c r="H300" i="2"/>
  <c r="P299" i="2"/>
  <c r="H299" i="2"/>
  <c r="P298" i="2"/>
  <c r="H298" i="2"/>
  <c r="P286" i="2"/>
  <c r="H286" i="2"/>
  <c r="P269" i="2"/>
  <c r="P285" i="2"/>
  <c r="H269" i="2"/>
  <c r="H285" i="2"/>
  <c r="P284" i="2"/>
  <c r="H284" i="2"/>
  <c r="P283" i="2"/>
  <c r="H283" i="2"/>
  <c r="K299" i="2"/>
  <c r="K284" i="2"/>
  <c r="O303" i="2"/>
  <c r="G303" i="2"/>
  <c r="O302" i="2"/>
  <c r="G302" i="2"/>
  <c r="O301" i="2"/>
  <c r="G301" i="2"/>
  <c r="O300" i="2"/>
  <c r="G300" i="2"/>
  <c r="O299" i="2"/>
  <c r="G299" i="2"/>
  <c r="O298" i="2"/>
  <c r="G298" i="2"/>
  <c r="O286" i="2"/>
  <c r="G286" i="2"/>
  <c r="O285" i="2"/>
  <c r="G285" i="2"/>
  <c r="O284" i="2"/>
  <c r="G284" i="2"/>
  <c r="O283" i="2"/>
  <c r="G283" i="2"/>
  <c r="K303" i="2"/>
  <c r="N303" i="2"/>
  <c r="F303" i="2"/>
  <c r="N302" i="2"/>
  <c r="F302" i="2"/>
  <c r="N301" i="2"/>
  <c r="F301" i="2"/>
  <c r="N300" i="2"/>
  <c r="F300" i="2"/>
  <c r="N299" i="2"/>
  <c r="F299" i="2"/>
  <c r="N298" i="2"/>
  <c r="F298" i="2"/>
  <c r="N274" i="2"/>
  <c r="N286" i="2"/>
  <c r="F274" i="2"/>
  <c r="F286" i="2"/>
  <c r="N269" i="2"/>
  <c r="N285" i="2"/>
  <c r="F269" i="2"/>
  <c r="F285" i="2"/>
  <c r="F265" i="2"/>
  <c r="N264" i="2"/>
  <c r="N284" i="2"/>
  <c r="F264" i="2"/>
  <c r="F284" i="2"/>
  <c r="N263" i="2"/>
  <c r="F263" i="2"/>
  <c r="N262" i="2"/>
  <c r="F262" i="2"/>
  <c r="N261" i="2"/>
  <c r="F261" i="2"/>
  <c r="N260" i="2"/>
  <c r="F260" i="2"/>
  <c r="N259" i="2"/>
  <c r="N283" i="2"/>
  <c r="F259" i="2"/>
  <c r="F283" i="2"/>
  <c r="C299" i="2"/>
  <c r="C285" i="2"/>
  <c r="M303" i="2"/>
  <c r="E303" i="2"/>
  <c r="M302" i="2"/>
  <c r="E302" i="2"/>
  <c r="M301" i="2"/>
  <c r="E301" i="2"/>
  <c r="M300" i="2"/>
  <c r="E300" i="2"/>
  <c r="M299" i="2"/>
  <c r="E299" i="2"/>
  <c r="M298" i="2"/>
  <c r="E298" i="2"/>
  <c r="M286" i="2"/>
  <c r="E286" i="2"/>
  <c r="M285" i="2"/>
  <c r="E285" i="2"/>
  <c r="M284" i="2"/>
  <c r="E284" i="2"/>
  <c r="M283" i="2"/>
  <c r="E283" i="2"/>
  <c r="Q233" i="2"/>
  <c r="I233" i="2"/>
  <c r="I231" i="2"/>
  <c r="Q230" i="2"/>
  <c r="I230" i="2"/>
  <c r="Q228" i="2"/>
  <c r="I228" i="2"/>
  <c r="Q227" i="2"/>
  <c r="I227" i="2"/>
  <c r="Q226" i="2"/>
  <c r="I226" i="2"/>
  <c r="Q225" i="2"/>
  <c r="I225" i="2"/>
  <c r="Q223" i="2"/>
  <c r="I223" i="2"/>
  <c r="Q222" i="2"/>
  <c r="I222" i="2"/>
  <c r="Q221" i="2"/>
  <c r="I221" i="2"/>
  <c r="Q220" i="2"/>
  <c r="I220" i="2"/>
  <c r="Q218" i="2"/>
  <c r="I218" i="2"/>
  <c r="Q217" i="2"/>
  <c r="I217" i="2"/>
  <c r="J257" i="2"/>
  <c r="R255" i="2"/>
  <c r="J253" i="2"/>
  <c r="R241" i="2"/>
  <c r="R240" i="2"/>
  <c r="R239" i="2"/>
  <c r="J238" i="2"/>
  <c r="Q258" i="2"/>
  <c r="I258" i="2"/>
  <c r="Q257" i="2"/>
  <c r="I257" i="2"/>
  <c r="Q256" i="2"/>
  <c r="I256" i="2"/>
  <c r="Q255" i="2"/>
  <c r="I255" i="2"/>
  <c r="Q254" i="2"/>
  <c r="I254" i="2"/>
  <c r="Q253" i="2"/>
  <c r="I253" i="2"/>
  <c r="Q229" i="2"/>
  <c r="Q241" i="2"/>
  <c r="I229" i="2"/>
  <c r="I241" i="2"/>
  <c r="Q224" i="2"/>
  <c r="Q240" i="2"/>
  <c r="I224" i="2"/>
  <c r="I240" i="2"/>
  <c r="Q219" i="2"/>
  <c r="Q239" i="2"/>
  <c r="I219" i="2"/>
  <c r="I239" i="2"/>
  <c r="Q238" i="2"/>
  <c r="I238" i="2"/>
  <c r="J258" i="2"/>
  <c r="J240" i="2"/>
  <c r="R238" i="2"/>
  <c r="P258" i="2"/>
  <c r="H258" i="2"/>
  <c r="P257" i="2"/>
  <c r="H257" i="2"/>
  <c r="P256" i="2"/>
  <c r="H256" i="2"/>
  <c r="P255" i="2"/>
  <c r="H255" i="2"/>
  <c r="P254" i="2"/>
  <c r="H254" i="2"/>
  <c r="P253" i="2"/>
  <c r="H253" i="2"/>
  <c r="P241" i="2"/>
  <c r="H241" i="2"/>
  <c r="P240" i="2"/>
  <c r="H240" i="2"/>
  <c r="P239" i="2"/>
  <c r="H239" i="2"/>
  <c r="P238" i="2"/>
  <c r="H238" i="2"/>
  <c r="R257" i="2"/>
  <c r="J255" i="2"/>
  <c r="J241" i="2"/>
  <c r="J239" i="2"/>
  <c r="O258" i="2"/>
  <c r="G258" i="2"/>
  <c r="O257" i="2"/>
  <c r="G257" i="2"/>
  <c r="O256" i="2"/>
  <c r="G256" i="2"/>
  <c r="O255" i="2"/>
  <c r="G255" i="2"/>
  <c r="O254" i="2"/>
  <c r="G254" i="2"/>
  <c r="O253" i="2"/>
  <c r="G253" i="2"/>
  <c r="O229" i="2"/>
  <c r="O241" i="2"/>
  <c r="G229" i="2"/>
  <c r="G241" i="2"/>
  <c r="O224" i="2"/>
  <c r="O240" i="2"/>
  <c r="G224" i="2"/>
  <c r="G240" i="2"/>
  <c r="O219" i="2"/>
  <c r="O239" i="2"/>
  <c r="G219" i="2"/>
  <c r="G239" i="2"/>
  <c r="O214" i="2"/>
  <c r="O238" i="2"/>
  <c r="G214" i="2"/>
  <c r="G238" i="2"/>
  <c r="J256" i="2"/>
  <c r="N258" i="2"/>
  <c r="F258" i="2"/>
  <c r="N257" i="2"/>
  <c r="F257" i="2"/>
  <c r="N256" i="2"/>
  <c r="F256" i="2"/>
  <c r="N255" i="2"/>
  <c r="F255" i="2"/>
  <c r="N254" i="2"/>
  <c r="F254" i="2"/>
  <c r="N253" i="2"/>
  <c r="F253" i="2"/>
  <c r="N241" i="2"/>
  <c r="F241" i="2"/>
  <c r="N240" i="2"/>
  <c r="F240" i="2"/>
  <c r="N239" i="2"/>
  <c r="F239" i="2"/>
  <c r="N238" i="2"/>
  <c r="F238" i="2"/>
  <c r="R256" i="2"/>
  <c r="R254" i="2"/>
  <c r="M258" i="2"/>
  <c r="E258" i="2"/>
  <c r="M257" i="2"/>
  <c r="E257" i="2"/>
  <c r="M256" i="2"/>
  <c r="E256" i="2"/>
  <c r="M255" i="2"/>
  <c r="E255" i="2"/>
  <c r="M254" i="2"/>
  <c r="E254" i="2"/>
  <c r="M253" i="2"/>
  <c r="E253" i="2"/>
  <c r="M241" i="2"/>
  <c r="E241" i="2"/>
  <c r="M240" i="2"/>
  <c r="E240" i="2"/>
  <c r="M239" i="2"/>
  <c r="E239" i="2"/>
  <c r="M238" i="2"/>
  <c r="E238" i="2"/>
  <c r="J254" i="2"/>
  <c r="R253" i="2"/>
  <c r="L258" i="2"/>
  <c r="D258" i="2"/>
  <c r="L257" i="2"/>
  <c r="D257" i="2"/>
  <c r="L256" i="2"/>
  <c r="D256" i="2"/>
  <c r="L255" i="2"/>
  <c r="D255" i="2"/>
  <c r="L254" i="2"/>
  <c r="D254" i="2"/>
  <c r="L253" i="2"/>
  <c r="D253" i="2"/>
  <c r="L241" i="2"/>
  <c r="D241" i="2"/>
  <c r="L240" i="2"/>
  <c r="D240" i="2"/>
  <c r="L239" i="2"/>
  <c r="D239" i="2"/>
  <c r="L238" i="2"/>
  <c r="D238" i="2"/>
  <c r="R258" i="2"/>
  <c r="K258" i="2"/>
  <c r="C258" i="2"/>
  <c r="K257" i="2"/>
  <c r="C257" i="2"/>
  <c r="K256" i="2"/>
  <c r="C256" i="2"/>
  <c r="K255" i="2"/>
  <c r="C255" i="2"/>
  <c r="K254" i="2"/>
  <c r="C254" i="2"/>
  <c r="K253" i="2"/>
  <c r="C253" i="2"/>
  <c r="K241" i="2"/>
  <c r="C241" i="2"/>
  <c r="K240" i="2"/>
  <c r="C240" i="2"/>
  <c r="K239" i="2"/>
  <c r="C239" i="2"/>
  <c r="K238" i="2"/>
  <c r="C238" i="2"/>
  <c r="Q216" i="2"/>
  <c r="J111" i="2"/>
  <c r="I216" i="2"/>
  <c r="P267" i="2"/>
  <c r="H267" i="2"/>
  <c r="P266" i="2"/>
  <c r="H266" i="2"/>
  <c r="P265" i="2"/>
  <c r="H265" i="2"/>
  <c r="P264" i="2"/>
  <c r="H264" i="2"/>
  <c r="P263" i="2"/>
  <c r="H263" i="2"/>
  <c r="P262" i="2"/>
  <c r="H262" i="2"/>
  <c r="Q281" i="2"/>
  <c r="P282" i="2"/>
  <c r="H282" i="2"/>
  <c r="P281" i="2"/>
  <c r="H281" i="2"/>
  <c r="P280" i="2"/>
  <c r="H280" i="2"/>
  <c r="P279" i="2"/>
  <c r="H279" i="2"/>
  <c r="Q215" i="2"/>
  <c r="I277" i="2"/>
  <c r="I279" i="2"/>
  <c r="O282" i="2"/>
  <c r="G282" i="2"/>
  <c r="O281" i="2"/>
  <c r="G281" i="2"/>
  <c r="O280" i="2"/>
  <c r="G280" i="2"/>
  <c r="O279" i="2"/>
  <c r="G279" i="2"/>
  <c r="I282" i="2"/>
  <c r="Q280" i="2"/>
  <c r="N282" i="2"/>
  <c r="F282" i="2"/>
  <c r="N281" i="2"/>
  <c r="F281" i="2"/>
  <c r="N280" i="2"/>
  <c r="F280" i="2"/>
  <c r="N277" i="2"/>
  <c r="N279" i="2"/>
  <c r="F277" i="2"/>
  <c r="F279" i="2"/>
  <c r="Q277" i="2"/>
  <c r="Q279" i="2"/>
  <c r="M282" i="2"/>
  <c r="E282" i="2"/>
  <c r="M281" i="2"/>
  <c r="E281" i="2"/>
  <c r="M280" i="2"/>
  <c r="E280" i="2"/>
  <c r="M279" i="2"/>
  <c r="E279" i="2"/>
  <c r="I280" i="2"/>
  <c r="L282" i="2"/>
  <c r="D282" i="2"/>
  <c r="L281" i="2"/>
  <c r="D281" i="2"/>
  <c r="L280" i="2"/>
  <c r="D280" i="2"/>
  <c r="L279" i="2"/>
  <c r="D279" i="2"/>
  <c r="Q282" i="2"/>
  <c r="K282" i="2"/>
  <c r="C282" i="2"/>
  <c r="K281" i="2"/>
  <c r="C281" i="2"/>
  <c r="K280" i="2"/>
  <c r="C280" i="2"/>
  <c r="K279" i="2"/>
  <c r="C279" i="2"/>
  <c r="I281" i="2"/>
  <c r="R282" i="2"/>
  <c r="J282" i="2"/>
  <c r="R281" i="2"/>
  <c r="J281" i="2"/>
  <c r="R280" i="2"/>
  <c r="J280" i="2"/>
  <c r="R279" i="2"/>
  <c r="J279" i="2"/>
  <c r="J234" i="2"/>
  <c r="C211" i="2"/>
  <c r="J237" i="2"/>
  <c r="J235" i="2"/>
  <c r="Q237" i="2"/>
  <c r="I237" i="2"/>
  <c r="Q236" i="2"/>
  <c r="I236" i="2"/>
  <c r="Q235" i="2"/>
  <c r="I235" i="2"/>
  <c r="Q232" i="2"/>
  <c r="Q234" i="2"/>
  <c r="I232" i="2"/>
  <c r="I234" i="2"/>
  <c r="R237" i="2"/>
  <c r="R236" i="2"/>
  <c r="P237" i="2"/>
  <c r="H237" i="2"/>
  <c r="P236" i="2"/>
  <c r="H236" i="2"/>
  <c r="P235" i="2"/>
  <c r="H235" i="2"/>
  <c r="P234" i="2"/>
  <c r="H234" i="2"/>
  <c r="O237" i="2"/>
  <c r="G237" i="2"/>
  <c r="O236" i="2"/>
  <c r="G236" i="2"/>
  <c r="O235" i="2"/>
  <c r="G235" i="2"/>
  <c r="O232" i="2"/>
  <c r="O234" i="2"/>
  <c r="G232" i="2"/>
  <c r="G234" i="2"/>
  <c r="R111" i="2"/>
  <c r="N237" i="2"/>
  <c r="F237" i="2"/>
  <c r="N236" i="2"/>
  <c r="F236" i="2"/>
  <c r="N235" i="2"/>
  <c r="F235" i="2"/>
  <c r="N234" i="2"/>
  <c r="F234" i="2"/>
  <c r="J236" i="2"/>
  <c r="R235" i="2"/>
  <c r="R234" i="2"/>
  <c r="M237" i="2"/>
  <c r="E237" i="2"/>
  <c r="M236" i="2"/>
  <c r="E236" i="2"/>
  <c r="M235" i="2"/>
  <c r="E235" i="2"/>
  <c r="M234" i="2"/>
  <c r="E234" i="2"/>
  <c r="L237" i="2"/>
  <c r="D237" i="2"/>
  <c r="L236" i="2"/>
  <c r="D236" i="2"/>
  <c r="L235" i="2"/>
  <c r="D235" i="2"/>
  <c r="L234" i="2"/>
  <c r="D234" i="2"/>
  <c r="K237" i="2"/>
  <c r="C237" i="2"/>
  <c r="K236" i="2"/>
  <c r="C236" i="2"/>
  <c r="K235" i="2"/>
  <c r="C235" i="2"/>
  <c r="K234" i="2"/>
  <c r="C234" i="2"/>
  <c r="K278" i="2"/>
  <c r="K277" i="2"/>
  <c r="K276" i="2"/>
  <c r="K275" i="2"/>
  <c r="K274" i="2"/>
  <c r="K273" i="2"/>
  <c r="K272" i="2"/>
  <c r="K271" i="2"/>
  <c r="K270" i="2"/>
  <c r="K269" i="2"/>
  <c r="K268" i="2"/>
  <c r="K267" i="2"/>
  <c r="K266" i="2"/>
  <c r="K265" i="2"/>
  <c r="K264" i="2"/>
  <c r="K263" i="2"/>
  <c r="K262" i="2"/>
  <c r="K261" i="2"/>
  <c r="K260" i="2"/>
  <c r="K259" i="2"/>
  <c r="H259" i="2"/>
  <c r="M278" i="2"/>
  <c r="E278" i="2"/>
  <c r="M277" i="2"/>
  <c r="E277" i="2"/>
  <c r="M276" i="2"/>
  <c r="E276" i="2"/>
  <c r="M275" i="2"/>
  <c r="E275" i="2"/>
  <c r="M274" i="2"/>
  <c r="E274" i="2"/>
  <c r="M273" i="2"/>
  <c r="E273" i="2"/>
  <c r="M272" i="2"/>
  <c r="E272" i="2"/>
  <c r="M271" i="2"/>
  <c r="E271" i="2"/>
  <c r="M270" i="2"/>
  <c r="E270" i="2"/>
  <c r="M269" i="2"/>
  <c r="E269" i="2"/>
  <c r="M268" i="2"/>
  <c r="E268" i="2"/>
  <c r="M267" i="2"/>
  <c r="E267" i="2"/>
  <c r="M266" i="2"/>
  <c r="E266" i="2"/>
  <c r="M265" i="2"/>
  <c r="E265" i="2"/>
  <c r="M264" i="2"/>
  <c r="E264" i="2"/>
  <c r="M263" i="2"/>
  <c r="E263" i="2"/>
  <c r="M262" i="2"/>
  <c r="E262" i="2"/>
  <c r="M261" i="2"/>
  <c r="E261" i="2"/>
  <c r="M260" i="2"/>
  <c r="E260" i="2"/>
  <c r="E259" i="2"/>
  <c r="P278" i="2"/>
  <c r="H278" i="2"/>
  <c r="P277" i="2"/>
  <c r="H277" i="2"/>
  <c r="P276" i="2"/>
  <c r="H276" i="2"/>
  <c r="P275" i="2"/>
  <c r="H275" i="2"/>
  <c r="P274" i="2"/>
  <c r="H274" i="2"/>
  <c r="P261" i="2"/>
  <c r="H261" i="2"/>
  <c r="P260" i="2"/>
  <c r="H260" i="2"/>
  <c r="P259" i="2"/>
  <c r="I215" i="2"/>
  <c r="Q214" i="2"/>
  <c r="O278" i="2"/>
  <c r="G278" i="2"/>
  <c r="O277" i="2"/>
  <c r="G277" i="2"/>
  <c r="O276" i="2"/>
  <c r="G276" i="2"/>
  <c r="O275" i="2"/>
  <c r="G275" i="2"/>
  <c r="O274" i="2"/>
  <c r="G274" i="2"/>
  <c r="O273" i="2"/>
  <c r="G273" i="2"/>
  <c r="O272" i="2"/>
  <c r="G272" i="2"/>
  <c r="O271" i="2"/>
  <c r="G271" i="2"/>
  <c r="O270" i="2"/>
  <c r="G270" i="2"/>
  <c r="O269" i="2"/>
  <c r="G269" i="2"/>
  <c r="O268" i="2"/>
  <c r="G268" i="2"/>
  <c r="O267" i="2"/>
  <c r="G267" i="2"/>
  <c r="O266" i="2"/>
  <c r="G266" i="2"/>
  <c r="O265" i="2"/>
  <c r="G265" i="2"/>
  <c r="O264" i="2"/>
  <c r="G264" i="2"/>
  <c r="O263" i="2"/>
  <c r="G263" i="2"/>
  <c r="O262" i="2"/>
  <c r="G262" i="2"/>
  <c r="O261" i="2"/>
  <c r="G261" i="2"/>
  <c r="O260" i="2"/>
  <c r="G260" i="2"/>
  <c r="O259" i="2"/>
  <c r="G259" i="2"/>
  <c r="M259" i="2"/>
  <c r="L278" i="2"/>
  <c r="D278" i="2"/>
  <c r="L277" i="2"/>
  <c r="D277" i="2"/>
  <c r="L276" i="2"/>
  <c r="D276" i="2"/>
  <c r="L275" i="2"/>
  <c r="D275" i="2"/>
  <c r="L274" i="2"/>
  <c r="D274" i="2"/>
  <c r="L273" i="2"/>
  <c r="D273" i="2"/>
  <c r="L272" i="2"/>
  <c r="D272" i="2"/>
  <c r="L271" i="2"/>
  <c r="D271" i="2"/>
  <c r="L270" i="2"/>
  <c r="D270" i="2"/>
  <c r="L269" i="2"/>
  <c r="D269" i="2"/>
  <c r="L268" i="2"/>
  <c r="D268" i="2"/>
  <c r="L267" i="2"/>
  <c r="D267" i="2"/>
  <c r="L266" i="2"/>
  <c r="D266" i="2"/>
  <c r="L265" i="2"/>
  <c r="D265" i="2"/>
  <c r="L264" i="2"/>
  <c r="D264" i="2"/>
  <c r="L263" i="2"/>
  <c r="D263" i="2"/>
  <c r="L262" i="2"/>
  <c r="D262" i="2"/>
  <c r="L261" i="2"/>
  <c r="D261" i="2"/>
  <c r="L260" i="2"/>
  <c r="D260" i="2"/>
  <c r="L259" i="2"/>
  <c r="D259" i="2"/>
  <c r="C278" i="2"/>
  <c r="C277" i="2"/>
  <c r="C276" i="2"/>
  <c r="C275" i="2"/>
  <c r="C274" i="2"/>
  <c r="C273" i="2"/>
  <c r="C272" i="2"/>
  <c r="C271" i="2"/>
  <c r="C270" i="2"/>
  <c r="C269" i="2"/>
  <c r="C268" i="2"/>
  <c r="C267" i="2"/>
  <c r="C266" i="2"/>
  <c r="C265" i="2"/>
  <c r="C264" i="2"/>
  <c r="C263" i="2"/>
  <c r="C262" i="2"/>
  <c r="C261" i="2"/>
  <c r="C260" i="2"/>
  <c r="C259" i="2"/>
  <c r="R278" i="2"/>
  <c r="J278" i="2"/>
  <c r="R277" i="2"/>
  <c r="J277" i="2"/>
  <c r="R276" i="2"/>
  <c r="J276" i="2"/>
  <c r="R275" i="2"/>
  <c r="J275" i="2"/>
  <c r="R274" i="2"/>
  <c r="J274" i="2"/>
  <c r="R273" i="2"/>
  <c r="J273" i="2"/>
  <c r="R272" i="2"/>
  <c r="J272" i="2"/>
  <c r="R271" i="2"/>
  <c r="J271" i="2"/>
  <c r="R270" i="2"/>
  <c r="J270" i="2"/>
  <c r="R269" i="2"/>
  <c r="J269" i="2"/>
  <c r="R268" i="2"/>
  <c r="J268" i="2"/>
  <c r="R267" i="2"/>
  <c r="J267" i="2"/>
  <c r="R266" i="2"/>
  <c r="J266" i="2"/>
  <c r="R265" i="2"/>
  <c r="J265" i="2"/>
  <c r="R264" i="2"/>
  <c r="J264" i="2"/>
  <c r="R263" i="2"/>
  <c r="J263" i="2"/>
  <c r="R262" i="2"/>
  <c r="J262" i="2"/>
  <c r="R261" i="2"/>
  <c r="J261" i="2"/>
  <c r="R260" i="2"/>
  <c r="J260" i="2"/>
  <c r="R259" i="2"/>
  <c r="J259" i="2"/>
  <c r="K233" i="2"/>
  <c r="C233" i="2"/>
  <c r="K232" i="2"/>
  <c r="C232" i="2"/>
  <c r="K231" i="2"/>
  <c r="K230" i="2"/>
  <c r="K229" i="2"/>
  <c r="K228" i="2"/>
  <c r="C228" i="2"/>
  <c r="K227" i="2"/>
  <c r="C227" i="2"/>
  <c r="K226" i="2"/>
  <c r="C226" i="2"/>
  <c r="K225" i="2"/>
  <c r="C225" i="2"/>
  <c r="K224" i="2"/>
  <c r="C224" i="2"/>
  <c r="K223" i="2"/>
  <c r="K222" i="2"/>
  <c r="K221" i="2"/>
  <c r="K220" i="2"/>
  <c r="C220" i="2"/>
  <c r="K219" i="2"/>
  <c r="C219" i="2"/>
  <c r="K218" i="2"/>
  <c r="C218" i="2"/>
  <c r="K217" i="2"/>
  <c r="C217" i="2"/>
  <c r="K216" i="2"/>
  <c r="C216" i="2"/>
  <c r="K215" i="2"/>
  <c r="K214" i="2"/>
  <c r="I214" i="2"/>
  <c r="R231" i="2"/>
  <c r="J231" i="2"/>
  <c r="R230" i="2"/>
  <c r="J230" i="2"/>
  <c r="R229" i="2"/>
  <c r="C230" i="2"/>
  <c r="J229" i="2"/>
  <c r="C222" i="2"/>
  <c r="C214" i="2"/>
  <c r="R233" i="2"/>
  <c r="J233" i="2"/>
  <c r="R232" i="2"/>
  <c r="J232" i="2"/>
  <c r="R228" i="2"/>
  <c r="J228" i="2"/>
  <c r="R227" i="2"/>
  <c r="J227" i="2"/>
  <c r="R226" i="2"/>
  <c r="J226" i="2"/>
  <c r="R225" i="2"/>
  <c r="J225" i="2"/>
  <c r="R224" i="2"/>
  <c r="J224" i="2"/>
  <c r="R223" i="2"/>
  <c r="J223" i="2"/>
  <c r="R222" i="2"/>
  <c r="J222" i="2"/>
  <c r="R221" i="2"/>
  <c r="J221" i="2"/>
  <c r="R220" i="2"/>
  <c r="J220" i="2"/>
  <c r="R219" i="2"/>
  <c r="J219" i="2"/>
  <c r="R218" i="2"/>
  <c r="J218" i="2"/>
  <c r="R217" i="2"/>
  <c r="J217" i="2"/>
  <c r="R216" i="2"/>
  <c r="J216" i="2"/>
  <c r="R215" i="2"/>
  <c r="J215" i="2"/>
  <c r="R214" i="2"/>
  <c r="J214" i="2"/>
  <c r="C229" i="2"/>
  <c r="C221" i="2"/>
  <c r="Q231" i="2"/>
  <c r="P233" i="2"/>
  <c r="H233" i="2"/>
  <c r="P232" i="2"/>
  <c r="H232" i="2"/>
  <c r="P231" i="2"/>
  <c r="H231" i="2"/>
  <c r="P230" i="2"/>
  <c r="H230" i="2"/>
  <c r="P229" i="2"/>
  <c r="H229" i="2"/>
  <c r="P228" i="2"/>
  <c r="H228" i="2"/>
  <c r="P227" i="2"/>
  <c r="H227" i="2"/>
  <c r="P226" i="2"/>
  <c r="H226" i="2"/>
  <c r="P225" i="2"/>
  <c r="H225" i="2"/>
  <c r="P224" i="2"/>
  <c r="H224" i="2"/>
  <c r="P223" i="2"/>
  <c r="H223" i="2"/>
  <c r="P222" i="2"/>
  <c r="H222" i="2"/>
  <c r="P221" i="2"/>
  <c r="H221" i="2"/>
  <c r="P220" i="2"/>
  <c r="H220" i="2"/>
  <c r="P219" i="2"/>
  <c r="H219" i="2"/>
  <c r="P218" i="2"/>
  <c r="H218" i="2"/>
  <c r="P217" i="2"/>
  <c r="H217" i="2"/>
  <c r="P216" i="2"/>
  <c r="H216" i="2"/>
  <c r="P215" i="2"/>
  <c r="H215" i="2"/>
  <c r="P214" i="2"/>
  <c r="H214" i="2"/>
  <c r="C215" i="2"/>
  <c r="C231" i="2"/>
  <c r="C223" i="2"/>
  <c r="N233" i="2"/>
  <c r="F233" i="2"/>
  <c r="N232" i="2"/>
  <c r="F232" i="2"/>
  <c r="N231" i="2"/>
  <c r="F231" i="2"/>
  <c r="N230" i="2"/>
  <c r="F230" i="2"/>
  <c r="N229" i="2"/>
  <c r="F229" i="2"/>
  <c r="N228" i="2"/>
  <c r="F228" i="2"/>
  <c r="N227" i="2"/>
  <c r="F227" i="2"/>
  <c r="N226" i="2"/>
  <c r="F226" i="2"/>
  <c r="N225" i="2"/>
  <c r="F225" i="2"/>
  <c r="N224" i="2"/>
  <c r="F224" i="2"/>
  <c r="N223" i="2"/>
  <c r="F223" i="2"/>
  <c r="N222" i="2"/>
  <c r="F222" i="2"/>
  <c r="N221" i="2"/>
  <c r="F221" i="2"/>
  <c r="N220" i="2"/>
  <c r="F220" i="2"/>
  <c r="N219" i="2"/>
  <c r="F219" i="2"/>
  <c r="N218" i="2"/>
  <c r="F218" i="2"/>
  <c r="N217" i="2"/>
  <c r="F217" i="2"/>
  <c r="N216" i="2"/>
  <c r="F216" i="2"/>
  <c r="N215" i="2"/>
  <c r="F215" i="2"/>
  <c r="N214" i="2"/>
  <c r="F214" i="2"/>
  <c r="M233" i="2"/>
  <c r="E233" i="2"/>
  <c r="M232" i="2"/>
  <c r="E232" i="2"/>
  <c r="M231" i="2"/>
  <c r="E231" i="2"/>
  <c r="M230" i="2"/>
  <c r="E230" i="2"/>
  <c r="M229" i="2"/>
  <c r="E229" i="2"/>
  <c r="M228" i="2"/>
  <c r="E228" i="2"/>
  <c r="M227" i="2"/>
  <c r="E227" i="2"/>
  <c r="M226" i="2"/>
  <c r="E226" i="2"/>
  <c r="M225" i="2"/>
  <c r="E225" i="2"/>
  <c r="M224" i="2"/>
  <c r="E224" i="2"/>
  <c r="M223" i="2"/>
  <c r="E223" i="2"/>
  <c r="M222" i="2"/>
  <c r="E222" i="2"/>
  <c r="M221" i="2"/>
  <c r="E221" i="2"/>
  <c r="M220" i="2"/>
  <c r="E220" i="2"/>
  <c r="M219" i="2"/>
  <c r="E219" i="2"/>
  <c r="M218" i="2"/>
  <c r="E218" i="2"/>
  <c r="M217" i="2"/>
  <c r="E217" i="2"/>
  <c r="M216" i="2"/>
  <c r="E216" i="2"/>
  <c r="M215" i="2"/>
  <c r="E215" i="2"/>
  <c r="M214" i="2"/>
  <c r="E214" i="2"/>
  <c r="L233" i="2"/>
  <c r="D233" i="2"/>
  <c r="L232" i="2"/>
  <c r="D232" i="2"/>
  <c r="L231" i="2"/>
  <c r="D231" i="2"/>
  <c r="L230" i="2"/>
  <c r="D230" i="2"/>
  <c r="L229" i="2"/>
  <c r="D229" i="2"/>
  <c r="L228" i="2"/>
  <c r="D228" i="2"/>
  <c r="L227" i="2"/>
  <c r="D227" i="2"/>
  <c r="L226" i="2"/>
  <c r="D226" i="2"/>
  <c r="L225" i="2"/>
  <c r="D225" i="2"/>
  <c r="L224" i="2"/>
  <c r="D224" i="2"/>
  <c r="L223" i="2"/>
  <c r="D223" i="2"/>
  <c r="L222" i="2"/>
  <c r="D222" i="2"/>
  <c r="L221" i="2"/>
  <c r="D221" i="2"/>
  <c r="L220" i="2"/>
  <c r="D220" i="2"/>
  <c r="L219" i="2"/>
  <c r="D219" i="2"/>
  <c r="L218" i="2"/>
  <c r="D218" i="2"/>
  <c r="L217" i="2"/>
  <c r="D217" i="2"/>
  <c r="L216" i="2"/>
  <c r="D216" i="2"/>
  <c r="L215" i="2"/>
  <c r="D215" i="2"/>
  <c r="L214" i="2"/>
  <c r="D214" i="2"/>
  <c r="E111" i="2"/>
  <c r="G40" i="14"/>
  <c r="R296" i="2"/>
  <c r="J294" i="2"/>
  <c r="R293" i="2"/>
  <c r="R290" i="2"/>
  <c r="L251" i="2"/>
  <c r="D247" i="2"/>
  <c r="L245" i="2"/>
  <c r="D244" i="2"/>
  <c r="Q297" i="2"/>
  <c r="I297" i="2"/>
  <c r="Q296" i="2"/>
  <c r="I296" i="2"/>
  <c r="Q295" i="2"/>
  <c r="I295" i="2"/>
  <c r="Q294" i="2"/>
  <c r="I294" i="2"/>
  <c r="Q293" i="2"/>
  <c r="I293" i="2"/>
  <c r="Q292" i="2"/>
  <c r="I292" i="2"/>
  <c r="Q291" i="2"/>
  <c r="I291" i="2"/>
  <c r="Q290" i="2"/>
  <c r="I290" i="2"/>
  <c r="Q289" i="2"/>
  <c r="I289" i="2"/>
  <c r="Q288" i="2"/>
  <c r="I288" i="2"/>
  <c r="Q287" i="2"/>
  <c r="I287" i="2"/>
  <c r="K305" i="2"/>
  <c r="K252" i="2"/>
  <c r="C305" i="2"/>
  <c r="C252" i="2"/>
  <c r="K251" i="2"/>
  <c r="C251" i="2"/>
  <c r="K250" i="2"/>
  <c r="C250" i="2"/>
  <c r="K249" i="2"/>
  <c r="C249" i="2"/>
  <c r="K248" i="2"/>
  <c r="C248" i="2"/>
  <c r="K247" i="2"/>
  <c r="C247" i="2"/>
  <c r="K246" i="2"/>
  <c r="C246" i="2"/>
  <c r="K245" i="2"/>
  <c r="C245" i="2"/>
  <c r="K244" i="2"/>
  <c r="C244" i="2"/>
  <c r="K243" i="2"/>
  <c r="C243" i="2"/>
  <c r="K304" i="2"/>
  <c r="C304" i="2"/>
  <c r="K242" i="2"/>
  <c r="C242" i="2"/>
  <c r="C297" i="2"/>
  <c r="C295" i="2"/>
  <c r="R295" i="2"/>
  <c r="R292" i="2"/>
  <c r="J289" i="2"/>
  <c r="L305" i="2"/>
  <c r="L252" i="2"/>
  <c r="L249" i="2"/>
  <c r="D245" i="2"/>
  <c r="L243" i="2"/>
  <c r="L304" i="2"/>
  <c r="P297" i="2"/>
  <c r="H297" i="2"/>
  <c r="P296" i="2"/>
  <c r="H296" i="2"/>
  <c r="P295" i="2"/>
  <c r="H295" i="2"/>
  <c r="P294" i="2"/>
  <c r="H294" i="2"/>
  <c r="P293" i="2"/>
  <c r="H293" i="2"/>
  <c r="P292" i="2"/>
  <c r="H292" i="2"/>
  <c r="P291" i="2"/>
  <c r="H291" i="2"/>
  <c r="P290" i="2"/>
  <c r="H290" i="2"/>
  <c r="P289" i="2"/>
  <c r="H289" i="2"/>
  <c r="P288" i="2"/>
  <c r="H288" i="2"/>
  <c r="P287" i="2"/>
  <c r="H287" i="2"/>
  <c r="R305" i="2"/>
  <c r="R252" i="2"/>
  <c r="J252" i="2"/>
  <c r="J305" i="2"/>
  <c r="R251" i="2"/>
  <c r="J251" i="2"/>
  <c r="R250" i="2"/>
  <c r="J250" i="2"/>
  <c r="R249" i="2"/>
  <c r="J249" i="2"/>
  <c r="R248" i="2"/>
  <c r="J248" i="2"/>
  <c r="R247" i="2"/>
  <c r="J247" i="2"/>
  <c r="R246" i="2"/>
  <c r="J246" i="2"/>
  <c r="R245" i="2"/>
  <c r="J245" i="2"/>
  <c r="R244" i="2"/>
  <c r="J244" i="2"/>
  <c r="R243" i="2"/>
  <c r="J243" i="2"/>
  <c r="R304" i="2"/>
  <c r="J304" i="2"/>
  <c r="R242" i="2"/>
  <c r="J242" i="2"/>
  <c r="K296" i="2"/>
  <c r="R297" i="2"/>
  <c r="R294" i="2"/>
  <c r="R291" i="2"/>
  <c r="J287" i="2"/>
  <c r="D251" i="2"/>
  <c r="D249" i="2"/>
  <c r="D246" i="2"/>
  <c r="D242" i="2"/>
  <c r="O297" i="2"/>
  <c r="G297" i="2"/>
  <c r="O296" i="2"/>
  <c r="G296" i="2"/>
  <c r="O295" i="2"/>
  <c r="G295" i="2"/>
  <c r="O294" i="2"/>
  <c r="G294" i="2"/>
  <c r="O293" i="2"/>
  <c r="G293" i="2"/>
  <c r="O292" i="2"/>
  <c r="G292" i="2"/>
  <c r="O291" i="2"/>
  <c r="G291" i="2"/>
  <c r="O290" i="2"/>
  <c r="G290" i="2"/>
  <c r="O289" i="2"/>
  <c r="G289" i="2"/>
  <c r="O288" i="2"/>
  <c r="G288" i="2"/>
  <c r="O287" i="2"/>
  <c r="G287" i="2"/>
  <c r="Q305" i="2"/>
  <c r="Q252" i="2"/>
  <c r="I305" i="2"/>
  <c r="I252" i="2"/>
  <c r="Q251" i="2"/>
  <c r="I251" i="2"/>
  <c r="Q250" i="2"/>
  <c r="I250" i="2"/>
  <c r="Q249" i="2"/>
  <c r="I249" i="2"/>
  <c r="Q248" i="2"/>
  <c r="I248" i="2"/>
  <c r="Q247" i="2"/>
  <c r="I247" i="2"/>
  <c r="Q246" i="2"/>
  <c r="I246" i="2"/>
  <c r="Q245" i="2"/>
  <c r="I245" i="2"/>
  <c r="Q244" i="2"/>
  <c r="I244" i="2"/>
  <c r="Q243" i="2"/>
  <c r="I243" i="2"/>
  <c r="Q304" i="2"/>
  <c r="I304" i="2"/>
  <c r="Q242" i="2"/>
  <c r="I242" i="2"/>
  <c r="K297" i="2"/>
  <c r="K295" i="2"/>
  <c r="J296" i="2"/>
  <c r="J292" i="2"/>
  <c r="J290" i="2"/>
  <c r="D250" i="2"/>
  <c r="L248" i="2"/>
  <c r="L244" i="2"/>
  <c r="D243" i="2"/>
  <c r="N297" i="2"/>
  <c r="F297" i="2"/>
  <c r="N296" i="2"/>
  <c r="F296" i="2"/>
  <c r="N295" i="2"/>
  <c r="F295" i="2"/>
  <c r="N294" i="2"/>
  <c r="F294" i="2"/>
  <c r="N293" i="2"/>
  <c r="F293" i="2"/>
  <c r="N292" i="2"/>
  <c r="F292" i="2"/>
  <c r="N291" i="2"/>
  <c r="F291" i="2"/>
  <c r="N290" i="2"/>
  <c r="F290" i="2"/>
  <c r="N289" i="2"/>
  <c r="F289" i="2"/>
  <c r="N288" i="2"/>
  <c r="F288" i="2"/>
  <c r="N287" i="2"/>
  <c r="F287" i="2"/>
  <c r="P305" i="2"/>
  <c r="P252" i="2"/>
  <c r="H305" i="2"/>
  <c r="H252" i="2"/>
  <c r="P251" i="2"/>
  <c r="H251" i="2"/>
  <c r="P250" i="2"/>
  <c r="H250" i="2"/>
  <c r="P249" i="2"/>
  <c r="H249" i="2"/>
  <c r="P248" i="2"/>
  <c r="H248" i="2"/>
  <c r="P247" i="2"/>
  <c r="H247" i="2"/>
  <c r="P246" i="2"/>
  <c r="H246" i="2"/>
  <c r="P245" i="2"/>
  <c r="H245" i="2"/>
  <c r="P244" i="2"/>
  <c r="H244" i="2"/>
  <c r="P243" i="2"/>
  <c r="H243" i="2"/>
  <c r="P304" i="2"/>
  <c r="H304" i="2"/>
  <c r="P242" i="2"/>
  <c r="H242" i="2"/>
  <c r="C296" i="2"/>
  <c r="J297" i="2"/>
  <c r="J293" i="2"/>
  <c r="R289" i="2"/>
  <c r="R288" i="2"/>
  <c r="L250" i="2"/>
  <c r="L247" i="2"/>
  <c r="L242" i="2"/>
  <c r="M297" i="2"/>
  <c r="E297" i="2"/>
  <c r="M296" i="2"/>
  <c r="E296" i="2"/>
  <c r="M295" i="2"/>
  <c r="E295" i="2"/>
  <c r="M294" i="2"/>
  <c r="E294" i="2"/>
  <c r="M293" i="2"/>
  <c r="E293" i="2"/>
  <c r="M292" i="2"/>
  <c r="E292" i="2"/>
  <c r="M291" i="2"/>
  <c r="E291" i="2"/>
  <c r="M290" i="2"/>
  <c r="E290" i="2"/>
  <c r="M289" i="2"/>
  <c r="E289" i="2"/>
  <c r="M288" i="2"/>
  <c r="E288" i="2"/>
  <c r="M287" i="2"/>
  <c r="E287" i="2"/>
  <c r="O305" i="2"/>
  <c r="O252" i="2"/>
  <c r="G305" i="2"/>
  <c r="G252" i="2"/>
  <c r="O251" i="2"/>
  <c r="G251" i="2"/>
  <c r="O250" i="2"/>
  <c r="G250" i="2"/>
  <c r="O249" i="2"/>
  <c r="G249" i="2"/>
  <c r="O248" i="2"/>
  <c r="G248" i="2"/>
  <c r="O247" i="2"/>
  <c r="G247" i="2"/>
  <c r="O246" i="2"/>
  <c r="G246" i="2"/>
  <c r="O245" i="2"/>
  <c r="G245" i="2"/>
  <c r="O244" i="2"/>
  <c r="G244" i="2"/>
  <c r="O243" i="2"/>
  <c r="G243" i="2"/>
  <c r="O304" i="2"/>
  <c r="G304" i="2"/>
  <c r="O242" i="2"/>
  <c r="G242" i="2"/>
  <c r="J295" i="2"/>
  <c r="J291" i="2"/>
  <c r="J288" i="2"/>
  <c r="R287" i="2"/>
  <c r="D305" i="2"/>
  <c r="D252" i="2"/>
  <c r="D248" i="2"/>
  <c r="L246" i="2"/>
  <c r="D304" i="2"/>
  <c r="L297" i="2"/>
  <c r="D297" i="2"/>
  <c r="L296" i="2"/>
  <c r="D296" i="2"/>
  <c r="L295" i="2"/>
  <c r="D295" i="2"/>
  <c r="L294" i="2"/>
  <c r="D294" i="2"/>
  <c r="L293" i="2"/>
  <c r="D293" i="2"/>
  <c r="L292" i="2"/>
  <c r="D292" i="2"/>
  <c r="L291" i="2"/>
  <c r="D291" i="2"/>
  <c r="L290" i="2"/>
  <c r="D290" i="2"/>
  <c r="L289" i="2"/>
  <c r="D289" i="2"/>
  <c r="L288" i="2"/>
  <c r="D288" i="2"/>
  <c r="L287" i="2"/>
  <c r="D287" i="2"/>
  <c r="N305" i="2"/>
  <c r="N252" i="2"/>
  <c r="F305" i="2"/>
  <c r="F252" i="2"/>
  <c r="N251" i="2"/>
  <c r="F251" i="2"/>
  <c r="N250" i="2"/>
  <c r="F250" i="2"/>
  <c r="N249" i="2"/>
  <c r="F249" i="2"/>
  <c r="N248" i="2"/>
  <c r="F248" i="2"/>
  <c r="N247" i="2"/>
  <c r="F247" i="2"/>
  <c r="N246" i="2"/>
  <c r="F246" i="2"/>
  <c r="N245" i="2"/>
  <c r="F245" i="2"/>
  <c r="N244" i="2"/>
  <c r="F244" i="2"/>
  <c r="N243" i="2"/>
  <c r="F243" i="2"/>
  <c r="N304" i="2"/>
  <c r="F304" i="2"/>
  <c r="N242" i="2"/>
  <c r="F242" i="2"/>
  <c r="K294" i="2"/>
  <c r="C294" i="2"/>
  <c r="K293" i="2"/>
  <c r="C293" i="2"/>
  <c r="K292" i="2"/>
  <c r="C292" i="2"/>
  <c r="K291" i="2"/>
  <c r="C291" i="2"/>
  <c r="K290" i="2"/>
  <c r="C290" i="2"/>
  <c r="K289" i="2"/>
  <c r="C289" i="2"/>
  <c r="K288" i="2"/>
  <c r="C288" i="2"/>
  <c r="K287" i="2"/>
  <c r="C287" i="2"/>
  <c r="M305" i="2"/>
  <c r="M252" i="2"/>
  <c r="E305" i="2"/>
  <c r="E252" i="2"/>
  <c r="M251" i="2"/>
  <c r="E251" i="2"/>
  <c r="M250" i="2"/>
  <c r="E250" i="2"/>
  <c r="M249" i="2"/>
  <c r="E249" i="2"/>
  <c r="M248" i="2"/>
  <c r="E248" i="2"/>
  <c r="M247" i="2"/>
  <c r="E247" i="2"/>
  <c r="M246" i="2"/>
  <c r="E246" i="2"/>
  <c r="M245" i="2"/>
  <c r="E245" i="2"/>
  <c r="M244" i="2"/>
  <c r="E244" i="2"/>
  <c r="M243" i="2"/>
  <c r="E243" i="2"/>
  <c r="M304" i="2"/>
  <c r="E304" i="2"/>
  <c r="M242" i="2"/>
  <c r="E242" i="2"/>
  <c r="D111" i="2"/>
  <c r="F211" i="2"/>
  <c r="G111" i="2"/>
  <c r="H211" i="2"/>
  <c r="E211" i="2"/>
  <c r="D211" i="2"/>
  <c r="K211" i="2"/>
  <c r="F111" i="2"/>
  <c r="M111" i="2"/>
  <c r="L211" i="2"/>
  <c r="G211" i="2"/>
  <c r="I111" i="2"/>
  <c r="H111" i="2"/>
  <c r="K111" i="2"/>
  <c r="N211" i="2"/>
  <c r="M211" i="2"/>
  <c r="P211" i="2"/>
  <c r="Q111" i="2"/>
  <c r="O111" i="2"/>
  <c r="N111" i="2"/>
  <c r="J211" i="2"/>
  <c r="R211" i="2"/>
  <c r="O211" i="2"/>
  <c r="I211" i="2"/>
  <c r="B7" i="2"/>
  <c r="M6" i="2"/>
  <c r="E6" i="2"/>
  <c r="M7" i="2"/>
  <c r="E7" i="2"/>
  <c r="L6" i="2"/>
  <c r="D6" i="2"/>
  <c r="L7" i="2"/>
  <c r="D7" i="2"/>
  <c r="L111" i="2"/>
  <c r="K6" i="2"/>
  <c r="C6" i="2"/>
  <c r="K7" i="2"/>
  <c r="C7" i="2"/>
  <c r="R6" i="2"/>
  <c r="D7" i="4"/>
  <c r="D31" i="4" s="1"/>
  <c r="J6" i="2"/>
  <c r="R7" i="2"/>
  <c r="J7" i="2"/>
  <c r="Q6" i="2"/>
  <c r="C7" i="4"/>
  <c r="C16" i="4" s="1"/>
  <c r="I6" i="2"/>
  <c r="Q7" i="2"/>
  <c r="I7" i="2"/>
  <c r="P111" i="2"/>
  <c r="P6" i="2"/>
  <c r="B7" i="4"/>
  <c r="B140" i="4" s="1"/>
  <c r="H6" i="2"/>
  <c r="P7" i="2"/>
  <c r="H7" i="2"/>
  <c r="O6" i="2"/>
  <c r="G6" i="2"/>
  <c r="O7" i="2"/>
  <c r="G7" i="2"/>
  <c r="Q211" i="2"/>
  <c r="N6" i="2"/>
  <c r="F6" i="2"/>
  <c r="N7" i="2"/>
  <c r="F7" i="2"/>
  <c r="X17" i="2"/>
  <c r="X25" i="2"/>
  <c r="X33" i="2"/>
  <c r="X41" i="2"/>
  <c r="X49" i="2"/>
  <c r="X57" i="2"/>
  <c r="X65" i="2"/>
  <c r="X73" i="2"/>
  <c r="X81" i="2"/>
  <c r="X89" i="2"/>
  <c r="X97" i="2"/>
  <c r="X105" i="2"/>
  <c r="X117" i="2"/>
  <c r="X125" i="2"/>
  <c r="X133" i="2"/>
  <c r="X141" i="2"/>
  <c r="X149" i="2"/>
  <c r="X22" i="2"/>
  <c r="X30" i="2"/>
  <c r="X38" i="2"/>
  <c r="X46" i="2"/>
  <c r="X54" i="2"/>
  <c r="X62" i="2"/>
  <c r="X70" i="2"/>
  <c r="X78" i="2"/>
  <c r="X86" i="2"/>
  <c r="X94" i="2"/>
  <c r="X102" i="2"/>
  <c r="X110" i="2"/>
  <c r="X122" i="2"/>
  <c r="X130" i="2"/>
  <c r="X138" i="2"/>
  <c r="X146" i="2"/>
  <c r="X154" i="2"/>
  <c r="X19" i="2"/>
  <c r="X27" i="2"/>
  <c r="X35" i="2"/>
  <c r="X43" i="2"/>
  <c r="X51" i="2"/>
  <c r="X59" i="2"/>
  <c r="X67" i="2"/>
  <c r="X75" i="2"/>
  <c r="X83" i="2"/>
  <c r="X91" i="2"/>
  <c r="X99" i="2"/>
  <c r="X107" i="2"/>
  <c r="X119" i="2"/>
  <c r="X127" i="2"/>
  <c r="X135" i="2"/>
  <c r="X143" i="2"/>
  <c r="X151" i="2"/>
  <c r="X16" i="2"/>
  <c r="X24" i="2"/>
  <c r="X32" i="2"/>
  <c r="X40" i="2"/>
  <c r="X48" i="2"/>
  <c r="X56" i="2"/>
  <c r="X64" i="2"/>
  <c r="X72" i="2"/>
  <c r="X80" i="2"/>
  <c r="X88" i="2"/>
  <c r="X96" i="2"/>
  <c r="X104" i="2"/>
  <c r="X116" i="2"/>
  <c r="X124" i="2"/>
  <c r="X132" i="2"/>
  <c r="X140" i="2"/>
  <c r="X148" i="2"/>
  <c r="X21" i="2"/>
  <c r="X29" i="2"/>
  <c r="X37" i="2"/>
  <c r="X45" i="2"/>
  <c r="X53" i="2"/>
  <c r="X61" i="2"/>
  <c r="X69" i="2"/>
  <c r="X77" i="2"/>
  <c r="X85" i="2"/>
  <c r="X93" i="2"/>
  <c r="X101" i="2"/>
  <c r="X109" i="2"/>
  <c r="X121" i="2"/>
  <c r="X129" i="2"/>
  <c r="X137" i="2"/>
  <c r="X145" i="2"/>
  <c r="X153" i="2"/>
  <c r="X18" i="2"/>
  <c r="X26" i="2"/>
  <c r="X34" i="2"/>
  <c r="X42" i="2"/>
  <c r="X50" i="2"/>
  <c r="X58" i="2"/>
  <c r="X66" i="2"/>
  <c r="X74" i="2"/>
  <c r="X82" i="2"/>
  <c r="X90" i="2"/>
  <c r="X98" i="2"/>
  <c r="X106" i="2"/>
  <c r="X118" i="2"/>
  <c r="X126" i="2"/>
  <c r="X134" i="2"/>
  <c r="X142" i="2"/>
  <c r="X150" i="2"/>
  <c r="X15" i="2"/>
  <c r="X23" i="2"/>
  <c r="X31" i="2"/>
  <c r="X39" i="2"/>
  <c r="X47" i="2"/>
  <c r="X55" i="2"/>
  <c r="X63" i="2"/>
  <c r="X71" i="2"/>
  <c r="X79" i="2"/>
  <c r="X87" i="2"/>
  <c r="X95" i="2"/>
  <c r="X103" i="2"/>
  <c r="X115" i="2"/>
  <c r="X123" i="2"/>
  <c r="X131" i="2"/>
  <c r="X139" i="2"/>
  <c r="X147" i="2"/>
  <c r="X155" i="2"/>
  <c r="X20" i="2"/>
  <c r="X28" i="2"/>
  <c r="X36" i="2"/>
  <c r="X44" i="2"/>
  <c r="X52" i="2"/>
  <c r="X60" i="2"/>
  <c r="X68" i="2"/>
  <c r="X76" i="2"/>
  <c r="X84" i="2"/>
  <c r="X92" i="2"/>
  <c r="X100" i="2"/>
  <c r="X108" i="2"/>
  <c r="X120" i="2"/>
  <c r="X128" i="2"/>
  <c r="X136" i="2"/>
  <c r="X144" i="2"/>
  <c r="X152" i="2"/>
  <c r="X157" i="2"/>
  <c r="X165" i="2"/>
  <c r="X173" i="2"/>
  <c r="X181" i="2"/>
  <c r="X189" i="2"/>
  <c r="X197" i="2"/>
  <c r="X205" i="2"/>
  <c r="X162" i="2"/>
  <c r="X170" i="2"/>
  <c r="X178" i="2"/>
  <c r="X186" i="2"/>
  <c r="X194" i="2"/>
  <c r="X202" i="2"/>
  <c r="X210" i="2"/>
  <c r="X159" i="2"/>
  <c r="X167" i="2"/>
  <c r="X175" i="2"/>
  <c r="X183" i="2"/>
  <c r="X191" i="2"/>
  <c r="X199" i="2"/>
  <c r="X207" i="2"/>
  <c r="X156" i="2"/>
  <c r="X164" i="2"/>
  <c r="X172" i="2"/>
  <c r="X180" i="2"/>
  <c r="X188" i="2"/>
  <c r="X196" i="2"/>
  <c r="X204" i="2"/>
  <c r="X161" i="2"/>
  <c r="X169" i="2"/>
  <c r="X177" i="2"/>
  <c r="X185" i="2"/>
  <c r="X193" i="2"/>
  <c r="X201" i="2"/>
  <c r="X209" i="2"/>
  <c r="X158" i="2"/>
  <c r="X166" i="2"/>
  <c r="X174" i="2"/>
  <c r="X182" i="2"/>
  <c r="X190" i="2"/>
  <c r="X198" i="2"/>
  <c r="X206" i="2"/>
  <c r="X163" i="2"/>
  <c r="X171" i="2"/>
  <c r="X179" i="2"/>
  <c r="X187" i="2"/>
  <c r="X195" i="2"/>
  <c r="X203" i="2"/>
  <c r="X160" i="2"/>
  <c r="X168" i="2"/>
  <c r="X176" i="2"/>
  <c r="X184" i="2"/>
  <c r="X192" i="2"/>
  <c r="X200" i="2"/>
  <c r="X208" i="2"/>
  <c r="W22" i="2"/>
  <c r="W30" i="2"/>
  <c r="W38" i="2"/>
  <c r="W46" i="2"/>
  <c r="W54" i="2"/>
  <c r="W62" i="2"/>
  <c r="W70" i="2"/>
  <c r="W78" i="2"/>
  <c r="W86" i="2"/>
  <c r="W94" i="2"/>
  <c r="W102" i="2"/>
  <c r="W110" i="2"/>
  <c r="W122" i="2"/>
  <c r="W130" i="2"/>
  <c r="W138" i="2"/>
  <c r="W146" i="2"/>
  <c r="W154" i="2"/>
  <c r="W19" i="2"/>
  <c r="W27" i="2"/>
  <c r="W35" i="2"/>
  <c r="W43" i="2"/>
  <c r="W51" i="2"/>
  <c r="W59" i="2"/>
  <c r="W67" i="2"/>
  <c r="W75" i="2"/>
  <c r="W83" i="2"/>
  <c r="W91" i="2"/>
  <c r="W99" i="2"/>
  <c r="W107" i="2"/>
  <c r="W119" i="2"/>
  <c r="W127" i="2"/>
  <c r="W135" i="2"/>
  <c r="W143" i="2"/>
  <c r="W151" i="2"/>
  <c r="W16" i="2"/>
  <c r="W24" i="2"/>
  <c r="W32" i="2"/>
  <c r="W40" i="2"/>
  <c r="W48" i="2"/>
  <c r="W56" i="2"/>
  <c r="W64" i="2"/>
  <c r="W72" i="2"/>
  <c r="W80" i="2"/>
  <c r="W88" i="2"/>
  <c r="W96" i="2"/>
  <c r="W104" i="2"/>
  <c r="W116" i="2"/>
  <c r="W124" i="2"/>
  <c r="W132" i="2"/>
  <c r="W140" i="2"/>
  <c r="W148" i="2"/>
  <c r="W156" i="2"/>
  <c r="W21" i="2"/>
  <c r="W29" i="2"/>
  <c r="W37" i="2"/>
  <c r="W45" i="2"/>
  <c r="W53" i="2"/>
  <c r="W61" i="2"/>
  <c r="W69" i="2"/>
  <c r="W77" i="2"/>
  <c r="W85" i="2"/>
  <c r="W93" i="2"/>
  <c r="W101" i="2"/>
  <c r="W109" i="2"/>
  <c r="W121" i="2"/>
  <c r="W129" i="2"/>
  <c r="W137" i="2"/>
  <c r="W145" i="2"/>
  <c r="W153" i="2"/>
  <c r="W18" i="2"/>
  <c r="W26" i="2"/>
  <c r="W34" i="2"/>
  <c r="W42" i="2"/>
  <c r="W50" i="2"/>
  <c r="W58" i="2"/>
  <c r="W66" i="2"/>
  <c r="W74" i="2"/>
  <c r="W82" i="2"/>
  <c r="W90" i="2"/>
  <c r="W98" i="2"/>
  <c r="W106" i="2"/>
  <c r="W118" i="2"/>
  <c r="W126" i="2"/>
  <c r="W134" i="2"/>
  <c r="W142" i="2"/>
  <c r="W150" i="2"/>
  <c r="W15" i="2"/>
  <c r="W23" i="2"/>
  <c r="W31" i="2"/>
  <c r="W39" i="2"/>
  <c r="W47" i="2"/>
  <c r="W55" i="2"/>
  <c r="W63" i="2"/>
  <c r="W71" i="2"/>
  <c r="W79" i="2"/>
  <c r="W87" i="2"/>
  <c r="W95" i="2"/>
  <c r="W103" i="2"/>
  <c r="W115" i="2"/>
  <c r="W123" i="2"/>
  <c r="W131" i="2"/>
  <c r="W139" i="2"/>
  <c r="W147" i="2"/>
  <c r="W155" i="2"/>
  <c r="W20" i="2"/>
  <c r="W28" i="2"/>
  <c r="W36" i="2"/>
  <c r="W44" i="2"/>
  <c r="W52" i="2"/>
  <c r="W60" i="2"/>
  <c r="W68" i="2"/>
  <c r="W76" i="2"/>
  <c r="W84" i="2"/>
  <c r="W92" i="2"/>
  <c r="W100" i="2"/>
  <c r="W108" i="2"/>
  <c r="W120" i="2"/>
  <c r="W128" i="2"/>
  <c r="W136" i="2"/>
  <c r="W144" i="2"/>
  <c r="W152" i="2"/>
  <c r="W17" i="2"/>
  <c r="W25" i="2"/>
  <c r="W33" i="2"/>
  <c r="W41" i="2"/>
  <c r="W49" i="2"/>
  <c r="W57" i="2"/>
  <c r="W65" i="2"/>
  <c r="W73" i="2"/>
  <c r="W81" i="2"/>
  <c r="W89" i="2"/>
  <c r="W97" i="2"/>
  <c r="W105" i="2"/>
  <c r="W117" i="2"/>
  <c r="W125" i="2"/>
  <c r="W133" i="2"/>
  <c r="W141" i="2"/>
  <c r="W149" i="2"/>
  <c r="W162" i="2"/>
  <c r="W170" i="2"/>
  <c r="W178" i="2"/>
  <c r="W186" i="2"/>
  <c r="W194" i="2"/>
  <c r="W202" i="2"/>
  <c r="W210" i="2"/>
  <c r="W159" i="2"/>
  <c r="W167" i="2"/>
  <c r="W175" i="2"/>
  <c r="W183" i="2"/>
  <c r="W191" i="2"/>
  <c r="W199" i="2"/>
  <c r="W207" i="2"/>
  <c r="W164" i="2"/>
  <c r="W172" i="2"/>
  <c r="W180" i="2"/>
  <c r="W188" i="2"/>
  <c r="W196" i="2"/>
  <c r="W204" i="2"/>
  <c r="W161" i="2"/>
  <c r="W169" i="2"/>
  <c r="W177" i="2"/>
  <c r="W185" i="2"/>
  <c r="W193" i="2"/>
  <c r="W201" i="2"/>
  <c r="W209" i="2"/>
  <c r="W158" i="2"/>
  <c r="W166" i="2"/>
  <c r="W174" i="2"/>
  <c r="W182" i="2"/>
  <c r="W190" i="2"/>
  <c r="W198" i="2"/>
  <c r="W206" i="2"/>
  <c r="W163" i="2"/>
  <c r="W171" i="2"/>
  <c r="W179" i="2"/>
  <c r="W187" i="2"/>
  <c r="W195" i="2"/>
  <c r="W203" i="2"/>
  <c r="W160" i="2"/>
  <c r="W168" i="2"/>
  <c r="W176" i="2"/>
  <c r="W184" i="2"/>
  <c r="W192" i="2"/>
  <c r="W200" i="2"/>
  <c r="W208" i="2"/>
  <c r="W157" i="2"/>
  <c r="W165" i="2"/>
  <c r="W173" i="2"/>
  <c r="W181" i="2"/>
  <c r="W189" i="2"/>
  <c r="W197" i="2"/>
  <c r="W205" i="2"/>
  <c r="V19" i="2"/>
  <c r="V27" i="2"/>
  <c r="V35" i="2"/>
  <c r="V43" i="2"/>
  <c r="V51" i="2"/>
  <c r="V59" i="2"/>
  <c r="V67" i="2"/>
  <c r="V75" i="2"/>
  <c r="V83" i="2"/>
  <c r="V91" i="2"/>
  <c r="V99" i="2"/>
  <c r="V107" i="2"/>
  <c r="V119" i="2"/>
  <c r="V127" i="2"/>
  <c r="V135" i="2"/>
  <c r="V143" i="2"/>
  <c r="V151" i="2"/>
  <c r="V16" i="2"/>
  <c r="V24" i="2"/>
  <c r="V32" i="2"/>
  <c r="V40" i="2"/>
  <c r="V48" i="2"/>
  <c r="V56" i="2"/>
  <c r="V64" i="2"/>
  <c r="V72" i="2"/>
  <c r="V80" i="2"/>
  <c r="V88" i="2"/>
  <c r="V96" i="2"/>
  <c r="V104" i="2"/>
  <c r="V116" i="2"/>
  <c r="V124" i="2"/>
  <c r="V132" i="2"/>
  <c r="V140" i="2"/>
  <c r="V148" i="2"/>
  <c r="V156" i="2"/>
  <c r="V21" i="2"/>
  <c r="V29" i="2"/>
  <c r="V37" i="2"/>
  <c r="V45" i="2"/>
  <c r="V53" i="2"/>
  <c r="V61" i="2"/>
  <c r="V69" i="2"/>
  <c r="V77" i="2"/>
  <c r="V85" i="2"/>
  <c r="V93" i="2"/>
  <c r="V101" i="2"/>
  <c r="V109" i="2"/>
  <c r="V121" i="2"/>
  <c r="V129" i="2"/>
  <c r="V137" i="2"/>
  <c r="V145" i="2"/>
  <c r="V153" i="2"/>
  <c r="V18" i="2"/>
  <c r="V26" i="2"/>
  <c r="V34" i="2"/>
  <c r="V42" i="2"/>
  <c r="V50" i="2"/>
  <c r="V58" i="2"/>
  <c r="V66" i="2"/>
  <c r="V74" i="2"/>
  <c r="V82" i="2"/>
  <c r="V90" i="2"/>
  <c r="V98" i="2"/>
  <c r="V106" i="2"/>
  <c r="V118" i="2"/>
  <c r="V126" i="2"/>
  <c r="V134" i="2"/>
  <c r="V142" i="2"/>
  <c r="V150" i="2"/>
  <c r="V15" i="2"/>
  <c r="V23" i="2"/>
  <c r="V31" i="2"/>
  <c r="V39" i="2"/>
  <c r="V47" i="2"/>
  <c r="V55" i="2"/>
  <c r="V63" i="2"/>
  <c r="V71" i="2"/>
  <c r="V79" i="2"/>
  <c r="V87" i="2"/>
  <c r="V95" i="2"/>
  <c r="V103" i="2"/>
  <c r="V115" i="2"/>
  <c r="V123" i="2"/>
  <c r="V131" i="2"/>
  <c r="V139" i="2"/>
  <c r="V147" i="2"/>
  <c r="V155" i="2"/>
  <c r="V20" i="2"/>
  <c r="V28" i="2"/>
  <c r="V36" i="2"/>
  <c r="V44" i="2"/>
  <c r="V52" i="2"/>
  <c r="V60" i="2"/>
  <c r="V68" i="2"/>
  <c r="V76" i="2"/>
  <c r="V84" i="2"/>
  <c r="V92" i="2"/>
  <c r="V100" i="2"/>
  <c r="V108" i="2"/>
  <c r="V120" i="2"/>
  <c r="V128" i="2"/>
  <c r="V136" i="2"/>
  <c r="V144" i="2"/>
  <c r="V152" i="2"/>
  <c r="V17" i="2"/>
  <c r="V25" i="2"/>
  <c r="V33" i="2"/>
  <c r="V41" i="2"/>
  <c r="V49" i="2"/>
  <c r="V57" i="2"/>
  <c r="V65" i="2"/>
  <c r="V73" i="2"/>
  <c r="V81" i="2"/>
  <c r="V89" i="2"/>
  <c r="V97" i="2"/>
  <c r="V105" i="2"/>
  <c r="V117" i="2"/>
  <c r="V125" i="2"/>
  <c r="V133" i="2"/>
  <c r="V141" i="2"/>
  <c r="V149" i="2"/>
  <c r="V22" i="2"/>
  <c r="V30" i="2"/>
  <c r="V38" i="2"/>
  <c r="V46" i="2"/>
  <c r="V54" i="2"/>
  <c r="V62" i="2"/>
  <c r="V70" i="2"/>
  <c r="V78" i="2"/>
  <c r="V86" i="2"/>
  <c r="V94" i="2"/>
  <c r="V102" i="2"/>
  <c r="V110" i="2"/>
  <c r="V122" i="2"/>
  <c r="V130" i="2"/>
  <c r="V138" i="2"/>
  <c r="V146" i="2"/>
  <c r="V154" i="2"/>
  <c r="V159" i="2"/>
  <c r="V167" i="2"/>
  <c r="V175" i="2"/>
  <c r="V183" i="2"/>
  <c r="V191" i="2"/>
  <c r="V199" i="2"/>
  <c r="V207" i="2"/>
  <c r="V164" i="2"/>
  <c r="V172" i="2"/>
  <c r="V180" i="2"/>
  <c r="V188" i="2"/>
  <c r="V196" i="2"/>
  <c r="V204" i="2"/>
  <c r="V161" i="2"/>
  <c r="V169" i="2"/>
  <c r="V177" i="2"/>
  <c r="V185" i="2"/>
  <c r="V193" i="2"/>
  <c r="V201" i="2"/>
  <c r="V209" i="2"/>
  <c r="V158" i="2"/>
  <c r="V166" i="2"/>
  <c r="V174" i="2"/>
  <c r="V182" i="2"/>
  <c r="V190" i="2"/>
  <c r="V198" i="2"/>
  <c r="V206" i="2"/>
  <c r="V163" i="2"/>
  <c r="V171" i="2"/>
  <c r="V179" i="2"/>
  <c r="V187" i="2"/>
  <c r="V195" i="2"/>
  <c r="V203" i="2"/>
  <c r="V160" i="2"/>
  <c r="V168" i="2"/>
  <c r="V176" i="2"/>
  <c r="V184" i="2"/>
  <c r="V192" i="2"/>
  <c r="V200" i="2"/>
  <c r="V208" i="2"/>
  <c r="V157" i="2"/>
  <c r="V165" i="2"/>
  <c r="V173" i="2"/>
  <c r="V181" i="2"/>
  <c r="V189" i="2"/>
  <c r="V197" i="2"/>
  <c r="V205" i="2"/>
  <c r="V162" i="2"/>
  <c r="V170" i="2"/>
  <c r="V178" i="2"/>
  <c r="V186" i="2"/>
  <c r="V194" i="2"/>
  <c r="V202" i="2"/>
  <c r="V210" i="2"/>
  <c r="U16" i="2"/>
  <c r="U24" i="2"/>
  <c r="U32" i="2"/>
  <c r="U40" i="2"/>
  <c r="U48" i="2"/>
  <c r="U56" i="2"/>
  <c r="U64" i="2"/>
  <c r="U72" i="2"/>
  <c r="U80" i="2"/>
  <c r="U88" i="2"/>
  <c r="U96" i="2"/>
  <c r="U104" i="2"/>
  <c r="U116" i="2"/>
  <c r="U124" i="2"/>
  <c r="U132" i="2"/>
  <c r="U140" i="2"/>
  <c r="U148" i="2"/>
  <c r="U156" i="2"/>
  <c r="U21" i="2"/>
  <c r="U29" i="2"/>
  <c r="U37" i="2"/>
  <c r="U45" i="2"/>
  <c r="U53" i="2"/>
  <c r="U61" i="2"/>
  <c r="U69" i="2"/>
  <c r="U77" i="2"/>
  <c r="U85" i="2"/>
  <c r="U93" i="2"/>
  <c r="U101" i="2"/>
  <c r="U109" i="2"/>
  <c r="U121" i="2"/>
  <c r="U129" i="2"/>
  <c r="U137" i="2"/>
  <c r="U145" i="2"/>
  <c r="U153" i="2"/>
  <c r="U18" i="2"/>
  <c r="U26" i="2"/>
  <c r="U34" i="2"/>
  <c r="U42" i="2"/>
  <c r="U50" i="2"/>
  <c r="U58" i="2"/>
  <c r="U66" i="2"/>
  <c r="U74" i="2"/>
  <c r="U82" i="2"/>
  <c r="U90" i="2"/>
  <c r="U98" i="2"/>
  <c r="U106" i="2"/>
  <c r="U118" i="2"/>
  <c r="U126" i="2"/>
  <c r="U134" i="2"/>
  <c r="U142" i="2"/>
  <c r="U150" i="2"/>
  <c r="U15" i="2"/>
  <c r="U23" i="2"/>
  <c r="U31" i="2"/>
  <c r="U39" i="2"/>
  <c r="U47" i="2"/>
  <c r="U55" i="2"/>
  <c r="U63" i="2"/>
  <c r="U71" i="2"/>
  <c r="U79" i="2"/>
  <c r="U87" i="2"/>
  <c r="U95" i="2"/>
  <c r="U103" i="2"/>
  <c r="U115" i="2"/>
  <c r="U123" i="2"/>
  <c r="U131" i="2"/>
  <c r="U139" i="2"/>
  <c r="U147" i="2"/>
  <c r="U155" i="2"/>
  <c r="U20" i="2"/>
  <c r="U28" i="2"/>
  <c r="U36" i="2"/>
  <c r="U44" i="2"/>
  <c r="U52" i="2"/>
  <c r="U60" i="2"/>
  <c r="U68" i="2"/>
  <c r="U76" i="2"/>
  <c r="U84" i="2"/>
  <c r="U92" i="2"/>
  <c r="U100" i="2"/>
  <c r="U108" i="2"/>
  <c r="U120" i="2"/>
  <c r="U128" i="2"/>
  <c r="U136" i="2"/>
  <c r="U144" i="2"/>
  <c r="U152" i="2"/>
  <c r="U17" i="2"/>
  <c r="U25" i="2"/>
  <c r="U33" i="2"/>
  <c r="U41" i="2"/>
  <c r="U49" i="2"/>
  <c r="U57" i="2"/>
  <c r="U65" i="2"/>
  <c r="U73" i="2"/>
  <c r="U81" i="2"/>
  <c r="U89" i="2"/>
  <c r="U97" i="2"/>
  <c r="U105" i="2"/>
  <c r="U117" i="2"/>
  <c r="U125" i="2"/>
  <c r="U133" i="2"/>
  <c r="U141" i="2"/>
  <c r="U149" i="2"/>
  <c r="U22" i="2"/>
  <c r="U30" i="2"/>
  <c r="U38" i="2"/>
  <c r="U46" i="2"/>
  <c r="U54" i="2"/>
  <c r="U62" i="2"/>
  <c r="U70" i="2"/>
  <c r="U78" i="2"/>
  <c r="U86" i="2"/>
  <c r="U94" i="2"/>
  <c r="U102" i="2"/>
  <c r="U110" i="2"/>
  <c r="U122" i="2"/>
  <c r="U130" i="2"/>
  <c r="U138" i="2"/>
  <c r="U146" i="2"/>
  <c r="U154" i="2"/>
  <c r="U19" i="2"/>
  <c r="U27" i="2"/>
  <c r="U35" i="2"/>
  <c r="U43" i="2"/>
  <c r="U51" i="2"/>
  <c r="U59" i="2"/>
  <c r="U67" i="2"/>
  <c r="U75" i="2"/>
  <c r="U83" i="2"/>
  <c r="U91" i="2"/>
  <c r="U99" i="2"/>
  <c r="U107" i="2"/>
  <c r="U119" i="2"/>
  <c r="U127" i="2"/>
  <c r="U135" i="2"/>
  <c r="U143" i="2"/>
  <c r="U151" i="2"/>
  <c r="U164" i="2"/>
  <c r="U172" i="2"/>
  <c r="U180" i="2"/>
  <c r="U188" i="2"/>
  <c r="U196" i="2"/>
  <c r="U204" i="2"/>
  <c r="U161" i="2"/>
  <c r="U169" i="2"/>
  <c r="U177" i="2"/>
  <c r="U185" i="2"/>
  <c r="U193" i="2"/>
  <c r="U201" i="2"/>
  <c r="U209" i="2"/>
  <c r="U158" i="2"/>
  <c r="U166" i="2"/>
  <c r="U174" i="2"/>
  <c r="U182" i="2"/>
  <c r="U190" i="2"/>
  <c r="U198" i="2"/>
  <c r="U206" i="2"/>
  <c r="U163" i="2"/>
  <c r="U171" i="2"/>
  <c r="U179" i="2"/>
  <c r="U187" i="2"/>
  <c r="U195" i="2"/>
  <c r="U203" i="2"/>
  <c r="U160" i="2"/>
  <c r="U168" i="2"/>
  <c r="U176" i="2"/>
  <c r="U184" i="2"/>
  <c r="U192" i="2"/>
  <c r="U200" i="2"/>
  <c r="U208" i="2"/>
  <c r="U157" i="2"/>
  <c r="U165" i="2"/>
  <c r="U173" i="2"/>
  <c r="U181" i="2"/>
  <c r="U189" i="2"/>
  <c r="U197" i="2"/>
  <c r="U205" i="2"/>
  <c r="U162" i="2"/>
  <c r="U170" i="2"/>
  <c r="U178" i="2"/>
  <c r="U186" i="2"/>
  <c r="U194" i="2"/>
  <c r="U202" i="2"/>
  <c r="U210" i="2"/>
  <c r="U159" i="2"/>
  <c r="U167" i="2"/>
  <c r="U175" i="2"/>
  <c r="U183" i="2"/>
  <c r="U191" i="2"/>
  <c r="U199" i="2"/>
  <c r="U207" i="2"/>
  <c r="T21" i="2"/>
  <c r="T29" i="2"/>
  <c r="T37" i="2"/>
  <c r="T45" i="2"/>
  <c r="T53" i="2"/>
  <c r="T61" i="2"/>
  <c r="T69" i="2"/>
  <c r="T77" i="2"/>
  <c r="T85" i="2"/>
  <c r="T93" i="2"/>
  <c r="T101" i="2"/>
  <c r="T109" i="2"/>
  <c r="T121" i="2"/>
  <c r="T129" i="2"/>
  <c r="T137" i="2"/>
  <c r="T145" i="2"/>
  <c r="T153" i="2"/>
  <c r="T18" i="2"/>
  <c r="T26" i="2"/>
  <c r="T34" i="2"/>
  <c r="T42" i="2"/>
  <c r="T50" i="2"/>
  <c r="T58" i="2"/>
  <c r="T66" i="2"/>
  <c r="T74" i="2"/>
  <c r="T82" i="2"/>
  <c r="T90" i="2"/>
  <c r="T98" i="2"/>
  <c r="T106" i="2"/>
  <c r="T118" i="2"/>
  <c r="T126" i="2"/>
  <c r="T134" i="2"/>
  <c r="T142" i="2"/>
  <c r="T150" i="2"/>
  <c r="T15" i="2"/>
  <c r="T23" i="2"/>
  <c r="T31" i="2"/>
  <c r="T39" i="2"/>
  <c r="T47" i="2"/>
  <c r="T55" i="2"/>
  <c r="T63" i="2"/>
  <c r="T71" i="2"/>
  <c r="T79" i="2"/>
  <c r="T87" i="2"/>
  <c r="T95" i="2"/>
  <c r="T103" i="2"/>
  <c r="T115" i="2"/>
  <c r="T123" i="2"/>
  <c r="T131" i="2"/>
  <c r="T139" i="2"/>
  <c r="T147" i="2"/>
  <c r="T155" i="2"/>
  <c r="T20" i="2"/>
  <c r="T28" i="2"/>
  <c r="T36" i="2"/>
  <c r="T44" i="2"/>
  <c r="T52" i="2"/>
  <c r="T60" i="2"/>
  <c r="T68" i="2"/>
  <c r="T76" i="2"/>
  <c r="T84" i="2"/>
  <c r="T92" i="2"/>
  <c r="T100" i="2"/>
  <c r="T108" i="2"/>
  <c r="T120" i="2"/>
  <c r="T128" i="2"/>
  <c r="T136" i="2"/>
  <c r="T144" i="2"/>
  <c r="T152" i="2"/>
  <c r="T17" i="2"/>
  <c r="T25" i="2"/>
  <c r="T33" i="2"/>
  <c r="T41" i="2"/>
  <c r="T49" i="2"/>
  <c r="T57" i="2"/>
  <c r="T65" i="2"/>
  <c r="T73" i="2"/>
  <c r="T81" i="2"/>
  <c r="T89" i="2"/>
  <c r="T97" i="2"/>
  <c r="T105" i="2"/>
  <c r="T117" i="2"/>
  <c r="T125" i="2"/>
  <c r="T133" i="2"/>
  <c r="T141" i="2"/>
  <c r="T149" i="2"/>
  <c r="T22" i="2"/>
  <c r="T30" i="2"/>
  <c r="T38" i="2"/>
  <c r="T46" i="2"/>
  <c r="T54" i="2"/>
  <c r="T62" i="2"/>
  <c r="T70" i="2"/>
  <c r="T78" i="2"/>
  <c r="T86" i="2"/>
  <c r="T94" i="2"/>
  <c r="T102" i="2"/>
  <c r="T110" i="2"/>
  <c r="T122" i="2"/>
  <c r="T130" i="2"/>
  <c r="T138" i="2"/>
  <c r="T146" i="2"/>
  <c r="T154" i="2"/>
  <c r="T19" i="2"/>
  <c r="T27" i="2"/>
  <c r="T35" i="2"/>
  <c r="T43" i="2"/>
  <c r="T51" i="2"/>
  <c r="T59" i="2"/>
  <c r="T67" i="2"/>
  <c r="T75" i="2"/>
  <c r="T83" i="2"/>
  <c r="T91" i="2"/>
  <c r="T99" i="2"/>
  <c r="T107" i="2"/>
  <c r="T119" i="2"/>
  <c r="T127" i="2"/>
  <c r="T135" i="2"/>
  <c r="T143" i="2"/>
  <c r="T151" i="2"/>
  <c r="T16" i="2"/>
  <c r="T24" i="2"/>
  <c r="T32" i="2"/>
  <c r="T40" i="2"/>
  <c r="T48" i="2"/>
  <c r="T56" i="2"/>
  <c r="T64" i="2"/>
  <c r="T72" i="2"/>
  <c r="T80" i="2"/>
  <c r="T88" i="2"/>
  <c r="T96" i="2"/>
  <c r="T104" i="2"/>
  <c r="T116" i="2"/>
  <c r="T124" i="2"/>
  <c r="T132" i="2"/>
  <c r="T140" i="2"/>
  <c r="T148" i="2"/>
  <c r="T161" i="2"/>
  <c r="T169" i="2"/>
  <c r="T177" i="2"/>
  <c r="T185" i="2"/>
  <c r="T193" i="2"/>
  <c r="T201" i="2"/>
  <c r="T209" i="2"/>
  <c r="T158" i="2"/>
  <c r="T166" i="2"/>
  <c r="T174" i="2"/>
  <c r="T182" i="2"/>
  <c r="T190" i="2"/>
  <c r="T198" i="2"/>
  <c r="T206" i="2"/>
  <c r="T156" i="2"/>
  <c r="T163" i="2"/>
  <c r="T171" i="2"/>
  <c r="T179" i="2"/>
  <c r="T187" i="2"/>
  <c r="T195" i="2"/>
  <c r="T203" i="2"/>
  <c r="T160" i="2"/>
  <c r="T168" i="2"/>
  <c r="T176" i="2"/>
  <c r="T184" i="2"/>
  <c r="T192" i="2"/>
  <c r="T200" i="2"/>
  <c r="T208" i="2"/>
  <c r="T157" i="2"/>
  <c r="T165" i="2"/>
  <c r="T173" i="2"/>
  <c r="T181" i="2"/>
  <c r="T189" i="2"/>
  <c r="T197" i="2"/>
  <c r="T205" i="2"/>
  <c r="T162" i="2"/>
  <c r="T170" i="2"/>
  <c r="T178" i="2"/>
  <c r="T186" i="2"/>
  <c r="T194" i="2"/>
  <c r="T202" i="2"/>
  <c r="T210" i="2"/>
  <c r="T159" i="2"/>
  <c r="T167" i="2"/>
  <c r="T175" i="2"/>
  <c r="T183" i="2"/>
  <c r="T191" i="2"/>
  <c r="T199" i="2"/>
  <c r="T207" i="2"/>
  <c r="T164" i="2"/>
  <c r="T172" i="2"/>
  <c r="T180" i="2"/>
  <c r="T188" i="2"/>
  <c r="T196" i="2"/>
  <c r="T204" i="2"/>
  <c r="S134" i="2"/>
  <c r="S278" i="2" s="1"/>
  <c r="S126" i="2"/>
  <c r="S270" i="2" s="1"/>
  <c r="S118" i="2"/>
  <c r="S262" i="2" s="1"/>
  <c r="S195" i="2"/>
  <c r="S187" i="2"/>
  <c r="S179" i="2"/>
  <c r="S171" i="2"/>
  <c r="S163" i="2"/>
  <c r="S155" i="2"/>
  <c r="S147" i="2"/>
  <c r="S210" i="2"/>
  <c r="S202" i="2"/>
  <c r="S62" i="2"/>
  <c r="S105" i="2"/>
  <c r="S97" i="2"/>
  <c r="S84" i="2"/>
  <c r="S71" i="2"/>
  <c r="S78" i="2"/>
  <c r="S65" i="2"/>
  <c r="S52" i="2"/>
  <c r="S44" i="2"/>
  <c r="S36" i="2"/>
  <c r="S133" i="2"/>
  <c r="S125" i="2"/>
  <c r="S117" i="2"/>
  <c r="S261" i="2" s="1"/>
  <c r="S194" i="2"/>
  <c r="S186" i="2"/>
  <c r="S178" i="2"/>
  <c r="S170" i="2"/>
  <c r="S162" i="2"/>
  <c r="S154" i="2"/>
  <c r="S146" i="2"/>
  <c r="S209" i="2"/>
  <c r="S201" i="2"/>
  <c r="S61" i="2"/>
  <c r="S104" i="2"/>
  <c r="S96" i="2"/>
  <c r="S83" i="2"/>
  <c r="S70" i="2"/>
  <c r="S77" i="2"/>
  <c r="S59" i="2"/>
  <c r="S51" i="2"/>
  <c r="S43" i="2"/>
  <c r="S35" i="2"/>
  <c r="S132" i="2"/>
  <c r="S276" i="2" s="1"/>
  <c r="S124" i="2"/>
  <c r="S268" i="2" s="1"/>
  <c r="S116" i="2"/>
  <c r="S260" i="2" s="1"/>
  <c r="S193" i="2"/>
  <c r="S185" i="2"/>
  <c r="S177" i="2"/>
  <c r="S169" i="2"/>
  <c r="S161" i="2"/>
  <c r="S153" i="2"/>
  <c r="S145" i="2"/>
  <c r="S208" i="2"/>
  <c r="S200" i="2"/>
  <c r="S60" i="2"/>
  <c r="S103" i="2"/>
  <c r="S95" i="2"/>
  <c r="S82" i="2"/>
  <c r="S89" i="2"/>
  <c r="S76" i="2"/>
  <c r="S58" i="2"/>
  <c r="S50" i="2"/>
  <c r="S42" i="2"/>
  <c r="S34" i="2"/>
  <c r="S233" i="2" s="1"/>
  <c r="S139" i="2"/>
  <c r="S131" i="2"/>
  <c r="S275" i="2" s="1"/>
  <c r="S123" i="2"/>
  <c r="S267" i="2" s="1"/>
  <c r="S115" i="2"/>
  <c r="S192" i="2"/>
  <c r="S184" i="2"/>
  <c r="S176" i="2"/>
  <c r="S168" i="2"/>
  <c r="S160" i="2"/>
  <c r="S152" i="2"/>
  <c r="S144" i="2"/>
  <c r="S207" i="2"/>
  <c r="S17" i="2"/>
  <c r="S216" i="2" s="1"/>
  <c r="S110" i="2"/>
  <c r="S102" i="2"/>
  <c r="S94" i="2"/>
  <c r="S81" i="2"/>
  <c r="S88" i="2"/>
  <c r="S75" i="2"/>
  <c r="S57" i="2"/>
  <c r="S49" i="2"/>
  <c r="S41" i="2"/>
  <c r="S33" i="2"/>
  <c r="S138" i="2"/>
  <c r="S130" i="2"/>
  <c r="S122" i="2"/>
  <c r="S266" i="2" s="1"/>
  <c r="S199" i="2"/>
  <c r="S191" i="2"/>
  <c r="S183" i="2"/>
  <c r="S175" i="2"/>
  <c r="S167" i="2"/>
  <c r="S159" i="2"/>
  <c r="S151" i="2"/>
  <c r="S143" i="2"/>
  <c r="S206" i="2"/>
  <c r="S16" i="2"/>
  <c r="S215" i="2" s="1"/>
  <c r="S109" i="2"/>
  <c r="S101" i="2"/>
  <c r="S93" i="2"/>
  <c r="S80" i="2"/>
  <c r="S87" i="2"/>
  <c r="S69" i="2"/>
  <c r="S56" i="2"/>
  <c r="S48" i="2"/>
  <c r="S40" i="2"/>
  <c r="S32" i="2"/>
  <c r="S231" i="2" s="1"/>
  <c r="S137" i="2"/>
  <c r="S129" i="2"/>
  <c r="S273" i="2" s="1"/>
  <c r="S121" i="2"/>
  <c r="S265" i="2" s="1"/>
  <c r="S198" i="2"/>
  <c r="S190" i="2"/>
  <c r="S182" i="2"/>
  <c r="S174" i="2"/>
  <c r="S166" i="2"/>
  <c r="S158" i="2"/>
  <c r="S150" i="2"/>
  <c r="S142" i="2"/>
  <c r="S205" i="2"/>
  <c r="S15" i="2"/>
  <c r="S108" i="2"/>
  <c r="S100" i="2"/>
  <c r="S92" i="2"/>
  <c r="S74" i="2"/>
  <c r="S86" i="2"/>
  <c r="S68" i="2"/>
  <c r="S55" i="2"/>
  <c r="S47" i="2"/>
  <c r="S39" i="2"/>
  <c r="S31" i="2"/>
  <c r="S230" i="2" s="1"/>
  <c r="S136" i="2"/>
  <c r="S128" i="2"/>
  <c r="S272" i="2" s="1"/>
  <c r="S120" i="2"/>
  <c r="S197" i="2"/>
  <c r="S189" i="2"/>
  <c r="S181" i="2"/>
  <c r="S173" i="2"/>
  <c r="S165" i="2"/>
  <c r="S157" i="2"/>
  <c r="S149" i="2"/>
  <c r="S141" i="2"/>
  <c r="S204" i="2"/>
  <c r="S64" i="2"/>
  <c r="S107" i="2"/>
  <c r="S99" i="2"/>
  <c r="S91" i="2"/>
  <c r="S73" i="2"/>
  <c r="S85" i="2"/>
  <c r="S67" i="2"/>
  <c r="S54" i="2"/>
  <c r="S46" i="2"/>
  <c r="S38" i="2"/>
  <c r="S135" i="2"/>
  <c r="S127" i="2"/>
  <c r="S271" i="2" s="1"/>
  <c r="S119" i="2"/>
  <c r="S263" i="2" s="1"/>
  <c r="S196" i="2"/>
  <c r="S188" i="2"/>
  <c r="S180" i="2"/>
  <c r="S172" i="2"/>
  <c r="S164" i="2"/>
  <c r="S156" i="2"/>
  <c r="S148" i="2"/>
  <c r="S140" i="2"/>
  <c r="S203" i="2"/>
  <c r="S63" i="2"/>
  <c r="S106" i="2"/>
  <c r="S98" i="2"/>
  <c r="S90" i="2"/>
  <c r="S72" i="2"/>
  <c r="S79" i="2"/>
  <c r="S66" i="2"/>
  <c r="S53" i="2"/>
  <c r="S45" i="2"/>
  <c r="S37" i="2"/>
  <c r="S30" i="2"/>
  <c r="S22" i="2"/>
  <c r="S221" i="2" s="1"/>
  <c r="S29" i="2"/>
  <c r="S228" i="2" s="1"/>
  <c r="S28" i="2"/>
  <c r="S227" i="2" s="1"/>
  <c r="S20" i="2"/>
  <c r="S27" i="2"/>
  <c r="S226" i="2" s="1"/>
  <c r="S26" i="2"/>
  <c r="S225" i="2" s="1"/>
  <c r="S25" i="2"/>
  <c r="S21" i="2"/>
  <c r="S220" i="2" s="1"/>
  <c r="S19" i="2"/>
  <c r="S218" i="2" s="1"/>
  <c r="S18" i="2"/>
  <c r="S217" i="2" s="1"/>
  <c r="S24" i="2"/>
  <c r="S223" i="2" s="1"/>
  <c r="S23" i="2"/>
  <c r="S222" i="2" s="1"/>
  <c r="M7" i="41" l="1"/>
  <c r="M8" i="41" s="1"/>
  <c r="M83" i="41"/>
  <c r="N110" i="41"/>
  <c r="N35" i="41"/>
  <c r="N99" i="41"/>
  <c r="N512" i="41"/>
  <c r="N71" i="41"/>
  <c r="N70" i="41"/>
  <c r="N49" i="41"/>
  <c r="N50" i="41"/>
  <c r="S300" i="2"/>
  <c r="W284" i="2"/>
  <c r="X284" i="2"/>
  <c r="Y284" i="2"/>
  <c r="S259" i="2"/>
  <c r="S283" i="2"/>
  <c r="U286" i="2"/>
  <c r="V285" i="2"/>
  <c r="W286" i="2"/>
  <c r="X285" i="2"/>
  <c r="Y285" i="2"/>
  <c r="S301" i="2"/>
  <c r="T303" i="2"/>
  <c r="T302" i="2"/>
  <c r="T286" i="2"/>
  <c r="U300" i="2"/>
  <c r="U299" i="2"/>
  <c r="V298" i="2"/>
  <c r="V284" i="2"/>
  <c r="T301" i="2"/>
  <c r="U285" i="2"/>
  <c r="S298" i="2"/>
  <c r="S274" i="2"/>
  <c r="S286" i="2"/>
  <c r="T285" i="2"/>
  <c r="U301" i="2"/>
  <c r="U284" i="2"/>
  <c r="V300" i="2"/>
  <c r="V299" i="2"/>
  <c r="W298" i="2"/>
  <c r="W283" i="2"/>
  <c r="X283" i="2"/>
  <c r="Y283" i="2"/>
  <c r="T300" i="2"/>
  <c r="S303" i="2"/>
  <c r="S264" i="2"/>
  <c r="S284" i="2"/>
  <c r="U303" i="2"/>
  <c r="U302" i="2"/>
  <c r="V301" i="2"/>
  <c r="V283" i="2"/>
  <c r="W300" i="2"/>
  <c r="W299" i="2"/>
  <c r="X298" i="2"/>
  <c r="Y298" i="2"/>
  <c r="T299" i="2"/>
  <c r="S299" i="2"/>
  <c r="T284" i="2"/>
  <c r="U283" i="2"/>
  <c r="V303" i="2"/>
  <c r="V302" i="2"/>
  <c r="W301" i="2"/>
  <c r="X300" i="2"/>
  <c r="Y300" i="2"/>
  <c r="X299" i="2"/>
  <c r="Y299" i="2"/>
  <c r="U298" i="2"/>
  <c r="S302" i="2"/>
  <c r="S269" i="2"/>
  <c r="S285" i="2"/>
  <c r="W303" i="2"/>
  <c r="W302" i="2"/>
  <c r="X301" i="2"/>
  <c r="Y301" i="2"/>
  <c r="X303" i="2"/>
  <c r="Y303" i="2"/>
  <c r="T298" i="2"/>
  <c r="S257" i="2"/>
  <c r="T283" i="2"/>
  <c r="V286" i="2"/>
  <c r="W285" i="2"/>
  <c r="X302" i="2"/>
  <c r="Y302" i="2"/>
  <c r="X286" i="2"/>
  <c r="Y286" i="2"/>
  <c r="V238" i="2"/>
  <c r="V255" i="2"/>
  <c r="S255" i="2"/>
  <c r="S214" i="2"/>
  <c r="S238" i="2"/>
  <c r="T239" i="2"/>
  <c r="T256" i="2"/>
  <c r="U238" i="2"/>
  <c r="U255" i="2"/>
  <c r="W258" i="2"/>
  <c r="W254" i="2"/>
  <c r="X254" i="2"/>
  <c r="Y254" i="2"/>
  <c r="S258" i="2"/>
  <c r="V258" i="2"/>
  <c r="V254" i="2"/>
  <c r="X253" i="2"/>
  <c r="Y253" i="2"/>
  <c r="X258" i="2"/>
  <c r="Y258" i="2"/>
  <c r="S224" i="2"/>
  <c r="S240" i="2"/>
  <c r="S256" i="2"/>
  <c r="T238" i="2"/>
  <c r="T255" i="2"/>
  <c r="U258" i="2"/>
  <c r="U254" i="2"/>
  <c r="V241" i="2"/>
  <c r="W240" i="2"/>
  <c r="W257" i="2"/>
  <c r="W253" i="2"/>
  <c r="X257" i="2"/>
  <c r="Y257" i="2"/>
  <c r="X241" i="2"/>
  <c r="Y241" i="2"/>
  <c r="S229" i="2"/>
  <c r="S241" i="2"/>
  <c r="S253" i="2"/>
  <c r="U241" i="2"/>
  <c r="V240" i="2"/>
  <c r="V257" i="2"/>
  <c r="V253" i="2"/>
  <c r="W241" i="2"/>
  <c r="X240" i="2"/>
  <c r="Y240" i="2"/>
  <c r="S254" i="2"/>
  <c r="T253" i="2"/>
  <c r="T258" i="2"/>
  <c r="T254" i="2"/>
  <c r="U240" i="2"/>
  <c r="U257" i="2"/>
  <c r="U253" i="2"/>
  <c r="W239" i="2"/>
  <c r="W256" i="2"/>
  <c r="X239" i="2"/>
  <c r="Y239" i="2"/>
  <c r="X256" i="2"/>
  <c r="Y256" i="2"/>
  <c r="S219" i="2"/>
  <c r="S239" i="2"/>
  <c r="T241" i="2"/>
  <c r="V239" i="2"/>
  <c r="V256" i="2"/>
  <c r="T240" i="2"/>
  <c r="T257" i="2"/>
  <c r="U239" i="2"/>
  <c r="U256" i="2"/>
  <c r="W238" i="2"/>
  <c r="W255" i="2"/>
  <c r="X238" i="2"/>
  <c r="Y238" i="2"/>
  <c r="X255" i="2"/>
  <c r="Y255" i="2"/>
  <c r="T279" i="2"/>
  <c r="X281" i="2"/>
  <c r="Y281" i="2"/>
  <c r="W281" i="2"/>
  <c r="S282" i="2"/>
  <c r="V281" i="2"/>
  <c r="X280" i="2"/>
  <c r="Y280" i="2"/>
  <c r="S281" i="2"/>
  <c r="T281" i="2"/>
  <c r="U280" i="2"/>
  <c r="U281" i="2"/>
  <c r="W279" i="2"/>
  <c r="W282" i="2"/>
  <c r="W280" i="2"/>
  <c r="X282" i="2"/>
  <c r="Y282" i="2"/>
  <c r="S277" i="2"/>
  <c r="S279" i="2"/>
  <c r="V279" i="2"/>
  <c r="V282" i="2"/>
  <c r="V280" i="2"/>
  <c r="X279" i="2"/>
  <c r="Y279" i="2"/>
  <c r="S280" i="2"/>
  <c r="T280" i="2"/>
  <c r="U279" i="2"/>
  <c r="U282" i="2"/>
  <c r="T282" i="2"/>
  <c r="T276" i="2"/>
  <c r="U271" i="2"/>
  <c r="U265" i="2"/>
  <c r="T235" i="2"/>
  <c r="U234" i="2"/>
  <c r="U237" i="2"/>
  <c r="S232" i="2"/>
  <c r="S234" i="2"/>
  <c r="T234" i="2"/>
  <c r="T237" i="2"/>
  <c r="S236" i="2"/>
  <c r="X236" i="2"/>
  <c r="Y236" i="2"/>
  <c r="W236" i="2"/>
  <c r="V236" i="2"/>
  <c r="X235" i="2"/>
  <c r="Y235" i="2"/>
  <c r="S235" i="2"/>
  <c r="T236" i="2"/>
  <c r="U235" i="2"/>
  <c r="U236" i="2"/>
  <c r="W234" i="2"/>
  <c r="W237" i="2"/>
  <c r="W235" i="2"/>
  <c r="X237" i="2"/>
  <c r="Y237" i="2"/>
  <c r="S237" i="2"/>
  <c r="V234" i="2"/>
  <c r="V237" i="2"/>
  <c r="V235" i="2"/>
  <c r="X234" i="2"/>
  <c r="Y234" i="2"/>
  <c r="V274" i="2"/>
  <c r="V277" i="2"/>
  <c r="V268" i="2"/>
  <c r="W269" i="2"/>
  <c r="W260" i="2"/>
  <c r="W271" i="2"/>
  <c r="T261" i="2"/>
  <c r="T272" i="2"/>
  <c r="U267" i="2"/>
  <c r="U278" i="2"/>
  <c r="V259" i="2"/>
  <c r="V270" i="2"/>
  <c r="W262" i="2"/>
  <c r="W273" i="2"/>
  <c r="T264" i="2"/>
  <c r="T275" i="2"/>
  <c r="U259" i="2"/>
  <c r="U270" i="2"/>
  <c r="V262" i="2"/>
  <c r="V273" i="2"/>
  <c r="W265" i="2"/>
  <c r="W276" i="2"/>
  <c r="X265" i="2"/>
  <c r="Y265" i="2"/>
  <c r="X268" i="2"/>
  <c r="Y268" i="2"/>
  <c r="T267" i="2"/>
  <c r="T278" i="2"/>
  <c r="U262" i="2"/>
  <c r="U273" i="2"/>
  <c r="V265" i="2"/>
  <c r="V276" i="2"/>
  <c r="W277" i="2"/>
  <c r="W268" i="2"/>
  <c r="X260" i="2"/>
  <c r="Y260" i="2"/>
  <c r="X271" i="2"/>
  <c r="Y271" i="2"/>
  <c r="X262" i="2"/>
  <c r="Y262" i="2"/>
  <c r="T259" i="2"/>
  <c r="T270" i="2"/>
  <c r="U276" i="2"/>
  <c r="X263" i="2"/>
  <c r="Y263" i="2"/>
  <c r="X274" i="2"/>
  <c r="Y274" i="2"/>
  <c r="X277" i="2"/>
  <c r="Y277" i="2"/>
  <c r="T268" i="2"/>
  <c r="T262" i="2"/>
  <c r="T273" i="2"/>
  <c r="U263" i="2"/>
  <c r="U274" i="2"/>
  <c r="U277" i="2"/>
  <c r="U268" i="2"/>
  <c r="V266" i="2"/>
  <c r="V269" i="2"/>
  <c r="V260" i="2"/>
  <c r="V271" i="2"/>
  <c r="W261" i="2"/>
  <c r="W272" i="2"/>
  <c r="W263" i="2"/>
  <c r="W274" i="2"/>
  <c r="X272" i="2"/>
  <c r="Y272" i="2"/>
  <c r="X266" i="2"/>
  <c r="Y266" i="2"/>
  <c r="X269" i="2"/>
  <c r="Y269" i="2"/>
  <c r="X276" i="2"/>
  <c r="Y276" i="2"/>
  <c r="T260" i="2"/>
  <c r="T271" i="2"/>
  <c r="T265" i="2"/>
  <c r="U266" i="2"/>
  <c r="U269" i="2"/>
  <c r="U260" i="2"/>
  <c r="V261" i="2"/>
  <c r="V272" i="2"/>
  <c r="V263" i="2"/>
  <c r="W264" i="2"/>
  <c r="W275" i="2"/>
  <c r="W266" i="2"/>
  <c r="X264" i="2"/>
  <c r="Y264" i="2"/>
  <c r="X275" i="2"/>
  <c r="Y275" i="2"/>
  <c r="X261" i="2"/>
  <c r="Y261" i="2"/>
  <c r="X273" i="2"/>
  <c r="Y273" i="2"/>
  <c r="T263" i="2"/>
  <c r="T274" i="2"/>
  <c r="T277" i="2"/>
  <c r="U261" i="2"/>
  <c r="U272" i="2"/>
  <c r="V264" i="2"/>
  <c r="V275" i="2"/>
  <c r="W267" i="2"/>
  <c r="W278" i="2"/>
  <c r="X267" i="2"/>
  <c r="Y267" i="2"/>
  <c r="X278" i="2"/>
  <c r="Y278" i="2"/>
  <c r="T266" i="2"/>
  <c r="T269" i="2"/>
  <c r="U264" i="2"/>
  <c r="U275" i="2"/>
  <c r="V267" i="2"/>
  <c r="V278" i="2"/>
  <c r="W259" i="2"/>
  <c r="W270" i="2"/>
  <c r="X259" i="2"/>
  <c r="Y259" i="2"/>
  <c r="X270" i="2"/>
  <c r="Y270" i="2"/>
  <c r="U219" i="2"/>
  <c r="U230" i="2"/>
  <c r="U218" i="2"/>
  <c r="U229" i="2"/>
  <c r="U232" i="2"/>
  <c r="T215" i="2"/>
  <c r="T220" i="2"/>
  <c r="U221" i="2"/>
  <c r="U224" i="2"/>
  <c r="V216" i="2"/>
  <c r="V227" i="2"/>
  <c r="V218" i="2"/>
  <c r="W219" i="2"/>
  <c r="W230" i="2"/>
  <c r="W221" i="2"/>
  <c r="V222" i="2"/>
  <c r="V233" i="2"/>
  <c r="W214" i="2"/>
  <c r="W225" i="2"/>
  <c r="T218" i="2"/>
  <c r="T229" i="2"/>
  <c r="T232" i="2"/>
  <c r="U216" i="2"/>
  <c r="U227" i="2"/>
  <c r="V219" i="2"/>
  <c r="V230" i="2"/>
  <c r="W222" i="2"/>
  <c r="W233" i="2"/>
  <c r="X222" i="2"/>
  <c r="Y222" i="2"/>
  <c r="X233" i="2"/>
  <c r="Y233" i="2"/>
  <c r="T221" i="2"/>
  <c r="T224" i="2"/>
  <c r="X214" i="2"/>
  <c r="Y214" i="2"/>
  <c r="X225" i="2"/>
  <c r="Y225" i="2"/>
  <c r="T226" i="2"/>
  <c r="U215" i="2"/>
  <c r="X230" i="2"/>
  <c r="Y230" i="2"/>
  <c r="T216" i="2"/>
  <c r="T227" i="2"/>
  <c r="U222" i="2"/>
  <c r="U233" i="2"/>
  <c r="V214" i="2"/>
  <c r="V225" i="2"/>
  <c r="W217" i="2"/>
  <c r="W228" i="2"/>
  <c r="X217" i="2"/>
  <c r="Y217" i="2"/>
  <c r="X228" i="2"/>
  <c r="Y228" i="2"/>
  <c r="X231" i="2"/>
  <c r="Y231" i="2"/>
  <c r="T219" i="2"/>
  <c r="T230" i="2"/>
  <c r="U214" i="2"/>
  <c r="U225" i="2"/>
  <c r="V217" i="2"/>
  <c r="V228" i="2"/>
  <c r="W220" i="2"/>
  <c r="W231" i="2"/>
  <c r="X220" i="2"/>
  <c r="Y220" i="2"/>
  <c r="X223" i="2"/>
  <c r="Y223" i="2"/>
  <c r="T222" i="2"/>
  <c r="T233" i="2"/>
  <c r="U217" i="2"/>
  <c r="U228" i="2"/>
  <c r="V220" i="2"/>
  <c r="V231" i="2"/>
  <c r="W232" i="2"/>
  <c r="W223" i="2"/>
  <c r="X215" i="2"/>
  <c r="Y215" i="2"/>
  <c r="X226" i="2"/>
  <c r="Y226" i="2"/>
  <c r="X219" i="2"/>
  <c r="Y219" i="2"/>
  <c r="X216" i="2"/>
  <c r="Y216" i="2"/>
  <c r="T231" i="2"/>
  <c r="T214" i="2"/>
  <c r="T225" i="2"/>
  <c r="U226" i="2"/>
  <c r="U220" i="2"/>
  <c r="U231" i="2"/>
  <c r="V229" i="2"/>
  <c r="V232" i="2"/>
  <c r="V223" i="2"/>
  <c r="W224" i="2"/>
  <c r="W215" i="2"/>
  <c r="W226" i="2"/>
  <c r="X218" i="2"/>
  <c r="Y218" i="2"/>
  <c r="X229" i="2"/>
  <c r="Y229" i="2"/>
  <c r="X232" i="2"/>
  <c r="Y232" i="2"/>
  <c r="T223" i="2"/>
  <c r="T217" i="2"/>
  <c r="T228" i="2"/>
  <c r="U223" i="2"/>
  <c r="V221" i="2"/>
  <c r="V224" i="2"/>
  <c r="V215" i="2"/>
  <c r="V226" i="2"/>
  <c r="W216" i="2"/>
  <c r="W227" i="2"/>
  <c r="W218" i="2"/>
  <c r="W229" i="2"/>
  <c r="X227" i="2"/>
  <c r="Y227" i="2"/>
  <c r="X221" i="2"/>
  <c r="Y221" i="2"/>
  <c r="X224" i="2"/>
  <c r="Y224" i="2"/>
  <c r="Y245" i="2"/>
  <c r="Y248" i="2"/>
  <c r="Y291" i="2"/>
  <c r="Y287" i="2"/>
  <c r="Y243" i="2"/>
  <c r="Y247" i="2"/>
  <c r="Y290" i="2"/>
  <c r="Y305" i="2"/>
  <c r="Y252" i="2"/>
  <c r="Y294" i="2"/>
  <c r="Y289" i="2"/>
  <c r="Y304" i="2"/>
  <c r="Y293" i="2"/>
  <c r="Y297" i="2"/>
  <c r="Y296" i="2"/>
  <c r="Y295" i="2"/>
  <c r="Y246" i="2"/>
  <c r="Y251" i="2"/>
  <c r="Y242" i="2"/>
  <c r="Y288" i="2"/>
  <c r="Y292" i="2"/>
  <c r="Y250" i="2"/>
  <c r="Y244" i="2"/>
  <c r="Y249" i="2"/>
  <c r="S294" i="2"/>
  <c r="S242" i="2"/>
  <c r="S244" i="2"/>
  <c r="S288" i="2"/>
  <c r="S287" i="2"/>
  <c r="T242" i="2"/>
  <c r="V248" i="2"/>
  <c r="V291" i="2"/>
  <c r="W287" i="2"/>
  <c r="X243" i="2"/>
  <c r="S290" i="2"/>
  <c r="T294" i="2"/>
  <c r="S247" i="2"/>
  <c r="U293" i="2"/>
  <c r="S297" i="2"/>
  <c r="S293" i="2"/>
  <c r="S249" i="2"/>
  <c r="T244" i="2"/>
  <c r="T249" i="2"/>
  <c r="T292" i="2"/>
  <c r="T245" i="2"/>
  <c r="U296" i="2"/>
  <c r="U295" i="2"/>
  <c r="U243" i="2"/>
  <c r="U248" i="2"/>
  <c r="U291" i="2"/>
  <c r="U244" i="2"/>
  <c r="V294" i="2"/>
  <c r="V293" i="2"/>
  <c r="V297" i="2"/>
  <c r="V287" i="2"/>
  <c r="W296" i="2"/>
  <c r="W295" i="2"/>
  <c r="W304" i="2"/>
  <c r="W247" i="2"/>
  <c r="W290" i="2"/>
  <c r="W243" i="2"/>
  <c r="X247" i="2"/>
  <c r="X290" i="2"/>
  <c r="X305" i="2"/>
  <c r="X252" i="2"/>
  <c r="S243" i="2"/>
  <c r="V244" i="2"/>
  <c r="X287" i="2"/>
  <c r="S245" i="2"/>
  <c r="S291" i="2"/>
  <c r="S305" i="2"/>
  <c r="S252" i="2"/>
  <c r="U287" i="2"/>
  <c r="V295" i="2"/>
  <c r="V304" i="2"/>
  <c r="V247" i="2"/>
  <c r="V290" i="2"/>
  <c r="V243" i="2"/>
  <c r="W294" i="2"/>
  <c r="W293" i="2"/>
  <c r="W297" i="2"/>
  <c r="W305" i="2"/>
  <c r="W252" i="2"/>
  <c r="X294" i="2"/>
  <c r="X289" i="2"/>
  <c r="X304" i="2"/>
  <c r="S304" i="2"/>
  <c r="S248" i="2"/>
  <c r="S292" i="2"/>
  <c r="T243" i="2"/>
  <c r="T248" i="2"/>
  <c r="T291" i="2"/>
  <c r="U304" i="2"/>
  <c r="U247" i="2"/>
  <c r="U290" i="2"/>
  <c r="V305" i="2"/>
  <c r="V252" i="2"/>
  <c r="W246" i="2"/>
  <c r="W289" i="2"/>
  <c r="X293" i="2"/>
  <c r="X297" i="2"/>
  <c r="X296" i="2"/>
  <c r="X295" i="2"/>
  <c r="X246" i="2"/>
  <c r="X251" i="2"/>
  <c r="U294" i="2"/>
  <c r="U297" i="2"/>
  <c r="V296" i="2"/>
  <c r="S289" i="2"/>
  <c r="S296" i="2"/>
  <c r="S246" i="2"/>
  <c r="T305" i="2"/>
  <c r="T252" i="2"/>
  <c r="T287" i="2"/>
  <c r="U251" i="2"/>
  <c r="U305" i="2"/>
  <c r="U252" i="2"/>
  <c r="V246" i="2"/>
  <c r="V289" i="2"/>
  <c r="W242" i="2"/>
  <c r="W251" i="2"/>
  <c r="X242" i="2"/>
  <c r="X288" i="2"/>
  <c r="T297" i="2"/>
  <c r="T250" i="2"/>
  <c r="S250" i="2"/>
  <c r="T289" i="2"/>
  <c r="T304" i="2"/>
  <c r="T247" i="2"/>
  <c r="T290" i="2"/>
  <c r="U288" i="2"/>
  <c r="U246" i="2"/>
  <c r="U289" i="2"/>
  <c r="V250" i="2"/>
  <c r="V242" i="2"/>
  <c r="V251" i="2"/>
  <c r="W249" i="2"/>
  <c r="W292" i="2"/>
  <c r="W245" i="2"/>
  <c r="W288" i="2"/>
  <c r="X292" i="2"/>
  <c r="X245" i="2"/>
  <c r="X250" i="2"/>
  <c r="T293" i="2"/>
  <c r="T251" i="2"/>
  <c r="V249" i="2"/>
  <c r="V288" i="2"/>
  <c r="W250" i="2"/>
  <c r="X244" i="2"/>
  <c r="X249" i="2"/>
  <c r="U250" i="2"/>
  <c r="U242" i="2"/>
  <c r="V292" i="2"/>
  <c r="V245" i="2"/>
  <c r="S251" i="2"/>
  <c r="S295" i="2"/>
  <c r="T296" i="2"/>
  <c r="T295" i="2"/>
  <c r="T288" i="2"/>
  <c r="T246" i="2"/>
  <c r="U249" i="2"/>
  <c r="U292" i="2"/>
  <c r="U245" i="2"/>
  <c r="W248" i="2"/>
  <c r="W291" i="2"/>
  <c r="W244" i="2"/>
  <c r="X248" i="2"/>
  <c r="X291" i="2"/>
  <c r="D98" i="4"/>
  <c r="D99" i="4"/>
  <c r="D104" i="4"/>
  <c r="D102" i="4"/>
  <c r="D71" i="4"/>
  <c r="D118" i="4"/>
  <c r="D84" i="4"/>
  <c r="D120" i="4"/>
  <c r="D130" i="4"/>
  <c r="C112" i="4"/>
  <c r="D91" i="4"/>
  <c r="D131" i="4"/>
  <c r="C96" i="4"/>
  <c r="C123" i="4"/>
  <c r="C98" i="4"/>
  <c r="C131" i="4"/>
  <c r="D107" i="4"/>
  <c r="D134" i="4"/>
  <c r="C99" i="4"/>
  <c r="C142" i="4"/>
  <c r="D86" i="4"/>
  <c r="D114" i="4"/>
  <c r="D136" i="4"/>
  <c r="C83" i="4"/>
  <c r="C102" i="4"/>
  <c r="D88" i="4"/>
  <c r="D115" i="4"/>
  <c r="D139" i="4"/>
  <c r="D51" i="4"/>
  <c r="C84" i="4"/>
  <c r="C106" i="4"/>
  <c r="D32" i="4"/>
  <c r="C86" i="4"/>
  <c r="C115" i="4"/>
  <c r="D123" i="4"/>
  <c r="C90" i="4"/>
  <c r="C118" i="4"/>
  <c r="C88" i="4"/>
  <c r="C104" i="4"/>
  <c r="C126" i="4"/>
  <c r="D90" i="4"/>
  <c r="D106" i="4"/>
  <c r="D122" i="4"/>
  <c r="D138" i="4"/>
  <c r="D39" i="4"/>
  <c r="C91" i="4"/>
  <c r="C107" i="4"/>
  <c r="C134" i="4"/>
  <c r="D81" i="4"/>
  <c r="D94" i="4"/>
  <c r="D110" i="4"/>
  <c r="D126" i="4"/>
  <c r="D142" i="4"/>
  <c r="D57" i="4"/>
  <c r="C81" i="4"/>
  <c r="C94" i="4"/>
  <c r="C110" i="4"/>
  <c r="C139" i="4"/>
  <c r="D83" i="4"/>
  <c r="D96" i="4"/>
  <c r="D112" i="4"/>
  <c r="D128" i="4"/>
  <c r="D144" i="4"/>
  <c r="D17" i="4"/>
  <c r="D25" i="4"/>
  <c r="D45" i="4"/>
  <c r="D63" i="4"/>
  <c r="G7" i="4"/>
  <c r="G42" i="4" s="1"/>
  <c r="E7" i="4"/>
  <c r="E92" i="4" s="1"/>
  <c r="F7" i="4"/>
  <c r="F41" i="4" s="1"/>
  <c r="H7" i="4"/>
  <c r="H43" i="4" s="1"/>
  <c r="B17" i="4"/>
  <c r="B25" i="4"/>
  <c r="B31" i="4"/>
  <c r="B38" i="4"/>
  <c r="B44" i="4"/>
  <c r="B56" i="4"/>
  <c r="B62" i="4"/>
  <c r="B70" i="4"/>
  <c r="C18" i="4"/>
  <c r="C32" i="4"/>
  <c r="C39" i="4"/>
  <c r="C45" i="4"/>
  <c r="C51" i="4"/>
  <c r="C57" i="4"/>
  <c r="C63" i="4"/>
  <c r="C71" i="4"/>
  <c r="B84" i="4"/>
  <c r="B91" i="4"/>
  <c r="B99" i="4"/>
  <c r="B107" i="4"/>
  <c r="B115" i="4"/>
  <c r="B123" i="4"/>
  <c r="B131" i="4"/>
  <c r="B139" i="4"/>
  <c r="C85" i="4"/>
  <c r="C92" i="4"/>
  <c r="C100" i="4"/>
  <c r="C108" i="4"/>
  <c r="C116" i="4"/>
  <c r="C124" i="4"/>
  <c r="C132" i="4"/>
  <c r="C140" i="4"/>
  <c r="D85" i="4"/>
  <c r="D92" i="4"/>
  <c r="D100" i="4"/>
  <c r="D108" i="4"/>
  <c r="D116" i="4"/>
  <c r="D124" i="4"/>
  <c r="D132" i="4"/>
  <c r="D140" i="4"/>
  <c r="B18" i="4"/>
  <c r="B32" i="4"/>
  <c r="B39" i="4"/>
  <c r="B45" i="4"/>
  <c r="B51" i="4"/>
  <c r="B57" i="4"/>
  <c r="B63" i="4"/>
  <c r="B71" i="4"/>
  <c r="C19" i="4"/>
  <c r="C33" i="4"/>
  <c r="C40" i="4"/>
  <c r="C52" i="4"/>
  <c r="C58" i="4"/>
  <c r="C64" i="4"/>
  <c r="C72" i="4"/>
  <c r="D18" i="4"/>
  <c r="D33" i="4"/>
  <c r="D40" i="4"/>
  <c r="D52" i="4"/>
  <c r="D58" i="4"/>
  <c r="D64" i="4"/>
  <c r="D72" i="4"/>
  <c r="B85" i="4"/>
  <c r="B92" i="4"/>
  <c r="B100" i="4"/>
  <c r="B108" i="4"/>
  <c r="B116" i="4"/>
  <c r="B124" i="4"/>
  <c r="B132" i="4"/>
  <c r="B141" i="4"/>
  <c r="I7" i="4"/>
  <c r="I44" i="4" s="1"/>
  <c r="J7" i="4"/>
  <c r="J45" i="4" s="1"/>
  <c r="C93" i="4"/>
  <c r="C101" i="4"/>
  <c r="C109" i="4"/>
  <c r="C117" i="4"/>
  <c r="C125" i="4"/>
  <c r="C133" i="4"/>
  <c r="C141" i="4"/>
  <c r="D93" i="4"/>
  <c r="D101" i="4"/>
  <c r="D109" i="4"/>
  <c r="D117" i="4"/>
  <c r="D125" i="4"/>
  <c r="D133" i="4"/>
  <c r="D141" i="4"/>
  <c r="B10" i="4"/>
  <c r="B14" i="4"/>
  <c r="B19" i="4"/>
  <c r="B33" i="4"/>
  <c r="B40" i="4"/>
  <c r="B52" i="4"/>
  <c r="B58" i="4"/>
  <c r="B64" i="4"/>
  <c r="B72" i="4"/>
  <c r="C10" i="4"/>
  <c r="C14" i="4"/>
  <c r="C20" i="4"/>
  <c r="C26" i="4"/>
  <c r="C34" i="4"/>
  <c r="C46" i="4"/>
  <c r="C53" i="4"/>
  <c r="C59" i="4"/>
  <c r="C65" i="4"/>
  <c r="C73" i="4"/>
  <c r="D10" i="4"/>
  <c r="D14" i="4"/>
  <c r="D19" i="4"/>
  <c r="D34" i="4"/>
  <c r="D46" i="4"/>
  <c r="D53" i="4"/>
  <c r="D59" i="4"/>
  <c r="D65" i="4"/>
  <c r="D73" i="4"/>
  <c r="B93" i="4"/>
  <c r="B101" i="4"/>
  <c r="B109" i="4"/>
  <c r="B117" i="4"/>
  <c r="B125" i="4"/>
  <c r="B133" i="4"/>
  <c r="B142" i="4"/>
  <c r="B15" i="4"/>
  <c r="B20" i="4"/>
  <c r="B26" i="4"/>
  <c r="B34" i="4"/>
  <c r="B46" i="4"/>
  <c r="B53" i="4"/>
  <c r="B59" i="4"/>
  <c r="B65" i="4"/>
  <c r="B73" i="4"/>
  <c r="C15" i="4"/>
  <c r="C21" i="4"/>
  <c r="C27" i="4"/>
  <c r="C35" i="4"/>
  <c r="C47" i="4"/>
  <c r="C54" i="4"/>
  <c r="C60" i="4"/>
  <c r="C66" i="4"/>
  <c r="C74" i="4"/>
  <c r="D15" i="4"/>
  <c r="D20" i="4"/>
  <c r="D26" i="4"/>
  <c r="D35" i="4"/>
  <c r="D47" i="4"/>
  <c r="D54" i="4"/>
  <c r="D60" i="4"/>
  <c r="D66" i="4"/>
  <c r="D74" i="4"/>
  <c r="B86" i="4"/>
  <c r="B94" i="4"/>
  <c r="B102" i="4"/>
  <c r="B110" i="4"/>
  <c r="B118" i="4"/>
  <c r="B126" i="4"/>
  <c r="B134" i="4"/>
  <c r="B143" i="4"/>
  <c r="C80" i="4"/>
  <c r="C87" i="4"/>
  <c r="C95" i="4"/>
  <c r="C103" i="4"/>
  <c r="C111" i="4"/>
  <c r="C119" i="4"/>
  <c r="C127" i="4"/>
  <c r="C135" i="4"/>
  <c r="C143" i="4"/>
  <c r="D80" i="4"/>
  <c r="D87" i="4"/>
  <c r="D95" i="4"/>
  <c r="D103" i="4"/>
  <c r="D111" i="4"/>
  <c r="D119" i="4"/>
  <c r="D127" i="4"/>
  <c r="D135" i="4"/>
  <c r="D143" i="4"/>
  <c r="B21" i="4"/>
  <c r="B27" i="4"/>
  <c r="B35" i="4"/>
  <c r="B47" i="4"/>
  <c r="B54" i="4"/>
  <c r="B60" i="4"/>
  <c r="B66" i="4"/>
  <c r="B74" i="4"/>
  <c r="C22" i="4"/>
  <c r="C28" i="4"/>
  <c r="C41" i="4"/>
  <c r="C48" i="4"/>
  <c r="C55" i="4"/>
  <c r="C67" i="4"/>
  <c r="C75" i="4"/>
  <c r="D21" i="4"/>
  <c r="D27" i="4"/>
  <c r="D41" i="4"/>
  <c r="D48" i="4"/>
  <c r="D55" i="4"/>
  <c r="D67" i="4"/>
  <c r="D75" i="4"/>
  <c r="B80" i="4"/>
  <c r="B87" i="4"/>
  <c r="B95" i="4"/>
  <c r="B103" i="4"/>
  <c r="B111" i="4"/>
  <c r="B119" i="4"/>
  <c r="B127" i="4"/>
  <c r="B135" i="4"/>
  <c r="B144" i="4"/>
  <c r="C120" i="4"/>
  <c r="C128" i="4"/>
  <c r="C136" i="4"/>
  <c r="C144" i="4"/>
  <c r="B11" i="4"/>
  <c r="B22" i="4"/>
  <c r="B28" i="4"/>
  <c r="B41" i="4"/>
  <c r="B48" i="4"/>
  <c r="B55" i="4"/>
  <c r="B67" i="4"/>
  <c r="B75" i="4"/>
  <c r="C11" i="4"/>
  <c r="C23" i="4"/>
  <c r="C29" i="4"/>
  <c r="C36" i="4"/>
  <c r="C42" i="4"/>
  <c r="C49" i="4"/>
  <c r="C68" i="4"/>
  <c r="D11" i="4"/>
  <c r="D22" i="4"/>
  <c r="D28" i="4"/>
  <c r="D36" i="4"/>
  <c r="D42" i="4"/>
  <c r="D49" i="4"/>
  <c r="D68" i="4"/>
  <c r="B81" i="4"/>
  <c r="B88" i="4"/>
  <c r="B96" i="4"/>
  <c r="B104" i="4"/>
  <c r="B112" i="4"/>
  <c r="B120" i="4"/>
  <c r="B128" i="4"/>
  <c r="B136" i="4"/>
  <c r="B145" i="4"/>
  <c r="X7" i="2"/>
  <c r="C82" i="4"/>
  <c r="C89" i="4"/>
  <c r="C97" i="4"/>
  <c r="C105" i="4"/>
  <c r="C113" i="4"/>
  <c r="C121" i="4"/>
  <c r="C129" i="4"/>
  <c r="C137" i="4"/>
  <c r="C145" i="4"/>
  <c r="D82" i="4"/>
  <c r="D89" i="4"/>
  <c r="D97" i="4"/>
  <c r="D105" i="4"/>
  <c r="D113" i="4"/>
  <c r="D121" i="4"/>
  <c r="D129" i="4"/>
  <c r="D137" i="4"/>
  <c r="D145" i="4"/>
  <c r="B12" i="4"/>
  <c r="B23" i="4"/>
  <c r="B29" i="4"/>
  <c r="B36" i="4"/>
  <c r="B42" i="4"/>
  <c r="B49" i="4"/>
  <c r="B68" i="4"/>
  <c r="C12" i="4"/>
  <c r="C24" i="4"/>
  <c r="C30" i="4"/>
  <c r="C37" i="4"/>
  <c r="C43" i="4"/>
  <c r="C50" i="4"/>
  <c r="C61" i="4"/>
  <c r="C69" i="4"/>
  <c r="D12" i="4"/>
  <c r="D23" i="4"/>
  <c r="D29" i="4"/>
  <c r="D37" i="4"/>
  <c r="D43" i="4"/>
  <c r="D50" i="4"/>
  <c r="D61" i="4"/>
  <c r="D69" i="4"/>
  <c r="B82" i="4"/>
  <c r="B89" i="4"/>
  <c r="B97" i="4"/>
  <c r="B105" i="4"/>
  <c r="B113" i="4"/>
  <c r="B121" i="4"/>
  <c r="B129" i="4"/>
  <c r="B137" i="4"/>
  <c r="C114" i="4"/>
  <c r="C122" i="4"/>
  <c r="C130" i="4"/>
  <c r="C138" i="4"/>
  <c r="B13" i="4"/>
  <c r="B16" i="4"/>
  <c r="B24" i="4"/>
  <c r="B30" i="4"/>
  <c r="B37" i="4"/>
  <c r="B43" i="4"/>
  <c r="B50" i="4"/>
  <c r="B61" i="4"/>
  <c r="B69" i="4"/>
  <c r="C13" i="4"/>
  <c r="C17" i="4"/>
  <c r="C25" i="4"/>
  <c r="C31" i="4"/>
  <c r="C38" i="4"/>
  <c r="C44" i="4"/>
  <c r="C56" i="4"/>
  <c r="C62" i="4"/>
  <c r="C70" i="4"/>
  <c r="D13" i="4"/>
  <c r="D16" i="4"/>
  <c r="D24" i="4"/>
  <c r="D30" i="4"/>
  <c r="D38" i="4"/>
  <c r="D44" i="4"/>
  <c r="D56" i="4"/>
  <c r="D62" i="4"/>
  <c r="D70" i="4"/>
  <c r="B83" i="4"/>
  <c r="B90" i="4"/>
  <c r="B98" i="4"/>
  <c r="B106" i="4"/>
  <c r="B114" i="4"/>
  <c r="B122" i="4"/>
  <c r="B130" i="4"/>
  <c r="B138" i="4"/>
  <c r="T211" i="2"/>
  <c r="T111" i="2"/>
  <c r="U211" i="2"/>
  <c r="U111" i="2"/>
  <c r="S7" i="2"/>
  <c r="U6" i="2"/>
  <c r="T6" i="2"/>
  <c r="V6" i="2"/>
  <c r="V211" i="2"/>
  <c r="V111" i="2"/>
  <c r="S6" i="2"/>
  <c r="W211" i="2"/>
  <c r="W111" i="2"/>
  <c r="W6" i="2"/>
  <c r="X6" i="2"/>
  <c r="X111" i="2"/>
  <c r="U7" i="2"/>
  <c r="X211" i="2"/>
  <c r="T7" i="2"/>
  <c r="V7" i="2"/>
  <c r="W7" i="2"/>
  <c r="S211" i="2"/>
  <c r="B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S111" i="2"/>
  <c r="B111" i="2"/>
  <c r="B6" i="2"/>
  <c r="X4" i="2"/>
  <c r="W4" i="2"/>
  <c r="V4" i="2"/>
  <c r="U4" i="2"/>
  <c r="T4" i="2"/>
  <c r="S4" i="2"/>
  <c r="R4" i="2"/>
  <c r="Q4" i="2"/>
  <c r="P4" i="2"/>
  <c r="O4" i="2"/>
  <c r="N4" i="2"/>
  <c r="M4" i="2"/>
  <c r="L4" i="2"/>
  <c r="K4" i="2"/>
  <c r="J4" i="2"/>
  <c r="I4" i="2"/>
  <c r="H4" i="2"/>
  <c r="G4" i="2"/>
  <c r="F4" i="2"/>
  <c r="E4" i="2"/>
  <c r="D4" i="2"/>
  <c r="C4" i="2"/>
  <c r="B4" i="2"/>
  <c r="N129" i="41" l="1"/>
  <c r="N111" i="41"/>
  <c r="N57" i="41"/>
  <c r="N41" i="41"/>
  <c r="N39" i="41"/>
  <c r="N52" i="41"/>
  <c r="N46" i="41"/>
  <c r="N85" i="41"/>
  <c r="N64" i="41"/>
  <c r="N78" i="41"/>
  <c r="N234" i="41"/>
  <c r="I65" i="4"/>
  <c r="G89" i="4"/>
  <c r="G128" i="4"/>
  <c r="G65" i="4"/>
  <c r="G81" i="4"/>
  <c r="G15" i="4"/>
  <c r="G112" i="4"/>
  <c r="G62" i="4"/>
  <c r="G45" i="4"/>
  <c r="G100" i="4"/>
  <c r="G32" i="4"/>
  <c r="G64" i="4"/>
  <c r="G18" i="4"/>
  <c r="G86" i="4"/>
  <c r="G72" i="4"/>
  <c r="G145" i="4"/>
  <c r="G26" i="4"/>
  <c r="G37" i="4"/>
  <c r="G39" i="4"/>
  <c r="G113" i="4"/>
  <c r="G133" i="4"/>
  <c r="G75" i="4"/>
  <c r="G19" i="4"/>
  <c r="I48" i="4"/>
  <c r="F25" i="4"/>
  <c r="I20" i="4"/>
  <c r="F51" i="4"/>
  <c r="I102" i="4"/>
  <c r="F66" i="4"/>
  <c r="F14" i="4"/>
  <c r="F72" i="4"/>
  <c r="I34" i="4"/>
  <c r="I121" i="4"/>
  <c r="F45" i="4"/>
  <c r="F27" i="4"/>
  <c r="G35" i="4"/>
  <c r="I23" i="4"/>
  <c r="I80" i="4"/>
  <c r="I29" i="4"/>
  <c r="F89" i="4"/>
  <c r="I111" i="4"/>
  <c r="I25" i="4"/>
  <c r="F30" i="4"/>
  <c r="F16" i="4"/>
  <c r="F36" i="4"/>
  <c r="F131" i="4"/>
  <c r="I12" i="4"/>
  <c r="I31" i="4"/>
  <c r="I108" i="4"/>
  <c r="F40" i="4"/>
  <c r="I116" i="4"/>
  <c r="F83" i="4"/>
  <c r="I93" i="4"/>
  <c r="F19" i="4"/>
  <c r="F69" i="4"/>
  <c r="F127" i="4"/>
  <c r="F137" i="4"/>
  <c r="E89" i="4"/>
  <c r="I103" i="4"/>
  <c r="I73" i="4"/>
  <c r="I139" i="4"/>
  <c r="I105" i="4"/>
  <c r="F67" i="4"/>
  <c r="F61" i="4"/>
  <c r="F122" i="4"/>
  <c r="I54" i="4"/>
  <c r="I89" i="4"/>
  <c r="F73" i="4"/>
  <c r="F29" i="4"/>
  <c r="I45" i="4"/>
  <c r="F105" i="4"/>
  <c r="F99" i="4"/>
  <c r="I40" i="4"/>
  <c r="F62" i="4"/>
  <c r="F26" i="4"/>
  <c r="I28" i="4"/>
  <c r="F56" i="4"/>
  <c r="F49" i="4"/>
  <c r="G27" i="4"/>
  <c r="G123" i="4"/>
  <c r="F65" i="4"/>
  <c r="F100" i="4"/>
  <c r="I70" i="4"/>
  <c r="I58" i="4"/>
  <c r="I137" i="4"/>
  <c r="F94" i="4"/>
  <c r="F87" i="4"/>
  <c r="G16" i="4"/>
  <c r="F47" i="4"/>
  <c r="F21" i="4"/>
  <c r="F10" i="4"/>
  <c r="F42" i="4"/>
  <c r="F145" i="4"/>
  <c r="F64" i="4"/>
  <c r="F82" i="4"/>
  <c r="F31" i="4"/>
  <c r="F117" i="4"/>
  <c r="F88" i="4"/>
  <c r="F110" i="4"/>
  <c r="F18" i="4"/>
  <c r="F13" i="4"/>
  <c r="F20" i="4"/>
  <c r="G94" i="4"/>
  <c r="F39" i="4"/>
  <c r="F98" i="4"/>
  <c r="F119" i="4"/>
  <c r="I69" i="4"/>
  <c r="G36" i="4"/>
  <c r="G136" i="4"/>
  <c r="F125" i="4"/>
  <c r="F57" i="4"/>
  <c r="F118" i="4"/>
  <c r="F97" i="4"/>
  <c r="G116" i="4"/>
  <c r="F28" i="4"/>
  <c r="G25" i="4"/>
  <c r="F33" i="4"/>
  <c r="E109" i="4"/>
  <c r="F46" i="4"/>
  <c r="F141" i="4"/>
  <c r="F113" i="4"/>
  <c r="F48" i="4"/>
  <c r="J100" i="4"/>
  <c r="J42" i="4"/>
  <c r="J86" i="4"/>
  <c r="I51" i="4"/>
  <c r="I134" i="4"/>
  <c r="H89" i="4"/>
  <c r="H118" i="4"/>
  <c r="J50" i="4"/>
  <c r="J56" i="4"/>
  <c r="I17" i="4"/>
  <c r="H17" i="4"/>
  <c r="H113" i="4"/>
  <c r="J96" i="4"/>
  <c r="I85" i="4"/>
  <c r="I83" i="4"/>
  <c r="H42" i="4"/>
  <c r="J69" i="4"/>
  <c r="H82" i="4"/>
  <c r="J63" i="4"/>
  <c r="H72" i="4"/>
  <c r="F58" i="4"/>
  <c r="H87" i="4"/>
  <c r="G108" i="4"/>
  <c r="H109" i="4"/>
  <c r="G111" i="4"/>
  <c r="F109" i="4"/>
  <c r="E40" i="4"/>
  <c r="F53" i="4"/>
  <c r="E58" i="4"/>
  <c r="F108" i="4"/>
  <c r="J48" i="4"/>
  <c r="H138" i="4"/>
  <c r="J14" i="4"/>
  <c r="J99" i="4"/>
  <c r="J40" i="4"/>
  <c r="J80" i="4"/>
  <c r="J106" i="4"/>
  <c r="H40" i="4"/>
  <c r="H123" i="4"/>
  <c r="J94" i="4"/>
  <c r="H70" i="4"/>
  <c r="H126" i="4"/>
  <c r="H14" i="4"/>
  <c r="H80" i="4"/>
  <c r="J55" i="4"/>
  <c r="H33" i="4"/>
  <c r="H88" i="4"/>
  <c r="J90" i="4"/>
  <c r="H61" i="4"/>
  <c r="H16" i="4"/>
  <c r="H140" i="4"/>
  <c r="J83" i="4"/>
  <c r="H51" i="4"/>
  <c r="J125" i="4"/>
  <c r="J31" i="4"/>
  <c r="J137" i="4"/>
  <c r="H31" i="4"/>
  <c r="H136" i="4"/>
  <c r="J39" i="4"/>
  <c r="J109" i="4"/>
  <c r="H59" i="4"/>
  <c r="H131" i="4"/>
  <c r="J22" i="4"/>
  <c r="H47" i="4"/>
  <c r="H67" i="4"/>
  <c r="H141" i="4"/>
  <c r="H22" i="4"/>
  <c r="H111" i="4"/>
  <c r="H96" i="4"/>
  <c r="H104" i="4"/>
  <c r="E96" i="4"/>
  <c r="G10" i="4"/>
  <c r="H19" i="4"/>
  <c r="J34" i="4"/>
  <c r="J20" i="4"/>
  <c r="I42" i="4"/>
  <c r="H20" i="4"/>
  <c r="J28" i="4"/>
  <c r="J114" i="4"/>
  <c r="I144" i="4"/>
  <c r="H97" i="4"/>
  <c r="H144" i="4"/>
  <c r="J11" i="4"/>
  <c r="H85" i="4"/>
  <c r="H105" i="4"/>
  <c r="H108" i="4"/>
  <c r="I64" i="4"/>
  <c r="H11" i="4"/>
  <c r="H116" i="4"/>
  <c r="H63" i="4"/>
  <c r="H119" i="4"/>
  <c r="H114" i="4"/>
  <c r="F38" i="4"/>
  <c r="F80" i="4"/>
  <c r="E116" i="4"/>
  <c r="E117" i="4"/>
  <c r="F44" i="4"/>
  <c r="F95" i="4"/>
  <c r="F90" i="4"/>
  <c r="F12" i="4"/>
  <c r="H133" i="4"/>
  <c r="J23" i="4"/>
  <c r="J139" i="4"/>
  <c r="H73" i="4"/>
  <c r="H29" i="4"/>
  <c r="J25" i="4"/>
  <c r="J127" i="4"/>
  <c r="H48" i="4"/>
  <c r="J75" i="4"/>
  <c r="H56" i="4"/>
  <c r="H121" i="4"/>
  <c r="J44" i="4"/>
  <c r="H75" i="4"/>
  <c r="H90" i="4"/>
  <c r="H124" i="4"/>
  <c r="H127" i="4"/>
  <c r="H28" i="4"/>
  <c r="J111" i="4"/>
  <c r="J59" i="4"/>
  <c r="H62" i="4"/>
  <c r="H26" i="4"/>
  <c r="J132" i="4"/>
  <c r="H37" i="4"/>
  <c r="J112" i="4"/>
  <c r="H36" i="4"/>
  <c r="H94" i="4"/>
  <c r="H134" i="4"/>
  <c r="J82" i="4"/>
  <c r="H55" i="4"/>
  <c r="H64" i="4"/>
  <c r="H41" i="4"/>
  <c r="H137" i="4"/>
  <c r="H60" i="4"/>
  <c r="J62" i="4"/>
  <c r="J91" i="4"/>
  <c r="H50" i="4"/>
  <c r="J12" i="4"/>
  <c r="J73" i="4"/>
  <c r="J116" i="4"/>
  <c r="J97" i="4"/>
  <c r="H100" i="4"/>
  <c r="H125" i="4"/>
  <c r="J53" i="4"/>
  <c r="H39" i="4"/>
  <c r="H34" i="4"/>
  <c r="J135" i="4"/>
  <c r="H25" i="4"/>
  <c r="H45" i="4"/>
  <c r="J120" i="4"/>
  <c r="H91" i="4"/>
  <c r="H30" i="4"/>
  <c r="G68" i="4"/>
  <c r="G12" i="4"/>
  <c r="G21" i="4"/>
  <c r="G117" i="4"/>
  <c r="G51" i="4"/>
  <c r="J58" i="4"/>
  <c r="J140" i="4"/>
  <c r="G28" i="4"/>
  <c r="G34" i="4"/>
  <c r="J130" i="4"/>
  <c r="I53" i="4"/>
  <c r="J27" i="4"/>
  <c r="G102" i="4"/>
  <c r="G126" i="4"/>
  <c r="G61" i="4"/>
  <c r="G134" i="4"/>
  <c r="H57" i="4"/>
  <c r="G60" i="4"/>
  <c r="G69" i="4"/>
  <c r="G63" i="4"/>
  <c r="G57" i="4"/>
  <c r="F111" i="4"/>
  <c r="F142" i="4"/>
  <c r="Y4" i="2"/>
  <c r="G17" i="4"/>
  <c r="G23" i="4"/>
  <c r="I66" i="4"/>
  <c r="I127" i="4"/>
  <c r="J16" i="4"/>
  <c r="G44" i="4"/>
  <c r="G53" i="4"/>
  <c r="G131" i="4"/>
  <c r="J98" i="4"/>
  <c r="H112" i="4"/>
  <c r="G99" i="4"/>
  <c r="G139" i="4"/>
  <c r="H84" i="4"/>
  <c r="G66" i="4"/>
  <c r="G83" i="4"/>
  <c r="F22" i="4"/>
  <c r="F135" i="4"/>
  <c r="F143" i="4"/>
  <c r="F144" i="4"/>
  <c r="F115" i="4"/>
  <c r="G24" i="4"/>
  <c r="F84" i="4"/>
  <c r="F63" i="4"/>
  <c r="G124" i="4"/>
  <c r="G95" i="4"/>
  <c r="F116" i="4"/>
  <c r="F114" i="4"/>
  <c r="G103" i="4"/>
  <c r="G71" i="4"/>
  <c r="G40" i="4"/>
  <c r="G70" i="4"/>
  <c r="G130" i="4"/>
  <c r="J93" i="4"/>
  <c r="J133" i="4"/>
  <c r="G82" i="4"/>
  <c r="G91" i="4"/>
  <c r="G144" i="4"/>
  <c r="H98" i="4"/>
  <c r="G52" i="4"/>
  <c r="G58" i="4"/>
  <c r="G104" i="4"/>
  <c r="G14" i="4"/>
  <c r="G80" i="4"/>
  <c r="F11" i="4"/>
  <c r="F112" i="4"/>
  <c r="F107" i="4"/>
  <c r="E138" i="4"/>
  <c r="F104" i="4"/>
  <c r="F133" i="4"/>
  <c r="G13" i="4"/>
  <c r="F101" i="4"/>
  <c r="F81" i="4"/>
  <c r="F54" i="4"/>
  <c r="F139" i="4"/>
  <c r="G54" i="4"/>
  <c r="G114" i="4"/>
  <c r="G122" i="4"/>
  <c r="G59" i="4"/>
  <c r="G143" i="4"/>
  <c r="G33" i="4"/>
  <c r="G50" i="4"/>
  <c r="J123" i="4"/>
  <c r="H49" i="4"/>
  <c r="G90" i="4"/>
  <c r="G96" i="4"/>
  <c r="G98" i="4"/>
  <c r="G67" i="4"/>
  <c r="G31" i="4"/>
  <c r="F75" i="4"/>
  <c r="F130" i="4"/>
  <c r="F120" i="4"/>
  <c r="E140" i="4"/>
  <c r="F24" i="4"/>
  <c r="F52" i="4"/>
  <c r="E111" i="4"/>
  <c r="F60" i="4"/>
  <c r="F32" i="4"/>
  <c r="G120" i="4"/>
  <c r="G92" i="4"/>
  <c r="G127" i="4"/>
  <c r="G20" i="4"/>
  <c r="G135" i="4"/>
  <c r="G97" i="4"/>
  <c r="G110" i="4"/>
  <c r="I52" i="4"/>
  <c r="G22" i="4"/>
  <c r="G41" i="4"/>
  <c r="G47" i="4"/>
  <c r="J65" i="4"/>
  <c r="I118" i="4"/>
  <c r="G87" i="4"/>
  <c r="G105" i="4"/>
  <c r="G138" i="4"/>
  <c r="G129" i="4"/>
  <c r="F71" i="4"/>
  <c r="F37" i="4"/>
  <c r="G125" i="4"/>
  <c r="G43" i="4"/>
  <c r="G132" i="4"/>
  <c r="G73" i="4"/>
  <c r="G29" i="4"/>
  <c r="G140" i="4"/>
  <c r="G48" i="4"/>
  <c r="G115" i="4"/>
  <c r="J19" i="4"/>
  <c r="I22" i="4"/>
  <c r="J74" i="4"/>
  <c r="I109" i="4"/>
  <c r="G11" i="4"/>
  <c r="G88" i="4"/>
  <c r="G30" i="4"/>
  <c r="G85" i="4"/>
  <c r="J144" i="4"/>
  <c r="G38" i="4"/>
  <c r="G93" i="4"/>
  <c r="F132" i="4"/>
  <c r="F140" i="4"/>
  <c r="E108" i="4"/>
  <c r="G56" i="4"/>
  <c r="G118" i="4"/>
  <c r="F102" i="4"/>
  <c r="F96" i="4"/>
  <c r="F138" i="4"/>
  <c r="G101" i="4"/>
  <c r="F93" i="4"/>
  <c r="E130" i="4"/>
  <c r="F92" i="4"/>
  <c r="G142" i="4"/>
  <c r="F106" i="4"/>
  <c r="G84" i="4"/>
  <c r="F34" i="4"/>
  <c r="F59" i="4"/>
  <c r="D4" i="4"/>
  <c r="D76" i="4"/>
  <c r="I74" i="4"/>
  <c r="I72" i="4"/>
  <c r="J60" i="4"/>
  <c r="J35" i="4"/>
  <c r="I18" i="4"/>
  <c r="I38" i="4"/>
  <c r="I110" i="4"/>
  <c r="J81" i="4"/>
  <c r="I15" i="4"/>
  <c r="I46" i="4"/>
  <c r="I120" i="4"/>
  <c r="E21" i="4"/>
  <c r="E90" i="4"/>
  <c r="E84" i="4"/>
  <c r="E105" i="4"/>
  <c r="E118" i="4"/>
  <c r="E66" i="4"/>
  <c r="E114" i="4"/>
  <c r="E23" i="4"/>
  <c r="E67" i="4"/>
  <c r="E55" i="4"/>
  <c r="E44" i="4"/>
  <c r="E24" i="4"/>
  <c r="I128" i="4"/>
  <c r="H103" i="4"/>
  <c r="H130" i="4"/>
  <c r="E103" i="4"/>
  <c r="E95" i="4"/>
  <c r="E85" i="4"/>
  <c r="E142" i="4"/>
  <c r="E104" i="4"/>
  <c r="J51" i="4"/>
  <c r="J129" i="4"/>
  <c r="I92" i="4"/>
  <c r="J17" i="4"/>
  <c r="J119" i="4"/>
  <c r="I62" i="4"/>
  <c r="I136" i="4"/>
  <c r="J67" i="4"/>
  <c r="J145" i="4"/>
  <c r="I59" i="4"/>
  <c r="I129" i="4"/>
  <c r="J47" i="4"/>
  <c r="J64" i="4"/>
  <c r="I96" i="4"/>
  <c r="I14" i="4"/>
  <c r="I119" i="4"/>
  <c r="H139" i="4"/>
  <c r="J66" i="4"/>
  <c r="J41" i="4"/>
  <c r="J143" i="4"/>
  <c r="I82" i="4"/>
  <c r="I91" i="4"/>
  <c r="H93" i="4"/>
  <c r="H102" i="4"/>
  <c r="J101" i="4"/>
  <c r="J115" i="4"/>
  <c r="I63" i="4"/>
  <c r="I61" i="4"/>
  <c r="H101" i="4"/>
  <c r="H99" i="4"/>
  <c r="I71" i="4"/>
  <c r="I27" i="4"/>
  <c r="I115" i="4"/>
  <c r="H38" i="4"/>
  <c r="H132" i="4"/>
  <c r="J32" i="4"/>
  <c r="I84" i="4"/>
  <c r="I125" i="4"/>
  <c r="H68" i="4"/>
  <c r="H24" i="4"/>
  <c r="H122" i="4"/>
  <c r="E113" i="4"/>
  <c r="E125" i="4"/>
  <c r="E46" i="4"/>
  <c r="E51" i="4"/>
  <c r="E135" i="4"/>
  <c r="E74" i="4"/>
  <c r="E91" i="4"/>
  <c r="E119" i="4"/>
  <c r="E48" i="4"/>
  <c r="E139" i="4"/>
  <c r="G74" i="4"/>
  <c r="F123" i="4"/>
  <c r="E122" i="4"/>
  <c r="G109" i="4"/>
  <c r="E82" i="4"/>
  <c r="I133" i="4"/>
  <c r="H54" i="4"/>
  <c r="H143" i="4"/>
  <c r="G46" i="4"/>
  <c r="E18" i="4"/>
  <c r="F121" i="4"/>
  <c r="E56" i="4"/>
  <c r="F124" i="4"/>
  <c r="E29" i="4"/>
  <c r="F17" i="4"/>
  <c r="E38" i="4"/>
  <c r="J37" i="4"/>
  <c r="J89" i="4"/>
  <c r="J142" i="4"/>
  <c r="J70" i="4"/>
  <c r="J124" i="4"/>
  <c r="I100" i="4"/>
  <c r="I141" i="4"/>
  <c r="J88" i="4"/>
  <c r="J105" i="4"/>
  <c r="I50" i="4"/>
  <c r="I97" i="4"/>
  <c r="I142" i="4"/>
  <c r="H86" i="4"/>
  <c r="J85" i="4"/>
  <c r="J102" i="4"/>
  <c r="I47" i="4"/>
  <c r="I67" i="4"/>
  <c r="I124" i="4"/>
  <c r="H83" i="4"/>
  <c r="J104" i="4"/>
  <c r="J30" i="4"/>
  <c r="J110" i="4"/>
  <c r="I33" i="4"/>
  <c r="I114" i="4"/>
  <c r="H44" i="4"/>
  <c r="H53" i="4"/>
  <c r="C4" i="4"/>
  <c r="C76" i="4"/>
  <c r="J13" i="4"/>
  <c r="J52" i="4"/>
  <c r="J128" i="4"/>
  <c r="I101" i="4"/>
  <c r="I99" i="4"/>
  <c r="H52" i="4"/>
  <c r="H58" i="4"/>
  <c r="J24" i="4"/>
  <c r="I60" i="4"/>
  <c r="I16" i="4"/>
  <c r="H71" i="4"/>
  <c r="H27" i="4"/>
  <c r="H145" i="4"/>
  <c r="G121" i="4"/>
  <c r="J68" i="4"/>
  <c r="J131" i="4"/>
  <c r="I35" i="4"/>
  <c r="I138" i="4"/>
  <c r="H106" i="4"/>
  <c r="H13" i="4"/>
  <c r="H135" i="4"/>
  <c r="G49" i="4"/>
  <c r="G55" i="4"/>
  <c r="E64" i="4"/>
  <c r="E12" i="4"/>
  <c r="F50" i="4"/>
  <c r="E39" i="4"/>
  <c r="E73" i="4"/>
  <c r="G141" i="4"/>
  <c r="F91" i="4"/>
  <c r="E22" i="4"/>
  <c r="F85" i="4"/>
  <c r="E97" i="4"/>
  <c r="E88" i="4"/>
  <c r="E47" i="4"/>
  <c r="F43" i="4"/>
  <c r="F55" i="4"/>
  <c r="F128" i="4"/>
  <c r="E75" i="4"/>
  <c r="E34" i="4"/>
  <c r="E26" i="4"/>
  <c r="G119" i="4"/>
  <c r="F35" i="4"/>
  <c r="F74" i="4"/>
  <c r="F136" i="4"/>
  <c r="E10" i="4"/>
  <c r="F103" i="4"/>
  <c r="E94" i="4"/>
  <c r="I113" i="4"/>
  <c r="H92" i="4"/>
  <c r="H110" i="4"/>
  <c r="G137" i="4"/>
  <c r="F15" i="4"/>
  <c r="F134" i="4"/>
  <c r="E37" i="4"/>
  <c r="E106" i="4"/>
  <c r="F129" i="4"/>
  <c r="E20" i="4"/>
  <c r="F70" i="4"/>
  <c r="E133" i="4"/>
  <c r="D146" i="4"/>
  <c r="B4" i="4"/>
  <c r="B6" i="4" s="1"/>
  <c r="B76" i="4"/>
  <c r="E131" i="4"/>
  <c r="I126" i="4"/>
  <c r="H81" i="4"/>
  <c r="H115" i="4"/>
  <c r="E141" i="4"/>
  <c r="E52" i="4"/>
  <c r="E115" i="4"/>
  <c r="E124" i="4"/>
  <c r="I88" i="4"/>
  <c r="I86" i="4"/>
  <c r="B146" i="4"/>
  <c r="C146" i="4"/>
  <c r="J36" i="4"/>
  <c r="J117" i="4"/>
  <c r="I56" i="4"/>
  <c r="J72" i="4"/>
  <c r="I104" i="4"/>
  <c r="I11" i="4"/>
  <c r="I132" i="4"/>
  <c r="J49" i="4"/>
  <c r="J138" i="4"/>
  <c r="I90" i="4"/>
  <c r="I122" i="4"/>
  <c r="J57" i="4"/>
  <c r="J136" i="4"/>
  <c r="I112" i="4"/>
  <c r="H69" i="4"/>
  <c r="J29" i="4"/>
  <c r="J103" i="4"/>
  <c r="J108" i="4"/>
  <c r="I68" i="4"/>
  <c r="I24" i="4"/>
  <c r="I123" i="4"/>
  <c r="H95" i="4"/>
  <c r="H107" i="4"/>
  <c r="E57" i="4"/>
  <c r="E72" i="4"/>
  <c r="E99" i="4"/>
  <c r="E87" i="4"/>
  <c r="E144" i="4"/>
  <c r="E60" i="4"/>
  <c r="E43" i="4"/>
  <c r="E45" i="4"/>
  <c r="E110" i="4"/>
  <c r="E17" i="4"/>
  <c r="E145" i="4"/>
  <c r="E62" i="4"/>
  <c r="I43" i="4"/>
  <c r="I131" i="4"/>
  <c r="H32" i="4"/>
  <c r="H128" i="4"/>
  <c r="E129" i="4"/>
  <c r="E28" i="4"/>
  <c r="E98" i="4"/>
  <c r="E11" i="4"/>
  <c r="I39" i="4"/>
  <c r="I37" i="4"/>
  <c r="J61" i="4"/>
  <c r="J33" i="4"/>
  <c r="J122" i="4"/>
  <c r="I36" i="4"/>
  <c r="I94" i="4"/>
  <c r="J107" i="4"/>
  <c r="I55" i="4"/>
  <c r="I75" i="4"/>
  <c r="I145" i="4"/>
  <c r="J10" i="4"/>
  <c r="J87" i="4"/>
  <c r="J118" i="4"/>
  <c r="I41" i="4"/>
  <c r="I135" i="4"/>
  <c r="J21" i="4"/>
  <c r="J95" i="4"/>
  <c r="J141" i="4"/>
  <c r="I98" i="4"/>
  <c r="I117" i="4"/>
  <c r="H66" i="4"/>
  <c r="J26" i="4"/>
  <c r="J54" i="4"/>
  <c r="J121" i="4"/>
  <c r="I106" i="4"/>
  <c r="I13" i="4"/>
  <c r="H15" i="4"/>
  <c r="H46" i="4"/>
  <c r="H10" i="4"/>
  <c r="H120" i="4"/>
  <c r="E143" i="4"/>
  <c r="E86" i="4"/>
  <c r="E33" i="4"/>
  <c r="E54" i="4"/>
  <c r="E31" i="4"/>
  <c r="E25" i="4"/>
  <c r="E61" i="4"/>
  <c r="E102" i="4"/>
  <c r="E32" i="4"/>
  <c r="E81" i="4"/>
  <c r="I81" i="4"/>
  <c r="H23" i="4"/>
  <c r="H21" i="4"/>
  <c r="E16" i="4"/>
  <c r="E132" i="4"/>
  <c r="E83" i="4"/>
  <c r="E70" i="4"/>
  <c r="E71" i="4"/>
  <c r="J38" i="4"/>
  <c r="I10" i="4"/>
  <c r="I30" i="4"/>
  <c r="I140" i="4"/>
  <c r="J18" i="4"/>
  <c r="J46" i="4"/>
  <c r="J113" i="4"/>
  <c r="I49" i="4"/>
  <c r="I130" i="4"/>
  <c r="J15" i="4"/>
  <c r="J92" i="4"/>
  <c r="J134" i="4"/>
  <c r="I57" i="4"/>
  <c r="E30" i="4"/>
  <c r="E107" i="4"/>
  <c r="E126" i="4"/>
  <c r="H129" i="4"/>
  <c r="E65" i="4"/>
  <c r="E127" i="4"/>
  <c r="E120" i="4"/>
  <c r="E136" i="4"/>
  <c r="E80" i="4"/>
  <c r="E93" i="4"/>
  <c r="E128" i="4"/>
  <c r="E68" i="4"/>
  <c r="I32" i="4"/>
  <c r="H12" i="4"/>
  <c r="H18" i="4"/>
  <c r="G106" i="4"/>
  <c r="F126" i="4"/>
  <c r="F68" i="4"/>
  <c r="E112" i="4"/>
  <c r="E19" i="4"/>
  <c r="F23" i="4"/>
  <c r="E50" i="4"/>
  <c r="G107" i="4"/>
  <c r="F86" i="4"/>
  <c r="E59" i="4"/>
  <c r="I19" i="4"/>
  <c r="I107" i="4"/>
  <c r="J71" i="4"/>
  <c r="J84" i="4"/>
  <c r="J126" i="4"/>
  <c r="I87" i="4"/>
  <c r="I143" i="4"/>
  <c r="J43" i="4"/>
  <c r="I26" i="4"/>
  <c r="I95" i="4"/>
  <c r="H35" i="4"/>
  <c r="H74" i="4"/>
  <c r="E134" i="4"/>
  <c r="E53" i="4"/>
  <c r="E13" i="4"/>
  <c r="H142" i="4"/>
  <c r="E27" i="4"/>
  <c r="E14" i="4"/>
  <c r="E100" i="4"/>
  <c r="E69" i="4"/>
  <c r="E41" i="4"/>
  <c r="E101" i="4"/>
  <c r="E35" i="4"/>
  <c r="E42" i="4"/>
  <c r="E15" i="4"/>
  <c r="E49" i="4"/>
  <c r="I21" i="4"/>
  <c r="H65" i="4"/>
  <c r="H117" i="4"/>
  <c r="E137" i="4"/>
  <c r="E63" i="4"/>
  <c r="E123" i="4"/>
  <c r="E121" i="4"/>
  <c r="E36" i="4"/>
  <c r="F5" i="2"/>
  <c r="N5" i="2"/>
  <c r="V5" i="2"/>
  <c r="Y6" i="2"/>
  <c r="Y7" i="2"/>
  <c r="Z119" i="2"/>
  <c r="Z263" i="2" s="1"/>
  <c r="Z121" i="2"/>
  <c r="Z265" i="2" s="1"/>
  <c r="Z141" i="2"/>
  <c r="Z151" i="2"/>
  <c r="Z153" i="2"/>
  <c r="Z155" i="2"/>
  <c r="Z165" i="2"/>
  <c r="Z170" i="2"/>
  <c r="Z193" i="2"/>
  <c r="Z198" i="2"/>
  <c r="Z202" i="2"/>
  <c r="Z34" i="2"/>
  <c r="Z233" i="2" s="1"/>
  <c r="Z44" i="2"/>
  <c r="Z49" i="2"/>
  <c r="Z60" i="2"/>
  <c r="Z69" i="2"/>
  <c r="Z115" i="2"/>
  <c r="Z140" i="2"/>
  <c r="Z145" i="2"/>
  <c r="Z149" i="2"/>
  <c r="Z162" i="2"/>
  <c r="Z174" i="2"/>
  <c r="Z177" i="2"/>
  <c r="Z180" i="2"/>
  <c r="Z187" i="2"/>
  <c r="Z194" i="2"/>
  <c r="Z203" i="2"/>
  <c r="Z209" i="2"/>
  <c r="Z16" i="2"/>
  <c r="Z215" i="2" s="1"/>
  <c r="Z19" i="2"/>
  <c r="Z218" i="2" s="1"/>
  <c r="Z38" i="2"/>
  <c r="Z42" i="2"/>
  <c r="Z52" i="2"/>
  <c r="Z55" i="2"/>
  <c r="Z58" i="2"/>
  <c r="Z64" i="2"/>
  <c r="Z125" i="2"/>
  <c r="Z127" i="2"/>
  <c r="Z271" i="2" s="1"/>
  <c r="Z132" i="2"/>
  <c r="Z276" i="2" s="1"/>
  <c r="Z134" i="2"/>
  <c r="Z278" i="2" s="1"/>
  <c r="Z137" i="2"/>
  <c r="Z183" i="2"/>
  <c r="Z190" i="2"/>
  <c r="Z195" i="2"/>
  <c r="Z204" i="2"/>
  <c r="Z28" i="2"/>
  <c r="Z227" i="2" s="1"/>
  <c r="Z35" i="2"/>
  <c r="Z50" i="2"/>
  <c r="Z67" i="2"/>
  <c r="Z72" i="2"/>
  <c r="Z116" i="2"/>
  <c r="Z260" i="2" s="1"/>
  <c r="Z122" i="2"/>
  <c r="Z266" i="2" s="1"/>
  <c r="Z128" i="2"/>
  <c r="Z272" i="2" s="1"/>
  <c r="Z130" i="2"/>
  <c r="Z138" i="2"/>
  <c r="Z143" i="2"/>
  <c r="Z146" i="2"/>
  <c r="Z152" i="2"/>
  <c r="Z156" i="2"/>
  <c r="Z159" i="2"/>
  <c r="Z163" i="2"/>
  <c r="Z166" i="2"/>
  <c r="Z168" i="2"/>
  <c r="Z171" i="2"/>
  <c r="Z175" i="2"/>
  <c r="Z178" i="2"/>
  <c r="Z181" i="2"/>
  <c r="Z191" i="2"/>
  <c r="Z199" i="2"/>
  <c r="Z207" i="2"/>
  <c r="Z210" i="2"/>
  <c r="Z17" i="2"/>
  <c r="Z216" i="2" s="1"/>
  <c r="Z20" i="2"/>
  <c r="Z31" i="2"/>
  <c r="Z230" i="2" s="1"/>
  <c r="Z40" i="2"/>
  <c r="Z56" i="2"/>
  <c r="Z61" i="2"/>
  <c r="Z70" i="2"/>
  <c r="Z117" i="2"/>
  <c r="Z261" i="2" s="1"/>
  <c r="Z120" i="2"/>
  <c r="Z123" i="2"/>
  <c r="Z267" i="2" s="1"/>
  <c r="Z135" i="2"/>
  <c r="Z147" i="2"/>
  <c r="Z157" i="2"/>
  <c r="Z164" i="2"/>
  <c r="Z188" i="2"/>
  <c r="Z196" i="2"/>
  <c r="Z23" i="2"/>
  <c r="Z222" i="2" s="1"/>
  <c r="Z26" i="2"/>
  <c r="Z225" i="2" s="1"/>
  <c r="Z29" i="2"/>
  <c r="Z228" i="2" s="1"/>
  <c r="Z32" i="2"/>
  <c r="Z231" i="2" s="1"/>
  <c r="Z36" i="2"/>
  <c r="Z43" i="2"/>
  <c r="Z45" i="2"/>
  <c r="Z47" i="2"/>
  <c r="Z53" i="2"/>
  <c r="Z68" i="2"/>
  <c r="Z126" i="2"/>
  <c r="Z270" i="2" s="1"/>
  <c r="Z142" i="2"/>
  <c r="Z148" i="2"/>
  <c r="Z150" i="2"/>
  <c r="Z154" i="2"/>
  <c r="Z160" i="2"/>
  <c r="Z172" i="2"/>
  <c r="Z182" i="2"/>
  <c r="Z184" i="2"/>
  <c r="Z200" i="2"/>
  <c r="Z205" i="2"/>
  <c r="Z21" i="2"/>
  <c r="Z220" i="2" s="1"/>
  <c r="Z51" i="2"/>
  <c r="Z57" i="2"/>
  <c r="Z59" i="2"/>
  <c r="Z62" i="2"/>
  <c r="Z65" i="2"/>
  <c r="Z118" i="2"/>
  <c r="Z262" i="2" s="1"/>
  <c r="Z131" i="2"/>
  <c r="Z275" i="2" s="1"/>
  <c r="Z133" i="2"/>
  <c r="Z136" i="2"/>
  <c r="Z144" i="2"/>
  <c r="Z167" i="2"/>
  <c r="Z179" i="2"/>
  <c r="Z185" i="2"/>
  <c r="Z192" i="2"/>
  <c r="Z197" i="2"/>
  <c r="Z208" i="2"/>
  <c r="Z18" i="2"/>
  <c r="Z217" i="2" s="1"/>
  <c r="Z24" i="2"/>
  <c r="Z223" i="2" s="1"/>
  <c r="Z33" i="2"/>
  <c r="Z37" i="2"/>
  <c r="Z48" i="2"/>
  <c r="Z71" i="2"/>
  <c r="Z173" i="2"/>
  <c r="Z201" i="2"/>
  <c r="Z41" i="2"/>
  <c r="Z63" i="2"/>
  <c r="Z82" i="2"/>
  <c r="Z87" i="2"/>
  <c r="Z100" i="2"/>
  <c r="Z108" i="2"/>
  <c r="Z176" i="2"/>
  <c r="Z206" i="2"/>
  <c r="Z22" i="2"/>
  <c r="Z221" i="2" s="1"/>
  <c r="Z66" i="2"/>
  <c r="Z79" i="2"/>
  <c r="Z93" i="2"/>
  <c r="Z96" i="2"/>
  <c r="Z104" i="2"/>
  <c r="Z25" i="2"/>
  <c r="Z46" i="2"/>
  <c r="Z75" i="2"/>
  <c r="Z90" i="2"/>
  <c r="Z101" i="2"/>
  <c r="Z105" i="2"/>
  <c r="Z109" i="2"/>
  <c r="Z139" i="2"/>
  <c r="Z158" i="2"/>
  <c r="Z27" i="2"/>
  <c r="Z226" i="2" s="1"/>
  <c r="Z76" i="2"/>
  <c r="Z80" i="2"/>
  <c r="Z83" i="2"/>
  <c r="Z88" i="2"/>
  <c r="Z97" i="2"/>
  <c r="Z102" i="2"/>
  <c r="Z129" i="2"/>
  <c r="Z273" i="2" s="1"/>
  <c r="Z103" i="2"/>
  <c r="Z161" i="2"/>
  <c r="Z186" i="2"/>
  <c r="Z30" i="2"/>
  <c r="Z73" i="2"/>
  <c r="Z77" i="2"/>
  <c r="Z84" i="2"/>
  <c r="Z91" i="2"/>
  <c r="Z94" i="2"/>
  <c r="Z106" i="2"/>
  <c r="Z110" i="2"/>
  <c r="Z74" i="2"/>
  <c r="Z92" i="2"/>
  <c r="Z124" i="2"/>
  <c r="Z268" i="2" s="1"/>
  <c r="Z189" i="2"/>
  <c r="Z54" i="2"/>
  <c r="Z85" i="2"/>
  <c r="Z98" i="2"/>
  <c r="Z169" i="2"/>
  <c r="Z39" i="2"/>
  <c r="Z99" i="2"/>
  <c r="Z78" i="2"/>
  <c r="Z86" i="2"/>
  <c r="Z89" i="2"/>
  <c r="Z95" i="2"/>
  <c r="Z15" i="2"/>
  <c r="Z81" i="2"/>
  <c r="Z107" i="2"/>
  <c r="AA8" i="2"/>
  <c r="K5" i="2"/>
  <c r="D5" i="2"/>
  <c r="L5" i="2"/>
  <c r="T5" i="2"/>
  <c r="I5" i="2"/>
  <c r="Q5" i="2"/>
  <c r="C5" i="2"/>
  <c r="S5" i="2"/>
  <c r="E5" i="2"/>
  <c r="M5" i="2"/>
  <c r="U5" i="2"/>
  <c r="G5" i="2"/>
  <c r="O5" i="2"/>
  <c r="W5" i="2"/>
  <c r="H5" i="2"/>
  <c r="P5" i="2"/>
  <c r="X5" i="2"/>
  <c r="J5" i="2"/>
  <c r="R5" i="2"/>
  <c r="N42" i="41" l="1"/>
  <c r="N45" i="41"/>
  <c r="O234" i="41"/>
  <c r="O160" i="41" s="1"/>
  <c r="N58" i="41"/>
  <c r="N81" i="41"/>
  <c r="N65" i="41"/>
  <c r="N130" i="41"/>
  <c r="Z303" i="2"/>
  <c r="Z301" i="2"/>
  <c r="Z299" i="2"/>
  <c r="Z298" i="2"/>
  <c r="Z264" i="2"/>
  <c r="Z284" i="2"/>
  <c r="Z274" i="2"/>
  <c r="Z286" i="2"/>
  <c r="Z259" i="2"/>
  <c r="Z283" i="2"/>
  <c r="Z269" i="2"/>
  <c r="Z285" i="2"/>
  <c r="Z302" i="2"/>
  <c r="Z300" i="2"/>
  <c r="Z256" i="2"/>
  <c r="Z253" i="2"/>
  <c r="Z255" i="2"/>
  <c r="Z214" i="2"/>
  <c r="Z238" i="2"/>
  <c r="Z254" i="2"/>
  <c r="Z224" i="2"/>
  <c r="Z240" i="2"/>
  <c r="Z257" i="2"/>
  <c r="Z229" i="2"/>
  <c r="Z241" i="2"/>
  <c r="Z258" i="2"/>
  <c r="Z219" i="2"/>
  <c r="Z239" i="2"/>
  <c r="Z282" i="2"/>
  <c r="Z280" i="2"/>
  <c r="Z277" i="2"/>
  <c r="Z279" i="2"/>
  <c r="Z281" i="2"/>
  <c r="Z235" i="2"/>
  <c r="Z232" i="2"/>
  <c r="Z234" i="2"/>
  <c r="Z236" i="2"/>
  <c r="Z237" i="2"/>
  <c r="L139" i="4"/>
  <c r="Z244" i="2"/>
  <c r="Z249" i="2"/>
  <c r="Z296" i="2"/>
  <c r="Z242" i="2"/>
  <c r="Z304" i="2"/>
  <c r="Z246" i="2"/>
  <c r="Z297" i="2"/>
  <c r="Z295" i="2"/>
  <c r="Z288" i="2"/>
  <c r="Z293" i="2"/>
  <c r="Z243" i="2"/>
  <c r="Z248" i="2"/>
  <c r="Z294" i="2"/>
  <c r="Z290" i="2"/>
  <c r="Z289" i="2"/>
  <c r="Z245" i="2"/>
  <c r="Z250" i="2"/>
  <c r="Z292" i="2"/>
  <c r="Z291" i="2"/>
  <c r="Z247" i="2"/>
  <c r="Z252" i="2"/>
  <c r="Z305" i="2"/>
  <c r="Z251" i="2"/>
  <c r="Z287" i="2"/>
  <c r="L93" i="4"/>
  <c r="L40" i="4"/>
  <c r="L69" i="4"/>
  <c r="L14" i="4"/>
  <c r="L23" i="4"/>
  <c r="L53" i="4"/>
  <c r="L31" i="4"/>
  <c r="Y5" i="2"/>
  <c r="L106" i="4"/>
  <c r="L96" i="4"/>
  <c r="L140" i="4"/>
  <c r="L91" i="4"/>
  <c r="L44" i="4"/>
  <c r="L113" i="4"/>
  <c r="L83" i="4"/>
  <c r="L74" i="4"/>
  <c r="L73" i="4"/>
  <c r="L42" i="4"/>
  <c r="L137" i="4"/>
  <c r="L127" i="4"/>
  <c r="L94" i="4"/>
  <c r="H146" i="4"/>
  <c r="L100" i="4"/>
  <c r="L34" i="4"/>
  <c r="L20" i="4"/>
  <c r="L62" i="4"/>
  <c r="L126" i="4"/>
  <c r="G146" i="4"/>
  <c r="L103" i="4"/>
  <c r="L86" i="4"/>
  <c r="G4" i="4"/>
  <c r="G6" i="4" s="1"/>
  <c r="L134" i="4"/>
  <c r="I146" i="4"/>
  <c r="L87" i="4"/>
  <c r="L114" i="4"/>
  <c r="L65" i="4"/>
  <c r="F146" i="4"/>
  <c r="L24" i="4"/>
  <c r="L48" i="4"/>
  <c r="L98" i="4"/>
  <c r="L111" i="4"/>
  <c r="L68" i="4"/>
  <c r="L26" i="4"/>
  <c r="L97" i="4"/>
  <c r="L72" i="4"/>
  <c r="F4" i="4"/>
  <c r="F6" i="4" s="1"/>
  <c r="L105" i="4"/>
  <c r="L37" i="4"/>
  <c r="G76" i="4"/>
  <c r="L32" i="4"/>
  <c r="L143" i="4"/>
  <c r="L47" i="4"/>
  <c r="L122" i="4"/>
  <c r="L71" i="4"/>
  <c r="L15" i="4"/>
  <c r="I76" i="4"/>
  <c r="I4" i="4"/>
  <c r="L12" i="4"/>
  <c r="L57" i="4"/>
  <c r="L55" i="4"/>
  <c r="L58" i="4"/>
  <c r="J146" i="4"/>
  <c r="L38" i="4"/>
  <c r="L95" i="4"/>
  <c r="L123" i="4"/>
  <c r="L112" i="4"/>
  <c r="L52" i="4"/>
  <c r="L110" i="4"/>
  <c r="L85" i="4"/>
  <c r="L41" i="4"/>
  <c r="F76" i="4"/>
  <c r="L75" i="4"/>
  <c r="L80" i="4"/>
  <c r="L45" i="4"/>
  <c r="L121" i="4"/>
  <c r="L21" i="4"/>
  <c r="L108" i="4"/>
  <c r="L28" i="4"/>
  <c r="L13" i="4"/>
  <c r="L30" i="4"/>
  <c r="L124" i="4"/>
  <c r="L115" i="4"/>
  <c r="L66" i="4"/>
  <c r="L129" i="4"/>
  <c r="D6" i="4"/>
  <c r="D5" i="4"/>
  <c r="L50" i="4"/>
  <c r="L43" i="4"/>
  <c r="L27" i="4"/>
  <c r="L120" i="4"/>
  <c r="L54" i="4"/>
  <c r="L107" i="4"/>
  <c r="L109" i="4"/>
  <c r="L138" i="4"/>
  <c r="L117" i="4"/>
  <c r="L59" i="4"/>
  <c r="L133" i="4"/>
  <c r="L56" i="4"/>
  <c r="L131" i="4"/>
  <c r="L104" i="4"/>
  <c r="L70" i="4"/>
  <c r="L101" i="4"/>
  <c r="L145" i="4"/>
  <c r="L51" i="4"/>
  <c r="L35" i="4"/>
  <c r="L130" i="4"/>
  <c r="L46" i="4"/>
  <c r="L25" i="4"/>
  <c r="L49" i="4"/>
  <c r="L36" i="4"/>
  <c r="L90" i="4"/>
  <c r="C6" i="4"/>
  <c r="C5" i="4"/>
  <c r="L142" i="4"/>
  <c r="L67" i="4"/>
  <c r="L116" i="4"/>
  <c r="L60" i="4"/>
  <c r="L82" i="4"/>
  <c r="E146" i="4"/>
  <c r="L29" i="4"/>
  <c r="L39" i="4"/>
  <c r="L125" i="4"/>
  <c r="L18" i="4"/>
  <c r="L135" i="4"/>
  <c r="H4" i="4"/>
  <c r="H76" i="4"/>
  <c r="L118" i="4"/>
  <c r="E76" i="4"/>
  <c r="E4" i="4"/>
  <c r="L89" i="4"/>
  <c r="L84" i="4"/>
  <c r="L92" i="4"/>
  <c r="L99" i="4"/>
  <c r="J76" i="4"/>
  <c r="J4" i="4"/>
  <c r="L33" i="4"/>
  <c r="L136" i="4"/>
  <c r="L144" i="4"/>
  <c r="L19" i="4"/>
  <c r="L88" i="4"/>
  <c r="L64" i="4"/>
  <c r="L119" i="4"/>
  <c r="L81" i="4"/>
  <c r="L16" i="4"/>
  <c r="L22" i="4"/>
  <c r="L11" i="4"/>
  <c r="L141" i="4"/>
  <c r="L61" i="4"/>
  <c r="L128" i="4"/>
  <c r="L102" i="4"/>
  <c r="L17" i="4"/>
  <c r="L63" i="4"/>
  <c r="L132" i="4"/>
  <c r="AA84" i="2"/>
  <c r="AA139" i="2"/>
  <c r="AA104" i="2"/>
  <c r="AA71" i="2"/>
  <c r="AA118" i="2"/>
  <c r="AA262" i="2" s="1"/>
  <c r="AA32" i="2"/>
  <c r="AA231" i="2" s="1"/>
  <c r="AA147" i="2"/>
  <c r="AA181" i="2"/>
  <c r="AA156" i="2"/>
  <c r="AA116" i="2"/>
  <c r="AA260" i="2" s="1"/>
  <c r="AA190" i="2"/>
  <c r="AA203" i="2"/>
  <c r="AA145" i="2"/>
  <c r="AA202" i="2"/>
  <c r="AA77" i="2"/>
  <c r="AA97" i="2"/>
  <c r="AA96" i="2"/>
  <c r="AA48" i="2"/>
  <c r="AA185" i="2"/>
  <c r="AA65" i="2"/>
  <c r="AA184" i="2"/>
  <c r="AA135" i="2"/>
  <c r="AA31" i="2"/>
  <c r="AA230" i="2" s="1"/>
  <c r="AA55" i="2"/>
  <c r="AA194" i="2"/>
  <c r="AA121" i="2"/>
  <c r="AA265" i="2" s="1"/>
  <c r="AA124" i="2"/>
  <c r="AA268" i="2" s="1"/>
  <c r="AA129" i="2"/>
  <c r="AA273" i="2" s="1"/>
  <c r="AA158" i="2"/>
  <c r="AA173" i="2"/>
  <c r="AA176" i="2"/>
  <c r="AA189" i="2"/>
  <c r="AA206" i="2"/>
  <c r="AA15" i="2"/>
  <c r="AA22" i="2"/>
  <c r="AA221" i="2" s="1"/>
  <c r="AA30" i="2"/>
  <c r="AA39" i="2"/>
  <c r="AA46" i="2"/>
  <c r="AA54" i="2"/>
  <c r="AA63" i="2"/>
  <c r="AA119" i="2"/>
  <c r="AA263" i="2" s="1"/>
  <c r="AA141" i="2"/>
  <c r="AA151" i="2"/>
  <c r="AA153" i="2"/>
  <c r="AA155" i="2"/>
  <c r="AA170" i="2"/>
  <c r="AA198" i="2"/>
  <c r="AA49" i="2"/>
  <c r="AA60" i="2"/>
  <c r="AA69" i="2"/>
  <c r="AA115" i="2"/>
  <c r="AA140" i="2"/>
  <c r="AA177" i="2"/>
  <c r="AA16" i="2"/>
  <c r="AA215" i="2" s="1"/>
  <c r="AA38" i="2"/>
  <c r="AA52" i="2"/>
  <c r="AA58" i="2"/>
  <c r="AA125" i="2"/>
  <c r="AA132" i="2"/>
  <c r="AA276" i="2" s="1"/>
  <c r="AA183" i="2"/>
  <c r="AA204" i="2"/>
  <c r="AA35" i="2"/>
  <c r="AA50" i="2"/>
  <c r="AA72" i="2"/>
  <c r="AA143" i="2"/>
  <c r="AA152" i="2"/>
  <c r="AA166" i="2"/>
  <c r="AA168" i="2"/>
  <c r="AA171" i="2"/>
  <c r="AA175" i="2"/>
  <c r="AA178" i="2"/>
  <c r="AA191" i="2"/>
  <c r="AA207" i="2"/>
  <c r="AA210" i="2"/>
  <c r="AA17" i="2"/>
  <c r="AA216" i="2" s="1"/>
  <c r="AA40" i="2"/>
  <c r="AA56" i="2"/>
  <c r="AA61" i="2"/>
  <c r="AA117" i="2"/>
  <c r="AA261" i="2" s="1"/>
  <c r="AA157" i="2"/>
  <c r="AA164" i="2"/>
  <c r="AA196" i="2"/>
  <c r="AA29" i="2"/>
  <c r="AA228" i="2" s="1"/>
  <c r="AA36" i="2"/>
  <c r="AA47" i="2"/>
  <c r="AA53" i="2"/>
  <c r="AA68" i="2"/>
  <c r="AA126" i="2"/>
  <c r="AA270" i="2" s="1"/>
  <c r="AA142" i="2"/>
  <c r="AA148" i="2"/>
  <c r="AA200" i="2"/>
  <c r="AA59" i="2"/>
  <c r="AA131" i="2"/>
  <c r="AA275" i="2" s="1"/>
  <c r="AA92" i="2"/>
  <c r="AA133" i="2"/>
  <c r="AA100" i="2"/>
  <c r="AA108" i="2"/>
  <c r="AA208" i="2"/>
  <c r="AA79" i="2"/>
  <c r="AA105" i="2"/>
  <c r="AA109" i="2"/>
  <c r="AA86" i="2"/>
  <c r="AA80" i="2"/>
  <c r="AA102" i="2"/>
  <c r="AA91" i="2"/>
  <c r="AA94" i="2"/>
  <c r="AA106" i="2"/>
  <c r="AA110" i="2"/>
  <c r="AA78" i="2"/>
  <c r="AA89" i="2"/>
  <c r="AA144" i="2"/>
  <c r="AA167" i="2"/>
  <c r="AA192" i="2"/>
  <c r="AA98" i="2"/>
  <c r="AA95" i="2"/>
  <c r="AB8" i="2"/>
  <c r="AA99" i="2"/>
  <c r="AA73" i="2"/>
  <c r="AA88" i="2"/>
  <c r="AA93" i="2"/>
  <c r="AA87" i="2"/>
  <c r="AA37" i="2"/>
  <c r="AA179" i="2"/>
  <c r="AA62" i="2"/>
  <c r="AB62" i="2" s="1"/>
  <c r="AA182" i="2"/>
  <c r="AA26" i="2"/>
  <c r="AA225" i="2" s="1"/>
  <c r="AA123" i="2"/>
  <c r="AA267" i="2" s="1"/>
  <c r="AA20" i="2"/>
  <c r="AA146" i="2"/>
  <c r="AA67" i="2"/>
  <c r="AA137" i="2"/>
  <c r="AA187" i="2"/>
  <c r="Z211" i="2"/>
  <c r="AA193" i="2"/>
  <c r="AA107" i="2"/>
  <c r="AA74" i="2"/>
  <c r="Z6" i="2"/>
  <c r="AA83" i="2"/>
  <c r="AA101" i="2"/>
  <c r="AA82" i="2"/>
  <c r="AA33" i="2"/>
  <c r="AA172" i="2"/>
  <c r="AA23" i="2"/>
  <c r="AA222" i="2" s="1"/>
  <c r="AA120" i="2"/>
  <c r="AA134" i="2"/>
  <c r="AA278" i="2" s="1"/>
  <c r="AA42" i="2"/>
  <c r="AA180" i="2"/>
  <c r="AA81" i="2"/>
  <c r="AA169" i="2"/>
  <c r="AA186" i="2"/>
  <c r="AA90" i="2"/>
  <c r="AA66" i="2"/>
  <c r="AA24" i="2"/>
  <c r="AA223" i="2" s="1"/>
  <c r="AA57" i="2"/>
  <c r="AA160" i="2"/>
  <c r="AA138" i="2"/>
  <c r="AA165" i="2"/>
  <c r="Z111" i="2"/>
  <c r="Z7" i="2"/>
  <c r="Z4" i="2"/>
  <c r="AA161" i="2"/>
  <c r="AA76" i="2"/>
  <c r="AA75" i="2"/>
  <c r="AA41" i="2"/>
  <c r="AA18" i="2"/>
  <c r="AA217" i="2" s="1"/>
  <c r="AA136" i="2"/>
  <c r="AA51" i="2"/>
  <c r="AA154" i="2"/>
  <c r="AA45" i="2"/>
  <c r="AA188" i="2"/>
  <c r="AA70" i="2"/>
  <c r="AA130" i="2"/>
  <c r="AA28" i="2"/>
  <c r="AA227" i="2" s="1"/>
  <c r="AA127" i="2"/>
  <c r="AA271" i="2" s="1"/>
  <c r="AA19" i="2"/>
  <c r="AA218" i="2" s="1"/>
  <c r="AA174" i="2"/>
  <c r="AA85" i="2"/>
  <c r="AA103" i="2"/>
  <c r="AA27" i="2"/>
  <c r="AA226" i="2" s="1"/>
  <c r="AA201" i="2"/>
  <c r="AA21" i="2"/>
  <c r="AA220" i="2" s="1"/>
  <c r="AA150" i="2"/>
  <c r="AA43" i="2"/>
  <c r="AA199" i="2"/>
  <c r="AA163" i="2"/>
  <c r="AA128" i="2"/>
  <c r="AA272" i="2" s="1"/>
  <c r="AA162" i="2"/>
  <c r="AA44" i="2"/>
  <c r="AA25" i="2"/>
  <c r="AA197" i="2"/>
  <c r="AA205" i="2"/>
  <c r="AA159" i="2"/>
  <c r="AA122" i="2"/>
  <c r="AA266" i="2" s="1"/>
  <c r="AA195" i="2"/>
  <c r="AA64" i="2"/>
  <c r="AA209" i="2"/>
  <c r="AA149" i="2"/>
  <c r="AA34" i="2"/>
  <c r="AA233" i="2" s="1"/>
  <c r="Q285" i="1"/>
  <c r="R285" i="1"/>
  <c r="S285" i="1"/>
  <c r="T285" i="1"/>
  <c r="U285" i="1"/>
  <c r="V285" i="1"/>
  <c r="W285" i="1"/>
  <c r="X285" i="1"/>
  <c r="Y285" i="1"/>
  <c r="Z285" i="1"/>
  <c r="AA285" i="1"/>
  <c r="AB285" i="1"/>
  <c r="AC285" i="1"/>
  <c r="AD285" i="1"/>
  <c r="AE285" i="1"/>
  <c r="AF285" i="1"/>
  <c r="AG285" i="1"/>
  <c r="AH285" i="1"/>
  <c r="AI285" i="1"/>
  <c r="Q286" i="1"/>
  <c r="R286" i="1"/>
  <c r="S286" i="1"/>
  <c r="T286" i="1"/>
  <c r="U286" i="1"/>
  <c r="V286" i="1"/>
  <c r="W286" i="1"/>
  <c r="X286" i="1"/>
  <c r="Y286" i="1"/>
  <c r="Z286" i="1"/>
  <c r="AA286" i="1"/>
  <c r="AB286" i="1"/>
  <c r="AC286" i="1"/>
  <c r="AD286" i="1"/>
  <c r="AE286" i="1"/>
  <c r="AF286" i="1"/>
  <c r="AG286" i="1"/>
  <c r="AH286" i="1"/>
  <c r="AI286" i="1"/>
  <c r="Q287" i="1"/>
  <c r="R287" i="1"/>
  <c r="S287" i="1"/>
  <c r="T287" i="1"/>
  <c r="U287" i="1"/>
  <c r="V287" i="1"/>
  <c r="W287" i="1"/>
  <c r="X287" i="1"/>
  <c r="Y287" i="1"/>
  <c r="Z287" i="1"/>
  <c r="AA287" i="1"/>
  <c r="AB287" i="1"/>
  <c r="AC287" i="1"/>
  <c r="AD287" i="1"/>
  <c r="AE287" i="1"/>
  <c r="AF287" i="1"/>
  <c r="AG287" i="1"/>
  <c r="AH287" i="1"/>
  <c r="AI287" i="1"/>
  <c r="Q288" i="1"/>
  <c r="R288" i="1"/>
  <c r="S288" i="1"/>
  <c r="T288" i="1"/>
  <c r="U288" i="1"/>
  <c r="V288" i="1"/>
  <c r="W288" i="1"/>
  <c r="X288" i="1"/>
  <c r="Y288" i="1"/>
  <c r="Z288" i="1"/>
  <c r="AA288" i="1"/>
  <c r="AB288" i="1"/>
  <c r="AC288" i="1"/>
  <c r="AD288" i="1"/>
  <c r="AE288" i="1"/>
  <c r="AF288" i="1"/>
  <c r="AG288" i="1"/>
  <c r="AH288" i="1"/>
  <c r="AI288" i="1"/>
  <c r="Q289" i="1"/>
  <c r="R289" i="1"/>
  <c r="S289" i="1"/>
  <c r="T289" i="1"/>
  <c r="U289" i="1"/>
  <c r="V289" i="1"/>
  <c r="W289" i="1"/>
  <c r="X289" i="1"/>
  <c r="Y289" i="1"/>
  <c r="Z289" i="1"/>
  <c r="AA289" i="1"/>
  <c r="AB289" i="1"/>
  <c r="AC289" i="1"/>
  <c r="AD289" i="1"/>
  <c r="AE289" i="1"/>
  <c r="AF289" i="1"/>
  <c r="AG289" i="1"/>
  <c r="AH289" i="1"/>
  <c r="AI289" i="1"/>
  <c r="Q290" i="1"/>
  <c r="R290" i="1"/>
  <c r="S290" i="1"/>
  <c r="T290" i="1"/>
  <c r="U290" i="1"/>
  <c r="V290" i="1"/>
  <c r="W290" i="1"/>
  <c r="X290" i="1"/>
  <c r="Y290" i="1"/>
  <c r="Z290" i="1"/>
  <c r="AA290" i="1"/>
  <c r="AB290" i="1"/>
  <c r="AC290" i="1"/>
  <c r="AD290" i="1"/>
  <c r="AE290" i="1"/>
  <c r="AF290" i="1"/>
  <c r="AG290" i="1"/>
  <c r="AH290" i="1"/>
  <c r="AI290" i="1"/>
  <c r="Q291" i="1"/>
  <c r="R291" i="1"/>
  <c r="S291" i="1"/>
  <c r="T291" i="1"/>
  <c r="U291" i="1"/>
  <c r="V291" i="1"/>
  <c r="W291" i="1"/>
  <c r="X291" i="1"/>
  <c r="Y291" i="1"/>
  <c r="Z291" i="1"/>
  <c r="AA291" i="1"/>
  <c r="AB291" i="1"/>
  <c r="AC291" i="1"/>
  <c r="AD291" i="1"/>
  <c r="AE291" i="1"/>
  <c r="AF291" i="1"/>
  <c r="AG291" i="1"/>
  <c r="AH291" i="1"/>
  <c r="AI291" i="1"/>
  <c r="Q292" i="1"/>
  <c r="R292" i="1"/>
  <c r="S292" i="1"/>
  <c r="T292" i="1"/>
  <c r="U292" i="1"/>
  <c r="V292" i="1"/>
  <c r="W292" i="1"/>
  <c r="X292" i="1"/>
  <c r="Y292" i="1"/>
  <c r="Z292" i="1"/>
  <c r="AA292" i="1"/>
  <c r="AB292" i="1"/>
  <c r="AC292" i="1"/>
  <c r="AD292" i="1"/>
  <c r="AE292" i="1"/>
  <c r="AF292" i="1"/>
  <c r="AG292" i="1"/>
  <c r="AH292" i="1"/>
  <c r="AI292" i="1"/>
  <c r="Q293" i="1"/>
  <c r="R293" i="1"/>
  <c r="S293" i="1"/>
  <c r="T293" i="1"/>
  <c r="U293" i="1"/>
  <c r="V293" i="1"/>
  <c r="W293" i="1"/>
  <c r="X293" i="1"/>
  <c r="Y293" i="1"/>
  <c r="Z293" i="1"/>
  <c r="AA293" i="1"/>
  <c r="AB293" i="1"/>
  <c r="AC293" i="1"/>
  <c r="AD293" i="1"/>
  <c r="AE293" i="1"/>
  <c r="AF293" i="1"/>
  <c r="AG293" i="1"/>
  <c r="AH293" i="1"/>
  <c r="AI293" i="1"/>
  <c r="Q294" i="1"/>
  <c r="R294" i="1"/>
  <c r="S294" i="1"/>
  <c r="T294" i="1"/>
  <c r="U294" i="1"/>
  <c r="V294" i="1"/>
  <c r="W294" i="1"/>
  <c r="X294" i="1"/>
  <c r="Y294" i="1"/>
  <c r="Z294" i="1"/>
  <c r="AA294" i="1"/>
  <c r="AB294" i="1"/>
  <c r="AC294" i="1"/>
  <c r="AD294" i="1"/>
  <c r="AE294" i="1"/>
  <c r="AF294" i="1"/>
  <c r="AG294" i="1"/>
  <c r="AH294" i="1"/>
  <c r="AI294" i="1"/>
  <c r="Q295" i="1"/>
  <c r="R295" i="1"/>
  <c r="S295" i="1"/>
  <c r="T295" i="1"/>
  <c r="U295" i="1"/>
  <c r="V295" i="1"/>
  <c r="W295" i="1"/>
  <c r="X295" i="1"/>
  <c r="Y295" i="1"/>
  <c r="Z295" i="1"/>
  <c r="AA295" i="1"/>
  <c r="AB295" i="1"/>
  <c r="AC295" i="1"/>
  <c r="AD295" i="1"/>
  <c r="AE295" i="1"/>
  <c r="AF295" i="1"/>
  <c r="AG295" i="1"/>
  <c r="AH295" i="1"/>
  <c r="AI295" i="1"/>
  <c r="Q296" i="1"/>
  <c r="R296" i="1"/>
  <c r="S296" i="1"/>
  <c r="T296" i="1"/>
  <c r="U296" i="1"/>
  <c r="V296" i="1"/>
  <c r="W296" i="1"/>
  <c r="X296" i="1"/>
  <c r="Y296" i="1"/>
  <c r="Z296" i="1"/>
  <c r="AA296" i="1"/>
  <c r="AB296" i="1"/>
  <c r="AC296" i="1"/>
  <c r="AD296" i="1"/>
  <c r="AE296" i="1"/>
  <c r="AF296" i="1"/>
  <c r="AG296" i="1"/>
  <c r="AH296" i="1"/>
  <c r="AI296" i="1"/>
  <c r="Q297" i="1"/>
  <c r="R297" i="1"/>
  <c r="S297" i="1"/>
  <c r="T297" i="1"/>
  <c r="U297" i="1"/>
  <c r="V297" i="1"/>
  <c r="W297" i="1"/>
  <c r="X297" i="1"/>
  <c r="Y297" i="1"/>
  <c r="Z297" i="1"/>
  <c r="AA297" i="1"/>
  <c r="AB297" i="1"/>
  <c r="AC297" i="1"/>
  <c r="AD297" i="1"/>
  <c r="AE297" i="1"/>
  <c r="AF297" i="1"/>
  <c r="AG297" i="1"/>
  <c r="AH297" i="1"/>
  <c r="AI297" i="1"/>
  <c r="Q298" i="1"/>
  <c r="R298" i="1"/>
  <c r="S298" i="1"/>
  <c r="T298" i="1"/>
  <c r="U298" i="1"/>
  <c r="V298" i="1"/>
  <c r="W298" i="1"/>
  <c r="X298" i="1"/>
  <c r="Y298" i="1"/>
  <c r="Z298" i="1"/>
  <c r="AA298" i="1"/>
  <c r="AB298" i="1"/>
  <c r="AC298" i="1"/>
  <c r="AD298" i="1"/>
  <c r="AE298" i="1"/>
  <c r="AF298" i="1"/>
  <c r="AG298" i="1"/>
  <c r="AH298" i="1"/>
  <c r="AI298" i="1"/>
  <c r="Q299" i="1"/>
  <c r="R299" i="1"/>
  <c r="S299" i="1"/>
  <c r="T299" i="1"/>
  <c r="U299" i="1"/>
  <c r="V299" i="1"/>
  <c r="W299" i="1"/>
  <c r="X299" i="1"/>
  <c r="Y299" i="1"/>
  <c r="Z299" i="1"/>
  <c r="AA299" i="1"/>
  <c r="AB299" i="1"/>
  <c r="AC299" i="1"/>
  <c r="AD299" i="1"/>
  <c r="AE299" i="1"/>
  <c r="AF299" i="1"/>
  <c r="AG299" i="1"/>
  <c r="AH299" i="1"/>
  <c r="AI299" i="1"/>
  <c r="Q300" i="1"/>
  <c r="R300" i="1"/>
  <c r="S300" i="1"/>
  <c r="T300" i="1"/>
  <c r="U300" i="1"/>
  <c r="V300" i="1"/>
  <c r="W300" i="1"/>
  <c r="X300" i="1"/>
  <c r="Y300" i="1"/>
  <c r="Z300" i="1"/>
  <c r="AA300" i="1"/>
  <c r="AB300" i="1"/>
  <c r="AC300" i="1"/>
  <c r="AD300" i="1"/>
  <c r="AE300" i="1"/>
  <c r="AF300" i="1"/>
  <c r="AG300" i="1"/>
  <c r="AH300" i="1"/>
  <c r="AI300" i="1"/>
  <c r="Q301" i="1"/>
  <c r="R301" i="1"/>
  <c r="S301" i="1"/>
  <c r="T301" i="1"/>
  <c r="U301" i="1"/>
  <c r="V301" i="1"/>
  <c r="W301" i="1"/>
  <c r="X301" i="1"/>
  <c r="Y301" i="1"/>
  <c r="Z301" i="1"/>
  <c r="AA301" i="1"/>
  <c r="AB301" i="1"/>
  <c r="AC301" i="1"/>
  <c r="AD301" i="1"/>
  <c r="AE301" i="1"/>
  <c r="AF301" i="1"/>
  <c r="AG301" i="1"/>
  <c r="AH301" i="1"/>
  <c r="AI301" i="1"/>
  <c r="Q302" i="1"/>
  <c r="R302" i="1"/>
  <c r="S302" i="1"/>
  <c r="T302" i="1"/>
  <c r="U302" i="1"/>
  <c r="V302" i="1"/>
  <c r="W302" i="1"/>
  <c r="X302" i="1"/>
  <c r="Y302" i="1"/>
  <c r="Z302" i="1"/>
  <c r="AA302" i="1"/>
  <c r="AB302" i="1"/>
  <c r="AC302" i="1"/>
  <c r="AD302" i="1"/>
  <c r="AE302" i="1"/>
  <c r="AF302" i="1"/>
  <c r="AG302" i="1"/>
  <c r="AH302" i="1"/>
  <c r="AI302" i="1"/>
  <c r="Q303" i="1"/>
  <c r="R303" i="1"/>
  <c r="S303" i="1"/>
  <c r="T303" i="1"/>
  <c r="U303" i="1"/>
  <c r="V303" i="1"/>
  <c r="W303" i="1"/>
  <c r="X303" i="1"/>
  <c r="Y303" i="1"/>
  <c r="Z303" i="1"/>
  <c r="AA303" i="1"/>
  <c r="AB303" i="1"/>
  <c r="AC303" i="1"/>
  <c r="AD303" i="1"/>
  <c r="AE303" i="1"/>
  <c r="AF303" i="1"/>
  <c r="AG303" i="1"/>
  <c r="AH303" i="1"/>
  <c r="AI303" i="1"/>
  <c r="Q304" i="1"/>
  <c r="R304" i="1"/>
  <c r="S304" i="1"/>
  <c r="T304" i="1"/>
  <c r="U304" i="1"/>
  <c r="V304" i="1"/>
  <c r="W304" i="1"/>
  <c r="X304" i="1"/>
  <c r="Y304" i="1"/>
  <c r="Z304" i="1"/>
  <c r="AA304" i="1"/>
  <c r="AB304" i="1"/>
  <c r="AC304" i="1"/>
  <c r="AD304" i="1"/>
  <c r="AE304" i="1"/>
  <c r="AF304" i="1"/>
  <c r="AG304" i="1"/>
  <c r="AH304" i="1"/>
  <c r="AI304" i="1"/>
  <c r="Q305" i="1"/>
  <c r="R305" i="1"/>
  <c r="S305" i="1"/>
  <c r="T305" i="1"/>
  <c r="U305" i="1"/>
  <c r="V305" i="1"/>
  <c r="W305" i="1"/>
  <c r="X305" i="1"/>
  <c r="Y305" i="1"/>
  <c r="Z305" i="1"/>
  <c r="AA305" i="1"/>
  <c r="AB305" i="1"/>
  <c r="AC305" i="1"/>
  <c r="AD305" i="1"/>
  <c r="AE305" i="1"/>
  <c r="AF305" i="1"/>
  <c r="AG305" i="1"/>
  <c r="AH305" i="1"/>
  <c r="AI305" i="1"/>
  <c r="Q306" i="1"/>
  <c r="R306" i="1"/>
  <c r="S306" i="1"/>
  <c r="T306" i="1"/>
  <c r="U306" i="1"/>
  <c r="V306" i="1"/>
  <c r="W306" i="1"/>
  <c r="X306" i="1"/>
  <c r="Y306" i="1"/>
  <c r="Z306" i="1"/>
  <c r="AA306" i="1"/>
  <c r="AB306" i="1"/>
  <c r="AC306" i="1"/>
  <c r="AD306" i="1"/>
  <c r="AE306" i="1"/>
  <c r="AF306" i="1"/>
  <c r="AG306" i="1"/>
  <c r="AH306" i="1"/>
  <c r="AI306" i="1"/>
  <c r="Q307" i="1"/>
  <c r="R307" i="1"/>
  <c r="S307" i="1"/>
  <c r="T307" i="1"/>
  <c r="U307" i="1"/>
  <c r="V307" i="1"/>
  <c r="W307" i="1"/>
  <c r="X307" i="1"/>
  <c r="Y307" i="1"/>
  <c r="Z307" i="1"/>
  <c r="AA307" i="1"/>
  <c r="AB307" i="1"/>
  <c r="AC307" i="1"/>
  <c r="AD307" i="1"/>
  <c r="AE307" i="1"/>
  <c r="AF307" i="1"/>
  <c r="AG307" i="1"/>
  <c r="AH307" i="1"/>
  <c r="AI307" i="1"/>
  <c r="Q308" i="1"/>
  <c r="R308" i="1"/>
  <c r="S308" i="1"/>
  <c r="T308" i="1"/>
  <c r="U308" i="1"/>
  <c r="V308" i="1"/>
  <c r="W308" i="1"/>
  <c r="X308" i="1"/>
  <c r="Y308" i="1"/>
  <c r="Z308" i="1"/>
  <c r="AA308" i="1"/>
  <c r="AB308" i="1"/>
  <c r="AC308" i="1"/>
  <c r="AD308" i="1"/>
  <c r="AE308" i="1"/>
  <c r="AF308" i="1"/>
  <c r="AG308" i="1"/>
  <c r="AH308" i="1"/>
  <c r="AI308" i="1"/>
  <c r="Q309" i="1"/>
  <c r="R309" i="1"/>
  <c r="S309" i="1"/>
  <c r="T309" i="1"/>
  <c r="U309" i="1"/>
  <c r="V309" i="1"/>
  <c r="W309" i="1"/>
  <c r="X309" i="1"/>
  <c r="Y309" i="1"/>
  <c r="Z309" i="1"/>
  <c r="AA309" i="1"/>
  <c r="AB309" i="1"/>
  <c r="AC309" i="1"/>
  <c r="AD309" i="1"/>
  <c r="AE309" i="1"/>
  <c r="AF309" i="1"/>
  <c r="AG309" i="1"/>
  <c r="AH309" i="1"/>
  <c r="AI309" i="1"/>
  <c r="Q310" i="1"/>
  <c r="R310" i="1"/>
  <c r="S310" i="1"/>
  <c r="T310" i="1"/>
  <c r="U310" i="1"/>
  <c r="V310" i="1"/>
  <c r="W310" i="1"/>
  <c r="X310" i="1"/>
  <c r="Y310" i="1"/>
  <c r="Z310" i="1"/>
  <c r="AA310" i="1"/>
  <c r="AB310" i="1"/>
  <c r="AC310" i="1"/>
  <c r="AD310" i="1"/>
  <c r="AE310" i="1"/>
  <c r="AF310" i="1"/>
  <c r="AG310" i="1"/>
  <c r="AH310" i="1"/>
  <c r="AI310" i="1"/>
  <c r="Q311" i="1"/>
  <c r="R311" i="1"/>
  <c r="S311" i="1"/>
  <c r="T311" i="1"/>
  <c r="U311" i="1"/>
  <c r="V311" i="1"/>
  <c r="W311" i="1"/>
  <c r="X311" i="1"/>
  <c r="Y311" i="1"/>
  <c r="Z311" i="1"/>
  <c r="AA311" i="1"/>
  <c r="AB311" i="1"/>
  <c r="AC311" i="1"/>
  <c r="AD311" i="1"/>
  <c r="AE311" i="1"/>
  <c r="AF311" i="1"/>
  <c r="AG311" i="1"/>
  <c r="AH311" i="1"/>
  <c r="AI311" i="1"/>
  <c r="Q312" i="1"/>
  <c r="R312" i="1"/>
  <c r="S312" i="1"/>
  <c r="T312" i="1"/>
  <c r="U312" i="1"/>
  <c r="V312" i="1"/>
  <c r="W312" i="1"/>
  <c r="X312" i="1"/>
  <c r="Y312" i="1"/>
  <c r="Z312" i="1"/>
  <c r="AA312" i="1"/>
  <c r="AB312" i="1"/>
  <c r="AC312" i="1"/>
  <c r="AD312" i="1"/>
  <c r="AE312" i="1"/>
  <c r="AF312" i="1"/>
  <c r="AG312" i="1"/>
  <c r="AH312" i="1"/>
  <c r="AI312" i="1"/>
  <c r="Q313" i="1"/>
  <c r="R313" i="1"/>
  <c r="S313" i="1"/>
  <c r="T313" i="1"/>
  <c r="U313" i="1"/>
  <c r="V313" i="1"/>
  <c r="W313" i="1"/>
  <c r="X313" i="1"/>
  <c r="Y313" i="1"/>
  <c r="Z313" i="1"/>
  <c r="AA313" i="1"/>
  <c r="AB313" i="1"/>
  <c r="AC313" i="1"/>
  <c r="AD313" i="1"/>
  <c r="AE313" i="1"/>
  <c r="AF313" i="1"/>
  <c r="AG313" i="1"/>
  <c r="AH313" i="1"/>
  <c r="AI313" i="1"/>
  <c r="Q314" i="1"/>
  <c r="R314" i="1"/>
  <c r="S314" i="1"/>
  <c r="T314" i="1"/>
  <c r="U314" i="1"/>
  <c r="V314" i="1"/>
  <c r="W314" i="1"/>
  <c r="X314" i="1"/>
  <c r="Y314" i="1"/>
  <c r="Z314" i="1"/>
  <c r="AA314" i="1"/>
  <c r="AB314" i="1"/>
  <c r="AC314" i="1"/>
  <c r="AD314" i="1"/>
  <c r="AE314" i="1"/>
  <c r="AF314" i="1"/>
  <c r="AG314" i="1"/>
  <c r="AH314" i="1"/>
  <c r="AI314" i="1"/>
  <c r="Q315" i="1"/>
  <c r="R315" i="1"/>
  <c r="S315" i="1"/>
  <c r="T315" i="1"/>
  <c r="U315" i="1"/>
  <c r="V315" i="1"/>
  <c r="W315" i="1"/>
  <c r="X315" i="1"/>
  <c r="Y315" i="1"/>
  <c r="Z315" i="1"/>
  <c r="AA315" i="1"/>
  <c r="AB315" i="1"/>
  <c r="AC315" i="1"/>
  <c r="AD315" i="1"/>
  <c r="AE315" i="1"/>
  <c r="AF315" i="1"/>
  <c r="AG315" i="1"/>
  <c r="AH315" i="1"/>
  <c r="AI315" i="1"/>
  <c r="Q316" i="1"/>
  <c r="R316" i="1"/>
  <c r="S316" i="1"/>
  <c r="T316" i="1"/>
  <c r="U316" i="1"/>
  <c r="V316" i="1"/>
  <c r="W316" i="1"/>
  <c r="X316" i="1"/>
  <c r="Y316" i="1"/>
  <c r="Z316" i="1"/>
  <c r="AA316" i="1"/>
  <c r="AB316" i="1"/>
  <c r="AC316" i="1"/>
  <c r="AD316" i="1"/>
  <c r="AE316" i="1"/>
  <c r="AF316" i="1"/>
  <c r="AG316" i="1"/>
  <c r="AH316" i="1"/>
  <c r="AI316" i="1"/>
  <c r="Q317" i="1"/>
  <c r="R317" i="1"/>
  <c r="S317" i="1"/>
  <c r="T317" i="1"/>
  <c r="U317" i="1"/>
  <c r="V317" i="1"/>
  <c r="W317" i="1"/>
  <c r="X317" i="1"/>
  <c r="Y317" i="1"/>
  <c r="Z317" i="1"/>
  <c r="AA317" i="1"/>
  <c r="AB317" i="1"/>
  <c r="AC317" i="1"/>
  <c r="AD317" i="1"/>
  <c r="AE317" i="1"/>
  <c r="AF317" i="1"/>
  <c r="AG317" i="1"/>
  <c r="AH317" i="1"/>
  <c r="AI317" i="1"/>
  <c r="Q318" i="1"/>
  <c r="R318" i="1"/>
  <c r="S318" i="1"/>
  <c r="T318" i="1"/>
  <c r="U318" i="1"/>
  <c r="V318" i="1"/>
  <c r="W318" i="1"/>
  <c r="X318" i="1"/>
  <c r="Y318" i="1"/>
  <c r="Z318" i="1"/>
  <c r="AA318" i="1"/>
  <c r="AB318" i="1"/>
  <c r="AC318" i="1"/>
  <c r="AD318" i="1"/>
  <c r="AE318" i="1"/>
  <c r="AF318" i="1"/>
  <c r="AG318" i="1"/>
  <c r="AH318" i="1"/>
  <c r="AI318" i="1"/>
  <c r="Q319" i="1"/>
  <c r="R319" i="1"/>
  <c r="S319" i="1"/>
  <c r="T319" i="1"/>
  <c r="U319" i="1"/>
  <c r="V319" i="1"/>
  <c r="W319" i="1"/>
  <c r="X319" i="1"/>
  <c r="Y319" i="1"/>
  <c r="Z319" i="1"/>
  <c r="AA319" i="1"/>
  <c r="AB319" i="1"/>
  <c r="AC319" i="1"/>
  <c r="AD319" i="1"/>
  <c r="AE319" i="1"/>
  <c r="AF319" i="1"/>
  <c r="AG319" i="1"/>
  <c r="AH319" i="1"/>
  <c r="AI319" i="1"/>
  <c r="Q320" i="1"/>
  <c r="R320" i="1"/>
  <c r="S320" i="1"/>
  <c r="T320" i="1"/>
  <c r="U320" i="1"/>
  <c r="V320" i="1"/>
  <c r="W320" i="1"/>
  <c r="X320" i="1"/>
  <c r="Y320" i="1"/>
  <c r="Z320" i="1"/>
  <c r="AA320" i="1"/>
  <c r="AB320" i="1"/>
  <c r="AC320" i="1"/>
  <c r="AD320" i="1"/>
  <c r="AE320" i="1"/>
  <c r="AF320" i="1"/>
  <c r="AG320" i="1"/>
  <c r="AH320" i="1"/>
  <c r="AI320" i="1"/>
  <c r="Q321" i="1"/>
  <c r="R321" i="1"/>
  <c r="S321" i="1"/>
  <c r="T321" i="1"/>
  <c r="U321" i="1"/>
  <c r="V321" i="1"/>
  <c r="W321" i="1"/>
  <c r="X321" i="1"/>
  <c r="Y321" i="1"/>
  <c r="Z321" i="1"/>
  <c r="AA321" i="1"/>
  <c r="AB321" i="1"/>
  <c r="AC321" i="1"/>
  <c r="AD321" i="1"/>
  <c r="AE321" i="1"/>
  <c r="AF321" i="1"/>
  <c r="AG321" i="1"/>
  <c r="AH321" i="1"/>
  <c r="AI321" i="1"/>
  <c r="Q322" i="1"/>
  <c r="R322" i="1"/>
  <c r="S322" i="1"/>
  <c r="T322" i="1"/>
  <c r="U322" i="1"/>
  <c r="V322" i="1"/>
  <c r="W322" i="1"/>
  <c r="X322" i="1"/>
  <c r="Y322" i="1"/>
  <c r="Z322" i="1"/>
  <c r="AA322" i="1"/>
  <c r="AB322" i="1"/>
  <c r="AC322" i="1"/>
  <c r="AD322" i="1"/>
  <c r="AE322" i="1"/>
  <c r="AF322" i="1"/>
  <c r="AG322" i="1"/>
  <c r="AH322" i="1"/>
  <c r="AI322" i="1"/>
  <c r="Q323" i="1"/>
  <c r="R323" i="1"/>
  <c r="S323" i="1"/>
  <c r="T323" i="1"/>
  <c r="U323" i="1"/>
  <c r="V323" i="1"/>
  <c r="W323" i="1"/>
  <c r="X323" i="1"/>
  <c r="Y323" i="1"/>
  <c r="Z323" i="1"/>
  <c r="AA323" i="1"/>
  <c r="AB323" i="1"/>
  <c r="AC323" i="1"/>
  <c r="AD323" i="1"/>
  <c r="AE323" i="1"/>
  <c r="AF323" i="1"/>
  <c r="AG323" i="1"/>
  <c r="AH323" i="1"/>
  <c r="AI323" i="1"/>
  <c r="Q324" i="1"/>
  <c r="R324" i="1"/>
  <c r="S324" i="1"/>
  <c r="T324" i="1"/>
  <c r="U324" i="1"/>
  <c r="V324" i="1"/>
  <c r="W324" i="1"/>
  <c r="X324" i="1"/>
  <c r="Y324" i="1"/>
  <c r="Z324" i="1"/>
  <c r="AA324" i="1"/>
  <c r="AB324" i="1"/>
  <c r="AC324" i="1"/>
  <c r="AD324" i="1"/>
  <c r="AE324" i="1"/>
  <c r="AF324" i="1"/>
  <c r="AG324" i="1"/>
  <c r="AH324" i="1"/>
  <c r="AI324" i="1"/>
  <c r="Q325" i="1"/>
  <c r="R325" i="1"/>
  <c r="S325" i="1"/>
  <c r="T325" i="1"/>
  <c r="U325" i="1"/>
  <c r="V325" i="1"/>
  <c r="W325" i="1"/>
  <c r="X325" i="1"/>
  <c r="Y325" i="1"/>
  <c r="Z325" i="1"/>
  <c r="AA325" i="1"/>
  <c r="AB325" i="1"/>
  <c r="AC325" i="1"/>
  <c r="AD325" i="1"/>
  <c r="AE325" i="1"/>
  <c r="AF325" i="1"/>
  <c r="AG325" i="1"/>
  <c r="AH325" i="1"/>
  <c r="AI325" i="1"/>
  <c r="Q326" i="1"/>
  <c r="R326" i="1"/>
  <c r="S326" i="1"/>
  <c r="T326" i="1"/>
  <c r="U326" i="1"/>
  <c r="V326" i="1"/>
  <c r="W326" i="1"/>
  <c r="X326" i="1"/>
  <c r="Y326" i="1"/>
  <c r="Z326" i="1"/>
  <c r="AA326" i="1"/>
  <c r="AB326" i="1"/>
  <c r="AC326" i="1"/>
  <c r="AD326" i="1"/>
  <c r="AE326" i="1"/>
  <c r="AF326" i="1"/>
  <c r="AG326" i="1"/>
  <c r="AH326" i="1"/>
  <c r="AI326" i="1"/>
  <c r="Q327" i="1"/>
  <c r="R327" i="1"/>
  <c r="S327" i="1"/>
  <c r="T327" i="1"/>
  <c r="U327" i="1"/>
  <c r="V327" i="1"/>
  <c r="W327" i="1"/>
  <c r="X327" i="1"/>
  <c r="Y327" i="1"/>
  <c r="Z327" i="1"/>
  <c r="AA327" i="1"/>
  <c r="AB327" i="1"/>
  <c r="AC327" i="1"/>
  <c r="AD327" i="1"/>
  <c r="AE327" i="1"/>
  <c r="AF327" i="1"/>
  <c r="AG327" i="1"/>
  <c r="AH327" i="1"/>
  <c r="AI327" i="1"/>
  <c r="Q328" i="1"/>
  <c r="R328" i="1"/>
  <c r="S328" i="1"/>
  <c r="T328" i="1"/>
  <c r="U328" i="1"/>
  <c r="V328" i="1"/>
  <c r="W328" i="1"/>
  <c r="X328" i="1"/>
  <c r="Y328" i="1"/>
  <c r="Z328" i="1"/>
  <c r="AA328" i="1"/>
  <c r="AB328" i="1"/>
  <c r="AC328" i="1"/>
  <c r="AD328" i="1"/>
  <c r="AE328" i="1"/>
  <c r="AF328" i="1"/>
  <c r="AG328" i="1"/>
  <c r="AH328" i="1"/>
  <c r="AI328" i="1"/>
  <c r="Q329" i="1"/>
  <c r="R329" i="1"/>
  <c r="S329" i="1"/>
  <c r="T329" i="1"/>
  <c r="U329" i="1"/>
  <c r="V329" i="1"/>
  <c r="W329" i="1"/>
  <c r="X329" i="1"/>
  <c r="Y329" i="1"/>
  <c r="Z329" i="1"/>
  <c r="AA329" i="1"/>
  <c r="AB329" i="1"/>
  <c r="AC329" i="1"/>
  <c r="AD329" i="1"/>
  <c r="AE329" i="1"/>
  <c r="AF329" i="1"/>
  <c r="AG329" i="1"/>
  <c r="AH329" i="1"/>
  <c r="AI329" i="1"/>
  <c r="Q330" i="1"/>
  <c r="R330" i="1"/>
  <c r="S330" i="1"/>
  <c r="T330" i="1"/>
  <c r="U330" i="1"/>
  <c r="V330" i="1"/>
  <c r="W330" i="1"/>
  <c r="X330" i="1"/>
  <c r="Y330" i="1"/>
  <c r="Z330" i="1"/>
  <c r="AA330" i="1"/>
  <c r="AB330" i="1"/>
  <c r="AC330" i="1"/>
  <c r="AD330" i="1"/>
  <c r="AE330" i="1"/>
  <c r="AF330" i="1"/>
  <c r="AG330" i="1"/>
  <c r="AH330" i="1"/>
  <c r="AI330" i="1"/>
  <c r="Q331" i="1"/>
  <c r="R331" i="1"/>
  <c r="S331" i="1"/>
  <c r="T331" i="1"/>
  <c r="U331" i="1"/>
  <c r="V331" i="1"/>
  <c r="W331" i="1"/>
  <c r="X331" i="1"/>
  <c r="Y331" i="1"/>
  <c r="Z331" i="1"/>
  <c r="AA331" i="1"/>
  <c r="AB331" i="1"/>
  <c r="AC331" i="1"/>
  <c r="AD331" i="1"/>
  <c r="AE331" i="1"/>
  <c r="AF331" i="1"/>
  <c r="AG331" i="1"/>
  <c r="AH331" i="1"/>
  <c r="AI331" i="1"/>
  <c r="Q332" i="1"/>
  <c r="R332" i="1"/>
  <c r="S332" i="1"/>
  <c r="T332" i="1"/>
  <c r="U332" i="1"/>
  <c r="V332" i="1"/>
  <c r="W332" i="1"/>
  <c r="X332" i="1"/>
  <c r="Y332" i="1"/>
  <c r="Z332" i="1"/>
  <c r="AA332" i="1"/>
  <c r="AB332" i="1"/>
  <c r="AC332" i="1"/>
  <c r="AD332" i="1"/>
  <c r="AE332" i="1"/>
  <c r="AF332" i="1"/>
  <c r="AG332" i="1"/>
  <c r="AH332" i="1"/>
  <c r="AI332" i="1"/>
  <c r="Q333" i="1"/>
  <c r="R333" i="1"/>
  <c r="S333" i="1"/>
  <c r="T333" i="1"/>
  <c r="U333" i="1"/>
  <c r="V333" i="1"/>
  <c r="W333" i="1"/>
  <c r="X333" i="1"/>
  <c r="Y333" i="1"/>
  <c r="Z333" i="1"/>
  <c r="AA333" i="1"/>
  <c r="AB333" i="1"/>
  <c r="AC333" i="1"/>
  <c r="AD333" i="1"/>
  <c r="AE333" i="1"/>
  <c r="AF333" i="1"/>
  <c r="AG333" i="1"/>
  <c r="AH333" i="1"/>
  <c r="AI333" i="1"/>
  <c r="Q334" i="1"/>
  <c r="R334" i="1"/>
  <c r="S334" i="1"/>
  <c r="T334" i="1"/>
  <c r="U334" i="1"/>
  <c r="V334" i="1"/>
  <c r="W334" i="1"/>
  <c r="X334" i="1"/>
  <c r="Y334" i="1"/>
  <c r="Z334" i="1"/>
  <c r="AA334" i="1"/>
  <c r="AB334" i="1"/>
  <c r="AC334" i="1"/>
  <c r="AD334" i="1"/>
  <c r="AE334" i="1"/>
  <c r="AF334" i="1"/>
  <c r="AG334" i="1"/>
  <c r="AH334" i="1"/>
  <c r="AI334" i="1"/>
  <c r="Q335" i="1"/>
  <c r="R335" i="1"/>
  <c r="S335" i="1"/>
  <c r="T335" i="1"/>
  <c r="U335" i="1"/>
  <c r="V335" i="1"/>
  <c r="W335" i="1"/>
  <c r="X335" i="1"/>
  <c r="Y335" i="1"/>
  <c r="Z335" i="1"/>
  <c r="AA335" i="1"/>
  <c r="AB335" i="1"/>
  <c r="AC335" i="1"/>
  <c r="AD335" i="1"/>
  <c r="AE335" i="1"/>
  <c r="AF335" i="1"/>
  <c r="AG335" i="1"/>
  <c r="AH335" i="1"/>
  <c r="AI335" i="1"/>
  <c r="Q336" i="1"/>
  <c r="R336" i="1"/>
  <c r="S336" i="1"/>
  <c r="T336" i="1"/>
  <c r="U336" i="1"/>
  <c r="V336" i="1"/>
  <c r="W336" i="1"/>
  <c r="X336" i="1"/>
  <c r="Y336" i="1"/>
  <c r="Z336" i="1"/>
  <c r="AA336" i="1"/>
  <c r="AB336" i="1"/>
  <c r="AC336" i="1"/>
  <c r="AD336" i="1"/>
  <c r="AE336" i="1"/>
  <c r="AF336" i="1"/>
  <c r="AG336" i="1"/>
  <c r="AH336" i="1"/>
  <c r="AI336" i="1"/>
  <c r="Q337" i="1"/>
  <c r="R337" i="1"/>
  <c r="S337" i="1"/>
  <c r="T337" i="1"/>
  <c r="U337" i="1"/>
  <c r="V337" i="1"/>
  <c r="W337" i="1"/>
  <c r="X337" i="1"/>
  <c r="Y337" i="1"/>
  <c r="Z337" i="1"/>
  <c r="AA337" i="1"/>
  <c r="AB337" i="1"/>
  <c r="AC337" i="1"/>
  <c r="AD337" i="1"/>
  <c r="AE337" i="1"/>
  <c r="AF337" i="1"/>
  <c r="AG337" i="1"/>
  <c r="AH337" i="1"/>
  <c r="AI337" i="1"/>
  <c r="Q338" i="1"/>
  <c r="R338" i="1"/>
  <c r="S338" i="1"/>
  <c r="T338" i="1"/>
  <c r="U338" i="1"/>
  <c r="V338" i="1"/>
  <c r="W338" i="1"/>
  <c r="X338" i="1"/>
  <c r="Y338" i="1"/>
  <c r="Z338" i="1"/>
  <c r="AA338" i="1"/>
  <c r="AB338" i="1"/>
  <c r="AC338" i="1"/>
  <c r="AD338" i="1"/>
  <c r="AE338" i="1"/>
  <c r="AF338" i="1"/>
  <c r="AG338" i="1"/>
  <c r="AH338" i="1"/>
  <c r="AI338" i="1"/>
  <c r="Q339" i="1"/>
  <c r="R339" i="1"/>
  <c r="S339" i="1"/>
  <c r="T339" i="1"/>
  <c r="U339" i="1"/>
  <c r="V339" i="1"/>
  <c r="W339" i="1"/>
  <c r="X339" i="1"/>
  <c r="Y339" i="1"/>
  <c r="Z339" i="1"/>
  <c r="AA339" i="1"/>
  <c r="AB339" i="1"/>
  <c r="AC339" i="1"/>
  <c r="AD339" i="1"/>
  <c r="AE339" i="1"/>
  <c r="AF339" i="1"/>
  <c r="AG339" i="1"/>
  <c r="AH339" i="1"/>
  <c r="AI339" i="1"/>
  <c r="Q340" i="1"/>
  <c r="R340" i="1"/>
  <c r="S340" i="1"/>
  <c r="T340" i="1"/>
  <c r="U340" i="1"/>
  <c r="V340" i="1"/>
  <c r="W340" i="1"/>
  <c r="X340" i="1"/>
  <c r="Y340" i="1"/>
  <c r="Z340" i="1"/>
  <c r="AA340" i="1"/>
  <c r="AB340" i="1"/>
  <c r="AC340" i="1"/>
  <c r="AD340" i="1"/>
  <c r="AE340" i="1"/>
  <c r="AF340" i="1"/>
  <c r="AG340" i="1"/>
  <c r="AH340" i="1"/>
  <c r="AI340" i="1"/>
  <c r="Q341" i="1"/>
  <c r="R341" i="1"/>
  <c r="S341" i="1"/>
  <c r="T341" i="1"/>
  <c r="U341" i="1"/>
  <c r="V341" i="1"/>
  <c r="W341" i="1"/>
  <c r="X341" i="1"/>
  <c r="Y341" i="1"/>
  <c r="Z341" i="1"/>
  <c r="AA341" i="1"/>
  <c r="AB341" i="1"/>
  <c r="AC341" i="1"/>
  <c r="AD341" i="1"/>
  <c r="AE341" i="1"/>
  <c r="AF341" i="1"/>
  <c r="AG341" i="1"/>
  <c r="AH341" i="1"/>
  <c r="AI341" i="1"/>
  <c r="Q342" i="1"/>
  <c r="R342" i="1"/>
  <c r="S342" i="1"/>
  <c r="T342" i="1"/>
  <c r="U342" i="1"/>
  <c r="V342" i="1"/>
  <c r="W342" i="1"/>
  <c r="X342" i="1"/>
  <c r="Y342" i="1"/>
  <c r="Z342" i="1"/>
  <c r="AA342" i="1"/>
  <c r="AB342" i="1"/>
  <c r="AC342" i="1"/>
  <c r="AD342" i="1"/>
  <c r="AE342" i="1"/>
  <c r="AF342" i="1"/>
  <c r="AG342" i="1"/>
  <c r="AH342" i="1"/>
  <c r="AI342" i="1"/>
  <c r="Q343" i="1"/>
  <c r="R343" i="1"/>
  <c r="S343" i="1"/>
  <c r="T343" i="1"/>
  <c r="U343" i="1"/>
  <c r="V343" i="1"/>
  <c r="W343" i="1"/>
  <c r="X343" i="1"/>
  <c r="Y343" i="1"/>
  <c r="Z343" i="1"/>
  <c r="AA343" i="1"/>
  <c r="AB343" i="1"/>
  <c r="AC343" i="1"/>
  <c r="AD343" i="1"/>
  <c r="AE343" i="1"/>
  <c r="AF343" i="1"/>
  <c r="AG343" i="1"/>
  <c r="AH343" i="1"/>
  <c r="AI343" i="1"/>
  <c r="Q344" i="1"/>
  <c r="R344" i="1"/>
  <c r="S344" i="1"/>
  <c r="T344" i="1"/>
  <c r="U344" i="1"/>
  <c r="V344" i="1"/>
  <c r="W344" i="1"/>
  <c r="X344" i="1"/>
  <c r="Y344" i="1"/>
  <c r="Z344" i="1"/>
  <c r="AA344" i="1"/>
  <c r="AB344" i="1"/>
  <c r="AC344" i="1"/>
  <c r="AD344" i="1"/>
  <c r="AE344" i="1"/>
  <c r="AF344" i="1"/>
  <c r="AG344" i="1"/>
  <c r="AH344" i="1"/>
  <c r="AI344" i="1"/>
  <c r="Q345" i="1"/>
  <c r="R345" i="1"/>
  <c r="S345" i="1"/>
  <c r="T345" i="1"/>
  <c r="U345" i="1"/>
  <c r="V345" i="1"/>
  <c r="W345" i="1"/>
  <c r="X345" i="1"/>
  <c r="Y345" i="1"/>
  <c r="Z345" i="1"/>
  <c r="AA345" i="1"/>
  <c r="AB345" i="1"/>
  <c r="AC345" i="1"/>
  <c r="AD345" i="1"/>
  <c r="AE345" i="1"/>
  <c r="AF345" i="1"/>
  <c r="AG345" i="1"/>
  <c r="AH345" i="1"/>
  <c r="AI345" i="1"/>
  <c r="Q346" i="1"/>
  <c r="R346" i="1"/>
  <c r="S346" i="1"/>
  <c r="T346" i="1"/>
  <c r="U346" i="1"/>
  <c r="V346" i="1"/>
  <c r="W346" i="1"/>
  <c r="X346" i="1"/>
  <c r="Y346" i="1"/>
  <c r="Z346" i="1"/>
  <c r="AA346" i="1"/>
  <c r="AB346" i="1"/>
  <c r="AC346" i="1"/>
  <c r="AD346" i="1"/>
  <c r="AE346" i="1"/>
  <c r="AF346" i="1"/>
  <c r="AG346" i="1"/>
  <c r="AH346" i="1"/>
  <c r="AI346" i="1"/>
  <c r="Q347" i="1"/>
  <c r="R347" i="1"/>
  <c r="S347" i="1"/>
  <c r="T347" i="1"/>
  <c r="U347" i="1"/>
  <c r="V347" i="1"/>
  <c r="W347" i="1"/>
  <c r="X347" i="1"/>
  <c r="Y347" i="1"/>
  <c r="Z347" i="1"/>
  <c r="AA347" i="1"/>
  <c r="AB347" i="1"/>
  <c r="AC347" i="1"/>
  <c r="AD347" i="1"/>
  <c r="AE347" i="1"/>
  <c r="AF347" i="1"/>
  <c r="AG347" i="1"/>
  <c r="AH347" i="1"/>
  <c r="AI347" i="1"/>
  <c r="Q348" i="1"/>
  <c r="R348" i="1"/>
  <c r="S348" i="1"/>
  <c r="T348" i="1"/>
  <c r="U348" i="1"/>
  <c r="V348" i="1"/>
  <c r="W348" i="1"/>
  <c r="X348" i="1"/>
  <c r="Y348" i="1"/>
  <c r="Z348" i="1"/>
  <c r="AA348" i="1"/>
  <c r="AB348" i="1"/>
  <c r="AC348" i="1"/>
  <c r="AD348" i="1"/>
  <c r="AE348" i="1"/>
  <c r="AF348" i="1"/>
  <c r="AG348" i="1"/>
  <c r="AH348" i="1"/>
  <c r="AI348" i="1"/>
  <c r="Q349" i="1"/>
  <c r="R349" i="1"/>
  <c r="S349" i="1"/>
  <c r="T349" i="1"/>
  <c r="U349" i="1"/>
  <c r="V349" i="1"/>
  <c r="W349" i="1"/>
  <c r="X349" i="1"/>
  <c r="Y349" i="1"/>
  <c r="Z349" i="1"/>
  <c r="AA349" i="1"/>
  <c r="AB349" i="1"/>
  <c r="AC349" i="1"/>
  <c r="AD349" i="1"/>
  <c r="AE349" i="1"/>
  <c r="AF349" i="1"/>
  <c r="AG349" i="1"/>
  <c r="AH349" i="1"/>
  <c r="AI349" i="1"/>
  <c r="Q350" i="1"/>
  <c r="R350" i="1"/>
  <c r="S350" i="1"/>
  <c r="T350" i="1"/>
  <c r="U350" i="1"/>
  <c r="V350" i="1"/>
  <c r="W350" i="1"/>
  <c r="X350" i="1"/>
  <c r="Y350" i="1"/>
  <c r="Z350" i="1"/>
  <c r="AA350" i="1"/>
  <c r="AB350" i="1"/>
  <c r="AC350" i="1"/>
  <c r="AD350" i="1"/>
  <c r="AE350" i="1"/>
  <c r="AF350" i="1"/>
  <c r="AG350" i="1"/>
  <c r="AH350" i="1"/>
  <c r="AI350" i="1"/>
  <c r="Z351"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350" i="1"/>
  <c r="Q215" i="1"/>
  <c r="R215" i="1"/>
  <c r="S215" i="1"/>
  <c r="T215" i="1"/>
  <c r="U215" i="1"/>
  <c r="V215" i="1"/>
  <c r="W215" i="1"/>
  <c r="X215" i="1"/>
  <c r="Y215" i="1"/>
  <c r="Z215" i="1"/>
  <c r="AA215" i="1"/>
  <c r="AB215" i="1"/>
  <c r="AC215" i="1"/>
  <c r="AD215" i="1"/>
  <c r="AE215" i="1"/>
  <c r="AF215" i="1"/>
  <c r="AG215" i="1"/>
  <c r="AH215" i="1"/>
  <c r="AI215" i="1"/>
  <c r="Q216" i="1"/>
  <c r="R216" i="1"/>
  <c r="S216" i="1"/>
  <c r="T216" i="1"/>
  <c r="U216" i="1"/>
  <c r="V216" i="1"/>
  <c r="W216" i="1"/>
  <c r="X216" i="1"/>
  <c r="Y216" i="1"/>
  <c r="Z216" i="1"/>
  <c r="AA216" i="1"/>
  <c r="AB216" i="1"/>
  <c r="AC216" i="1"/>
  <c r="AD216" i="1"/>
  <c r="AE216" i="1"/>
  <c r="AF216" i="1"/>
  <c r="AG216" i="1"/>
  <c r="AH216" i="1"/>
  <c r="AI216" i="1"/>
  <c r="Q217" i="1"/>
  <c r="R217" i="1"/>
  <c r="S217" i="1"/>
  <c r="T217" i="1"/>
  <c r="U217" i="1"/>
  <c r="V217" i="1"/>
  <c r="W217" i="1"/>
  <c r="X217" i="1"/>
  <c r="Y217" i="1"/>
  <c r="Z217" i="1"/>
  <c r="AA217" i="1"/>
  <c r="AB217" i="1"/>
  <c r="AC217" i="1"/>
  <c r="AD217" i="1"/>
  <c r="AE217" i="1"/>
  <c r="AF217" i="1"/>
  <c r="AG217" i="1"/>
  <c r="AH217" i="1"/>
  <c r="AI217" i="1"/>
  <c r="Q218" i="1"/>
  <c r="R218" i="1"/>
  <c r="S218" i="1"/>
  <c r="T218" i="1"/>
  <c r="U218" i="1"/>
  <c r="V218" i="1"/>
  <c r="W218" i="1"/>
  <c r="X218" i="1"/>
  <c r="Y218" i="1"/>
  <c r="Z218" i="1"/>
  <c r="AA218" i="1"/>
  <c r="AB218" i="1"/>
  <c r="AC218" i="1"/>
  <c r="AD218" i="1"/>
  <c r="AE218" i="1"/>
  <c r="AF218" i="1"/>
  <c r="AG218" i="1"/>
  <c r="AH218" i="1"/>
  <c r="AI218" i="1"/>
  <c r="Q219" i="1"/>
  <c r="R219" i="1"/>
  <c r="S219" i="1"/>
  <c r="T219" i="1"/>
  <c r="U219" i="1"/>
  <c r="V219" i="1"/>
  <c r="W219" i="1"/>
  <c r="X219" i="1"/>
  <c r="Y219" i="1"/>
  <c r="Z219" i="1"/>
  <c r="AA219" i="1"/>
  <c r="AB219" i="1"/>
  <c r="AC219" i="1"/>
  <c r="AD219" i="1"/>
  <c r="AE219" i="1"/>
  <c r="AF219" i="1"/>
  <c r="AG219" i="1"/>
  <c r="AH219" i="1"/>
  <c r="AI219" i="1"/>
  <c r="Q220" i="1"/>
  <c r="R220" i="1"/>
  <c r="S220" i="1"/>
  <c r="T220" i="1"/>
  <c r="U220" i="1"/>
  <c r="V220" i="1"/>
  <c r="W220" i="1"/>
  <c r="X220" i="1"/>
  <c r="Y220" i="1"/>
  <c r="Z220" i="1"/>
  <c r="AA220" i="1"/>
  <c r="AB220" i="1"/>
  <c r="AC220" i="1"/>
  <c r="AD220" i="1"/>
  <c r="AE220" i="1"/>
  <c r="AF220" i="1"/>
  <c r="AG220" i="1"/>
  <c r="AH220" i="1"/>
  <c r="AI220" i="1"/>
  <c r="Q221" i="1"/>
  <c r="R221" i="1"/>
  <c r="S221" i="1"/>
  <c r="T221" i="1"/>
  <c r="U221" i="1"/>
  <c r="V221" i="1"/>
  <c r="W221" i="1"/>
  <c r="X221" i="1"/>
  <c r="Y221" i="1"/>
  <c r="Z221" i="1"/>
  <c r="AA221" i="1"/>
  <c r="AB221" i="1"/>
  <c r="AC221" i="1"/>
  <c r="AD221" i="1"/>
  <c r="AE221" i="1"/>
  <c r="AF221" i="1"/>
  <c r="AG221" i="1"/>
  <c r="AH221" i="1"/>
  <c r="AI221" i="1"/>
  <c r="Q222" i="1"/>
  <c r="R222" i="1"/>
  <c r="S222" i="1"/>
  <c r="T222" i="1"/>
  <c r="U222" i="1"/>
  <c r="V222" i="1"/>
  <c r="W222" i="1"/>
  <c r="X222" i="1"/>
  <c r="Y222" i="1"/>
  <c r="Z222" i="1"/>
  <c r="AA222" i="1"/>
  <c r="AB222" i="1"/>
  <c r="AC222" i="1"/>
  <c r="AD222" i="1"/>
  <c r="AE222" i="1"/>
  <c r="AF222" i="1"/>
  <c r="AG222" i="1"/>
  <c r="AH222" i="1"/>
  <c r="AI222" i="1"/>
  <c r="Q223" i="1"/>
  <c r="R223" i="1"/>
  <c r="S223" i="1"/>
  <c r="T223" i="1"/>
  <c r="U223" i="1"/>
  <c r="V223" i="1"/>
  <c r="W223" i="1"/>
  <c r="X223" i="1"/>
  <c r="Y223" i="1"/>
  <c r="Z223" i="1"/>
  <c r="AA223" i="1"/>
  <c r="AB223" i="1"/>
  <c r="AC223" i="1"/>
  <c r="AD223" i="1"/>
  <c r="AE223" i="1"/>
  <c r="AF223" i="1"/>
  <c r="AG223" i="1"/>
  <c r="AH223" i="1"/>
  <c r="AI223" i="1"/>
  <c r="Q224" i="1"/>
  <c r="R224" i="1"/>
  <c r="S224" i="1"/>
  <c r="T224" i="1"/>
  <c r="U224" i="1"/>
  <c r="V224" i="1"/>
  <c r="W224" i="1"/>
  <c r="X224" i="1"/>
  <c r="Y224" i="1"/>
  <c r="Z224" i="1"/>
  <c r="AA224" i="1"/>
  <c r="AB224" i="1"/>
  <c r="AC224" i="1"/>
  <c r="AD224" i="1"/>
  <c r="AE224" i="1"/>
  <c r="AF224" i="1"/>
  <c r="AG224" i="1"/>
  <c r="AH224" i="1"/>
  <c r="AI224" i="1"/>
  <c r="Q225" i="1"/>
  <c r="R225" i="1"/>
  <c r="S225" i="1"/>
  <c r="T225" i="1"/>
  <c r="U225" i="1"/>
  <c r="V225" i="1"/>
  <c r="W225" i="1"/>
  <c r="X225" i="1"/>
  <c r="Y225" i="1"/>
  <c r="Z225" i="1"/>
  <c r="AA225" i="1"/>
  <c r="AB225" i="1"/>
  <c r="AC225" i="1"/>
  <c r="AD225" i="1"/>
  <c r="AE225" i="1"/>
  <c r="AF225" i="1"/>
  <c r="AG225" i="1"/>
  <c r="AH225" i="1"/>
  <c r="AI225" i="1"/>
  <c r="Q226" i="1"/>
  <c r="R226" i="1"/>
  <c r="S226" i="1"/>
  <c r="T226" i="1"/>
  <c r="U226" i="1"/>
  <c r="V226" i="1"/>
  <c r="W226" i="1"/>
  <c r="X226" i="1"/>
  <c r="Y226" i="1"/>
  <c r="Z226" i="1"/>
  <c r="AA226" i="1"/>
  <c r="AB226" i="1"/>
  <c r="AC226" i="1"/>
  <c r="AD226" i="1"/>
  <c r="AE226" i="1"/>
  <c r="AF226" i="1"/>
  <c r="AG226" i="1"/>
  <c r="AH226" i="1"/>
  <c r="AI226" i="1"/>
  <c r="Q227" i="1"/>
  <c r="R227" i="1"/>
  <c r="S227" i="1"/>
  <c r="T227" i="1"/>
  <c r="U227" i="1"/>
  <c r="V227" i="1"/>
  <c r="W227" i="1"/>
  <c r="X227" i="1"/>
  <c r="Y227" i="1"/>
  <c r="Z227" i="1"/>
  <c r="AA227" i="1"/>
  <c r="AB227" i="1"/>
  <c r="AC227" i="1"/>
  <c r="AD227" i="1"/>
  <c r="AE227" i="1"/>
  <c r="AF227" i="1"/>
  <c r="AG227" i="1"/>
  <c r="AH227" i="1"/>
  <c r="AI227" i="1"/>
  <c r="Q228" i="1"/>
  <c r="R228" i="1"/>
  <c r="S228" i="1"/>
  <c r="T228" i="1"/>
  <c r="U228" i="1"/>
  <c r="V228" i="1"/>
  <c r="W228" i="1"/>
  <c r="X228" i="1"/>
  <c r="Y228" i="1"/>
  <c r="Z228" i="1"/>
  <c r="AA228" i="1"/>
  <c r="AB228" i="1"/>
  <c r="AC228" i="1"/>
  <c r="AD228" i="1"/>
  <c r="AE228" i="1"/>
  <c r="AF228" i="1"/>
  <c r="AG228" i="1"/>
  <c r="AH228" i="1"/>
  <c r="AI228" i="1"/>
  <c r="Q229" i="1"/>
  <c r="R229" i="1"/>
  <c r="S229" i="1"/>
  <c r="T229" i="1"/>
  <c r="U229" i="1"/>
  <c r="V229" i="1"/>
  <c r="W229" i="1"/>
  <c r="X229" i="1"/>
  <c r="Y229" i="1"/>
  <c r="Z229" i="1"/>
  <c r="AA229" i="1"/>
  <c r="AB229" i="1"/>
  <c r="AC229" i="1"/>
  <c r="AD229" i="1"/>
  <c r="AE229" i="1"/>
  <c r="AF229" i="1"/>
  <c r="AG229" i="1"/>
  <c r="AH229" i="1"/>
  <c r="AI229" i="1"/>
  <c r="Q230" i="1"/>
  <c r="R230" i="1"/>
  <c r="S230" i="1"/>
  <c r="T230" i="1"/>
  <c r="U230" i="1"/>
  <c r="V230" i="1"/>
  <c r="W230" i="1"/>
  <c r="X230" i="1"/>
  <c r="Y230" i="1"/>
  <c r="Z230" i="1"/>
  <c r="AA230" i="1"/>
  <c r="AB230" i="1"/>
  <c r="AC230" i="1"/>
  <c r="AD230" i="1"/>
  <c r="AE230" i="1"/>
  <c r="AF230" i="1"/>
  <c r="AG230" i="1"/>
  <c r="AH230" i="1"/>
  <c r="AI230" i="1"/>
  <c r="Q231" i="1"/>
  <c r="R231" i="1"/>
  <c r="S231" i="1"/>
  <c r="T231" i="1"/>
  <c r="U231" i="1"/>
  <c r="V231" i="1"/>
  <c r="W231" i="1"/>
  <c r="X231" i="1"/>
  <c r="Y231" i="1"/>
  <c r="Z231" i="1"/>
  <c r="AA231" i="1"/>
  <c r="AB231" i="1"/>
  <c r="AC231" i="1"/>
  <c r="AD231" i="1"/>
  <c r="AE231" i="1"/>
  <c r="AF231" i="1"/>
  <c r="AG231" i="1"/>
  <c r="AH231" i="1"/>
  <c r="AI231" i="1"/>
  <c r="Q232" i="1"/>
  <c r="R232" i="1"/>
  <c r="S232" i="1"/>
  <c r="T232" i="1"/>
  <c r="U232" i="1"/>
  <c r="V232" i="1"/>
  <c r="W232" i="1"/>
  <c r="X232" i="1"/>
  <c r="Y232" i="1"/>
  <c r="Z232" i="1"/>
  <c r="AA232" i="1"/>
  <c r="AB232" i="1"/>
  <c r="AC232" i="1"/>
  <c r="AD232" i="1"/>
  <c r="AE232" i="1"/>
  <c r="AF232" i="1"/>
  <c r="AG232" i="1"/>
  <c r="AH232" i="1"/>
  <c r="AI232" i="1"/>
  <c r="Q233" i="1"/>
  <c r="R233" i="1"/>
  <c r="S233" i="1"/>
  <c r="T233" i="1"/>
  <c r="U233" i="1"/>
  <c r="V233" i="1"/>
  <c r="W233" i="1"/>
  <c r="X233" i="1"/>
  <c r="Y233" i="1"/>
  <c r="Z233" i="1"/>
  <c r="AA233" i="1"/>
  <c r="AB233" i="1"/>
  <c r="AC233" i="1"/>
  <c r="AD233" i="1"/>
  <c r="AE233" i="1"/>
  <c r="AF233" i="1"/>
  <c r="AG233" i="1"/>
  <c r="AH233" i="1"/>
  <c r="AI233" i="1"/>
  <c r="Q234" i="1"/>
  <c r="R234" i="1"/>
  <c r="S234" i="1"/>
  <c r="T234" i="1"/>
  <c r="U234" i="1"/>
  <c r="V234" i="1"/>
  <c r="W234" i="1"/>
  <c r="X234" i="1"/>
  <c r="Y234" i="1"/>
  <c r="Z234" i="1"/>
  <c r="AA234" i="1"/>
  <c r="AB234" i="1"/>
  <c r="AC234" i="1"/>
  <c r="AD234" i="1"/>
  <c r="AE234" i="1"/>
  <c r="AF234" i="1"/>
  <c r="AG234" i="1"/>
  <c r="AH234" i="1"/>
  <c r="AI234" i="1"/>
  <c r="Q235" i="1"/>
  <c r="R235" i="1"/>
  <c r="S235" i="1"/>
  <c r="T235" i="1"/>
  <c r="U235" i="1"/>
  <c r="V235" i="1"/>
  <c r="W235" i="1"/>
  <c r="X235" i="1"/>
  <c r="Y235" i="1"/>
  <c r="Z235" i="1"/>
  <c r="AA235" i="1"/>
  <c r="AB235" i="1"/>
  <c r="AC235" i="1"/>
  <c r="AD235" i="1"/>
  <c r="AE235" i="1"/>
  <c r="AF235" i="1"/>
  <c r="AG235" i="1"/>
  <c r="AH235" i="1"/>
  <c r="AI235" i="1"/>
  <c r="Q236" i="1"/>
  <c r="R236" i="1"/>
  <c r="S236" i="1"/>
  <c r="T236" i="1"/>
  <c r="U236" i="1"/>
  <c r="V236" i="1"/>
  <c r="W236" i="1"/>
  <c r="X236" i="1"/>
  <c r="Y236" i="1"/>
  <c r="Z236" i="1"/>
  <c r="AA236" i="1"/>
  <c r="AB236" i="1"/>
  <c r="AC236" i="1"/>
  <c r="AD236" i="1"/>
  <c r="AE236" i="1"/>
  <c r="AF236" i="1"/>
  <c r="AG236" i="1"/>
  <c r="AH236" i="1"/>
  <c r="AI236" i="1"/>
  <c r="Q237" i="1"/>
  <c r="R237" i="1"/>
  <c r="S237" i="1"/>
  <c r="T237" i="1"/>
  <c r="U237" i="1"/>
  <c r="V237" i="1"/>
  <c r="W237" i="1"/>
  <c r="X237" i="1"/>
  <c r="Y237" i="1"/>
  <c r="Z237" i="1"/>
  <c r="AA237" i="1"/>
  <c r="AB237" i="1"/>
  <c r="AC237" i="1"/>
  <c r="AD237" i="1"/>
  <c r="AE237" i="1"/>
  <c r="AF237" i="1"/>
  <c r="AG237" i="1"/>
  <c r="AH237" i="1"/>
  <c r="AI237" i="1"/>
  <c r="Q238" i="1"/>
  <c r="R238" i="1"/>
  <c r="S238" i="1"/>
  <c r="T238" i="1"/>
  <c r="U238" i="1"/>
  <c r="V238" i="1"/>
  <c r="W238" i="1"/>
  <c r="X238" i="1"/>
  <c r="Y238" i="1"/>
  <c r="Z238" i="1"/>
  <c r="AA238" i="1"/>
  <c r="AB238" i="1"/>
  <c r="AC238" i="1"/>
  <c r="AD238" i="1"/>
  <c r="AE238" i="1"/>
  <c r="AF238" i="1"/>
  <c r="AG238" i="1"/>
  <c r="AH238" i="1"/>
  <c r="AI238" i="1"/>
  <c r="Q239" i="1"/>
  <c r="R239" i="1"/>
  <c r="S239" i="1"/>
  <c r="T239" i="1"/>
  <c r="U239" i="1"/>
  <c r="V239" i="1"/>
  <c r="W239" i="1"/>
  <c r="X239" i="1"/>
  <c r="Y239" i="1"/>
  <c r="Z239" i="1"/>
  <c r="AA239" i="1"/>
  <c r="AB239" i="1"/>
  <c r="AC239" i="1"/>
  <c r="AD239" i="1"/>
  <c r="AE239" i="1"/>
  <c r="AF239" i="1"/>
  <c r="AG239" i="1"/>
  <c r="AH239" i="1"/>
  <c r="AI239" i="1"/>
  <c r="Q240" i="1"/>
  <c r="R240" i="1"/>
  <c r="S240" i="1"/>
  <c r="T240" i="1"/>
  <c r="U240" i="1"/>
  <c r="V240" i="1"/>
  <c r="W240" i="1"/>
  <c r="X240" i="1"/>
  <c r="Y240" i="1"/>
  <c r="Z240" i="1"/>
  <c r="AA240" i="1"/>
  <c r="AB240" i="1"/>
  <c r="AC240" i="1"/>
  <c r="AD240" i="1"/>
  <c r="AE240" i="1"/>
  <c r="AF240" i="1"/>
  <c r="AG240" i="1"/>
  <c r="AH240" i="1"/>
  <c r="AI240" i="1"/>
  <c r="Q241" i="1"/>
  <c r="R241" i="1"/>
  <c r="S241" i="1"/>
  <c r="T241" i="1"/>
  <c r="U241" i="1"/>
  <c r="V241" i="1"/>
  <c r="W241" i="1"/>
  <c r="X241" i="1"/>
  <c r="Y241" i="1"/>
  <c r="Z241" i="1"/>
  <c r="AA241" i="1"/>
  <c r="AB241" i="1"/>
  <c r="AC241" i="1"/>
  <c r="AD241" i="1"/>
  <c r="AE241" i="1"/>
  <c r="AF241" i="1"/>
  <c r="AG241" i="1"/>
  <c r="AH241" i="1"/>
  <c r="AI241" i="1"/>
  <c r="Q242" i="1"/>
  <c r="R242" i="1"/>
  <c r="S242" i="1"/>
  <c r="T242" i="1"/>
  <c r="U242" i="1"/>
  <c r="V242" i="1"/>
  <c r="W242" i="1"/>
  <c r="X242" i="1"/>
  <c r="Y242" i="1"/>
  <c r="Z242" i="1"/>
  <c r="AA242" i="1"/>
  <c r="AB242" i="1"/>
  <c r="AC242" i="1"/>
  <c r="AD242" i="1"/>
  <c r="AE242" i="1"/>
  <c r="AF242" i="1"/>
  <c r="AG242" i="1"/>
  <c r="AH242" i="1"/>
  <c r="AI242" i="1"/>
  <c r="Q243" i="1"/>
  <c r="R243" i="1"/>
  <c r="S243" i="1"/>
  <c r="T243" i="1"/>
  <c r="U243" i="1"/>
  <c r="V243" i="1"/>
  <c r="W243" i="1"/>
  <c r="X243" i="1"/>
  <c r="Y243" i="1"/>
  <c r="Z243" i="1"/>
  <c r="AA243" i="1"/>
  <c r="AB243" i="1"/>
  <c r="AC243" i="1"/>
  <c r="AD243" i="1"/>
  <c r="AE243" i="1"/>
  <c r="AF243" i="1"/>
  <c r="AG243" i="1"/>
  <c r="AH243" i="1"/>
  <c r="AI243" i="1"/>
  <c r="Q244" i="1"/>
  <c r="R244" i="1"/>
  <c r="S244" i="1"/>
  <c r="T244" i="1"/>
  <c r="U244" i="1"/>
  <c r="V244" i="1"/>
  <c r="W244" i="1"/>
  <c r="X244" i="1"/>
  <c r="Y244" i="1"/>
  <c r="Z244" i="1"/>
  <c r="AA244" i="1"/>
  <c r="AB244" i="1"/>
  <c r="AC244" i="1"/>
  <c r="AD244" i="1"/>
  <c r="AE244" i="1"/>
  <c r="AF244" i="1"/>
  <c r="AG244" i="1"/>
  <c r="AH244" i="1"/>
  <c r="AI244" i="1"/>
  <c r="Q245" i="1"/>
  <c r="R245" i="1"/>
  <c r="S245" i="1"/>
  <c r="T245" i="1"/>
  <c r="U245" i="1"/>
  <c r="V245" i="1"/>
  <c r="W245" i="1"/>
  <c r="X245" i="1"/>
  <c r="Y245" i="1"/>
  <c r="Z245" i="1"/>
  <c r="AA245" i="1"/>
  <c r="AB245" i="1"/>
  <c r="AC245" i="1"/>
  <c r="AD245" i="1"/>
  <c r="AE245" i="1"/>
  <c r="AF245" i="1"/>
  <c r="AG245" i="1"/>
  <c r="AH245" i="1"/>
  <c r="AI245" i="1"/>
  <c r="Q246" i="1"/>
  <c r="R246" i="1"/>
  <c r="S246" i="1"/>
  <c r="T246" i="1"/>
  <c r="U246" i="1"/>
  <c r="V246" i="1"/>
  <c r="W246" i="1"/>
  <c r="X246" i="1"/>
  <c r="Y246" i="1"/>
  <c r="Z246" i="1"/>
  <c r="AA246" i="1"/>
  <c r="AB246" i="1"/>
  <c r="AC246" i="1"/>
  <c r="AD246" i="1"/>
  <c r="AE246" i="1"/>
  <c r="AF246" i="1"/>
  <c r="AG246" i="1"/>
  <c r="AH246" i="1"/>
  <c r="AI246" i="1"/>
  <c r="Q247" i="1"/>
  <c r="R247" i="1"/>
  <c r="S247" i="1"/>
  <c r="T247" i="1"/>
  <c r="U247" i="1"/>
  <c r="V247" i="1"/>
  <c r="W247" i="1"/>
  <c r="X247" i="1"/>
  <c r="Y247" i="1"/>
  <c r="Z247" i="1"/>
  <c r="AA247" i="1"/>
  <c r="AB247" i="1"/>
  <c r="AC247" i="1"/>
  <c r="AD247" i="1"/>
  <c r="AE247" i="1"/>
  <c r="AF247" i="1"/>
  <c r="AG247" i="1"/>
  <c r="AH247" i="1"/>
  <c r="AI247" i="1"/>
  <c r="Q248" i="1"/>
  <c r="R248" i="1"/>
  <c r="S248" i="1"/>
  <c r="T248" i="1"/>
  <c r="U248" i="1"/>
  <c r="V248" i="1"/>
  <c r="W248" i="1"/>
  <c r="X248" i="1"/>
  <c r="Y248" i="1"/>
  <c r="Z248" i="1"/>
  <c r="AA248" i="1"/>
  <c r="AB248" i="1"/>
  <c r="AC248" i="1"/>
  <c r="AD248" i="1"/>
  <c r="AE248" i="1"/>
  <c r="AF248" i="1"/>
  <c r="AG248" i="1"/>
  <c r="AH248" i="1"/>
  <c r="AI248" i="1"/>
  <c r="Q249" i="1"/>
  <c r="R249" i="1"/>
  <c r="S249" i="1"/>
  <c r="T249" i="1"/>
  <c r="U249" i="1"/>
  <c r="V249" i="1"/>
  <c r="W249" i="1"/>
  <c r="X249" i="1"/>
  <c r="Y249" i="1"/>
  <c r="Z249" i="1"/>
  <c r="AA249" i="1"/>
  <c r="AB249" i="1"/>
  <c r="AC249" i="1"/>
  <c r="AD249" i="1"/>
  <c r="AE249" i="1"/>
  <c r="AF249" i="1"/>
  <c r="AG249" i="1"/>
  <c r="AH249" i="1"/>
  <c r="AI249" i="1"/>
  <c r="Q250" i="1"/>
  <c r="R250" i="1"/>
  <c r="S250" i="1"/>
  <c r="T250" i="1"/>
  <c r="U250" i="1"/>
  <c r="V250" i="1"/>
  <c r="W250" i="1"/>
  <c r="X250" i="1"/>
  <c r="Y250" i="1"/>
  <c r="Z250" i="1"/>
  <c r="AA250" i="1"/>
  <c r="AB250" i="1"/>
  <c r="AC250" i="1"/>
  <c r="AD250" i="1"/>
  <c r="AE250" i="1"/>
  <c r="AF250" i="1"/>
  <c r="AG250" i="1"/>
  <c r="AH250" i="1"/>
  <c r="AI250" i="1"/>
  <c r="Q251" i="1"/>
  <c r="R251" i="1"/>
  <c r="S251" i="1"/>
  <c r="T251" i="1"/>
  <c r="U251" i="1"/>
  <c r="V251" i="1"/>
  <c r="W251" i="1"/>
  <c r="X251" i="1"/>
  <c r="Y251" i="1"/>
  <c r="Z251" i="1"/>
  <c r="AA251" i="1"/>
  <c r="AB251" i="1"/>
  <c r="AC251" i="1"/>
  <c r="AD251" i="1"/>
  <c r="AE251" i="1"/>
  <c r="AF251" i="1"/>
  <c r="AG251" i="1"/>
  <c r="AH251" i="1"/>
  <c r="AI251" i="1"/>
  <c r="Q252" i="1"/>
  <c r="R252" i="1"/>
  <c r="S252" i="1"/>
  <c r="T252" i="1"/>
  <c r="U252" i="1"/>
  <c r="V252" i="1"/>
  <c r="W252" i="1"/>
  <c r="X252" i="1"/>
  <c r="Y252" i="1"/>
  <c r="Z252" i="1"/>
  <c r="AA252" i="1"/>
  <c r="AB252" i="1"/>
  <c r="AC252" i="1"/>
  <c r="AD252" i="1"/>
  <c r="AE252" i="1"/>
  <c r="AF252" i="1"/>
  <c r="AG252" i="1"/>
  <c r="AH252" i="1"/>
  <c r="AI252" i="1"/>
  <c r="Q253" i="1"/>
  <c r="R253" i="1"/>
  <c r="S253" i="1"/>
  <c r="T253" i="1"/>
  <c r="U253" i="1"/>
  <c r="V253" i="1"/>
  <c r="W253" i="1"/>
  <c r="X253" i="1"/>
  <c r="Y253" i="1"/>
  <c r="Z253" i="1"/>
  <c r="AA253" i="1"/>
  <c r="AB253" i="1"/>
  <c r="AC253" i="1"/>
  <c r="AD253" i="1"/>
  <c r="AE253" i="1"/>
  <c r="AF253" i="1"/>
  <c r="AG253" i="1"/>
  <c r="AH253" i="1"/>
  <c r="AI253" i="1"/>
  <c r="Q254" i="1"/>
  <c r="R254" i="1"/>
  <c r="S254" i="1"/>
  <c r="T254" i="1"/>
  <c r="U254" i="1"/>
  <c r="V254" i="1"/>
  <c r="W254" i="1"/>
  <c r="X254" i="1"/>
  <c r="Y254" i="1"/>
  <c r="Z254" i="1"/>
  <c r="AA254" i="1"/>
  <c r="AB254" i="1"/>
  <c r="AC254" i="1"/>
  <c r="AD254" i="1"/>
  <c r="AE254" i="1"/>
  <c r="AF254" i="1"/>
  <c r="AG254" i="1"/>
  <c r="AH254" i="1"/>
  <c r="AI254" i="1"/>
  <c r="Q255" i="1"/>
  <c r="R255" i="1"/>
  <c r="S255" i="1"/>
  <c r="T255" i="1"/>
  <c r="U255" i="1"/>
  <c r="V255" i="1"/>
  <c r="W255" i="1"/>
  <c r="X255" i="1"/>
  <c r="Y255" i="1"/>
  <c r="Z255" i="1"/>
  <c r="AA255" i="1"/>
  <c r="AB255" i="1"/>
  <c r="AC255" i="1"/>
  <c r="AD255" i="1"/>
  <c r="AE255" i="1"/>
  <c r="AF255" i="1"/>
  <c r="AG255" i="1"/>
  <c r="AH255" i="1"/>
  <c r="AI255" i="1"/>
  <c r="Q256" i="1"/>
  <c r="R256" i="1"/>
  <c r="S256" i="1"/>
  <c r="T256" i="1"/>
  <c r="U256" i="1"/>
  <c r="V256" i="1"/>
  <c r="W256" i="1"/>
  <c r="X256" i="1"/>
  <c r="Y256" i="1"/>
  <c r="Z256" i="1"/>
  <c r="AA256" i="1"/>
  <c r="AB256" i="1"/>
  <c r="AC256" i="1"/>
  <c r="AD256" i="1"/>
  <c r="AE256" i="1"/>
  <c r="AF256" i="1"/>
  <c r="AG256" i="1"/>
  <c r="AH256" i="1"/>
  <c r="AI256" i="1"/>
  <c r="Q257" i="1"/>
  <c r="R257" i="1"/>
  <c r="S257" i="1"/>
  <c r="T257" i="1"/>
  <c r="U257" i="1"/>
  <c r="V257" i="1"/>
  <c r="W257" i="1"/>
  <c r="X257" i="1"/>
  <c r="Y257" i="1"/>
  <c r="Z257" i="1"/>
  <c r="AA257" i="1"/>
  <c r="AB257" i="1"/>
  <c r="AC257" i="1"/>
  <c r="AD257" i="1"/>
  <c r="AE257" i="1"/>
  <c r="AF257" i="1"/>
  <c r="AG257" i="1"/>
  <c r="AH257" i="1"/>
  <c r="AI257" i="1"/>
  <c r="Q258" i="1"/>
  <c r="R258" i="1"/>
  <c r="S258" i="1"/>
  <c r="T258" i="1"/>
  <c r="U258" i="1"/>
  <c r="V258" i="1"/>
  <c r="W258" i="1"/>
  <c r="X258" i="1"/>
  <c r="Y258" i="1"/>
  <c r="Z258" i="1"/>
  <c r="AA258" i="1"/>
  <c r="AB258" i="1"/>
  <c r="AC258" i="1"/>
  <c r="AD258" i="1"/>
  <c r="AE258" i="1"/>
  <c r="AF258" i="1"/>
  <c r="AG258" i="1"/>
  <c r="AH258" i="1"/>
  <c r="AI258" i="1"/>
  <c r="Q259" i="1"/>
  <c r="R259" i="1"/>
  <c r="S259" i="1"/>
  <c r="T259" i="1"/>
  <c r="U259" i="1"/>
  <c r="V259" i="1"/>
  <c r="W259" i="1"/>
  <c r="X259" i="1"/>
  <c r="Y259" i="1"/>
  <c r="Z259" i="1"/>
  <c r="AA259" i="1"/>
  <c r="AB259" i="1"/>
  <c r="AC259" i="1"/>
  <c r="AD259" i="1"/>
  <c r="AE259" i="1"/>
  <c r="AF259" i="1"/>
  <c r="AG259" i="1"/>
  <c r="AH259" i="1"/>
  <c r="AI259" i="1"/>
  <c r="Q260" i="1"/>
  <c r="R260" i="1"/>
  <c r="S260" i="1"/>
  <c r="T260" i="1"/>
  <c r="U260" i="1"/>
  <c r="V260" i="1"/>
  <c r="W260" i="1"/>
  <c r="X260" i="1"/>
  <c r="Y260" i="1"/>
  <c r="Z260" i="1"/>
  <c r="AA260" i="1"/>
  <c r="AB260" i="1"/>
  <c r="AC260" i="1"/>
  <c r="AD260" i="1"/>
  <c r="AE260" i="1"/>
  <c r="AF260" i="1"/>
  <c r="AG260" i="1"/>
  <c r="AH260" i="1"/>
  <c r="AI260" i="1"/>
  <c r="Q261" i="1"/>
  <c r="R261" i="1"/>
  <c r="S261" i="1"/>
  <c r="T261" i="1"/>
  <c r="U261" i="1"/>
  <c r="V261" i="1"/>
  <c r="W261" i="1"/>
  <c r="X261" i="1"/>
  <c r="Y261" i="1"/>
  <c r="Z261" i="1"/>
  <c r="AA261" i="1"/>
  <c r="AB261" i="1"/>
  <c r="AC261" i="1"/>
  <c r="AD261" i="1"/>
  <c r="AE261" i="1"/>
  <c r="AF261" i="1"/>
  <c r="AG261" i="1"/>
  <c r="AH261" i="1"/>
  <c r="AI261" i="1"/>
  <c r="Q262" i="1"/>
  <c r="R262" i="1"/>
  <c r="S262" i="1"/>
  <c r="T262" i="1"/>
  <c r="U262" i="1"/>
  <c r="V262" i="1"/>
  <c r="W262" i="1"/>
  <c r="X262" i="1"/>
  <c r="Y262" i="1"/>
  <c r="Z262" i="1"/>
  <c r="AA262" i="1"/>
  <c r="AB262" i="1"/>
  <c r="AC262" i="1"/>
  <c r="AD262" i="1"/>
  <c r="AE262" i="1"/>
  <c r="AF262" i="1"/>
  <c r="AG262" i="1"/>
  <c r="AH262" i="1"/>
  <c r="AI262" i="1"/>
  <c r="Q263" i="1"/>
  <c r="R263" i="1"/>
  <c r="S263" i="1"/>
  <c r="T263" i="1"/>
  <c r="U263" i="1"/>
  <c r="V263" i="1"/>
  <c r="W263" i="1"/>
  <c r="X263" i="1"/>
  <c r="Y263" i="1"/>
  <c r="Z263" i="1"/>
  <c r="AA263" i="1"/>
  <c r="AB263" i="1"/>
  <c r="AC263" i="1"/>
  <c r="AD263" i="1"/>
  <c r="AE263" i="1"/>
  <c r="AF263" i="1"/>
  <c r="AG263" i="1"/>
  <c r="AH263" i="1"/>
  <c r="AI263" i="1"/>
  <c r="Q264" i="1"/>
  <c r="R264" i="1"/>
  <c r="S264" i="1"/>
  <c r="T264" i="1"/>
  <c r="U264" i="1"/>
  <c r="V264" i="1"/>
  <c r="W264" i="1"/>
  <c r="X264" i="1"/>
  <c r="Y264" i="1"/>
  <c r="Z264" i="1"/>
  <c r="AA264" i="1"/>
  <c r="AB264" i="1"/>
  <c r="AC264" i="1"/>
  <c r="AD264" i="1"/>
  <c r="AE264" i="1"/>
  <c r="AF264" i="1"/>
  <c r="AG264" i="1"/>
  <c r="AH264" i="1"/>
  <c r="AI264" i="1"/>
  <c r="Q265" i="1"/>
  <c r="R265" i="1"/>
  <c r="S265" i="1"/>
  <c r="T265" i="1"/>
  <c r="U265" i="1"/>
  <c r="V265" i="1"/>
  <c r="W265" i="1"/>
  <c r="X265" i="1"/>
  <c r="Y265" i="1"/>
  <c r="Z265" i="1"/>
  <c r="AA265" i="1"/>
  <c r="AB265" i="1"/>
  <c r="AC265" i="1"/>
  <c r="AD265" i="1"/>
  <c r="AE265" i="1"/>
  <c r="AF265" i="1"/>
  <c r="AG265" i="1"/>
  <c r="AH265" i="1"/>
  <c r="AI265" i="1"/>
  <c r="Q266" i="1"/>
  <c r="R266" i="1"/>
  <c r="S266" i="1"/>
  <c r="T266" i="1"/>
  <c r="U266" i="1"/>
  <c r="V266" i="1"/>
  <c r="W266" i="1"/>
  <c r="X266" i="1"/>
  <c r="Y266" i="1"/>
  <c r="Z266" i="1"/>
  <c r="AA266" i="1"/>
  <c r="AB266" i="1"/>
  <c r="AC266" i="1"/>
  <c r="AD266" i="1"/>
  <c r="AE266" i="1"/>
  <c r="AF266" i="1"/>
  <c r="AG266" i="1"/>
  <c r="AH266" i="1"/>
  <c r="AI266" i="1"/>
  <c r="Q267" i="1"/>
  <c r="R267" i="1"/>
  <c r="S267" i="1"/>
  <c r="T267" i="1"/>
  <c r="U267" i="1"/>
  <c r="V267" i="1"/>
  <c r="W267" i="1"/>
  <c r="X267" i="1"/>
  <c r="Y267" i="1"/>
  <c r="Z267" i="1"/>
  <c r="AA267" i="1"/>
  <c r="AB267" i="1"/>
  <c r="AC267" i="1"/>
  <c r="AD267" i="1"/>
  <c r="AE267" i="1"/>
  <c r="AF267" i="1"/>
  <c r="AG267" i="1"/>
  <c r="AH267" i="1"/>
  <c r="AI267" i="1"/>
  <c r="Q268" i="1"/>
  <c r="R268" i="1"/>
  <c r="S268" i="1"/>
  <c r="T268" i="1"/>
  <c r="U268" i="1"/>
  <c r="V268" i="1"/>
  <c r="W268" i="1"/>
  <c r="X268" i="1"/>
  <c r="Y268" i="1"/>
  <c r="Z268" i="1"/>
  <c r="AA268" i="1"/>
  <c r="AB268" i="1"/>
  <c r="AC268" i="1"/>
  <c r="AD268" i="1"/>
  <c r="AE268" i="1"/>
  <c r="AF268" i="1"/>
  <c r="AG268" i="1"/>
  <c r="AH268" i="1"/>
  <c r="AI268" i="1"/>
  <c r="Q269" i="1"/>
  <c r="R269" i="1"/>
  <c r="S269" i="1"/>
  <c r="T269" i="1"/>
  <c r="U269" i="1"/>
  <c r="V269" i="1"/>
  <c r="W269" i="1"/>
  <c r="X269" i="1"/>
  <c r="Y269" i="1"/>
  <c r="Z269" i="1"/>
  <c r="AA269" i="1"/>
  <c r="AB269" i="1"/>
  <c r="AC269" i="1"/>
  <c r="AD269" i="1"/>
  <c r="AE269" i="1"/>
  <c r="AF269" i="1"/>
  <c r="AG269" i="1"/>
  <c r="AH269" i="1"/>
  <c r="AI269" i="1"/>
  <c r="Q270" i="1"/>
  <c r="R270" i="1"/>
  <c r="S270" i="1"/>
  <c r="T270" i="1"/>
  <c r="U270" i="1"/>
  <c r="V270" i="1"/>
  <c r="W270" i="1"/>
  <c r="X270" i="1"/>
  <c r="Y270" i="1"/>
  <c r="Z270" i="1"/>
  <c r="AA270" i="1"/>
  <c r="AB270" i="1"/>
  <c r="AC270" i="1"/>
  <c r="AD270" i="1"/>
  <c r="AE270" i="1"/>
  <c r="AF270" i="1"/>
  <c r="AG270" i="1"/>
  <c r="AH270" i="1"/>
  <c r="AI270" i="1"/>
  <c r="Q271" i="1"/>
  <c r="R271" i="1"/>
  <c r="S271" i="1"/>
  <c r="T271" i="1"/>
  <c r="U271" i="1"/>
  <c r="V271" i="1"/>
  <c r="W271" i="1"/>
  <c r="X271" i="1"/>
  <c r="Y271" i="1"/>
  <c r="Z271" i="1"/>
  <c r="AA271" i="1"/>
  <c r="AB271" i="1"/>
  <c r="AC271" i="1"/>
  <c r="AD271" i="1"/>
  <c r="AE271" i="1"/>
  <c r="AF271" i="1"/>
  <c r="AG271" i="1"/>
  <c r="AH271" i="1"/>
  <c r="AI271" i="1"/>
  <c r="Q272" i="1"/>
  <c r="R272" i="1"/>
  <c r="S272" i="1"/>
  <c r="T272" i="1"/>
  <c r="U272" i="1"/>
  <c r="V272" i="1"/>
  <c r="W272" i="1"/>
  <c r="X272" i="1"/>
  <c r="Y272" i="1"/>
  <c r="Z272" i="1"/>
  <c r="AA272" i="1"/>
  <c r="AB272" i="1"/>
  <c r="AC272" i="1"/>
  <c r="AD272" i="1"/>
  <c r="AE272" i="1"/>
  <c r="AF272" i="1"/>
  <c r="AG272" i="1"/>
  <c r="AH272" i="1"/>
  <c r="AI272" i="1"/>
  <c r="Q273" i="1"/>
  <c r="R273" i="1"/>
  <c r="S273" i="1"/>
  <c r="T273" i="1"/>
  <c r="U273" i="1"/>
  <c r="V273" i="1"/>
  <c r="W273" i="1"/>
  <c r="X273" i="1"/>
  <c r="Y273" i="1"/>
  <c r="Z273" i="1"/>
  <c r="AA273" i="1"/>
  <c r="AB273" i="1"/>
  <c r="AC273" i="1"/>
  <c r="AD273" i="1"/>
  <c r="AE273" i="1"/>
  <c r="AF273" i="1"/>
  <c r="AG273" i="1"/>
  <c r="AH273" i="1"/>
  <c r="AI273" i="1"/>
  <c r="Q274" i="1"/>
  <c r="R274" i="1"/>
  <c r="S274" i="1"/>
  <c r="T274" i="1"/>
  <c r="U274" i="1"/>
  <c r="V274" i="1"/>
  <c r="W274" i="1"/>
  <c r="X274" i="1"/>
  <c r="Y274" i="1"/>
  <c r="Z274" i="1"/>
  <c r="AA274" i="1"/>
  <c r="AB274" i="1"/>
  <c r="AC274" i="1"/>
  <c r="AD274" i="1"/>
  <c r="AE274" i="1"/>
  <c r="AF274" i="1"/>
  <c r="AG274" i="1"/>
  <c r="AH274" i="1"/>
  <c r="AI274" i="1"/>
  <c r="Q275" i="1"/>
  <c r="R275" i="1"/>
  <c r="S275" i="1"/>
  <c r="T275" i="1"/>
  <c r="U275" i="1"/>
  <c r="V275" i="1"/>
  <c r="W275" i="1"/>
  <c r="X275" i="1"/>
  <c r="Y275" i="1"/>
  <c r="Z275" i="1"/>
  <c r="AA275" i="1"/>
  <c r="AB275" i="1"/>
  <c r="AC275" i="1"/>
  <c r="AD275" i="1"/>
  <c r="AE275" i="1"/>
  <c r="AF275" i="1"/>
  <c r="AG275" i="1"/>
  <c r="AH275" i="1"/>
  <c r="AI275" i="1"/>
  <c r="Q276" i="1"/>
  <c r="R276" i="1"/>
  <c r="S276" i="1"/>
  <c r="T276" i="1"/>
  <c r="U276" i="1"/>
  <c r="V276" i="1"/>
  <c r="W276" i="1"/>
  <c r="X276" i="1"/>
  <c r="Y276" i="1"/>
  <c r="Z276" i="1"/>
  <c r="AA276" i="1"/>
  <c r="AB276" i="1"/>
  <c r="AC276" i="1"/>
  <c r="AD276" i="1"/>
  <c r="AE276" i="1"/>
  <c r="AF276" i="1"/>
  <c r="AG276" i="1"/>
  <c r="AH276" i="1"/>
  <c r="AI276" i="1"/>
  <c r="Q277" i="1"/>
  <c r="R277" i="1"/>
  <c r="S277" i="1"/>
  <c r="T277" i="1"/>
  <c r="U277" i="1"/>
  <c r="V277" i="1"/>
  <c r="W277" i="1"/>
  <c r="X277" i="1"/>
  <c r="Y277" i="1"/>
  <c r="Z277" i="1"/>
  <c r="AA277" i="1"/>
  <c r="AB277" i="1"/>
  <c r="AC277" i="1"/>
  <c r="AD277" i="1"/>
  <c r="AE277" i="1"/>
  <c r="AF277" i="1"/>
  <c r="AG277" i="1"/>
  <c r="AH277" i="1"/>
  <c r="AI277" i="1"/>
  <c r="Q278" i="1"/>
  <c r="R278" i="1"/>
  <c r="S278" i="1"/>
  <c r="T278" i="1"/>
  <c r="U278" i="1"/>
  <c r="V278" i="1"/>
  <c r="W278" i="1"/>
  <c r="X278" i="1"/>
  <c r="Y278" i="1"/>
  <c r="Z278" i="1"/>
  <c r="AA278" i="1"/>
  <c r="AB278" i="1"/>
  <c r="AC278" i="1"/>
  <c r="AD278" i="1"/>
  <c r="AE278" i="1"/>
  <c r="AF278" i="1"/>
  <c r="AG278" i="1"/>
  <c r="AH278" i="1"/>
  <c r="AI278" i="1"/>
  <c r="Q279" i="1"/>
  <c r="R279" i="1"/>
  <c r="S279" i="1"/>
  <c r="T279" i="1"/>
  <c r="U279" i="1"/>
  <c r="V279" i="1"/>
  <c r="W279" i="1"/>
  <c r="X279" i="1"/>
  <c r="Y279" i="1"/>
  <c r="Z279" i="1"/>
  <c r="AA279" i="1"/>
  <c r="AB279" i="1"/>
  <c r="AC279" i="1"/>
  <c r="AD279" i="1"/>
  <c r="AE279" i="1"/>
  <c r="AF279" i="1"/>
  <c r="AG279" i="1"/>
  <c r="AH279" i="1"/>
  <c r="AI279" i="1"/>
  <c r="Q280" i="1"/>
  <c r="R280" i="1"/>
  <c r="S280" i="1"/>
  <c r="T280" i="1"/>
  <c r="U280" i="1"/>
  <c r="V280" i="1"/>
  <c r="W280" i="1"/>
  <c r="X280" i="1"/>
  <c r="Y280" i="1"/>
  <c r="Z280" i="1"/>
  <c r="AA280" i="1"/>
  <c r="AB280" i="1"/>
  <c r="AC280" i="1"/>
  <c r="AD280" i="1"/>
  <c r="AE280" i="1"/>
  <c r="AF280" i="1"/>
  <c r="AG280" i="1"/>
  <c r="AH280" i="1"/>
  <c r="AI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80" i="1"/>
  <c r="T6" i="1"/>
  <c r="T7" i="1" s="1"/>
  <c r="U6" i="1"/>
  <c r="V6" i="1"/>
  <c r="W6" i="1"/>
  <c r="X6" i="1"/>
  <c r="Y6" i="1"/>
  <c r="Y7" i="1" s="1"/>
  <c r="Z6" i="1"/>
  <c r="Z7" i="1" s="1"/>
  <c r="AA6" i="1"/>
  <c r="AA7" i="1" s="1"/>
  <c r="AB6" i="1"/>
  <c r="AC7" i="1" s="1"/>
  <c r="AC6" i="1"/>
  <c r="AD6" i="1"/>
  <c r="AE6" i="1"/>
  <c r="AF6" i="1"/>
  <c r="AG6" i="1"/>
  <c r="AH7" i="1" s="1"/>
  <c r="AH6" i="1"/>
  <c r="AI6" i="1"/>
  <c r="AI7" i="1" s="1"/>
  <c r="X7" i="1"/>
  <c r="AE7" i="1"/>
  <c r="AF7" i="1"/>
  <c r="T8" i="1"/>
  <c r="U8" i="1"/>
  <c r="V8" i="1"/>
  <c r="W8" i="1"/>
  <c r="X8" i="1"/>
  <c r="X9" i="1" s="1"/>
  <c r="Y8" i="1"/>
  <c r="Z8" i="1"/>
  <c r="AA9" i="1" s="1"/>
  <c r="AA8" i="1"/>
  <c r="AB8" i="1"/>
  <c r="AB9" i="1" s="1"/>
  <c r="AC8" i="1"/>
  <c r="AC9" i="1" s="1"/>
  <c r="AD8" i="1"/>
  <c r="AE9" i="1" s="1"/>
  <c r="AE8" i="1"/>
  <c r="AF8" i="1"/>
  <c r="AF9" i="1" s="1"/>
  <c r="AG8" i="1"/>
  <c r="AH8" i="1"/>
  <c r="AI8" i="1"/>
  <c r="AI9" i="1" s="1"/>
  <c r="U9" i="1"/>
  <c r="T111" i="1"/>
  <c r="U111" i="1"/>
  <c r="V111" i="1"/>
  <c r="W111" i="1"/>
  <c r="X111" i="1"/>
  <c r="Y111" i="1"/>
  <c r="Z111" i="1"/>
  <c r="AA111" i="1"/>
  <c r="AB111" i="1"/>
  <c r="AC111" i="1"/>
  <c r="AD111" i="1"/>
  <c r="AE111" i="1"/>
  <c r="AF111" i="1"/>
  <c r="AG111" i="1"/>
  <c r="AH111" i="1"/>
  <c r="AI111" i="1"/>
  <c r="T211" i="1"/>
  <c r="U211" i="1"/>
  <c r="V211" i="1"/>
  <c r="W211" i="1"/>
  <c r="X211" i="1"/>
  <c r="Y211" i="1"/>
  <c r="Z211" i="1"/>
  <c r="AA211" i="1"/>
  <c r="AB211" i="1"/>
  <c r="AC211" i="1"/>
  <c r="AD211" i="1"/>
  <c r="AE211" i="1"/>
  <c r="AF211" i="1"/>
  <c r="AG211" i="1"/>
  <c r="AH211" i="1"/>
  <c r="AI211" i="1"/>
  <c r="D6" i="1"/>
  <c r="E6" i="1"/>
  <c r="E7" i="1" s="1"/>
  <c r="F6" i="1"/>
  <c r="G6" i="1"/>
  <c r="H6" i="1"/>
  <c r="H7" i="1" s="1"/>
  <c r="I6" i="1"/>
  <c r="J6" i="1"/>
  <c r="K6" i="1"/>
  <c r="L6" i="1"/>
  <c r="M6" i="1"/>
  <c r="M7" i="1" s="1"/>
  <c r="N6" i="1"/>
  <c r="O6" i="1"/>
  <c r="P6" i="1"/>
  <c r="P7" i="1" s="1"/>
  <c r="Q6" i="1"/>
  <c r="R6" i="1"/>
  <c r="S6" i="1"/>
  <c r="S7" i="1" s="1"/>
  <c r="K7" i="1"/>
  <c r="D8" i="1"/>
  <c r="E8" i="1"/>
  <c r="E9" i="1" s="1"/>
  <c r="F8" i="1"/>
  <c r="G9" i="1" s="1"/>
  <c r="G8" i="1"/>
  <c r="H8" i="1"/>
  <c r="I8" i="1"/>
  <c r="J8" i="1"/>
  <c r="K8" i="1"/>
  <c r="K9" i="1" s="1"/>
  <c r="L8" i="1"/>
  <c r="M8" i="1"/>
  <c r="N8" i="1"/>
  <c r="N9" i="1" s="1"/>
  <c r="O8" i="1"/>
  <c r="P8" i="1"/>
  <c r="Q8" i="1"/>
  <c r="R8" i="1"/>
  <c r="S8" i="1"/>
  <c r="T9" i="1" s="1"/>
  <c r="C6" i="1"/>
  <c r="D7" i="1" s="1"/>
  <c r="C8" i="1"/>
  <c r="C9" i="1" s="1"/>
  <c r="B8" i="1"/>
  <c r="B6" i="1"/>
  <c r="C211" i="1"/>
  <c r="D211" i="1"/>
  <c r="E211" i="1"/>
  <c r="F211" i="1"/>
  <c r="G211" i="1"/>
  <c r="H211" i="1"/>
  <c r="I211" i="1"/>
  <c r="J211" i="1"/>
  <c r="K211" i="1"/>
  <c r="L211" i="1"/>
  <c r="M211" i="1"/>
  <c r="N211" i="1"/>
  <c r="O211" i="1"/>
  <c r="P211" i="1"/>
  <c r="Q211" i="1"/>
  <c r="R211" i="1"/>
  <c r="S211" i="1"/>
  <c r="B211" i="1"/>
  <c r="C111" i="1"/>
  <c r="D111" i="1"/>
  <c r="E111" i="1"/>
  <c r="F111" i="1"/>
  <c r="G111" i="1"/>
  <c r="H111" i="1"/>
  <c r="I111" i="1"/>
  <c r="J111" i="1"/>
  <c r="K111" i="1"/>
  <c r="L111" i="1"/>
  <c r="M111" i="1"/>
  <c r="N111" i="1"/>
  <c r="O111" i="1"/>
  <c r="P111" i="1"/>
  <c r="Q111" i="1"/>
  <c r="R111" i="1"/>
  <c r="S111" i="1"/>
  <c r="B111"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1"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1"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 i="1"/>
  <c r="A9" i="1"/>
  <c r="O163" i="41" l="1"/>
  <c r="P234" i="41"/>
  <c r="Q234" i="41" s="1"/>
  <c r="R234" i="41" s="1"/>
  <c r="S234" i="41" s="1"/>
  <c r="N82" i="41"/>
  <c r="N60" i="41"/>
  <c r="N61" i="41"/>
  <c r="O162" i="41"/>
  <c r="O164" i="41" s="1"/>
  <c r="N66" i="41"/>
  <c r="N7" i="41"/>
  <c r="N8" i="41" s="1"/>
  <c r="O161" i="41"/>
  <c r="R281" i="1"/>
  <c r="AC10" i="1"/>
  <c r="U10" i="1"/>
  <c r="O182" i="36"/>
  <c r="AB10" i="1"/>
  <c r="T10" i="1"/>
  <c r="O190" i="36"/>
  <c r="P9" i="1"/>
  <c r="H9" i="1"/>
  <c r="AD7" i="1"/>
  <c r="V7" i="1"/>
  <c r="AI10" i="1"/>
  <c r="AI11" i="1" s="1"/>
  <c r="AA10" i="1"/>
  <c r="S10" i="1"/>
  <c r="O185" i="36"/>
  <c r="O184" i="36"/>
  <c r="V10" i="1"/>
  <c r="V9" i="1"/>
  <c r="AH10" i="1"/>
  <c r="AH12" i="1" s="1"/>
  <c r="Z10" i="1"/>
  <c r="Z12" i="1" s="1"/>
  <c r="R10" i="1"/>
  <c r="O18" i="36"/>
  <c r="AG7" i="1"/>
  <c r="AG10" i="1"/>
  <c r="Y10" i="1"/>
  <c r="Q10" i="1"/>
  <c r="R11" i="1" s="1"/>
  <c r="R351" i="1"/>
  <c r="O21" i="36"/>
  <c r="AD10" i="1"/>
  <c r="N7" i="1"/>
  <c r="G7" i="1"/>
  <c r="P10" i="1"/>
  <c r="P12" i="1" s="1"/>
  <c r="AH281" i="1"/>
  <c r="Z281" i="1"/>
  <c r="AE10" i="1"/>
  <c r="AE11" i="1" s="1"/>
  <c r="W10" i="1"/>
  <c r="W12" i="1" s="1"/>
  <c r="AH351" i="1"/>
  <c r="AA301" i="2"/>
  <c r="AA298" i="2"/>
  <c r="AA302" i="2"/>
  <c r="AA259" i="2"/>
  <c r="AA283" i="2"/>
  <c r="AA299" i="2"/>
  <c r="AA300" i="2"/>
  <c r="AA269" i="2"/>
  <c r="AA285" i="2"/>
  <c r="AA274" i="2"/>
  <c r="AA286" i="2"/>
  <c r="AA264" i="2"/>
  <c r="AA284" i="2"/>
  <c r="M139" i="4"/>
  <c r="AA303" i="2"/>
  <c r="AA254" i="2"/>
  <c r="AA256" i="2"/>
  <c r="AA214" i="2"/>
  <c r="AA238" i="2"/>
  <c r="AA229" i="2"/>
  <c r="AA241" i="2"/>
  <c r="AA219" i="2"/>
  <c r="AA239" i="2"/>
  <c r="AA257" i="2"/>
  <c r="AA255" i="2"/>
  <c r="AA253" i="2"/>
  <c r="AA258" i="2"/>
  <c r="AA224" i="2"/>
  <c r="AA240" i="2"/>
  <c r="AA277" i="2"/>
  <c r="AA279" i="2"/>
  <c r="AA280" i="2"/>
  <c r="AA282" i="2"/>
  <c r="AA281" i="2"/>
  <c r="AA237" i="2"/>
  <c r="AA236" i="2"/>
  <c r="AA235" i="2"/>
  <c r="AA232" i="2"/>
  <c r="AA234" i="2"/>
  <c r="M69" i="4"/>
  <c r="AB201" i="2"/>
  <c r="AB130" i="2"/>
  <c r="AB81" i="2"/>
  <c r="AB82" i="2"/>
  <c r="AA250" i="2"/>
  <c r="AA251" i="2"/>
  <c r="AA245" i="2"/>
  <c r="AA297" i="2"/>
  <c r="AA293" i="2"/>
  <c r="M40" i="4"/>
  <c r="AA248" i="2"/>
  <c r="AA252" i="2"/>
  <c r="AA305" i="2"/>
  <c r="AA246" i="2"/>
  <c r="AA242" i="2"/>
  <c r="M14" i="4"/>
  <c r="AA291" i="2"/>
  <c r="AA296" i="2"/>
  <c r="AA243" i="2"/>
  <c r="AA295" i="2"/>
  <c r="AA288" i="2"/>
  <c r="AA247" i="2"/>
  <c r="AA294" i="2"/>
  <c r="AA304" i="2"/>
  <c r="AA287" i="2"/>
  <c r="AA292" i="2"/>
  <c r="AA290" i="2"/>
  <c r="AA244" i="2"/>
  <c r="AA289" i="2"/>
  <c r="AA249" i="2"/>
  <c r="M93" i="4"/>
  <c r="M23" i="4"/>
  <c r="M53" i="4"/>
  <c r="M31" i="4"/>
  <c r="M24" i="4"/>
  <c r="M44" i="4"/>
  <c r="M94" i="4"/>
  <c r="M103" i="4"/>
  <c r="M72" i="4"/>
  <c r="M100" i="4"/>
  <c r="M140" i="4"/>
  <c r="M86" i="4"/>
  <c r="M137" i="4"/>
  <c r="M83" i="4"/>
  <c r="M114" i="4"/>
  <c r="M106" i="4"/>
  <c r="M74" i="4"/>
  <c r="M91" i="4"/>
  <c r="M20" i="4"/>
  <c r="M73" i="4"/>
  <c r="M109" i="4"/>
  <c r="M127" i="4"/>
  <c r="M142" i="4"/>
  <c r="M141" i="4"/>
  <c r="M37" i="4"/>
  <c r="M48" i="4"/>
  <c r="M38" i="4"/>
  <c r="M32" i="4"/>
  <c r="M68" i="4"/>
  <c r="M34" i="4"/>
  <c r="M126" i="4"/>
  <c r="M97" i="4"/>
  <c r="M143" i="4"/>
  <c r="M26" i="4"/>
  <c r="AB162" i="2"/>
  <c r="AB27" i="2"/>
  <c r="AB226" i="2" s="1"/>
  <c r="AB160" i="2"/>
  <c r="AB101" i="2"/>
  <c r="AB137" i="2"/>
  <c r="AB179" i="2"/>
  <c r="AB128" i="2"/>
  <c r="AB272" i="2" s="1"/>
  <c r="AB76" i="2"/>
  <c r="AB83" i="2"/>
  <c r="AB67" i="2"/>
  <c r="M98" i="4"/>
  <c r="AB122" i="2"/>
  <c r="AB266" i="2" s="1"/>
  <c r="AB163" i="2"/>
  <c r="AB85" i="2"/>
  <c r="AB161" i="2"/>
  <c r="AB24" i="2"/>
  <c r="AB223" i="2" s="1"/>
  <c r="AB134" i="2"/>
  <c r="AB278" i="2" s="1"/>
  <c r="AB146" i="2"/>
  <c r="M63" i="4"/>
  <c r="G5" i="4"/>
  <c r="AB199" i="2"/>
  <c r="AB154" i="2"/>
  <c r="AB66" i="2"/>
  <c r="AB20" i="2"/>
  <c r="M17" i="4"/>
  <c r="M110" i="4"/>
  <c r="M55" i="4"/>
  <c r="AB19" i="2"/>
  <c r="AB218" i="2" s="1"/>
  <c r="AB90" i="2"/>
  <c r="AB23" i="2"/>
  <c r="AB222" i="2" s="1"/>
  <c r="M47" i="4"/>
  <c r="M135" i="4"/>
  <c r="AB197" i="2"/>
  <c r="AB127" i="2"/>
  <c r="AB271" i="2" s="1"/>
  <c r="AB186" i="2"/>
  <c r="AB172" i="2"/>
  <c r="M117" i="4"/>
  <c r="M43" i="4"/>
  <c r="AB149" i="2"/>
  <c r="AB21" i="2"/>
  <c r="AB220" i="2" s="1"/>
  <c r="AB28" i="2"/>
  <c r="AB227" i="2" s="1"/>
  <c r="AB18" i="2"/>
  <c r="AB217" i="2" s="1"/>
  <c r="AB165" i="2"/>
  <c r="AB169" i="2"/>
  <c r="AB99" i="2"/>
  <c r="AB78" i="2"/>
  <c r="AB109" i="2"/>
  <c r="AB131" i="2"/>
  <c r="AB275" i="2" s="1"/>
  <c r="M105" i="4"/>
  <c r="M134" i="4"/>
  <c r="M64" i="4"/>
  <c r="M101" i="4"/>
  <c r="AD12" i="1"/>
  <c r="AD11" i="1"/>
  <c r="V11" i="1"/>
  <c r="V12" i="1"/>
  <c r="AC12" i="1"/>
  <c r="AC11" i="1"/>
  <c r="U11" i="1"/>
  <c r="U12" i="1"/>
  <c r="T12" i="1"/>
  <c r="T11" i="1"/>
  <c r="AB12" i="1"/>
  <c r="AB11" i="1"/>
  <c r="AA12" i="1"/>
  <c r="AA11" i="1"/>
  <c r="S12" i="1"/>
  <c r="S11" i="1"/>
  <c r="R12" i="1"/>
  <c r="F7" i="1"/>
  <c r="AD9" i="1"/>
  <c r="AG281" i="1"/>
  <c r="Y281" i="1"/>
  <c r="Q281" i="1"/>
  <c r="M11" i="4"/>
  <c r="M88" i="4"/>
  <c r="L10" i="4"/>
  <c r="K4" i="4"/>
  <c r="M18" i="4"/>
  <c r="M115" i="4"/>
  <c r="M45" i="4"/>
  <c r="C7" i="1"/>
  <c r="D9" i="1"/>
  <c r="M9" i="1"/>
  <c r="AB281" i="1"/>
  <c r="T281" i="1"/>
  <c r="AC351" i="1"/>
  <c r="U351" i="1"/>
  <c r="AB70" i="2"/>
  <c r="AB75" i="2"/>
  <c r="M19" i="4"/>
  <c r="M99" i="4"/>
  <c r="M89" i="4"/>
  <c r="M125" i="4"/>
  <c r="M82" i="4"/>
  <c r="M90" i="4"/>
  <c r="M130" i="4"/>
  <c r="M131" i="4"/>
  <c r="M107" i="4"/>
  <c r="M87" i="4"/>
  <c r="M124" i="4"/>
  <c r="M52" i="4"/>
  <c r="M57" i="4"/>
  <c r="M62" i="4"/>
  <c r="L9" i="1"/>
  <c r="O7" i="1"/>
  <c r="L7" i="1"/>
  <c r="AE281" i="1"/>
  <c r="W281" i="1"/>
  <c r="AF351" i="1"/>
  <c r="X351" i="1"/>
  <c r="M102" i="4"/>
  <c r="M22" i="4"/>
  <c r="M144" i="4"/>
  <c r="M92" i="4"/>
  <c r="E6" i="4"/>
  <c r="E5" i="4"/>
  <c r="M39" i="4"/>
  <c r="M60" i="4"/>
  <c r="M36" i="4"/>
  <c r="M35" i="4"/>
  <c r="M56" i="4"/>
  <c r="M54" i="4"/>
  <c r="M30" i="4"/>
  <c r="M80" i="4"/>
  <c r="L146" i="4"/>
  <c r="M112" i="4"/>
  <c r="M12" i="4"/>
  <c r="O9" i="1"/>
  <c r="W7" i="1"/>
  <c r="AI351" i="1"/>
  <c r="AA351" i="1"/>
  <c r="S351" i="1"/>
  <c r="M128" i="4"/>
  <c r="M16" i="4"/>
  <c r="M136" i="4"/>
  <c r="M84" i="4"/>
  <c r="M116" i="4"/>
  <c r="M49" i="4"/>
  <c r="M51" i="4"/>
  <c r="M133" i="4"/>
  <c r="M120" i="4"/>
  <c r="M50" i="4"/>
  <c r="M13" i="4"/>
  <c r="M75" i="4"/>
  <c r="M123" i="4"/>
  <c r="I6" i="4"/>
  <c r="I5" i="4"/>
  <c r="M96" i="4"/>
  <c r="F9" i="1"/>
  <c r="Q9" i="1"/>
  <c r="I9" i="1"/>
  <c r="Q7" i="1"/>
  <c r="I7" i="1"/>
  <c r="AG9" i="1"/>
  <c r="Y9" i="1"/>
  <c r="AC281" i="1"/>
  <c r="U281" i="1"/>
  <c r="AD351" i="1"/>
  <c r="V351" i="1"/>
  <c r="Z5" i="2"/>
  <c r="M132" i="4"/>
  <c r="M65" i="4"/>
  <c r="M81" i="4"/>
  <c r="M42" i="4"/>
  <c r="N42" i="4" s="1"/>
  <c r="M118" i="4"/>
  <c r="M29" i="4"/>
  <c r="M67" i="4"/>
  <c r="M25" i="4"/>
  <c r="M145" i="4"/>
  <c r="M59" i="4"/>
  <c r="M113" i="4"/>
  <c r="M28" i="4"/>
  <c r="M95" i="4"/>
  <c r="F5" i="4"/>
  <c r="W9" i="1"/>
  <c r="U7" i="1"/>
  <c r="AF281" i="1"/>
  <c r="X281" i="1"/>
  <c r="AG351" i="1"/>
  <c r="Y351" i="1"/>
  <c r="Q351" i="1"/>
  <c r="M119" i="4"/>
  <c r="M33" i="4"/>
  <c r="M108" i="4"/>
  <c r="M15" i="4"/>
  <c r="AI281" i="1"/>
  <c r="AA281" i="1"/>
  <c r="S281" i="1"/>
  <c r="AB351" i="1"/>
  <c r="T351" i="1"/>
  <c r="M61" i="4"/>
  <c r="J6" i="4"/>
  <c r="J5" i="4"/>
  <c r="M111" i="4"/>
  <c r="H6" i="4"/>
  <c r="H5" i="4"/>
  <c r="M46" i="4"/>
  <c r="M70" i="4"/>
  <c r="M138" i="4"/>
  <c r="M27" i="4"/>
  <c r="M129" i="4"/>
  <c r="M21" i="4"/>
  <c r="M41" i="4"/>
  <c r="M122" i="4"/>
  <c r="AD281" i="1"/>
  <c r="V281" i="1"/>
  <c r="AE351" i="1"/>
  <c r="W351" i="1"/>
  <c r="AF10" i="1"/>
  <c r="AF12" i="1" s="1"/>
  <c r="X10" i="1"/>
  <c r="X12" i="1" s="1"/>
  <c r="M104" i="4"/>
  <c r="M66" i="4"/>
  <c r="M121" i="4"/>
  <c r="M85" i="4"/>
  <c r="M58" i="4"/>
  <c r="M71" i="4"/>
  <c r="AB34" i="2"/>
  <c r="AB233" i="2" s="1"/>
  <c r="AB89" i="2"/>
  <c r="AB86" i="2"/>
  <c r="AB92" i="2"/>
  <c r="AB61" i="2"/>
  <c r="AB175" i="2"/>
  <c r="AB35" i="2"/>
  <c r="AB16" i="2"/>
  <c r="AB215" i="2" s="1"/>
  <c r="AB170" i="2"/>
  <c r="AB173" i="2"/>
  <c r="AB31" i="2"/>
  <c r="AB230" i="2" s="1"/>
  <c r="AB147" i="2"/>
  <c r="AB42" i="2"/>
  <c r="AB47" i="2"/>
  <c r="AB56" i="2"/>
  <c r="AB171" i="2"/>
  <c r="AB177" i="2"/>
  <c r="AB155" i="2"/>
  <c r="AB39" i="2"/>
  <c r="AB158" i="2"/>
  <c r="AB135" i="2"/>
  <c r="AB202" i="2"/>
  <c r="AC8" i="2"/>
  <c r="AB167" i="2"/>
  <c r="AB25" i="2"/>
  <c r="AB129" i="2"/>
  <c r="AB273" i="2" s="1"/>
  <c r="AB22" i="2"/>
  <c r="AB221" i="2" s="1"/>
  <c r="AB44" i="2"/>
  <c r="AB46" i="2"/>
  <c r="AB141" i="2"/>
  <c r="AB153" i="2"/>
  <c r="AB174" i="2"/>
  <c r="AB187" i="2"/>
  <c r="AB209" i="2"/>
  <c r="AB64" i="2"/>
  <c r="AB140" i="2"/>
  <c r="AB195" i="2"/>
  <c r="AB38" i="2"/>
  <c r="AB58" i="2"/>
  <c r="AB138" i="2"/>
  <c r="AB159" i="2"/>
  <c r="AB204" i="2"/>
  <c r="AB120" i="2"/>
  <c r="AB152" i="2"/>
  <c r="AB168" i="2"/>
  <c r="AB188" i="2"/>
  <c r="AB207" i="2"/>
  <c r="AB210" i="2"/>
  <c r="AB43" i="2"/>
  <c r="AB45" i="2"/>
  <c r="AB150" i="2"/>
  <c r="AB182" i="2"/>
  <c r="AB205" i="2"/>
  <c r="AB29" i="2"/>
  <c r="AB228" i="2" s="1"/>
  <c r="AB51" i="2"/>
  <c r="AC51" i="2" s="1"/>
  <c r="AB53" i="2"/>
  <c r="AB57" i="2"/>
  <c r="AB74" i="2"/>
  <c r="AB103" i="2"/>
  <c r="AB136" i="2"/>
  <c r="AB96" i="2"/>
  <c r="AB88" i="2"/>
  <c r="AB97" i="2"/>
  <c r="AC97" i="2" s="1"/>
  <c r="AB148" i="2"/>
  <c r="AB73" i="2"/>
  <c r="AB77" i="2"/>
  <c r="AB102" i="2"/>
  <c r="AB37" i="2"/>
  <c r="AB91" i="2"/>
  <c r="AB106" i="2"/>
  <c r="AB104" i="2"/>
  <c r="AC104" i="2" s="1"/>
  <c r="AB110" i="2"/>
  <c r="AB105" i="2"/>
  <c r="AB59" i="2"/>
  <c r="AB36" i="2"/>
  <c r="AB40" i="2"/>
  <c r="AB183" i="2"/>
  <c r="AB30" i="2"/>
  <c r="AA6" i="2"/>
  <c r="AB184" i="2"/>
  <c r="AB145" i="2"/>
  <c r="AB32" i="2"/>
  <c r="AB231" i="2" s="1"/>
  <c r="AB95" i="2"/>
  <c r="AB79" i="2"/>
  <c r="AB200" i="2"/>
  <c r="AB17" i="2"/>
  <c r="AB216" i="2" s="1"/>
  <c r="AB166" i="2"/>
  <c r="AC166" i="2" s="1"/>
  <c r="AB132" i="2"/>
  <c r="AB276" i="2" s="1"/>
  <c r="AB115" i="2"/>
  <c r="AA211" i="2"/>
  <c r="AB151" i="2"/>
  <c r="AB124" i="2"/>
  <c r="AB268" i="2" s="1"/>
  <c r="AB65" i="2"/>
  <c r="AB203" i="2"/>
  <c r="AB118" i="2"/>
  <c r="AB98" i="2"/>
  <c r="AB94" i="2"/>
  <c r="AB208" i="2"/>
  <c r="AB196" i="2"/>
  <c r="AB125" i="2"/>
  <c r="AB69" i="2"/>
  <c r="AB15" i="2"/>
  <c r="AA111" i="2"/>
  <c r="AA7" i="2"/>
  <c r="AA4" i="2"/>
  <c r="AA5" i="2" s="1"/>
  <c r="AB121" i="2"/>
  <c r="AB265" i="2" s="1"/>
  <c r="AB185" i="2"/>
  <c r="AB190" i="2"/>
  <c r="AB71" i="2"/>
  <c r="AB87" i="2"/>
  <c r="AB192" i="2"/>
  <c r="AB108" i="2"/>
  <c r="AB142" i="2"/>
  <c r="AB164" i="2"/>
  <c r="AB143" i="2"/>
  <c r="AB60" i="2"/>
  <c r="AB119" i="2"/>
  <c r="AB263" i="2" s="1"/>
  <c r="AB206" i="2"/>
  <c r="AB194" i="2"/>
  <c r="AB48" i="2"/>
  <c r="AB116" i="2"/>
  <c r="AB260" i="2" s="1"/>
  <c r="AB41" i="2"/>
  <c r="AB107" i="2"/>
  <c r="AB123" i="2"/>
  <c r="AB267" i="2" s="1"/>
  <c r="AB93" i="2"/>
  <c r="AB100" i="2"/>
  <c r="AB126" i="2"/>
  <c r="AB270" i="2" s="1"/>
  <c r="AB157" i="2"/>
  <c r="AB191" i="2"/>
  <c r="AB72" i="2"/>
  <c r="AB52" i="2"/>
  <c r="AB49" i="2"/>
  <c r="AB63" i="2"/>
  <c r="AB189" i="2"/>
  <c r="AB55" i="2"/>
  <c r="AB156" i="2"/>
  <c r="AB139" i="2"/>
  <c r="AB180" i="2"/>
  <c r="AB33" i="2"/>
  <c r="AB193" i="2"/>
  <c r="AB26" i="2"/>
  <c r="AB225" i="2" s="1"/>
  <c r="AB144" i="2"/>
  <c r="AB80" i="2"/>
  <c r="AB133" i="2"/>
  <c r="AB68" i="2"/>
  <c r="AB117" i="2"/>
  <c r="AB261" i="2" s="1"/>
  <c r="AB178" i="2"/>
  <c r="AB50" i="2"/>
  <c r="AB198" i="2"/>
  <c r="AB54" i="2"/>
  <c r="AB176" i="2"/>
  <c r="AB181" i="2"/>
  <c r="AB84" i="2"/>
  <c r="AG12" i="1"/>
  <c r="Y12" i="1"/>
  <c r="AH11" i="1"/>
  <c r="Z11" i="1"/>
  <c r="AE12" i="1"/>
  <c r="P351" i="1"/>
  <c r="P281" i="1"/>
  <c r="AH9" i="1"/>
  <c r="Z9" i="1"/>
  <c r="AB7" i="1"/>
  <c r="S9" i="1"/>
  <c r="R9" i="1"/>
  <c r="J9" i="1"/>
  <c r="R7" i="1"/>
  <c r="J7" i="1"/>
  <c r="P163" i="41" l="1"/>
  <c r="Q163" i="41" s="1"/>
  <c r="R163" i="41" s="1"/>
  <c r="S163" i="41" s="1"/>
  <c r="T163" i="41" s="1"/>
  <c r="U163" i="41" s="1"/>
  <c r="V163" i="41" s="1"/>
  <c r="W163" i="41" s="1"/>
  <c r="X163" i="41" s="1"/>
  <c r="P160" i="41"/>
  <c r="Q160" i="41" s="1"/>
  <c r="P162" i="41"/>
  <c r="Q162" i="41" s="1"/>
  <c r="R162" i="41" s="1"/>
  <c r="S162" i="41" s="1"/>
  <c r="T162" i="41" s="1"/>
  <c r="U162" i="41" s="1"/>
  <c r="V162" i="41" s="1"/>
  <c r="W162" i="41" s="1"/>
  <c r="X162" i="41" s="1"/>
  <c r="N83" i="41"/>
  <c r="O165" i="41"/>
  <c r="AC207" i="2"/>
  <c r="W11" i="1"/>
  <c r="P18" i="36"/>
  <c r="O19" i="36"/>
  <c r="N65" i="4"/>
  <c r="Q11" i="1"/>
  <c r="AI12" i="1"/>
  <c r="P184" i="36"/>
  <c r="O271" i="36"/>
  <c r="P190" i="36"/>
  <c r="Q12" i="1"/>
  <c r="P185" i="36"/>
  <c r="P182" i="36"/>
  <c r="P21" i="36"/>
  <c r="O22" i="36"/>
  <c r="AB302" i="2"/>
  <c r="AB303" i="2"/>
  <c r="AB301" i="2"/>
  <c r="AB300" i="2"/>
  <c r="AB269" i="2"/>
  <c r="AB285" i="2"/>
  <c r="AB259" i="2"/>
  <c r="AB283" i="2"/>
  <c r="AB274" i="2"/>
  <c r="AB286" i="2"/>
  <c r="AB299" i="2"/>
  <c r="AB264" i="2"/>
  <c r="AB284" i="2"/>
  <c r="AB298" i="2"/>
  <c r="AB258" i="2"/>
  <c r="AB254" i="2"/>
  <c r="AB255" i="2"/>
  <c r="AB253" i="2"/>
  <c r="AB257" i="2"/>
  <c r="AB214" i="2"/>
  <c r="AB238" i="2"/>
  <c r="AB229" i="2"/>
  <c r="AB241" i="2"/>
  <c r="AB224" i="2"/>
  <c r="AB240" i="2"/>
  <c r="AB256" i="2"/>
  <c r="AB219" i="2"/>
  <c r="AB239" i="2"/>
  <c r="N69" i="4"/>
  <c r="AB280" i="2"/>
  <c r="AB281" i="2"/>
  <c r="AB282" i="2"/>
  <c r="AB277" i="2"/>
  <c r="AB279" i="2"/>
  <c r="AB232" i="2"/>
  <c r="AB234" i="2"/>
  <c r="AB237" i="2"/>
  <c r="AB235" i="2"/>
  <c r="AB236" i="2"/>
  <c r="AC118" i="2"/>
  <c r="AC262" i="2" s="1"/>
  <c r="AB262" i="2"/>
  <c r="N23" i="4"/>
  <c r="N61" i="4"/>
  <c r="AC58" i="2"/>
  <c r="N127" i="4"/>
  <c r="N62" i="4"/>
  <c r="AB297" i="2"/>
  <c r="AB245" i="2"/>
  <c r="AB292" i="2"/>
  <c r="AB294" i="2"/>
  <c r="AB243" i="2"/>
  <c r="N44" i="4"/>
  <c r="AB290" i="2"/>
  <c r="N14" i="4"/>
  <c r="AB247" i="2"/>
  <c r="N103" i="4"/>
  <c r="AB296" i="2"/>
  <c r="AB293" i="2"/>
  <c r="AB252" i="2"/>
  <c r="AB305" i="2"/>
  <c r="AB287" i="2"/>
  <c r="AB288" i="2"/>
  <c r="AB246" i="2"/>
  <c r="AB248" i="2"/>
  <c r="AB244" i="2"/>
  <c r="AB289" i="2"/>
  <c r="AB251" i="2"/>
  <c r="AB295" i="2"/>
  <c r="AB249" i="2"/>
  <c r="AB304" i="2"/>
  <c r="N93" i="4"/>
  <c r="AB291" i="2"/>
  <c r="AB242" i="2"/>
  <c r="AB250" i="2"/>
  <c r="N24" i="4"/>
  <c r="N72" i="4"/>
  <c r="N86" i="4"/>
  <c r="N100" i="4"/>
  <c r="N105" i="4"/>
  <c r="AC108" i="2"/>
  <c r="N115" i="4"/>
  <c r="N137" i="4"/>
  <c r="AC101" i="2"/>
  <c r="N113" i="4"/>
  <c r="AC180" i="2"/>
  <c r="AC117" i="2"/>
  <c r="AC261" i="2" s="1"/>
  <c r="AC94" i="2"/>
  <c r="AC145" i="2"/>
  <c r="AC105" i="2"/>
  <c r="AC73" i="2"/>
  <c r="AC57" i="2"/>
  <c r="AC159" i="2"/>
  <c r="N96" i="4"/>
  <c r="N136" i="4"/>
  <c r="AC17" i="2"/>
  <c r="AC216" i="2" s="1"/>
  <c r="N70" i="4"/>
  <c r="N84" i="4"/>
  <c r="AC100" i="2"/>
  <c r="AC49" i="2"/>
  <c r="N20" i="4"/>
  <c r="AC189" i="2"/>
  <c r="AC87" i="2"/>
  <c r="AC123" i="2"/>
  <c r="AC267" i="2" s="1"/>
  <c r="AC178" i="2"/>
  <c r="AC203" i="2"/>
  <c r="N91" i="4"/>
  <c r="N110" i="4"/>
  <c r="AC98" i="2"/>
  <c r="AC75" i="2"/>
  <c r="N88" i="4"/>
  <c r="AC133" i="2"/>
  <c r="AC85" i="2"/>
  <c r="AC52" i="2"/>
  <c r="AC107" i="2"/>
  <c r="AC169" i="2"/>
  <c r="AC146" i="2"/>
  <c r="AC124" i="2"/>
  <c r="AC268" i="2" s="1"/>
  <c r="AC79" i="2"/>
  <c r="AC106" i="2"/>
  <c r="AC88" i="2"/>
  <c r="AC29" i="2"/>
  <c r="AC228" i="2" s="1"/>
  <c r="AC202" i="2"/>
  <c r="AC176" i="2"/>
  <c r="AC199" i="2"/>
  <c r="AC72" i="2"/>
  <c r="AC81" i="2"/>
  <c r="AC165" i="2"/>
  <c r="AC186" i="2"/>
  <c r="AC151" i="2"/>
  <c r="AC95" i="2"/>
  <c r="AC183" i="2"/>
  <c r="AC91" i="2"/>
  <c r="AC96" i="2"/>
  <c r="AC205" i="2"/>
  <c r="N26" i="4"/>
  <c r="AC54" i="2"/>
  <c r="AC144" i="2"/>
  <c r="AC69" i="2"/>
  <c r="AC18" i="2"/>
  <c r="AC217" i="2" s="1"/>
  <c r="AC67" i="2"/>
  <c r="N97" i="4"/>
  <c r="N46" i="4"/>
  <c r="AC157" i="2"/>
  <c r="AC163" i="2"/>
  <c r="AC164" i="2"/>
  <c r="AC190" i="2"/>
  <c r="AC125" i="2"/>
  <c r="AC130" i="2"/>
  <c r="AC28" i="2"/>
  <c r="AC227" i="2" s="1"/>
  <c r="AC156" i="2"/>
  <c r="AC50" i="2"/>
  <c r="AC193" i="2"/>
  <c r="AC116" i="2"/>
  <c r="AC260" i="2" s="1"/>
  <c r="AC142" i="2"/>
  <c r="AC185" i="2"/>
  <c r="AC196" i="2"/>
  <c r="AC162" i="2"/>
  <c r="AC132" i="2"/>
  <c r="AC276" i="2" s="1"/>
  <c r="AC59" i="2"/>
  <c r="AC77" i="2"/>
  <c r="AC84" i="2"/>
  <c r="AC68" i="2"/>
  <c r="AC160" i="2"/>
  <c r="AC63" i="2"/>
  <c r="AC93" i="2"/>
  <c r="AC194" i="2"/>
  <c r="AC192" i="2"/>
  <c r="AC121" i="2"/>
  <c r="AC265" i="2" s="1"/>
  <c r="AC201" i="2"/>
  <c r="AC90" i="2"/>
  <c r="N17" i="4"/>
  <c r="N104" i="4"/>
  <c r="N87" i="4"/>
  <c r="N122" i="4"/>
  <c r="AC21" i="2"/>
  <c r="AC220" i="2" s="1"/>
  <c r="AC20" i="2"/>
  <c r="AC26" i="2"/>
  <c r="AC225" i="2" s="1"/>
  <c r="AC139" i="2"/>
  <c r="AC191" i="2"/>
  <c r="AC122" i="2"/>
  <c r="AC266" i="2" s="1"/>
  <c r="AC23" i="2"/>
  <c r="AC222" i="2" s="1"/>
  <c r="AC200" i="2"/>
  <c r="AC184" i="2"/>
  <c r="AC110" i="2"/>
  <c r="AC148" i="2"/>
  <c r="AC53" i="2"/>
  <c r="AC210" i="2"/>
  <c r="AC138" i="2"/>
  <c r="AC174" i="2"/>
  <c r="AC167" i="2"/>
  <c r="N58" i="4"/>
  <c r="N129" i="4"/>
  <c r="N47" i="4"/>
  <c r="N119" i="4"/>
  <c r="N112" i="4"/>
  <c r="N55" i="4"/>
  <c r="N15" i="4"/>
  <c r="N99" i="4"/>
  <c r="N98" i="4"/>
  <c r="N41" i="4"/>
  <c r="N50" i="4"/>
  <c r="N21" i="4"/>
  <c r="N111" i="4"/>
  <c r="N81" i="4"/>
  <c r="N128" i="4"/>
  <c r="N56" i="4"/>
  <c r="N144" i="4"/>
  <c r="N131" i="4"/>
  <c r="N63" i="4"/>
  <c r="N45" i="4"/>
  <c r="N139" i="4"/>
  <c r="N53" i="4"/>
  <c r="N31" i="4"/>
  <c r="O31" i="4" s="1"/>
  <c r="N120" i="4"/>
  <c r="AC55" i="2"/>
  <c r="N74" i="4"/>
  <c r="N38" i="4"/>
  <c r="N33" i="4"/>
  <c r="N59" i="4"/>
  <c r="N133" i="4"/>
  <c r="N35" i="4"/>
  <c r="N22" i="4"/>
  <c r="N130" i="4"/>
  <c r="N11" i="4"/>
  <c r="N32" i="4"/>
  <c r="N143" i="4"/>
  <c r="N71" i="4"/>
  <c r="N135" i="4"/>
  <c r="N27" i="4"/>
  <c r="N108" i="4"/>
  <c r="N145" i="4"/>
  <c r="N132" i="4"/>
  <c r="N51" i="4"/>
  <c r="N12" i="4"/>
  <c r="N36" i="4"/>
  <c r="N102" i="4"/>
  <c r="N90" i="4"/>
  <c r="N37" i="4"/>
  <c r="N126" i="4"/>
  <c r="N138" i="4"/>
  <c r="N64" i="4"/>
  <c r="N73" i="4"/>
  <c r="N25" i="4"/>
  <c r="N49" i="4"/>
  <c r="N60" i="4"/>
  <c r="N57" i="4"/>
  <c r="N82" i="4"/>
  <c r="N109" i="4"/>
  <c r="X11" i="1"/>
  <c r="Y11" i="1"/>
  <c r="N34" i="4"/>
  <c r="N85" i="4"/>
  <c r="N141" i="4"/>
  <c r="N117" i="4"/>
  <c r="N67" i="4"/>
  <c r="N123" i="4"/>
  <c r="N116" i="4"/>
  <c r="O116" i="4" s="1"/>
  <c r="N39" i="4"/>
  <c r="N52" i="4"/>
  <c r="N125" i="4"/>
  <c r="N18" i="4"/>
  <c r="AG11" i="1"/>
  <c r="N48" i="4"/>
  <c r="AC80" i="2"/>
  <c r="N121" i="4"/>
  <c r="N101" i="4"/>
  <c r="N29" i="4"/>
  <c r="N75" i="4"/>
  <c r="N80" i="4"/>
  <c r="M146" i="4"/>
  <c r="N124" i="4"/>
  <c r="N89" i="4"/>
  <c r="AF11" i="1"/>
  <c r="N140" i="4"/>
  <c r="N83" i="4"/>
  <c r="AC60" i="2"/>
  <c r="N66" i="4"/>
  <c r="N142" i="4"/>
  <c r="N95" i="4"/>
  <c r="N118" i="4"/>
  <c r="N13" i="4"/>
  <c r="N30" i="4"/>
  <c r="K5" i="4"/>
  <c r="K6" i="4"/>
  <c r="N40" i="4"/>
  <c r="N134" i="4"/>
  <c r="N94" i="4"/>
  <c r="N106" i="4"/>
  <c r="N43" i="4"/>
  <c r="N28" i="4"/>
  <c r="N16" i="4"/>
  <c r="N54" i="4"/>
  <c r="N92" i="4"/>
  <c r="N107" i="4"/>
  <c r="N19" i="4"/>
  <c r="M10" i="4"/>
  <c r="L4" i="4"/>
  <c r="O16" i="41" s="1"/>
  <c r="L76" i="4"/>
  <c r="N68" i="4"/>
  <c r="N114" i="4"/>
  <c r="AC115" i="2"/>
  <c r="AB211" i="2"/>
  <c r="AC43" i="2"/>
  <c r="AC187" i="2"/>
  <c r="AC25" i="2"/>
  <c r="AC127" i="2"/>
  <c r="AC271" i="2" s="1"/>
  <c r="AC171" i="2"/>
  <c r="AC31" i="2"/>
  <c r="AC230" i="2" s="1"/>
  <c r="AC92" i="2"/>
  <c r="AB6" i="2"/>
  <c r="AC56" i="2"/>
  <c r="AC173" i="2"/>
  <c r="AC86" i="2"/>
  <c r="AD8" i="2"/>
  <c r="AC208" i="2"/>
  <c r="AC27" i="2"/>
  <c r="AC226" i="2" s="1"/>
  <c r="AC158" i="2"/>
  <c r="AC206" i="2"/>
  <c r="AC30" i="2"/>
  <c r="AC34" i="2"/>
  <c r="AC233" i="2" s="1"/>
  <c r="AC119" i="2"/>
  <c r="AC263" i="2" s="1"/>
  <c r="AC149" i="2"/>
  <c r="AC155" i="2"/>
  <c r="AC170" i="2"/>
  <c r="AC198" i="2"/>
  <c r="AC42" i="2"/>
  <c r="AC46" i="2"/>
  <c r="AC153" i="2"/>
  <c r="AC128" i="2"/>
  <c r="AC272" i="2" s="1"/>
  <c r="AC181" i="2"/>
  <c r="AC70" i="2"/>
  <c r="AC135" i="2"/>
  <c r="AC143" i="2"/>
  <c r="AC40" i="2"/>
  <c r="AC120" i="2"/>
  <c r="AC154" i="2"/>
  <c r="AC172" i="2"/>
  <c r="AC65" i="2"/>
  <c r="AC182" i="2"/>
  <c r="AC48" i="2"/>
  <c r="AC71" i="2"/>
  <c r="AC33" i="2"/>
  <c r="AC126" i="2"/>
  <c r="AC270" i="2" s="1"/>
  <c r="AC102" i="2"/>
  <c r="AC47" i="2"/>
  <c r="AC89" i="2"/>
  <c r="AC41" i="2"/>
  <c r="AC188" i="2"/>
  <c r="AC38" i="2"/>
  <c r="AC141" i="2"/>
  <c r="AC179" i="2"/>
  <c r="AC131" i="2"/>
  <c r="AC275" i="2" s="1"/>
  <c r="AC24" i="2"/>
  <c r="AC223" i="2" s="1"/>
  <c r="AC16" i="2"/>
  <c r="AC215" i="2" s="1"/>
  <c r="AC82" i="2"/>
  <c r="AC15" i="2"/>
  <c r="AB111" i="2"/>
  <c r="AB7" i="2"/>
  <c r="AB4" i="2"/>
  <c r="AB5" i="2" s="1"/>
  <c r="AC32" i="2"/>
  <c r="AC231" i="2" s="1"/>
  <c r="AC168" i="2"/>
  <c r="AC195" i="2"/>
  <c r="AC137" i="2"/>
  <c r="AC109" i="2"/>
  <c r="AC161" i="2"/>
  <c r="AC76" i="2"/>
  <c r="AC37" i="2"/>
  <c r="AC136" i="2"/>
  <c r="AC152" i="2"/>
  <c r="AC140" i="2"/>
  <c r="AC44" i="2"/>
  <c r="AC83" i="2"/>
  <c r="AC39" i="2"/>
  <c r="AC78" i="2"/>
  <c r="AC19" i="2"/>
  <c r="AC218" i="2" s="1"/>
  <c r="AC35" i="2"/>
  <c r="AC197" i="2"/>
  <c r="AC36" i="2"/>
  <c r="AC103" i="2"/>
  <c r="AC150" i="2"/>
  <c r="AC64" i="2"/>
  <c r="AC22" i="2"/>
  <c r="AC221" i="2" s="1"/>
  <c r="AC134" i="2"/>
  <c r="AC278" i="2" s="1"/>
  <c r="AC99" i="2"/>
  <c r="AC147" i="2"/>
  <c r="AC175" i="2"/>
  <c r="AC74" i="2"/>
  <c r="AC45" i="2"/>
  <c r="AC204" i="2"/>
  <c r="AC209" i="2"/>
  <c r="AC129" i="2"/>
  <c r="AC273" i="2" s="1"/>
  <c r="AC66" i="2"/>
  <c r="AC177" i="2"/>
  <c r="AC62" i="2"/>
  <c r="O42" i="4" s="1"/>
  <c r="AC61" i="2"/>
  <c r="O17" i="41" l="1"/>
  <c r="O20" i="41"/>
  <c r="O183" i="41"/>
  <c r="O11" i="41"/>
  <c r="P161" i="41"/>
  <c r="P164" i="41"/>
  <c r="Q164" i="41" s="1"/>
  <c r="R160" i="41"/>
  <c r="Q161" i="41"/>
  <c r="O16" i="38"/>
  <c r="O16" i="39"/>
  <c r="O16" i="40"/>
  <c r="Q184" i="36"/>
  <c r="Q18" i="36"/>
  <c r="P19" i="36"/>
  <c r="O16" i="36"/>
  <c r="O154" i="36"/>
  <c r="O139" i="36"/>
  <c r="O188" i="36"/>
  <c r="O187" i="36"/>
  <c r="O186" i="36"/>
  <c r="P186" i="36" s="1"/>
  <c r="O44" i="36"/>
  <c r="O294" i="36"/>
  <c r="P294" i="36" s="1"/>
  <c r="O146" i="36"/>
  <c r="O169" i="36"/>
  <c r="O149" i="36"/>
  <c r="O177" i="36"/>
  <c r="Q185" i="36"/>
  <c r="Q21" i="36"/>
  <c r="P22" i="36"/>
  <c r="P271" i="36"/>
  <c r="Q190" i="36"/>
  <c r="Q182" i="36"/>
  <c r="AC303" i="2"/>
  <c r="AC302" i="2"/>
  <c r="AC298" i="2"/>
  <c r="AC274" i="2"/>
  <c r="AC286" i="2"/>
  <c r="AC301" i="2"/>
  <c r="AC299" i="2"/>
  <c r="AC269" i="2"/>
  <c r="AC285" i="2"/>
  <c r="AC300" i="2"/>
  <c r="AC259" i="2"/>
  <c r="AC283" i="2"/>
  <c r="AC264" i="2"/>
  <c r="AC284" i="2"/>
  <c r="AC224" i="2"/>
  <c r="AC240" i="2"/>
  <c r="AC255" i="2"/>
  <c r="AC256" i="2"/>
  <c r="AC257" i="2"/>
  <c r="AC253" i="2"/>
  <c r="AC258" i="2"/>
  <c r="AC229" i="2"/>
  <c r="AC241" i="2"/>
  <c r="AC219" i="2"/>
  <c r="AC239" i="2"/>
  <c r="O65" i="4"/>
  <c r="AC254" i="2"/>
  <c r="AC214" i="2"/>
  <c r="AC238" i="2"/>
  <c r="O23" i="4"/>
  <c r="AC281" i="2"/>
  <c r="AC282" i="2"/>
  <c r="AC277" i="2"/>
  <c r="AC279" i="2"/>
  <c r="O61" i="4"/>
  <c r="AC280" i="2"/>
  <c r="AC237" i="2"/>
  <c r="AC236" i="2"/>
  <c r="AC232" i="2"/>
  <c r="AC234" i="2"/>
  <c r="AC235" i="2"/>
  <c r="O38" i="4"/>
  <c r="O103" i="4"/>
  <c r="O72" i="4"/>
  <c r="O34" i="4"/>
  <c r="O14" i="4"/>
  <c r="O128" i="4"/>
  <c r="AC291" i="2"/>
  <c r="AC288" i="2"/>
  <c r="AC295" i="2"/>
  <c r="AC242" i="2"/>
  <c r="O95" i="4"/>
  <c r="O68" i="4"/>
  <c r="O24" i="4"/>
  <c r="AC250" i="2"/>
  <c r="AC292" i="2"/>
  <c r="O142" i="4"/>
  <c r="O74" i="4"/>
  <c r="O115" i="4"/>
  <c r="AC252" i="2"/>
  <c r="AC305" i="2"/>
  <c r="O110" i="4"/>
  <c r="AC293" i="2"/>
  <c r="AC296" i="2"/>
  <c r="AC289" i="2"/>
  <c r="AC249" i="2"/>
  <c r="AD192" i="2"/>
  <c r="AC247" i="2"/>
  <c r="AC290" i="2"/>
  <c r="AC246" i="2"/>
  <c r="AC294" i="2"/>
  <c r="AC243" i="2"/>
  <c r="AC287" i="2"/>
  <c r="O83" i="4"/>
  <c r="AC245" i="2"/>
  <c r="AC251" i="2"/>
  <c r="AC297" i="2"/>
  <c r="AC248" i="2"/>
  <c r="AC304" i="2"/>
  <c r="AC244" i="2"/>
  <c r="O100" i="4"/>
  <c r="O104" i="4"/>
  <c r="O86" i="4"/>
  <c r="O20" i="4"/>
  <c r="O137" i="4"/>
  <c r="O105" i="4"/>
  <c r="O89" i="4"/>
  <c r="O53" i="4"/>
  <c r="O37" i="4"/>
  <c r="O29" i="4"/>
  <c r="AD67" i="2"/>
  <c r="O57" i="4"/>
  <c r="O133" i="4"/>
  <c r="AD209" i="2"/>
  <c r="O47" i="4"/>
  <c r="AD204" i="2"/>
  <c r="O130" i="4"/>
  <c r="AD63" i="2"/>
  <c r="O43" i="4"/>
  <c r="O136" i="4"/>
  <c r="O55" i="4"/>
  <c r="AD107" i="2"/>
  <c r="O92" i="4"/>
  <c r="O140" i="4"/>
  <c r="O67" i="4"/>
  <c r="O109" i="4"/>
  <c r="AD93" i="2"/>
  <c r="O113" i="4"/>
  <c r="O88" i="4"/>
  <c r="AD22" i="2"/>
  <c r="AD221" i="2" s="1"/>
  <c r="AD96" i="2"/>
  <c r="AD17" i="2"/>
  <c r="AD216" i="2" s="1"/>
  <c r="O117" i="4"/>
  <c r="O96" i="4"/>
  <c r="O82" i="4"/>
  <c r="AD177" i="2"/>
  <c r="AD185" i="2"/>
  <c r="AD100" i="2"/>
  <c r="O59" i="4"/>
  <c r="O144" i="4"/>
  <c r="AD26" i="2"/>
  <c r="AD225" i="2" s="1"/>
  <c r="AD116" i="2"/>
  <c r="AD260" i="2" s="1"/>
  <c r="O106" i="4"/>
  <c r="O94" i="4"/>
  <c r="AD134" i="2"/>
  <c r="AD278" i="2" s="1"/>
  <c r="AD152" i="2"/>
  <c r="O114" i="4"/>
  <c r="O134" i="4"/>
  <c r="O101" i="4"/>
  <c r="O71" i="4"/>
  <c r="O139" i="4"/>
  <c r="AD89" i="2"/>
  <c r="AD181" i="2"/>
  <c r="AD149" i="2"/>
  <c r="AD75" i="2"/>
  <c r="AD103" i="2"/>
  <c r="AD20" i="2"/>
  <c r="O70" i="4"/>
  <c r="O98" i="4"/>
  <c r="O64" i="4"/>
  <c r="O39" i="4"/>
  <c r="O30" i="4"/>
  <c r="O143" i="4"/>
  <c r="O26" i="4"/>
  <c r="O107" i="4"/>
  <c r="O49" i="4"/>
  <c r="O32" i="4"/>
  <c r="AD18" i="2"/>
  <c r="AD217" i="2" s="1"/>
  <c r="AD49" i="2"/>
  <c r="AD50" i="2"/>
  <c r="AD84" i="2"/>
  <c r="AD205" i="2"/>
  <c r="AD139" i="2"/>
  <c r="AD16" i="2"/>
  <c r="AD215" i="2" s="1"/>
  <c r="O119" i="4"/>
  <c r="AD203" i="2"/>
  <c r="AD175" i="2"/>
  <c r="AD23" i="2"/>
  <c r="AD222" i="2" s="1"/>
  <c r="O21" i="4"/>
  <c r="O73" i="4"/>
  <c r="O135" i="4"/>
  <c r="O112" i="4"/>
  <c r="AD77" i="2"/>
  <c r="AD151" i="2"/>
  <c r="AD78" i="2"/>
  <c r="AD145" i="2"/>
  <c r="AD156" i="2"/>
  <c r="AD79" i="2"/>
  <c r="AD137" i="2"/>
  <c r="AD72" i="2"/>
  <c r="AD182" i="2"/>
  <c r="O52" i="4"/>
  <c r="O124" i="4"/>
  <c r="O126" i="4"/>
  <c r="O35" i="4"/>
  <c r="AD61" i="2"/>
  <c r="AD74" i="2"/>
  <c r="AD123" i="2"/>
  <c r="AD267" i="2" s="1"/>
  <c r="AD99" i="2"/>
  <c r="AD95" i="2"/>
  <c r="AD133" i="2"/>
  <c r="AD186" i="2"/>
  <c r="O111" i="4"/>
  <c r="AD55" i="2"/>
  <c r="AD179" i="2"/>
  <c r="AD165" i="2"/>
  <c r="O141" i="4"/>
  <c r="AD109" i="2"/>
  <c r="AD200" i="2"/>
  <c r="AD117" i="2"/>
  <c r="AD261" i="2" s="1"/>
  <c r="AD141" i="2"/>
  <c r="O48" i="4"/>
  <c r="AD130" i="2"/>
  <c r="AD80" i="2"/>
  <c r="AD125" i="2"/>
  <c r="AD189" i="2"/>
  <c r="AD195" i="2"/>
  <c r="AD81" i="2"/>
  <c r="AD188" i="2"/>
  <c r="AD178" i="2"/>
  <c r="AD71" i="2"/>
  <c r="AD143" i="2"/>
  <c r="AD198" i="2"/>
  <c r="AD158" i="2"/>
  <c r="O54" i="4"/>
  <c r="AD66" i="2"/>
  <c r="AD64" i="2"/>
  <c r="AD129" i="2"/>
  <c r="AD273" i="2" s="1"/>
  <c r="AD196" i="2"/>
  <c r="AD176" i="2"/>
  <c r="AD108" i="2"/>
  <c r="AD19" i="2"/>
  <c r="AD218" i="2" s="1"/>
  <c r="O17" i="4"/>
  <c r="AD180" i="2"/>
  <c r="AD168" i="2"/>
  <c r="AD82" i="2"/>
  <c r="AD106" i="2"/>
  <c r="AD193" i="2"/>
  <c r="AD48" i="2"/>
  <c r="AD170" i="2"/>
  <c r="AD194" i="2"/>
  <c r="AD147" i="2"/>
  <c r="AD184" i="2"/>
  <c r="AD160" i="2"/>
  <c r="AD124" i="2"/>
  <c r="AD268" i="2" s="1"/>
  <c r="AD76" i="2"/>
  <c r="AD91" i="2"/>
  <c r="AD163" i="2"/>
  <c r="P113" i="4" s="1"/>
  <c r="AD131" i="2"/>
  <c r="AD275" i="2" s="1"/>
  <c r="AD146" i="2"/>
  <c r="O122" i="4"/>
  <c r="O33" i="4"/>
  <c r="O40" i="4"/>
  <c r="O28" i="4"/>
  <c r="O36" i="4"/>
  <c r="O75" i="4"/>
  <c r="O132" i="4"/>
  <c r="O22" i="4"/>
  <c r="O129" i="4"/>
  <c r="O145" i="4"/>
  <c r="O97" i="4"/>
  <c r="AD83" i="2"/>
  <c r="O63" i="4"/>
  <c r="O16" i="4"/>
  <c r="O99" i="4"/>
  <c r="O138" i="4"/>
  <c r="O90" i="4"/>
  <c r="O81" i="4"/>
  <c r="O69" i="4"/>
  <c r="AD65" i="2"/>
  <c r="O50" i="4"/>
  <c r="O87" i="4"/>
  <c r="O66" i="4"/>
  <c r="O46" i="4"/>
  <c r="O123" i="4"/>
  <c r="O85" i="4"/>
  <c r="O62" i="4"/>
  <c r="O108" i="4"/>
  <c r="L6" i="4"/>
  <c r="L5" i="4"/>
  <c r="O121" i="4"/>
  <c r="O60" i="4"/>
  <c r="O58" i="4"/>
  <c r="O102" i="4"/>
  <c r="O27" i="4"/>
  <c r="O44" i="4"/>
  <c r="O93" i="4"/>
  <c r="N10" i="4"/>
  <c r="M76" i="4"/>
  <c r="M4" i="4"/>
  <c r="P16" i="41" s="1"/>
  <c r="O18" i="4"/>
  <c r="O11" i="4"/>
  <c r="O45" i="4"/>
  <c r="O91" i="4"/>
  <c r="O19" i="4"/>
  <c r="O41" i="4"/>
  <c r="O13" i="4"/>
  <c r="O80" i="4"/>
  <c r="N146" i="4"/>
  <c r="O12" i="4"/>
  <c r="O131" i="4"/>
  <c r="AD135" i="2"/>
  <c r="O118" i="4"/>
  <c r="O15" i="4"/>
  <c r="O84" i="4"/>
  <c r="O125" i="4"/>
  <c r="O25" i="4"/>
  <c r="O51" i="4"/>
  <c r="O120" i="4"/>
  <c r="O56" i="4"/>
  <c r="O127" i="4"/>
  <c r="AD45" i="2"/>
  <c r="AD36" i="2"/>
  <c r="AD33" i="2"/>
  <c r="AD42" i="2"/>
  <c r="AD97" i="2"/>
  <c r="AD191" i="2"/>
  <c r="AD210" i="2"/>
  <c r="AD94" i="2"/>
  <c r="AD159" i="2"/>
  <c r="AD201" i="2"/>
  <c r="AD104" i="2"/>
  <c r="AD86" i="2"/>
  <c r="AD53" i="2"/>
  <c r="AD92" i="2"/>
  <c r="AD121" i="2"/>
  <c r="AD265" i="2" s="1"/>
  <c r="AD37" i="2"/>
  <c r="AD27" i="2"/>
  <c r="AD226" i="2" s="1"/>
  <c r="AD21" i="2"/>
  <c r="AD220" i="2" s="1"/>
  <c r="AD173" i="2"/>
  <c r="AD110" i="2"/>
  <c r="AD43" i="2"/>
  <c r="AD87" i="2"/>
  <c r="AD70" i="2"/>
  <c r="AD155" i="2"/>
  <c r="AD208" i="2"/>
  <c r="AD166" i="2"/>
  <c r="P116" i="4" s="1"/>
  <c r="AD56" i="2"/>
  <c r="AD31" i="2"/>
  <c r="AD230" i="2" s="1"/>
  <c r="AD73" i="2"/>
  <c r="AD38" i="2"/>
  <c r="AE8" i="2"/>
  <c r="AD136" i="2"/>
  <c r="AD148" i="2"/>
  <c r="AD39" i="2"/>
  <c r="AD206" i="2"/>
  <c r="AD52" i="2"/>
  <c r="AD140" i="2"/>
  <c r="AD183" i="2"/>
  <c r="AD199" i="2"/>
  <c r="AD32" i="2"/>
  <c r="AD231" i="2" s="1"/>
  <c r="AD164" i="2"/>
  <c r="AD40" i="2"/>
  <c r="AD62" i="2"/>
  <c r="AD68" i="2"/>
  <c r="AD150" i="2"/>
  <c r="AD142" i="2"/>
  <c r="AD57" i="2"/>
  <c r="AE57" i="2" s="1"/>
  <c r="AD197" i="2"/>
  <c r="AD59" i="2"/>
  <c r="AD190" i="2"/>
  <c r="AD118" i="2"/>
  <c r="AD262" i="2" s="1"/>
  <c r="AD202" i="2"/>
  <c r="AD171" i="2"/>
  <c r="AD105" i="2"/>
  <c r="AD85" i="2"/>
  <c r="AD44" i="2"/>
  <c r="AD47" i="2"/>
  <c r="AD172" i="2"/>
  <c r="AD128" i="2"/>
  <c r="AD272" i="2" s="1"/>
  <c r="AD119" i="2"/>
  <c r="AD263" i="2" s="1"/>
  <c r="AD58" i="2"/>
  <c r="AD98" i="2"/>
  <c r="AD167" i="2"/>
  <c r="AD28" i="2"/>
  <c r="AD227" i="2" s="1"/>
  <c r="AD127" i="2"/>
  <c r="AD271" i="2" s="1"/>
  <c r="AD90" i="2"/>
  <c r="AD144" i="2"/>
  <c r="AD35" i="2"/>
  <c r="AD15" i="2"/>
  <c r="AC111" i="2"/>
  <c r="AC7" i="2"/>
  <c r="AC4" i="2"/>
  <c r="AC5" i="2" s="1"/>
  <c r="AD29" i="2"/>
  <c r="AD228" i="2" s="1"/>
  <c r="AD41" i="2"/>
  <c r="AD102" i="2"/>
  <c r="AD154" i="2"/>
  <c r="AD153" i="2"/>
  <c r="AD34" i="2"/>
  <c r="AD233" i="2" s="1"/>
  <c r="AD207" i="2"/>
  <c r="AD169" i="2"/>
  <c r="AD174" i="2"/>
  <c r="AD132" i="2"/>
  <c r="AD276" i="2" s="1"/>
  <c r="AD25" i="2"/>
  <c r="AD54" i="2"/>
  <c r="AD69" i="2"/>
  <c r="AD161" i="2"/>
  <c r="AD122" i="2"/>
  <c r="AD266" i="2" s="1"/>
  <c r="AD24" i="2"/>
  <c r="AD223" i="2" s="1"/>
  <c r="AD88" i="2"/>
  <c r="AD157" i="2"/>
  <c r="AD126" i="2"/>
  <c r="AD270" i="2" s="1"/>
  <c r="AD120" i="2"/>
  <c r="AD46" i="2"/>
  <c r="AD30" i="2"/>
  <c r="AC6" i="2"/>
  <c r="AD51" i="2"/>
  <c r="P31" i="4" s="1"/>
  <c r="AD60" i="2"/>
  <c r="AD138" i="2"/>
  <c r="AD162" i="2"/>
  <c r="AD187" i="2"/>
  <c r="AD115" i="2"/>
  <c r="AC211" i="2"/>
  <c r="AD101" i="2"/>
  <c r="P187" i="36" l="1"/>
  <c r="P188" i="36"/>
  <c r="P149" i="36"/>
  <c r="P139" i="36"/>
  <c r="P17" i="41"/>
  <c r="P20" i="41"/>
  <c r="O13" i="41"/>
  <c r="P11" i="41"/>
  <c r="O12" i="41"/>
  <c r="P183" i="41"/>
  <c r="O189" i="41"/>
  <c r="O134" i="41"/>
  <c r="O135" i="41"/>
  <c r="P135" i="41" s="1"/>
  <c r="R164" i="41"/>
  <c r="S164" i="41" s="1"/>
  <c r="T164" i="41" s="1"/>
  <c r="U164" i="41" s="1"/>
  <c r="V164" i="41" s="1"/>
  <c r="W164" i="41" s="1"/>
  <c r="X164" i="41" s="1"/>
  <c r="P165" i="41"/>
  <c r="Q165" i="41"/>
  <c r="S160" i="41"/>
  <c r="R161" i="41"/>
  <c r="O183" i="40"/>
  <c r="O17" i="40"/>
  <c r="O11" i="40"/>
  <c r="O20" i="40"/>
  <c r="P16" i="40"/>
  <c r="O17" i="39"/>
  <c r="O183" i="39"/>
  <c r="O11" i="39"/>
  <c r="O20" i="39"/>
  <c r="P16" i="39"/>
  <c r="O17" i="38"/>
  <c r="P16" i="38"/>
  <c r="O183" i="38"/>
  <c r="O20" i="38"/>
  <c r="O11" i="38"/>
  <c r="P44" i="36"/>
  <c r="Q22" i="36"/>
  <c r="R21" i="36"/>
  <c r="R182" i="36"/>
  <c r="O170" i="36"/>
  <c r="O173" i="36" s="1"/>
  <c r="P169" i="36"/>
  <c r="P154" i="36"/>
  <c r="O491" i="36"/>
  <c r="O178" i="36"/>
  <c r="O179" i="36" s="1"/>
  <c r="P177" i="36"/>
  <c r="R185" i="36"/>
  <c r="O147" i="36"/>
  <c r="O150" i="36" s="1"/>
  <c r="O490" i="36"/>
  <c r="P146" i="36"/>
  <c r="O89" i="36"/>
  <c r="Q19" i="36"/>
  <c r="Q139" i="36" s="1"/>
  <c r="R18" i="36"/>
  <c r="R184" i="36"/>
  <c r="R190" i="36"/>
  <c r="Q271" i="36"/>
  <c r="O17" i="36"/>
  <c r="O11" i="36"/>
  <c r="P16" i="36"/>
  <c r="O20" i="36"/>
  <c r="O183" i="36"/>
  <c r="AD301" i="2"/>
  <c r="AD302" i="2"/>
  <c r="AD299" i="2"/>
  <c r="P23" i="4"/>
  <c r="AD259" i="2"/>
  <c r="AD283" i="2"/>
  <c r="AD300" i="2"/>
  <c r="AD298" i="2"/>
  <c r="AD269" i="2"/>
  <c r="AD285" i="2"/>
  <c r="AD274" i="2"/>
  <c r="AD286" i="2"/>
  <c r="AD303" i="2"/>
  <c r="AD264" i="2"/>
  <c r="AD284" i="2"/>
  <c r="AD258" i="2"/>
  <c r="AD214" i="2"/>
  <c r="AD238" i="2"/>
  <c r="AD219" i="2"/>
  <c r="AD239" i="2"/>
  <c r="AD224" i="2"/>
  <c r="AD240" i="2"/>
  <c r="AD257" i="2"/>
  <c r="AD229" i="2"/>
  <c r="AD241" i="2"/>
  <c r="AD253" i="2"/>
  <c r="AD255" i="2"/>
  <c r="AD256" i="2"/>
  <c r="AE85" i="2"/>
  <c r="AD254" i="2"/>
  <c r="P61" i="4"/>
  <c r="AD280" i="2"/>
  <c r="AD281" i="2"/>
  <c r="AD235" i="2"/>
  <c r="AD282" i="2"/>
  <c r="AD277" i="2"/>
  <c r="AD279" i="2"/>
  <c r="AD237" i="2"/>
  <c r="AD232" i="2"/>
  <c r="AD234" i="2"/>
  <c r="AD236" i="2"/>
  <c r="AE199" i="2"/>
  <c r="P99" i="4"/>
  <c r="P93" i="4"/>
  <c r="P72" i="4"/>
  <c r="P128" i="4"/>
  <c r="P24" i="4"/>
  <c r="P43" i="4"/>
  <c r="P73" i="4"/>
  <c r="P14" i="4"/>
  <c r="P109" i="4"/>
  <c r="P142" i="4"/>
  <c r="AD250" i="2"/>
  <c r="AD246" i="2"/>
  <c r="P127" i="4"/>
  <c r="P60" i="4"/>
  <c r="P143" i="4"/>
  <c r="P47" i="4"/>
  <c r="P89" i="4"/>
  <c r="P86" i="4"/>
  <c r="P20" i="4"/>
  <c r="AD244" i="2"/>
  <c r="P114" i="4"/>
  <c r="AD292" i="2"/>
  <c r="P74" i="4"/>
  <c r="AD287" i="2"/>
  <c r="P83" i="4"/>
  <c r="AD296" i="2"/>
  <c r="P110" i="4"/>
  <c r="AD293" i="2"/>
  <c r="P102" i="4"/>
  <c r="AD249" i="2"/>
  <c r="AD295" i="2"/>
  <c r="P57" i="4"/>
  <c r="AD304" i="2"/>
  <c r="AD248" i="2"/>
  <c r="AD247" i="2"/>
  <c r="AD251" i="2"/>
  <c r="P95" i="4"/>
  <c r="AD290" i="2"/>
  <c r="AD291" i="2"/>
  <c r="AD289" i="2"/>
  <c r="AD288" i="2"/>
  <c r="AD305" i="2"/>
  <c r="AD252" i="2"/>
  <c r="P115" i="4"/>
  <c r="AD294" i="2"/>
  <c r="AD245" i="2"/>
  <c r="AD297" i="2"/>
  <c r="AD243" i="2"/>
  <c r="AD242" i="2"/>
  <c r="P141" i="4"/>
  <c r="P30" i="4"/>
  <c r="P53" i="4"/>
  <c r="P105" i="4"/>
  <c r="P117" i="4"/>
  <c r="P130" i="4"/>
  <c r="P134" i="4"/>
  <c r="P67" i="4"/>
  <c r="P98" i="4"/>
  <c r="P106" i="4"/>
  <c r="P32" i="4"/>
  <c r="P139" i="4"/>
  <c r="P29" i="4"/>
  <c r="P33" i="4"/>
  <c r="P96" i="4"/>
  <c r="P55" i="4"/>
  <c r="P70" i="4"/>
  <c r="P51" i="4"/>
  <c r="P135" i="4"/>
  <c r="P64" i="4"/>
  <c r="P71" i="4"/>
  <c r="P21" i="4"/>
  <c r="P140" i="4"/>
  <c r="AE125" i="2"/>
  <c r="P136" i="4"/>
  <c r="P62" i="4"/>
  <c r="P91" i="4"/>
  <c r="P48" i="4"/>
  <c r="P41" i="4"/>
  <c r="P144" i="4"/>
  <c r="P118" i="4"/>
  <c r="P44" i="4"/>
  <c r="P28" i="4"/>
  <c r="P35" i="4"/>
  <c r="P59" i="4"/>
  <c r="P101" i="4"/>
  <c r="P132" i="4"/>
  <c r="P126" i="4"/>
  <c r="P131" i="4"/>
  <c r="P69" i="4"/>
  <c r="AE174" i="2"/>
  <c r="P39" i="4"/>
  <c r="P84" i="4"/>
  <c r="P138" i="4"/>
  <c r="P54" i="4"/>
  <c r="AE172" i="2"/>
  <c r="AE29" i="2"/>
  <c r="AE228" i="2" s="1"/>
  <c r="P17" i="4"/>
  <c r="P52" i="4"/>
  <c r="AE46" i="2"/>
  <c r="AE69" i="2"/>
  <c r="P58" i="4"/>
  <c r="P120" i="4"/>
  <c r="P125" i="4"/>
  <c r="P108" i="4"/>
  <c r="P87" i="4"/>
  <c r="AE154" i="2"/>
  <c r="AE105" i="2"/>
  <c r="AE183" i="2"/>
  <c r="AE144" i="2"/>
  <c r="AE202" i="2"/>
  <c r="AE205" i="2"/>
  <c r="AE122" i="2"/>
  <c r="AE266" i="2" s="1"/>
  <c r="AE28" i="2"/>
  <c r="AE227" i="2" s="1"/>
  <c r="AE82" i="2"/>
  <c r="P46" i="4"/>
  <c r="P81" i="4"/>
  <c r="AE24" i="2"/>
  <c r="AE223" i="2" s="1"/>
  <c r="AE101" i="2"/>
  <c r="AE149" i="2"/>
  <c r="P56" i="4"/>
  <c r="AE54" i="2"/>
  <c r="AE91" i="2"/>
  <c r="AE142" i="2"/>
  <c r="AE25" i="2"/>
  <c r="AE102" i="2"/>
  <c r="P97" i="4"/>
  <c r="P129" i="4"/>
  <c r="P40" i="4"/>
  <c r="AE161" i="2"/>
  <c r="AE132" i="2"/>
  <c r="AE276" i="2" s="1"/>
  <c r="AE76" i="2"/>
  <c r="AE127" i="2"/>
  <c r="AE271" i="2" s="1"/>
  <c r="AE47" i="2"/>
  <c r="AE171" i="2"/>
  <c r="AE150" i="2"/>
  <c r="AE120" i="2"/>
  <c r="AE169" i="2"/>
  <c r="AE108" i="2"/>
  <c r="AE118" i="2"/>
  <c r="AE262" i="2" s="1"/>
  <c r="AE62" i="2"/>
  <c r="AE126" i="2"/>
  <c r="AE270" i="2" s="1"/>
  <c r="AE93" i="2"/>
  <c r="AE207" i="2"/>
  <c r="AE26" i="2"/>
  <c r="AE225" i="2" s="1"/>
  <c r="AE98" i="2"/>
  <c r="AE124" i="2"/>
  <c r="AE268" i="2" s="1"/>
  <c r="AE187" i="2"/>
  <c r="AE19" i="2"/>
  <c r="AE218" i="2" s="1"/>
  <c r="AE16" i="2"/>
  <c r="AE215" i="2" s="1"/>
  <c r="AE157" i="2"/>
  <c r="AE185" i="2"/>
  <c r="AE58" i="2"/>
  <c r="P45" i="4"/>
  <c r="AE20" i="2"/>
  <c r="AE162" i="2"/>
  <c r="AE175" i="2"/>
  <c r="AE88" i="2"/>
  <c r="AE192" i="2"/>
  <c r="AE153" i="2"/>
  <c r="AE204" i="2"/>
  <c r="AE119" i="2"/>
  <c r="AE263" i="2" s="1"/>
  <c r="P12" i="4"/>
  <c r="P65" i="4"/>
  <c r="P121" i="4"/>
  <c r="P82" i="4"/>
  <c r="P63" i="4"/>
  <c r="P103" i="4"/>
  <c r="P13" i="4"/>
  <c r="P124" i="4"/>
  <c r="P145" i="4"/>
  <c r="P111" i="4"/>
  <c r="AE138" i="2"/>
  <c r="P88" i="4"/>
  <c r="P38" i="4"/>
  <c r="P49" i="4"/>
  <c r="P11" i="4"/>
  <c r="P27" i="4"/>
  <c r="P122" i="4"/>
  <c r="AE60" i="2"/>
  <c r="P34" i="4"/>
  <c r="M6" i="4"/>
  <c r="M5" i="4"/>
  <c r="P66" i="4"/>
  <c r="P133" i="4"/>
  <c r="P15" i="4"/>
  <c r="P36" i="4"/>
  <c r="P75" i="4"/>
  <c r="P26" i="4"/>
  <c r="P37" i="4"/>
  <c r="Q37" i="4" s="1"/>
  <c r="P112" i="4"/>
  <c r="O10" i="4"/>
  <c r="N76" i="4"/>
  <c r="N4" i="4"/>
  <c r="Q16" i="41" s="1"/>
  <c r="P94" i="4"/>
  <c r="P119" i="4"/>
  <c r="P137" i="4"/>
  <c r="P25" i="4"/>
  <c r="P80" i="4"/>
  <c r="O146" i="4"/>
  <c r="P85" i="4"/>
  <c r="P50" i="4"/>
  <c r="P90" i="4"/>
  <c r="P16" i="4"/>
  <c r="P22" i="4"/>
  <c r="P104" i="4"/>
  <c r="P42" i="4"/>
  <c r="P107" i="4"/>
  <c r="P19" i="4"/>
  <c r="P18" i="4"/>
  <c r="P123" i="4"/>
  <c r="P68" i="4"/>
  <c r="P92" i="4"/>
  <c r="P100" i="4"/>
  <c r="AF8" i="2"/>
  <c r="AE133" i="2"/>
  <c r="AE186" i="2"/>
  <c r="AE66" i="2"/>
  <c r="AE121" i="2"/>
  <c r="AE265" i="2" s="1"/>
  <c r="AE136" i="2"/>
  <c r="AE145" i="2"/>
  <c r="AE158" i="2"/>
  <c r="AE50" i="2"/>
  <c r="AE72" i="2"/>
  <c r="AE128" i="2"/>
  <c r="AE272" i="2" s="1"/>
  <c r="AE152" i="2"/>
  <c r="AE188" i="2"/>
  <c r="AE179" i="2"/>
  <c r="AE90" i="2"/>
  <c r="AE51" i="2"/>
  <c r="AE73" i="2"/>
  <c r="AE81" i="2"/>
  <c r="AE129" i="2"/>
  <c r="AE273" i="2" s="1"/>
  <c r="AE70" i="2"/>
  <c r="AE22" i="2"/>
  <c r="AE221" i="2" s="1"/>
  <c r="AE21" i="2"/>
  <c r="AE220" i="2" s="1"/>
  <c r="AE117" i="2"/>
  <c r="AE261" i="2" s="1"/>
  <c r="AE49" i="2"/>
  <c r="AE198" i="2"/>
  <c r="AE100" i="2"/>
  <c r="AE94" i="2"/>
  <c r="AE156" i="2"/>
  <c r="AE15" i="2"/>
  <c r="AD111" i="2"/>
  <c r="AD7" i="2"/>
  <c r="AD4" i="2"/>
  <c r="AD5" i="2" s="1"/>
  <c r="AE182" i="2"/>
  <c r="AE75" i="2"/>
  <c r="AE27" i="2"/>
  <c r="AE226" i="2" s="1"/>
  <c r="AE23" i="2"/>
  <c r="AE222" i="2" s="1"/>
  <c r="AE77" i="2"/>
  <c r="AE143" i="2"/>
  <c r="AE160" i="2"/>
  <c r="AE210" i="2"/>
  <c r="AE106" i="2"/>
  <c r="AE36" i="2"/>
  <c r="AE115" i="2"/>
  <c r="AD211" i="2"/>
  <c r="AE140" i="2"/>
  <c r="AE181" i="2"/>
  <c r="AE84" i="2"/>
  <c r="AE146" i="2"/>
  <c r="AE67" i="2"/>
  <c r="AE170" i="2"/>
  <c r="AE195" i="2"/>
  <c r="AE177" i="2"/>
  <c r="AE71" i="2"/>
  <c r="AE184" i="2"/>
  <c r="AE191" i="2"/>
  <c r="AE131" i="2"/>
  <c r="AE275" i="2" s="1"/>
  <c r="AE147" i="2"/>
  <c r="AE41" i="2"/>
  <c r="AE44" i="2"/>
  <c r="AE68" i="2"/>
  <c r="AE52" i="2"/>
  <c r="AE65" i="2"/>
  <c r="AE79" i="2"/>
  <c r="AE31" i="2"/>
  <c r="AE230" i="2" s="1"/>
  <c r="AE139" i="2"/>
  <c r="AE87" i="2"/>
  <c r="AE135" i="2"/>
  <c r="AE189" i="2"/>
  <c r="AE178" i="2"/>
  <c r="AE99" i="2"/>
  <c r="AE97" i="2"/>
  <c r="AE163" i="2"/>
  <c r="AE194" i="2"/>
  <c r="AE206" i="2"/>
  <c r="AE89" i="2"/>
  <c r="AE18" i="2"/>
  <c r="AE217" i="2" s="1"/>
  <c r="AE56" i="2"/>
  <c r="AE168" i="2"/>
  <c r="AE48" i="2"/>
  <c r="AE92" i="2"/>
  <c r="AE17" i="2"/>
  <c r="AE216" i="2" s="1"/>
  <c r="AE123" i="2"/>
  <c r="AE267" i="2" s="1"/>
  <c r="AE109" i="2"/>
  <c r="AE30" i="2"/>
  <c r="AD6" i="2"/>
  <c r="AE35" i="2"/>
  <c r="AE176" i="2"/>
  <c r="AE190" i="2"/>
  <c r="AE40" i="2"/>
  <c r="AE39" i="2"/>
  <c r="AE165" i="2"/>
  <c r="AE64" i="2"/>
  <c r="AE166" i="2"/>
  <c r="AE180" i="2"/>
  <c r="AE43" i="2"/>
  <c r="AE193" i="2"/>
  <c r="AE37" i="2"/>
  <c r="AE53" i="2"/>
  <c r="AE55" i="2"/>
  <c r="AE74" i="2"/>
  <c r="AE42" i="2"/>
  <c r="AE116" i="2"/>
  <c r="AE260" i="2" s="1"/>
  <c r="AE45" i="2"/>
  <c r="AE196" i="2"/>
  <c r="AE59" i="2"/>
  <c r="AE164" i="2"/>
  <c r="AE148" i="2"/>
  <c r="AE80" i="2"/>
  <c r="AE208" i="2"/>
  <c r="AE83" i="2"/>
  <c r="AE110" i="2"/>
  <c r="AE203" i="2"/>
  <c r="AE95" i="2"/>
  <c r="AE86" i="2"/>
  <c r="AE200" i="2"/>
  <c r="AE201" i="2"/>
  <c r="AE78" i="2"/>
  <c r="AE61" i="2"/>
  <c r="AE34" i="2"/>
  <c r="AE233" i="2" s="1"/>
  <c r="AE103" i="2"/>
  <c r="AE167" i="2"/>
  <c r="AE96" i="2"/>
  <c r="AE209" i="2"/>
  <c r="AE197" i="2"/>
  <c r="AE32" i="2"/>
  <c r="AE231" i="2" s="1"/>
  <c r="AE38" i="2"/>
  <c r="AE130" i="2"/>
  <c r="AE155" i="2"/>
  <c r="AE151" i="2"/>
  <c r="AE173" i="2"/>
  <c r="AE141" i="2"/>
  <c r="AE134" i="2"/>
  <c r="AE278" i="2" s="1"/>
  <c r="AE104" i="2"/>
  <c r="AE137" i="2"/>
  <c r="AE159" i="2"/>
  <c r="AE33" i="2"/>
  <c r="AE63" i="2"/>
  <c r="AE107" i="2"/>
  <c r="Q17" i="41" l="1"/>
  <c r="Q20" i="41"/>
  <c r="O197" i="41"/>
  <c r="O200" i="41" s="1"/>
  <c r="O191" i="41"/>
  <c r="O194" i="41" s="1"/>
  <c r="Q183" i="41"/>
  <c r="P189" i="41"/>
  <c r="Q11" i="41"/>
  <c r="P12" i="41"/>
  <c r="O141" i="41"/>
  <c r="O137" i="41"/>
  <c r="O136" i="41"/>
  <c r="P13" i="41"/>
  <c r="O14" i="41"/>
  <c r="O138" i="41"/>
  <c r="Q135" i="41"/>
  <c r="P134" i="41"/>
  <c r="R165" i="41"/>
  <c r="T160" i="41"/>
  <c r="S161" i="41"/>
  <c r="O13" i="38"/>
  <c r="O12" i="38"/>
  <c r="P11" i="38"/>
  <c r="P183" i="39"/>
  <c r="O189" i="39"/>
  <c r="P11" i="39"/>
  <c r="O12" i="39"/>
  <c r="O13" i="39"/>
  <c r="O196" i="39" s="1"/>
  <c r="O135" i="39"/>
  <c r="O134" i="39"/>
  <c r="P183" i="38"/>
  <c r="O189" i="38"/>
  <c r="P20" i="40"/>
  <c r="Q16" i="40"/>
  <c r="P17" i="40"/>
  <c r="P17" i="38"/>
  <c r="Q16" i="38"/>
  <c r="P20" i="38"/>
  <c r="O134" i="36"/>
  <c r="O135" i="36"/>
  <c r="O135" i="38"/>
  <c r="P135" i="38" s="1"/>
  <c r="O134" i="38"/>
  <c r="O12" i="40"/>
  <c r="O13" i="40"/>
  <c r="O196" i="40" s="1"/>
  <c r="P11" i="40"/>
  <c r="P17" i="39"/>
  <c r="P20" i="39"/>
  <c r="Q16" i="39"/>
  <c r="O135" i="40"/>
  <c r="O134" i="40"/>
  <c r="P183" i="40"/>
  <c r="O189" i="40"/>
  <c r="Q149" i="36"/>
  <c r="Q186" i="36"/>
  <c r="P183" i="36"/>
  <c r="O189" i="36"/>
  <c r="S184" i="36"/>
  <c r="Q44" i="36"/>
  <c r="S18" i="36"/>
  <c r="R19" i="36"/>
  <c r="P20" i="36"/>
  <c r="Q16" i="36"/>
  <c r="P17" i="36"/>
  <c r="Q294" i="36"/>
  <c r="P147" i="36"/>
  <c r="P150" i="36" s="1"/>
  <c r="P490" i="36"/>
  <c r="Q146" i="36"/>
  <c r="P89" i="36"/>
  <c r="R22" i="36"/>
  <c r="S21" i="36"/>
  <c r="O13" i="36"/>
  <c r="P11" i="36"/>
  <c r="O12" i="36"/>
  <c r="Q177" i="36"/>
  <c r="P178" i="36"/>
  <c r="P179" i="36" s="1"/>
  <c r="R271" i="36"/>
  <c r="S190" i="36"/>
  <c r="Q187" i="36"/>
  <c r="O92" i="36"/>
  <c r="S182" i="36"/>
  <c r="Q188" i="36"/>
  <c r="R188" i="36" s="1"/>
  <c r="S185" i="36"/>
  <c r="Q154" i="36"/>
  <c r="P491" i="36"/>
  <c r="P170" i="36"/>
  <c r="P173" i="36" s="1"/>
  <c r="Q169" i="36"/>
  <c r="Q23" i="4"/>
  <c r="AE298" i="2"/>
  <c r="AE300" i="2"/>
  <c r="AE274" i="2"/>
  <c r="AE286" i="2"/>
  <c r="AE299" i="2"/>
  <c r="AE303" i="2"/>
  <c r="AE253" i="2"/>
  <c r="AE302" i="2"/>
  <c r="AE301" i="2"/>
  <c r="AE259" i="2"/>
  <c r="AE283" i="2"/>
  <c r="Q65" i="4"/>
  <c r="AE269" i="2"/>
  <c r="AE285" i="2"/>
  <c r="AE264" i="2"/>
  <c r="AE284" i="2"/>
  <c r="AE258" i="2"/>
  <c r="AE229" i="2"/>
  <c r="AE241" i="2"/>
  <c r="AE257" i="2"/>
  <c r="AE219" i="2"/>
  <c r="AE239" i="2"/>
  <c r="AE256" i="2"/>
  <c r="AE254" i="2"/>
  <c r="AE255" i="2"/>
  <c r="AE224" i="2"/>
  <c r="AE240" i="2"/>
  <c r="AE214" i="2"/>
  <c r="AE238" i="2"/>
  <c r="AF73" i="2"/>
  <c r="AF198" i="2"/>
  <c r="AE280" i="2"/>
  <c r="AE277" i="2"/>
  <c r="AE279" i="2"/>
  <c r="AE282" i="2"/>
  <c r="AE281" i="2"/>
  <c r="Q99" i="4"/>
  <c r="AE237" i="2"/>
  <c r="AE236" i="2"/>
  <c r="AE235" i="2"/>
  <c r="AE232" i="2"/>
  <c r="AE234" i="2"/>
  <c r="Q14" i="4"/>
  <c r="Q24" i="4"/>
  <c r="Q142" i="4"/>
  <c r="Q73" i="4"/>
  <c r="Q124" i="4"/>
  <c r="AE292" i="2"/>
  <c r="Q94" i="4"/>
  <c r="Q141" i="4"/>
  <c r="AE247" i="2"/>
  <c r="AE294" i="2"/>
  <c r="AE288" i="2"/>
  <c r="Q67" i="4"/>
  <c r="AE251" i="2"/>
  <c r="AF153" i="2"/>
  <c r="AE245" i="2"/>
  <c r="Q68" i="4"/>
  <c r="AE295" i="2"/>
  <c r="AF130" i="2"/>
  <c r="AE242" i="2"/>
  <c r="AE287" i="2"/>
  <c r="Q108" i="4"/>
  <c r="AE291" i="2"/>
  <c r="AE293" i="2"/>
  <c r="AE290" i="2"/>
  <c r="AE297" i="2"/>
  <c r="AE243" i="2"/>
  <c r="AE249" i="2"/>
  <c r="Q20" i="4"/>
  <c r="AE244" i="2"/>
  <c r="AF159" i="2"/>
  <c r="AE289" i="2"/>
  <c r="AE248" i="2"/>
  <c r="Q111" i="4"/>
  <c r="AE296" i="2"/>
  <c r="AE304" i="2"/>
  <c r="AF50" i="2"/>
  <c r="AE246" i="2"/>
  <c r="AF141" i="2"/>
  <c r="AF209" i="2"/>
  <c r="AE305" i="2"/>
  <c r="AE252" i="2"/>
  <c r="AE250" i="2"/>
  <c r="Q55" i="4"/>
  <c r="Q51" i="4"/>
  <c r="Q71" i="4"/>
  <c r="Q135" i="4"/>
  <c r="Q133" i="4"/>
  <c r="Q21" i="4"/>
  <c r="Q125" i="4"/>
  <c r="Q48" i="4"/>
  <c r="Q35" i="4"/>
  <c r="Q62" i="4"/>
  <c r="Q17" i="4"/>
  <c r="AF47" i="2"/>
  <c r="Q104" i="4"/>
  <c r="AF84" i="2"/>
  <c r="AF174" i="2"/>
  <c r="AF22" i="2"/>
  <c r="AF221" i="2" s="1"/>
  <c r="AF188" i="2"/>
  <c r="AF17" i="2"/>
  <c r="AF216" i="2" s="1"/>
  <c r="AF62" i="2"/>
  <c r="AF116" i="2"/>
  <c r="AF260" i="2" s="1"/>
  <c r="AF180" i="2"/>
  <c r="Q100" i="4"/>
  <c r="Q122" i="4"/>
  <c r="AF154" i="2"/>
  <c r="Q26" i="4"/>
  <c r="Q82" i="4"/>
  <c r="AF53" i="2"/>
  <c r="Q34" i="4"/>
  <c r="AF169" i="2"/>
  <c r="AF102" i="2"/>
  <c r="Q107" i="4"/>
  <c r="Q27" i="4"/>
  <c r="Q49" i="4"/>
  <c r="AF143" i="2"/>
  <c r="Q56" i="4"/>
  <c r="AF163" i="2"/>
  <c r="Q137" i="4"/>
  <c r="AF92" i="2"/>
  <c r="AF125" i="2"/>
  <c r="AF184" i="2"/>
  <c r="AF155" i="2"/>
  <c r="AF103" i="2"/>
  <c r="AF59" i="2"/>
  <c r="AF165" i="2"/>
  <c r="AF175" i="2"/>
  <c r="AF119" i="2"/>
  <c r="AF263" i="2" s="1"/>
  <c r="AF105" i="2"/>
  <c r="Q112" i="4"/>
  <c r="Q121" i="4"/>
  <c r="AF28" i="2"/>
  <c r="AF227" i="2" s="1"/>
  <c r="AF18" i="2"/>
  <c r="AF217" i="2" s="1"/>
  <c r="AF69" i="2"/>
  <c r="AF97" i="2"/>
  <c r="AF170" i="2"/>
  <c r="AF20" i="2"/>
  <c r="AF61" i="2"/>
  <c r="AF83" i="2"/>
  <c r="AF108" i="2"/>
  <c r="AF98" i="2"/>
  <c r="Q92" i="4"/>
  <c r="AF79" i="2"/>
  <c r="AF161" i="2"/>
  <c r="AF134" i="2"/>
  <c r="AF278" i="2" s="1"/>
  <c r="AF78" i="2"/>
  <c r="AF208" i="2"/>
  <c r="AF21" i="2"/>
  <c r="AF220" i="2" s="1"/>
  <c r="AF179" i="2"/>
  <c r="AF136" i="2"/>
  <c r="AF202" i="2"/>
  <c r="AF121" i="2"/>
  <c r="AF265" i="2" s="1"/>
  <c r="AF181" i="2"/>
  <c r="AF16" i="2"/>
  <c r="AF215" i="2" s="1"/>
  <c r="AF93" i="2"/>
  <c r="AF183" i="2"/>
  <c r="Q40" i="4"/>
  <c r="AF201" i="2"/>
  <c r="AF192" i="2"/>
  <c r="AF60" i="2"/>
  <c r="AF172" i="2"/>
  <c r="AF99" i="2"/>
  <c r="AF19" i="2"/>
  <c r="AF218" i="2" s="1"/>
  <c r="AF140" i="2"/>
  <c r="AF46" i="2"/>
  <c r="AF77" i="2"/>
  <c r="AF124" i="2"/>
  <c r="AF268" i="2" s="1"/>
  <c r="AF156" i="2"/>
  <c r="AF152" i="2"/>
  <c r="AF66" i="2"/>
  <c r="AF26" i="2"/>
  <c r="AF225" i="2" s="1"/>
  <c r="AF137" i="2"/>
  <c r="AF54" i="2"/>
  <c r="AF104" i="2"/>
  <c r="AF24" i="2"/>
  <c r="AF223" i="2" s="1"/>
  <c r="AF200" i="2"/>
  <c r="AF148" i="2"/>
  <c r="AF187" i="2"/>
  <c r="AF193" i="2"/>
  <c r="AF190" i="2"/>
  <c r="AF126" i="2"/>
  <c r="AF270" i="2" s="1"/>
  <c r="AF168" i="2"/>
  <c r="AF29" i="2"/>
  <c r="AF228" i="2" s="1"/>
  <c r="AF52" i="2"/>
  <c r="AF120" i="2"/>
  <c r="AF177" i="2"/>
  <c r="AF150" i="2"/>
  <c r="AF23" i="2"/>
  <c r="AF222" i="2" s="1"/>
  <c r="AF58" i="2"/>
  <c r="AF94" i="2"/>
  <c r="AF129" i="2"/>
  <c r="AF273" i="2" s="1"/>
  <c r="AF128" i="2"/>
  <c r="AF272" i="2" s="1"/>
  <c r="AF186" i="2"/>
  <c r="Q119" i="4"/>
  <c r="AF197" i="2"/>
  <c r="AF101" i="2"/>
  <c r="AF86" i="2"/>
  <c r="AF164" i="2"/>
  <c r="AF176" i="2"/>
  <c r="AF56" i="2"/>
  <c r="AF207" i="2"/>
  <c r="AF189" i="2"/>
  <c r="AF162" i="2"/>
  <c r="AF195" i="2"/>
  <c r="AF171" i="2"/>
  <c r="AF27" i="2"/>
  <c r="AF226" i="2" s="1"/>
  <c r="AF185" i="2"/>
  <c r="AF100" i="2"/>
  <c r="AF81" i="2"/>
  <c r="AF72" i="2"/>
  <c r="AF133" i="2"/>
  <c r="Q103" i="4"/>
  <c r="AF173" i="2"/>
  <c r="AF203" i="2"/>
  <c r="AF196" i="2"/>
  <c r="AF166" i="2"/>
  <c r="AF127" i="2"/>
  <c r="AF271" i="2" s="1"/>
  <c r="AF109" i="2"/>
  <c r="AF89" i="2"/>
  <c r="AF132" i="2"/>
  <c r="AF147" i="2"/>
  <c r="AF204" i="2"/>
  <c r="AF106" i="2"/>
  <c r="AF182" i="2"/>
  <c r="AF49" i="2"/>
  <c r="AF51" i="2"/>
  <c r="AF57" i="2"/>
  <c r="R37" i="4" s="1"/>
  <c r="AF107" i="2"/>
  <c r="AF96" i="2"/>
  <c r="AF88" i="2"/>
  <c r="AF63" i="2"/>
  <c r="AF151" i="2"/>
  <c r="AF167" i="2"/>
  <c r="AF138" i="2"/>
  <c r="AF110" i="2"/>
  <c r="AF82" i="2"/>
  <c r="AF74" i="2"/>
  <c r="AF64" i="2"/>
  <c r="AF123" i="2"/>
  <c r="AF267" i="2" s="1"/>
  <c r="AF206" i="2"/>
  <c r="AF139" i="2"/>
  <c r="AF76" i="2"/>
  <c r="AF131" i="2"/>
  <c r="AF275" i="2" s="1"/>
  <c r="AF146" i="2"/>
  <c r="AF91" i="2"/>
  <c r="AF210" i="2"/>
  <c r="AF205" i="2"/>
  <c r="AF117" i="2"/>
  <c r="AF261" i="2" s="1"/>
  <c r="AF90" i="2"/>
  <c r="AF145" i="2"/>
  <c r="AF85" i="2"/>
  <c r="Q42" i="4"/>
  <c r="Q38" i="4"/>
  <c r="R38" i="4" s="1"/>
  <c r="AF67" i="2"/>
  <c r="Q47" i="4"/>
  <c r="Q44" i="4"/>
  <c r="Q50" i="4"/>
  <c r="Q115" i="4"/>
  <c r="Q106" i="4"/>
  <c r="Q54" i="4"/>
  <c r="Q15" i="4"/>
  <c r="Q134" i="4"/>
  <c r="Q52" i="4"/>
  <c r="Q11" i="4"/>
  <c r="Q12" i="4"/>
  <c r="AF194" i="2"/>
  <c r="Q144" i="4"/>
  <c r="Q132" i="4"/>
  <c r="Q18" i="4"/>
  <c r="Q85" i="4"/>
  <c r="Q43" i="4"/>
  <c r="Q102" i="4"/>
  <c r="Q59" i="4"/>
  <c r="Q63" i="4"/>
  <c r="Q114" i="4"/>
  <c r="Q53" i="4"/>
  <c r="AF178" i="2"/>
  <c r="Q128" i="4"/>
  <c r="AF160" i="2"/>
  <c r="Q110" i="4"/>
  <c r="Q29" i="4"/>
  <c r="Q91" i="4"/>
  <c r="Q139" i="4"/>
  <c r="Q25" i="4"/>
  <c r="Q81" i="4"/>
  <c r="Q84" i="4"/>
  <c r="Q64" i="4"/>
  <c r="Q61" i="4"/>
  <c r="Q13" i="4"/>
  <c r="Q39" i="4"/>
  <c r="Q117" i="4"/>
  <c r="Q19" i="4"/>
  <c r="Q93" i="4"/>
  <c r="Q57" i="4"/>
  <c r="Q87" i="4"/>
  <c r="Q130" i="4"/>
  <c r="Q69" i="4"/>
  <c r="Q126" i="4"/>
  <c r="Q96" i="4"/>
  <c r="AF55" i="2"/>
  <c r="AF80" i="2"/>
  <c r="AF48" i="2"/>
  <c r="Q28" i="4"/>
  <c r="AF65" i="2"/>
  <c r="AF70" i="2"/>
  <c r="Q138" i="4"/>
  <c r="R138" i="4" s="1"/>
  <c r="Q95" i="4"/>
  <c r="Q113" i="4"/>
  <c r="Q60" i="4"/>
  <c r="Q118" i="4"/>
  <c r="Q58" i="4"/>
  <c r="Q101" i="4"/>
  <c r="Q89" i="4"/>
  <c r="Q145" i="4"/>
  <c r="Q74" i="4"/>
  <c r="Q109" i="4"/>
  <c r="Q72" i="4"/>
  <c r="Q123" i="4"/>
  <c r="Q22" i="4"/>
  <c r="Q41" i="4"/>
  <c r="Q83" i="4"/>
  <c r="N6" i="4"/>
  <c r="N5" i="4"/>
  <c r="Q36" i="4"/>
  <c r="Q120" i="4"/>
  <c r="Q31" i="4"/>
  <c r="Q127" i="4"/>
  <c r="Q16" i="4"/>
  <c r="Q129" i="4"/>
  <c r="Q66" i="4"/>
  <c r="Q30" i="4"/>
  <c r="Q98" i="4"/>
  <c r="Q46" i="4"/>
  <c r="Q136" i="4"/>
  <c r="Q105" i="4"/>
  <c r="Q116" i="4"/>
  <c r="Q140" i="4"/>
  <c r="Q32" i="4"/>
  <c r="AF135" i="2"/>
  <c r="AF75" i="2"/>
  <c r="Q90" i="4"/>
  <c r="Q80" i="4"/>
  <c r="P146" i="4"/>
  <c r="Q97" i="4"/>
  <c r="P10" i="4"/>
  <c r="O4" i="4"/>
  <c r="R16" i="41" s="1"/>
  <c r="O76" i="4"/>
  <c r="Q75" i="4"/>
  <c r="Q131" i="4"/>
  <c r="Q88" i="4"/>
  <c r="Q143" i="4"/>
  <c r="Q45" i="4"/>
  <c r="Q70" i="4"/>
  <c r="Q86" i="4"/>
  <c r="Q33" i="4"/>
  <c r="AF41" i="2"/>
  <c r="AF15" i="2"/>
  <c r="AE111" i="2"/>
  <c r="AE7" i="2"/>
  <c r="AE4" i="2"/>
  <c r="AE5" i="2" s="1"/>
  <c r="AF33" i="2"/>
  <c r="AF34" i="2"/>
  <c r="AF45" i="2"/>
  <c r="AF37" i="2"/>
  <c r="AF30" i="2"/>
  <c r="AE6" i="2"/>
  <c r="AF39" i="2"/>
  <c r="AF35" i="2"/>
  <c r="AF115" i="2"/>
  <c r="AE211" i="2"/>
  <c r="AF38" i="2"/>
  <c r="AF42" i="2"/>
  <c r="AF43" i="2"/>
  <c r="AF40" i="2"/>
  <c r="AF44" i="2"/>
  <c r="AF31" i="2"/>
  <c r="AF230" i="2" s="1"/>
  <c r="AF36" i="2"/>
  <c r="AG8" i="2"/>
  <c r="AF142" i="2"/>
  <c r="AF144" i="2"/>
  <c r="AF71" i="2"/>
  <c r="AF149" i="2"/>
  <c r="AF191" i="2"/>
  <c r="AF157" i="2"/>
  <c r="AF95" i="2"/>
  <c r="AF87" i="2"/>
  <c r="AF68" i="2"/>
  <c r="AF118" i="2"/>
  <c r="AF262" i="2" s="1"/>
  <c r="AF25" i="2"/>
  <c r="AF32" i="2"/>
  <c r="AF231" i="2" s="1"/>
  <c r="AF158" i="2"/>
  <c r="AF199" i="2"/>
  <c r="AF122" i="2"/>
  <c r="AF266" i="2" s="1"/>
  <c r="R294" i="36" l="1"/>
  <c r="R187" i="36"/>
  <c r="R17" i="41"/>
  <c r="R20" i="41"/>
  <c r="P138" i="41"/>
  <c r="O292" i="41"/>
  <c r="O432" i="41" s="1"/>
  <c r="O428" i="41" s="1"/>
  <c r="O349" i="41"/>
  <c r="O344" i="41"/>
  <c r="O242" i="41"/>
  <c r="O155" i="41"/>
  <c r="O370" i="41"/>
  <c r="O404" i="41"/>
  <c r="O341" i="41"/>
  <c r="O345" i="41"/>
  <c r="P197" i="41"/>
  <c r="P200" i="41" s="1"/>
  <c r="P191" i="41"/>
  <c r="P194" i="41" s="1"/>
  <c r="P136" i="41"/>
  <c r="O195" i="41"/>
  <c r="O94" i="41"/>
  <c r="Q13" i="41"/>
  <c r="P14" i="41"/>
  <c r="P135" i="40"/>
  <c r="O140" i="41"/>
  <c r="P137" i="41"/>
  <c r="Q134" i="41"/>
  <c r="P141" i="41"/>
  <c r="R135" i="41"/>
  <c r="R183" i="41"/>
  <c r="Q189" i="41"/>
  <c r="R11" i="41"/>
  <c r="Q12" i="41"/>
  <c r="U160" i="41"/>
  <c r="T161" i="41"/>
  <c r="S165" i="41"/>
  <c r="P134" i="40"/>
  <c r="P134" i="38"/>
  <c r="Q17" i="40"/>
  <c r="Q20" i="40"/>
  <c r="R16" i="40"/>
  <c r="Q11" i="39"/>
  <c r="P12" i="39"/>
  <c r="Q183" i="40"/>
  <c r="P189" i="40"/>
  <c r="Q20" i="39"/>
  <c r="R16" i="39"/>
  <c r="Q17" i="39"/>
  <c r="P135" i="36"/>
  <c r="O191" i="39"/>
  <c r="O194" i="39" s="1"/>
  <c r="P134" i="36"/>
  <c r="O191" i="38"/>
  <c r="O194" i="38" s="1"/>
  <c r="O197" i="38"/>
  <c r="O200" i="38" s="1"/>
  <c r="Q183" i="39"/>
  <c r="Q189" i="39" s="1"/>
  <c r="P189" i="39"/>
  <c r="O301" i="39"/>
  <c r="O138" i="39"/>
  <c r="O136" i="39"/>
  <c r="O310" i="39"/>
  <c r="O323" i="39"/>
  <c r="O306" i="39"/>
  <c r="O273" i="39"/>
  <c r="O318" i="39"/>
  <c r="O283" i="39"/>
  <c r="O14" i="39"/>
  <c r="O288" i="39"/>
  <c r="P13" i="39"/>
  <c r="P196" i="39" s="1"/>
  <c r="O314" i="39"/>
  <c r="O141" i="39"/>
  <c r="O137" i="39"/>
  <c r="Q183" i="38"/>
  <c r="P189" i="38"/>
  <c r="P12" i="38"/>
  <c r="Q11" i="38"/>
  <c r="P12" i="40"/>
  <c r="Q11" i="40"/>
  <c r="R16" i="38"/>
  <c r="Q17" i="38"/>
  <c r="Q135" i="38" s="1"/>
  <c r="Q20" i="38"/>
  <c r="P134" i="39"/>
  <c r="O191" i="40"/>
  <c r="O194" i="40" s="1"/>
  <c r="O288" i="40"/>
  <c r="O306" i="40"/>
  <c r="O137" i="40"/>
  <c r="O138" i="40"/>
  <c r="O283" i="40"/>
  <c r="O318" i="40"/>
  <c r="O319" i="40" s="1"/>
  <c r="O323" i="40"/>
  <c r="O273" i="40"/>
  <c r="O197" i="40"/>
  <c r="O200" i="40" s="1"/>
  <c r="O314" i="40"/>
  <c r="O310" i="40"/>
  <c r="O14" i="40"/>
  <c r="O136" i="40"/>
  <c r="P13" i="40"/>
  <c r="P196" i="40" s="1"/>
  <c r="O301" i="40"/>
  <c r="O141" i="40"/>
  <c r="P135" i="39"/>
  <c r="O141" i="38"/>
  <c r="O136" i="38"/>
  <c r="O138" i="38"/>
  <c r="O14" i="38"/>
  <c r="P13" i="38"/>
  <c r="O137" i="38"/>
  <c r="O273" i="36"/>
  <c r="O318" i="36"/>
  <c r="O306" i="36"/>
  <c r="O310" i="36"/>
  <c r="O323" i="36"/>
  <c r="O283" i="36"/>
  <c r="O301" i="36"/>
  <c r="O288" i="36"/>
  <c r="O197" i="36"/>
  <c r="O200" i="36" s="1"/>
  <c r="O314" i="36"/>
  <c r="O136" i="36"/>
  <c r="O141" i="36"/>
  <c r="O137" i="36"/>
  <c r="O138" i="36"/>
  <c r="R44" i="36"/>
  <c r="R149" i="36"/>
  <c r="R186" i="36"/>
  <c r="P92" i="36"/>
  <c r="O14" i="36"/>
  <c r="P13" i="36"/>
  <c r="R23" i="4"/>
  <c r="T185" i="36"/>
  <c r="R139" i="36"/>
  <c r="P12" i="36"/>
  <c r="Q11" i="36"/>
  <c r="R177" i="36"/>
  <c r="Q178" i="36"/>
  <c r="Q179" i="36" s="1"/>
  <c r="O191" i="36"/>
  <c r="O194" i="36" s="1"/>
  <c r="R154" i="36"/>
  <c r="Q491" i="36"/>
  <c r="T182" i="36"/>
  <c r="Q183" i="36"/>
  <c r="P189" i="36"/>
  <c r="T190" i="36"/>
  <c r="S271" i="36"/>
  <c r="T184" i="36"/>
  <c r="Q20" i="36"/>
  <c r="R16" i="36"/>
  <c r="Q17" i="36"/>
  <c r="S22" i="36"/>
  <c r="T21" i="36"/>
  <c r="Q147" i="36"/>
  <c r="Q150" i="36" s="1"/>
  <c r="R146" i="36"/>
  <c r="Q89" i="36"/>
  <c r="Q490" i="36"/>
  <c r="S19" i="36"/>
  <c r="T18" i="36"/>
  <c r="R169" i="36"/>
  <c r="Q170" i="36"/>
  <c r="Q173" i="36" s="1"/>
  <c r="AF302" i="2"/>
  <c r="AF264" i="2"/>
  <c r="AF284" i="2"/>
  <c r="AF269" i="2"/>
  <c r="AF285" i="2"/>
  <c r="AF303" i="2"/>
  <c r="AF299" i="2"/>
  <c r="AF298" i="2"/>
  <c r="AF274" i="2"/>
  <c r="AF286" i="2"/>
  <c r="AF301" i="2"/>
  <c r="AF300" i="2"/>
  <c r="AF259" i="2"/>
  <c r="AF283" i="2"/>
  <c r="R53" i="4"/>
  <c r="AF255" i="2"/>
  <c r="AF219" i="2"/>
  <c r="AF239" i="2"/>
  <c r="AF258" i="2"/>
  <c r="AF257" i="2"/>
  <c r="AF224" i="2"/>
  <c r="AF240" i="2"/>
  <c r="AF229" i="2"/>
  <c r="AF241" i="2"/>
  <c r="AF214" i="2"/>
  <c r="AF238" i="2"/>
  <c r="R99" i="4"/>
  <c r="AF253" i="2"/>
  <c r="AF256" i="2"/>
  <c r="R65" i="4"/>
  <c r="AF254" i="2"/>
  <c r="AF280" i="2"/>
  <c r="AF281" i="2"/>
  <c r="AF277" i="2"/>
  <c r="AF279" i="2"/>
  <c r="AF282" i="2"/>
  <c r="R141" i="4"/>
  <c r="R68" i="4"/>
  <c r="AF235" i="2"/>
  <c r="AF236" i="2"/>
  <c r="AF237" i="2"/>
  <c r="AF232" i="2"/>
  <c r="AF234" i="2"/>
  <c r="R82" i="4"/>
  <c r="AF276" i="2"/>
  <c r="R14" i="4"/>
  <c r="AF233" i="2"/>
  <c r="R73" i="4"/>
  <c r="R142" i="4"/>
  <c r="R108" i="4"/>
  <c r="R24" i="4"/>
  <c r="R122" i="4"/>
  <c r="R54" i="4"/>
  <c r="R103" i="4"/>
  <c r="R111" i="4"/>
  <c r="R124" i="4"/>
  <c r="R135" i="4"/>
  <c r="R109" i="4"/>
  <c r="AF251" i="2"/>
  <c r="R93" i="4"/>
  <c r="R104" i="4"/>
  <c r="AF248" i="2"/>
  <c r="AF249" i="2"/>
  <c r="R133" i="4"/>
  <c r="AF246" i="2"/>
  <c r="AF243" i="2"/>
  <c r="AF297" i="2"/>
  <c r="AF245" i="2"/>
  <c r="R58" i="4"/>
  <c r="AF294" i="2"/>
  <c r="R64" i="4"/>
  <c r="R91" i="4"/>
  <c r="AF295" i="2"/>
  <c r="AF296" i="2"/>
  <c r="AF288" i="2"/>
  <c r="R30" i="4"/>
  <c r="AF304" i="2"/>
  <c r="AF305" i="2"/>
  <c r="AF252" i="2"/>
  <c r="AF289" i="2"/>
  <c r="AF250" i="2"/>
  <c r="R107" i="4"/>
  <c r="AF242" i="2"/>
  <c r="AF247" i="2"/>
  <c r="AF287" i="2"/>
  <c r="AF291" i="2"/>
  <c r="AF292" i="2"/>
  <c r="R20" i="4"/>
  <c r="AF244" i="2"/>
  <c r="AF293" i="2"/>
  <c r="AF290" i="2"/>
  <c r="R71" i="4"/>
  <c r="R51" i="4"/>
  <c r="R17" i="4"/>
  <c r="R21" i="4"/>
  <c r="R125" i="4"/>
  <c r="R27" i="4"/>
  <c r="R66" i="4"/>
  <c r="R136" i="4"/>
  <c r="R100" i="4"/>
  <c r="R56" i="4"/>
  <c r="R83" i="4"/>
  <c r="R34" i="4"/>
  <c r="R131" i="4"/>
  <c r="R69" i="4"/>
  <c r="R42" i="4"/>
  <c r="R62" i="4"/>
  <c r="R123" i="4"/>
  <c r="R115" i="4"/>
  <c r="R119" i="4"/>
  <c r="R137" i="4"/>
  <c r="R121" i="4"/>
  <c r="R49" i="4"/>
  <c r="R44" i="4"/>
  <c r="R97" i="4"/>
  <c r="R130" i="4"/>
  <c r="R41" i="4"/>
  <c r="R105" i="4"/>
  <c r="AG187" i="2"/>
  <c r="R129" i="4"/>
  <c r="R33" i="4"/>
  <c r="R90" i="4"/>
  <c r="R118" i="4"/>
  <c r="R26" i="4"/>
  <c r="R45" i="4"/>
  <c r="R72" i="4"/>
  <c r="R40" i="4"/>
  <c r="R36" i="4"/>
  <c r="R59" i="4"/>
  <c r="R112" i="4"/>
  <c r="R98" i="4"/>
  <c r="R113" i="4"/>
  <c r="R61" i="4"/>
  <c r="R114" i="4"/>
  <c r="R29" i="4"/>
  <c r="R63" i="4"/>
  <c r="R46" i="4"/>
  <c r="R89" i="4"/>
  <c r="R70" i="4"/>
  <c r="R116" i="4"/>
  <c r="R101" i="4"/>
  <c r="R117" i="4"/>
  <c r="AG130" i="2"/>
  <c r="AG182" i="2"/>
  <c r="AG119" i="2"/>
  <c r="AG263" i="2" s="1"/>
  <c r="R143" i="4"/>
  <c r="R120" i="4"/>
  <c r="R126" i="4"/>
  <c r="R81" i="4"/>
  <c r="R132" i="4"/>
  <c r="R106" i="4"/>
  <c r="AG144" i="2"/>
  <c r="R39" i="4"/>
  <c r="AG118" i="2"/>
  <c r="AG262" i="2" s="1"/>
  <c r="R86" i="4"/>
  <c r="R32" i="4"/>
  <c r="R74" i="4"/>
  <c r="R102" i="4"/>
  <c r="R134" i="4"/>
  <c r="R43" i="4"/>
  <c r="R84" i="4"/>
  <c r="R139" i="4"/>
  <c r="AG99" i="2"/>
  <c r="AG68" i="2"/>
  <c r="AG142" i="2"/>
  <c r="R140" i="4"/>
  <c r="R127" i="4"/>
  <c r="AG172" i="2"/>
  <c r="AG48" i="2"/>
  <c r="AG201" i="2"/>
  <c r="AG204" i="2"/>
  <c r="R31" i="4"/>
  <c r="R110" i="4"/>
  <c r="AG175" i="2"/>
  <c r="AG122" i="2"/>
  <c r="AG266" i="2" s="1"/>
  <c r="AG24" i="2"/>
  <c r="AG223" i="2" s="1"/>
  <c r="R88" i="4"/>
  <c r="R95" i="4"/>
  <c r="R87" i="4"/>
  <c r="AG51" i="2"/>
  <c r="AG92" i="2"/>
  <c r="AG83" i="2"/>
  <c r="R57" i="4"/>
  <c r="R144" i="4"/>
  <c r="R52" i="4"/>
  <c r="AG87" i="2"/>
  <c r="AG49" i="2"/>
  <c r="AG54" i="2"/>
  <c r="R96" i="4"/>
  <c r="R25" i="4"/>
  <c r="R60" i="4"/>
  <c r="O6" i="4"/>
  <c r="O5" i="4"/>
  <c r="R19" i="4"/>
  <c r="R50" i="4"/>
  <c r="Q10" i="4"/>
  <c r="P76" i="4"/>
  <c r="P4" i="4"/>
  <c r="S16" i="41" s="1"/>
  <c r="R145" i="4"/>
  <c r="R28" i="4"/>
  <c r="R55" i="4"/>
  <c r="R22" i="4"/>
  <c r="R92" i="4"/>
  <c r="R15" i="4"/>
  <c r="R47" i="4"/>
  <c r="R80" i="4"/>
  <c r="Q146" i="4"/>
  <c r="R16" i="4"/>
  <c r="R85" i="4"/>
  <c r="R12" i="4"/>
  <c r="R35" i="4"/>
  <c r="R18" i="4"/>
  <c r="R48" i="4"/>
  <c r="R67" i="4"/>
  <c r="R75" i="4"/>
  <c r="R13" i="4"/>
  <c r="R94" i="4"/>
  <c r="R128" i="4"/>
  <c r="R11" i="4"/>
  <c r="AG36" i="2"/>
  <c r="AG125" i="2"/>
  <c r="AG78" i="2"/>
  <c r="AG27" i="2"/>
  <c r="AG226" i="2" s="1"/>
  <c r="AG17" i="2"/>
  <c r="AG216" i="2" s="1"/>
  <c r="AG28" i="2"/>
  <c r="AG227" i="2" s="1"/>
  <c r="AG88" i="2"/>
  <c r="AG23" i="2"/>
  <c r="AG222" i="2" s="1"/>
  <c r="AG206" i="2"/>
  <c r="AG98" i="2"/>
  <c r="AG177" i="2"/>
  <c r="AG20" i="2"/>
  <c r="AG140" i="2"/>
  <c r="AG37" i="2"/>
  <c r="AG169" i="2"/>
  <c r="AG57" i="2"/>
  <c r="S37" i="4" s="1"/>
  <c r="AG53" i="2"/>
  <c r="AG123" i="2"/>
  <c r="AG267" i="2" s="1"/>
  <c r="AG66" i="2"/>
  <c r="AG120" i="2"/>
  <c r="AG121" i="2"/>
  <c r="AG265" i="2" s="1"/>
  <c r="AG19" i="2"/>
  <c r="AG218" i="2" s="1"/>
  <c r="AG33" i="2"/>
  <c r="AG52" i="2"/>
  <c r="AG145" i="2"/>
  <c r="AG41" i="2"/>
  <c r="AH8" i="2"/>
  <c r="AG129" i="2"/>
  <c r="AG273" i="2" s="1"/>
  <c r="AG39" i="2"/>
  <c r="AG44" i="2"/>
  <c r="AG38" i="2"/>
  <c r="AG166" i="2"/>
  <c r="AG45" i="2"/>
  <c r="AG93" i="2"/>
  <c r="AG67" i="2"/>
  <c r="AG60" i="2"/>
  <c r="AG209" i="2"/>
  <c r="AG170" i="2"/>
  <c r="AG61" i="2"/>
  <c r="AG151" i="2"/>
  <c r="AG115" i="2"/>
  <c r="AF211" i="2"/>
  <c r="AG16" i="2"/>
  <c r="AG215" i="2" s="1"/>
  <c r="AG152" i="2"/>
  <c r="AG202" i="2"/>
  <c r="AG193" i="2"/>
  <c r="AG188" i="2"/>
  <c r="AG135" i="2"/>
  <c r="AG164" i="2"/>
  <c r="AG15" i="2"/>
  <c r="AF111" i="2"/>
  <c r="AF7" i="2"/>
  <c r="AF4" i="2"/>
  <c r="AF5" i="2" s="1"/>
  <c r="AG189" i="2"/>
  <c r="AG90" i="2"/>
  <c r="AG65" i="2"/>
  <c r="AG148" i="2"/>
  <c r="AG106" i="2"/>
  <c r="AG126" i="2"/>
  <c r="AG270" i="2" s="1"/>
  <c r="AG32" i="2"/>
  <c r="AG231" i="2" s="1"/>
  <c r="AG95" i="2"/>
  <c r="AG50" i="2"/>
  <c r="AG147" i="2"/>
  <c r="AG190" i="2"/>
  <c r="AG133" i="2"/>
  <c r="AG161" i="2"/>
  <c r="AG40" i="2"/>
  <c r="AG153" i="2"/>
  <c r="AG26" i="2"/>
  <c r="AG225" i="2" s="1"/>
  <c r="AG171" i="2"/>
  <c r="AG82" i="2"/>
  <c r="AG70" i="2"/>
  <c r="AG132" i="2"/>
  <c r="AG276" i="2" s="1"/>
  <c r="AG116" i="2"/>
  <c r="AG260" i="2" s="1"/>
  <c r="AG22" i="2"/>
  <c r="AG221" i="2" s="1"/>
  <c r="AG18" i="2"/>
  <c r="AG217" i="2" s="1"/>
  <c r="AG59" i="2"/>
  <c r="AG85" i="2"/>
  <c r="AG183" i="2"/>
  <c r="AG207" i="2"/>
  <c r="AG117" i="2"/>
  <c r="AG261" i="2" s="1"/>
  <c r="AG178" i="2"/>
  <c r="AG200" i="2"/>
  <c r="AG91" i="2"/>
  <c r="AG176" i="2"/>
  <c r="AG141" i="2"/>
  <c r="AG157" i="2"/>
  <c r="AG73" i="2"/>
  <c r="AG76" i="2"/>
  <c r="AG180" i="2"/>
  <c r="AG72" i="2"/>
  <c r="AG186" i="2"/>
  <c r="AG195" i="2"/>
  <c r="AG110" i="2"/>
  <c r="AG156" i="2"/>
  <c r="AG89" i="2"/>
  <c r="AG196" i="2"/>
  <c r="AG102" i="2"/>
  <c r="AG136" i="2"/>
  <c r="AG160" i="2"/>
  <c r="AG56" i="2"/>
  <c r="AG205" i="2"/>
  <c r="AG29" i="2"/>
  <c r="AG228" i="2" s="1"/>
  <c r="AG101" i="2"/>
  <c r="AG191" i="2"/>
  <c r="AG74" i="2"/>
  <c r="AG81" i="2"/>
  <c r="AG43" i="2"/>
  <c r="AG128" i="2"/>
  <c r="AG272" i="2" s="1"/>
  <c r="AG162" i="2"/>
  <c r="AG138" i="2"/>
  <c r="AG124" i="2"/>
  <c r="AG268" i="2" s="1"/>
  <c r="AG109" i="2"/>
  <c r="AG203" i="2"/>
  <c r="AG105" i="2"/>
  <c r="AG34" i="2"/>
  <c r="AG179" i="2"/>
  <c r="AG69" i="2"/>
  <c r="AG127" i="2"/>
  <c r="AG271" i="2" s="1"/>
  <c r="AG210" i="2"/>
  <c r="AG168" i="2"/>
  <c r="AG197" i="2"/>
  <c r="AG146" i="2"/>
  <c r="AG55" i="2"/>
  <c r="AG107" i="2"/>
  <c r="AG198" i="2"/>
  <c r="AG199" i="2"/>
  <c r="AG131" i="2"/>
  <c r="AG275" i="2" s="1"/>
  <c r="AG192" i="2"/>
  <c r="AG134" i="2"/>
  <c r="AG278" i="2" s="1"/>
  <c r="AG149" i="2"/>
  <c r="AG75" i="2"/>
  <c r="AG31" i="2"/>
  <c r="AG230" i="2" s="1"/>
  <c r="AG108" i="2"/>
  <c r="AG100" i="2"/>
  <c r="AG163" i="2"/>
  <c r="AG104" i="2"/>
  <c r="AG94" i="2"/>
  <c r="AG139" i="2"/>
  <c r="AG137" i="2"/>
  <c r="AG77" i="2"/>
  <c r="AG167" i="2"/>
  <c r="AG143" i="2"/>
  <c r="AG30" i="2"/>
  <c r="AF6" i="2"/>
  <c r="AG96" i="2"/>
  <c r="AG21" i="2"/>
  <c r="AG220" i="2" s="1"/>
  <c r="AG181" i="2"/>
  <c r="AG165" i="2"/>
  <c r="AG174" i="2"/>
  <c r="AG47" i="2"/>
  <c r="AG173" i="2"/>
  <c r="AG158" i="2"/>
  <c r="AG79" i="2"/>
  <c r="AG80" i="2"/>
  <c r="AG25" i="2"/>
  <c r="AG71" i="2"/>
  <c r="AG97" i="2"/>
  <c r="AG208" i="2"/>
  <c r="AG185" i="2"/>
  <c r="AG62" i="2"/>
  <c r="AG42" i="2"/>
  <c r="AG103" i="2"/>
  <c r="AG58" i="2"/>
  <c r="AG194" i="2"/>
  <c r="AG159" i="2"/>
  <c r="AG150" i="2"/>
  <c r="AG35" i="2"/>
  <c r="AG63" i="2"/>
  <c r="AG46" i="2"/>
  <c r="AG155" i="2"/>
  <c r="AG184" i="2"/>
  <c r="AG86" i="2"/>
  <c r="AG84" i="2"/>
  <c r="AG64" i="2"/>
  <c r="AG154" i="2"/>
  <c r="P140" i="41" l="1"/>
  <c r="O437" i="41"/>
  <c r="Q141" i="41"/>
  <c r="Q136" i="41"/>
  <c r="S20" i="41"/>
  <c r="S17" i="41"/>
  <c r="S135" i="41" s="1"/>
  <c r="S183" i="41"/>
  <c r="R189" i="41"/>
  <c r="P345" i="41"/>
  <c r="O500" i="41"/>
  <c r="O503" i="41" s="1"/>
  <c r="O516" i="41" s="1"/>
  <c r="Q191" i="41"/>
  <c r="Q194" i="41" s="1"/>
  <c r="Q197" i="41"/>
  <c r="Q200" i="41" s="1"/>
  <c r="O342" i="41"/>
  <c r="P341" i="41"/>
  <c r="O123" i="41"/>
  <c r="O529" i="41"/>
  <c r="O492" i="41"/>
  <c r="O91" i="41"/>
  <c r="O217" i="41"/>
  <c r="O429" i="41"/>
  <c r="Q135" i="40"/>
  <c r="Q14" i="41"/>
  <c r="R13" i="41"/>
  <c r="P404" i="41"/>
  <c r="O80" i="41"/>
  <c r="O406" i="41"/>
  <c r="O103" i="41" s="1"/>
  <c r="O293" i="41"/>
  <c r="O295" i="41"/>
  <c r="P292" i="41"/>
  <c r="P432" i="41" s="1"/>
  <c r="P428" i="41" s="1"/>
  <c r="P429" i="41" s="1"/>
  <c r="O526" i="41"/>
  <c r="O527" i="41" s="1"/>
  <c r="O350" i="41"/>
  <c r="P349" i="41"/>
  <c r="P142" i="41"/>
  <c r="P47" i="41" s="1"/>
  <c r="P370" i="41"/>
  <c r="O59" i="41"/>
  <c r="O372" i="41"/>
  <c r="O101" i="41" s="1"/>
  <c r="Q138" i="41"/>
  <c r="R134" i="41"/>
  <c r="O493" i="41"/>
  <c r="O90" i="41"/>
  <c r="P155" i="41"/>
  <c r="O142" i="41"/>
  <c r="O34" i="41"/>
  <c r="O238" i="41"/>
  <c r="P242" i="41"/>
  <c r="Q135" i="39"/>
  <c r="R12" i="41"/>
  <c r="S11" i="41"/>
  <c r="Q137" i="41"/>
  <c r="P94" i="41"/>
  <c r="P195" i="41"/>
  <c r="P493" i="41" s="1"/>
  <c r="P344" i="41"/>
  <c r="T165" i="41"/>
  <c r="V160" i="41"/>
  <c r="U161" i="41"/>
  <c r="P141" i="40"/>
  <c r="O140" i="39"/>
  <c r="O142" i="39" s="1"/>
  <c r="P141" i="38"/>
  <c r="P137" i="38"/>
  <c r="P136" i="38"/>
  <c r="P141" i="39"/>
  <c r="P283" i="39"/>
  <c r="P136" i="40"/>
  <c r="P283" i="40"/>
  <c r="O275" i="40"/>
  <c r="O276" i="40"/>
  <c r="O274" i="40"/>
  <c r="P273" i="40"/>
  <c r="O94" i="40"/>
  <c r="O195" i="40"/>
  <c r="O276" i="39"/>
  <c r="P273" i="39"/>
  <c r="O274" i="39"/>
  <c r="O275" i="39"/>
  <c r="Q191" i="39"/>
  <c r="Q194" i="39" s="1"/>
  <c r="O302" i="40"/>
  <c r="O303" i="40" s="1"/>
  <c r="O336" i="40" s="1"/>
  <c r="P301" i="40"/>
  <c r="O324" i="40"/>
  <c r="O325" i="40" s="1"/>
  <c r="P323" i="40"/>
  <c r="O315" i="39"/>
  <c r="P314" i="39"/>
  <c r="P306" i="39"/>
  <c r="O307" i="39"/>
  <c r="R183" i="39"/>
  <c r="S16" i="39"/>
  <c r="R17" i="39"/>
  <c r="R135" i="39" s="1"/>
  <c r="R20" i="39"/>
  <c r="P14" i="38"/>
  <c r="Q13" i="38"/>
  <c r="P318" i="40"/>
  <c r="P14" i="40"/>
  <c r="Q13" i="40"/>
  <c r="Q196" i="40" s="1"/>
  <c r="Q12" i="38"/>
  <c r="R11" i="38"/>
  <c r="P14" i="39"/>
  <c r="Q13" i="39"/>
  <c r="Q196" i="39" s="1"/>
  <c r="P323" i="39"/>
  <c r="O324" i="39"/>
  <c r="O325" i="39" s="1"/>
  <c r="O195" i="38"/>
  <c r="O94" i="38"/>
  <c r="P191" i="40"/>
  <c r="P194" i="40" s="1"/>
  <c r="O349" i="38"/>
  <c r="O242" i="38"/>
  <c r="O404" i="38"/>
  <c r="O341" i="38"/>
  <c r="O344" i="38"/>
  <c r="O155" i="38"/>
  <c r="O345" i="38"/>
  <c r="O370" i="38"/>
  <c r="Q134" i="39"/>
  <c r="P197" i="39"/>
  <c r="P200" i="39" s="1"/>
  <c r="O311" i="39"/>
  <c r="P310" i="39"/>
  <c r="Q134" i="36"/>
  <c r="R183" i="40"/>
  <c r="R189" i="40" s="1"/>
  <c r="Q189" i="40"/>
  <c r="P138" i="38"/>
  <c r="O292" i="38"/>
  <c r="O155" i="40"/>
  <c r="O341" i="40"/>
  <c r="O349" i="40"/>
  <c r="O345" i="40"/>
  <c r="O404" i="40"/>
  <c r="O370" i="40"/>
  <c r="O344" i="40"/>
  <c r="O242" i="40"/>
  <c r="O292" i="40"/>
  <c r="O437" i="40" s="1"/>
  <c r="P138" i="40"/>
  <c r="P191" i="38"/>
  <c r="P194" i="38" s="1"/>
  <c r="P197" i="38"/>
  <c r="P200" i="38" s="1"/>
  <c r="O289" i="39"/>
  <c r="P288" i="39"/>
  <c r="P136" i="39"/>
  <c r="O197" i="39"/>
  <c r="O200" i="39" s="1"/>
  <c r="O140" i="38"/>
  <c r="O311" i="40"/>
  <c r="P310" i="40"/>
  <c r="P137" i="40"/>
  <c r="R183" i="38"/>
  <c r="Q189" i="38"/>
  <c r="O155" i="39"/>
  <c r="O90" i="39" s="1"/>
  <c r="O349" i="39"/>
  <c r="O242" i="39"/>
  <c r="O404" i="39"/>
  <c r="O370" i="39"/>
  <c r="O341" i="39"/>
  <c r="O344" i="39"/>
  <c r="O345" i="39"/>
  <c r="O292" i="39"/>
  <c r="O437" i="39" s="1"/>
  <c r="P138" i="39"/>
  <c r="O94" i="39"/>
  <c r="O195" i="39"/>
  <c r="Q12" i="39"/>
  <c r="R11" i="39"/>
  <c r="Q134" i="38"/>
  <c r="O315" i="40"/>
  <c r="P314" i="40"/>
  <c r="O307" i="40"/>
  <c r="P306" i="40"/>
  <c r="S16" i="38"/>
  <c r="R17" i="38"/>
  <c r="R135" i="38" s="1"/>
  <c r="R20" i="38"/>
  <c r="O302" i="39"/>
  <c r="O303" i="39" s="1"/>
  <c r="O336" i="39" s="1"/>
  <c r="P301" i="39"/>
  <c r="Q135" i="36"/>
  <c r="S16" i="40"/>
  <c r="R17" i="40"/>
  <c r="R20" i="40"/>
  <c r="Q134" i="40"/>
  <c r="P197" i="40"/>
  <c r="P200" i="40" s="1"/>
  <c r="O289" i="40"/>
  <c r="P288" i="40"/>
  <c r="Q12" i="40"/>
  <c r="R11" i="40"/>
  <c r="P137" i="39"/>
  <c r="P318" i="39"/>
  <c r="O319" i="39"/>
  <c r="P191" i="39"/>
  <c r="P194" i="39" s="1"/>
  <c r="O140" i="40"/>
  <c r="P306" i="36"/>
  <c r="P310" i="36"/>
  <c r="P314" i="36"/>
  <c r="P318" i="36"/>
  <c r="P197" i="36"/>
  <c r="P200" i="36" s="1"/>
  <c r="P273" i="36"/>
  <c r="P288" i="36"/>
  <c r="P301" i="36"/>
  <c r="P283" i="36"/>
  <c r="P323" i="36"/>
  <c r="P138" i="36"/>
  <c r="P137" i="36"/>
  <c r="P141" i="36"/>
  <c r="P136" i="36"/>
  <c r="O275" i="36"/>
  <c r="O276" i="36"/>
  <c r="O274" i="36"/>
  <c r="O315" i="36"/>
  <c r="O307" i="36"/>
  <c r="O319" i="36"/>
  <c r="O311" i="36"/>
  <c r="O302" i="36"/>
  <c r="O324" i="36"/>
  <c r="O289" i="36"/>
  <c r="S44" i="36"/>
  <c r="S186" i="36"/>
  <c r="S23" i="4"/>
  <c r="T19" i="36"/>
  <c r="U18" i="36"/>
  <c r="T22" i="36"/>
  <c r="U21" i="36"/>
  <c r="S294" i="36"/>
  <c r="T294" i="36" s="1"/>
  <c r="T271" i="36"/>
  <c r="U190" i="36"/>
  <c r="U182" i="36"/>
  <c r="S154" i="36"/>
  <c r="S169" i="36"/>
  <c r="R170" i="36"/>
  <c r="R173" i="36" s="1"/>
  <c r="S188" i="36"/>
  <c r="P191" i="36"/>
  <c r="P194" i="36" s="1"/>
  <c r="U185" i="36"/>
  <c r="O292" i="36"/>
  <c r="O432" i="36" s="1"/>
  <c r="O428" i="36" s="1"/>
  <c r="R183" i="36"/>
  <c r="Q189" i="36"/>
  <c r="Q12" i="36"/>
  <c r="R11" i="36"/>
  <c r="P14" i="36"/>
  <c r="Q13" i="36"/>
  <c r="Q92" i="36"/>
  <c r="R491" i="36"/>
  <c r="S177" i="36"/>
  <c r="R178" i="36"/>
  <c r="R179" i="36" s="1"/>
  <c r="O344" i="36"/>
  <c r="O242" i="36"/>
  <c r="O238" i="36" s="1"/>
  <c r="O404" i="36"/>
  <c r="O349" i="36"/>
  <c r="O341" i="36"/>
  <c r="O370" i="36"/>
  <c r="O59" i="36" s="1"/>
  <c r="O345" i="36"/>
  <c r="O155" i="36"/>
  <c r="O140" i="36"/>
  <c r="U184" i="36"/>
  <c r="S187" i="36"/>
  <c r="T187" i="36" s="1"/>
  <c r="S139" i="36"/>
  <c r="T139" i="36" s="1"/>
  <c r="R147" i="36"/>
  <c r="R150" i="36" s="1"/>
  <c r="R89" i="36"/>
  <c r="S146" i="36"/>
  <c r="R490" i="36"/>
  <c r="S16" i="36"/>
  <c r="R17" i="36"/>
  <c r="R20" i="36"/>
  <c r="S149" i="36"/>
  <c r="T149" i="36" s="1"/>
  <c r="O195" i="36"/>
  <c r="O94" i="36"/>
  <c r="AG298" i="2"/>
  <c r="AG269" i="2"/>
  <c r="AG285" i="2"/>
  <c r="AG300" i="2"/>
  <c r="AG299" i="2"/>
  <c r="AG303" i="2"/>
  <c r="AG259" i="2"/>
  <c r="AG283" i="2"/>
  <c r="AG301" i="2"/>
  <c r="AG264" i="2"/>
  <c r="AG284" i="2"/>
  <c r="AG302" i="2"/>
  <c r="AG274" i="2"/>
  <c r="AG286" i="2"/>
  <c r="S68" i="4"/>
  <c r="AG256" i="2"/>
  <c r="AG253" i="2"/>
  <c r="AG219" i="2"/>
  <c r="AG239" i="2"/>
  <c r="AG258" i="2"/>
  <c r="AG214" i="2"/>
  <c r="AG238" i="2"/>
  <c r="AG224" i="2"/>
  <c r="AG240" i="2"/>
  <c r="AG229" i="2"/>
  <c r="AG241" i="2"/>
  <c r="AG257" i="2"/>
  <c r="AG255" i="2"/>
  <c r="AG254" i="2"/>
  <c r="AG281" i="2"/>
  <c r="AG282" i="2"/>
  <c r="AG277" i="2"/>
  <c r="AG279" i="2"/>
  <c r="AG280" i="2"/>
  <c r="S24" i="4"/>
  <c r="AG235" i="2"/>
  <c r="AG237" i="2"/>
  <c r="AG236" i="2"/>
  <c r="AG232" i="2"/>
  <c r="AG234" i="2"/>
  <c r="S122" i="4"/>
  <c r="S73" i="4"/>
  <c r="S14" i="4"/>
  <c r="AG233" i="2"/>
  <c r="AH67" i="2"/>
  <c r="AH16" i="2"/>
  <c r="AH215" i="2" s="1"/>
  <c r="AG242" i="2"/>
  <c r="AG243" i="2"/>
  <c r="AH96" i="2"/>
  <c r="AG287" i="2"/>
  <c r="AG249" i="2"/>
  <c r="AG288" i="2"/>
  <c r="AH94" i="2"/>
  <c r="AH134" i="2"/>
  <c r="AH278" i="2" s="1"/>
  <c r="AG245" i="2"/>
  <c r="AG304" i="2"/>
  <c r="AG246" i="2"/>
  <c r="AG295" i="2"/>
  <c r="S17" i="4"/>
  <c r="AG251" i="2"/>
  <c r="AG247" i="2"/>
  <c r="AG289" i="2"/>
  <c r="AG250" i="2"/>
  <c r="AG294" i="2"/>
  <c r="AG292" i="2"/>
  <c r="AG252" i="2"/>
  <c r="AG305" i="2"/>
  <c r="AG293" i="2"/>
  <c r="AG248" i="2"/>
  <c r="AG297" i="2"/>
  <c r="AG290" i="2"/>
  <c r="AG296" i="2"/>
  <c r="AG291" i="2"/>
  <c r="AH175" i="2"/>
  <c r="S20" i="4"/>
  <c r="AG244" i="2"/>
  <c r="AH83" i="2"/>
  <c r="S58" i="4"/>
  <c r="S125" i="4"/>
  <c r="S119" i="4"/>
  <c r="S115" i="4"/>
  <c r="S21" i="4"/>
  <c r="S34" i="4"/>
  <c r="AH158" i="2"/>
  <c r="AH63" i="2"/>
  <c r="AH62" i="2"/>
  <c r="S83" i="4"/>
  <c r="S137" i="4"/>
  <c r="S45" i="4"/>
  <c r="S62" i="4"/>
  <c r="AH185" i="2"/>
  <c r="AH116" i="2"/>
  <c r="AH260" i="2" s="1"/>
  <c r="AH74" i="2"/>
  <c r="AH161" i="2"/>
  <c r="S63" i="4"/>
  <c r="AH102" i="2"/>
  <c r="AH84" i="2"/>
  <c r="AH159" i="2"/>
  <c r="AH97" i="2"/>
  <c r="AH47" i="2"/>
  <c r="AH143" i="2"/>
  <c r="AH100" i="2"/>
  <c r="AH199" i="2"/>
  <c r="AH203" i="2"/>
  <c r="AH178" i="2"/>
  <c r="S120" i="4"/>
  <c r="AH154" i="2"/>
  <c r="AH197" i="2"/>
  <c r="AH180" i="2"/>
  <c r="S90" i="4"/>
  <c r="AH172" i="2"/>
  <c r="S46" i="4"/>
  <c r="S101" i="4"/>
  <c r="S41" i="4"/>
  <c r="AH56" i="2"/>
  <c r="AH160" i="2"/>
  <c r="AH186" i="2"/>
  <c r="AH91" i="2"/>
  <c r="AH92" i="2"/>
  <c r="S72" i="4"/>
  <c r="S29" i="4"/>
  <c r="S102" i="4"/>
  <c r="S92" i="4"/>
  <c r="S25" i="4"/>
  <c r="S132" i="4"/>
  <c r="AH200" i="2"/>
  <c r="AH22" i="2"/>
  <c r="AH221" i="2" s="1"/>
  <c r="AH126" i="2"/>
  <c r="AH270" i="2" s="1"/>
  <c r="AH86" i="2"/>
  <c r="AH194" i="2"/>
  <c r="AH71" i="2"/>
  <c r="AH127" i="2"/>
  <c r="AH271" i="2" s="1"/>
  <c r="AH138" i="2"/>
  <c r="AH99" i="2"/>
  <c r="AH196" i="2"/>
  <c r="AH76" i="2"/>
  <c r="AH117" i="2"/>
  <c r="AH261" i="2" s="1"/>
  <c r="AH132" i="2"/>
  <c r="AH276" i="2" s="1"/>
  <c r="AH87" i="2"/>
  <c r="AH77" i="2"/>
  <c r="AH107" i="2"/>
  <c r="AH69" i="2"/>
  <c r="AH162" i="2"/>
  <c r="AH101" i="2"/>
  <c r="AH89" i="2"/>
  <c r="AH73" i="2"/>
  <c r="AH148" i="2"/>
  <c r="AH164" i="2"/>
  <c r="AH103" i="2"/>
  <c r="AH181" i="2"/>
  <c r="AH137" i="2"/>
  <c r="AH179" i="2"/>
  <c r="AH128" i="2"/>
  <c r="AH272" i="2" s="1"/>
  <c r="AH29" i="2"/>
  <c r="AH228" i="2" s="1"/>
  <c r="AH156" i="2"/>
  <c r="AH157" i="2"/>
  <c r="S116" i="4"/>
  <c r="AH155" i="2"/>
  <c r="AH46" i="2"/>
  <c r="AH79" i="2"/>
  <c r="AH21" i="2"/>
  <c r="AH220" i="2" s="1"/>
  <c r="AH139" i="2"/>
  <c r="AH149" i="2"/>
  <c r="AH146" i="2"/>
  <c r="AH85" i="2"/>
  <c r="AH171" i="2"/>
  <c r="AH50" i="2"/>
  <c r="AH195" i="2"/>
  <c r="AH176" i="2"/>
  <c r="AH183" i="2"/>
  <c r="AH147" i="2"/>
  <c r="S50" i="4"/>
  <c r="AH189" i="2"/>
  <c r="S143" i="4"/>
  <c r="AH173" i="2"/>
  <c r="AH163" i="2"/>
  <c r="AH131" i="2"/>
  <c r="AH275" i="2" s="1"/>
  <c r="AH168" i="2"/>
  <c r="AH109" i="2"/>
  <c r="AH191" i="2"/>
  <c r="AH153" i="2"/>
  <c r="S31" i="4"/>
  <c r="AH48" i="2"/>
  <c r="AH64" i="2"/>
  <c r="AH150" i="2"/>
  <c r="AH208" i="2"/>
  <c r="AH24" i="2"/>
  <c r="AH223" i="2" s="1"/>
  <c r="AH104" i="2"/>
  <c r="AH192" i="2"/>
  <c r="AH68" i="2"/>
  <c r="AH105" i="2"/>
  <c r="AH81" i="2"/>
  <c r="AH205" i="2"/>
  <c r="AH110" i="2"/>
  <c r="AH141" i="2"/>
  <c r="AH207" i="2"/>
  <c r="AH190" i="2"/>
  <c r="AH142" i="2"/>
  <c r="AH204" i="2"/>
  <c r="S127" i="4"/>
  <c r="S48" i="4"/>
  <c r="S94" i="4"/>
  <c r="S135" i="4"/>
  <c r="AH184" i="2"/>
  <c r="AH58" i="2"/>
  <c r="AH174" i="2"/>
  <c r="AH167" i="2"/>
  <c r="AH108" i="2"/>
  <c r="AH198" i="2"/>
  <c r="AH210" i="2"/>
  <c r="AH124" i="2"/>
  <c r="AH268" i="2" s="1"/>
  <c r="AH122" i="2"/>
  <c r="AH266" i="2" s="1"/>
  <c r="AH136" i="2"/>
  <c r="AH72" i="2"/>
  <c r="AH119" i="2"/>
  <c r="AH263" i="2" s="1"/>
  <c r="AH59" i="2"/>
  <c r="AH26" i="2"/>
  <c r="AH225" i="2" s="1"/>
  <c r="AH95" i="2"/>
  <c r="AH90" i="2"/>
  <c r="AH188" i="2"/>
  <c r="AH61" i="2"/>
  <c r="S32" i="4"/>
  <c r="S42" i="4"/>
  <c r="S82" i="4"/>
  <c r="AH19" i="2"/>
  <c r="AH218" i="2" s="1"/>
  <c r="S67" i="4"/>
  <c r="S131" i="4"/>
  <c r="S123" i="4"/>
  <c r="S133" i="4"/>
  <c r="S117" i="4"/>
  <c r="S70" i="4"/>
  <c r="S69" i="4"/>
  <c r="S28" i="4"/>
  <c r="AH93" i="2"/>
  <c r="S15" i="4"/>
  <c r="S43" i="4"/>
  <c r="S97" i="4"/>
  <c r="AH151" i="2"/>
  <c r="S65" i="4"/>
  <c r="S95" i="4"/>
  <c r="AH53" i="2"/>
  <c r="S85" i="4"/>
  <c r="S86" i="4"/>
  <c r="S13" i="4"/>
  <c r="S112" i="4"/>
  <c r="S57" i="4"/>
  <c r="S27" i="4"/>
  <c r="S84" i="4"/>
  <c r="S88" i="4"/>
  <c r="S104" i="4"/>
  <c r="S108" i="4"/>
  <c r="S12" i="4"/>
  <c r="S40" i="4"/>
  <c r="S93" i="4"/>
  <c r="S100" i="4"/>
  <c r="S124" i="4"/>
  <c r="S59" i="4"/>
  <c r="S36" i="4"/>
  <c r="S129" i="4"/>
  <c r="S66" i="4"/>
  <c r="S121" i="4"/>
  <c r="S60" i="4"/>
  <c r="AH75" i="2"/>
  <c r="S106" i="4"/>
  <c r="S96" i="4"/>
  <c r="S75" i="4"/>
  <c r="S18" i="4"/>
  <c r="S110" i="4"/>
  <c r="S16" i="4"/>
  <c r="S98" i="4"/>
  <c r="S134" i="4"/>
  <c r="S89" i="4"/>
  <c r="S55" i="4"/>
  <c r="S38" i="4"/>
  <c r="S103" i="4"/>
  <c r="S53" i="4"/>
  <c r="S11" i="4"/>
  <c r="S111" i="4"/>
  <c r="S61" i="4"/>
  <c r="S56" i="4"/>
  <c r="S30" i="4"/>
  <c r="S39" i="4"/>
  <c r="S22" i="4"/>
  <c r="S44" i="4"/>
  <c r="S139" i="4"/>
  <c r="S51" i="4"/>
  <c r="AH80" i="2"/>
  <c r="S118" i="4"/>
  <c r="S52" i="4"/>
  <c r="S105" i="4"/>
  <c r="S87" i="4"/>
  <c r="S144" i="4"/>
  <c r="S130" i="4"/>
  <c r="S64" i="4"/>
  <c r="S136" i="4"/>
  <c r="S99" i="4"/>
  <c r="R10" i="4"/>
  <c r="Q76" i="4"/>
  <c r="Q4" i="4"/>
  <c r="T16" i="41" s="1"/>
  <c r="AH55" i="2"/>
  <c r="AH65" i="2"/>
  <c r="AH135" i="2"/>
  <c r="S49" i="4"/>
  <c r="S109" i="4"/>
  <c r="S74" i="4"/>
  <c r="S140" i="4"/>
  <c r="S35" i="4"/>
  <c r="S126" i="4"/>
  <c r="S33" i="4"/>
  <c r="S91" i="4"/>
  <c r="S26" i="4"/>
  <c r="S113" i="4"/>
  <c r="P6" i="4"/>
  <c r="P5" i="4"/>
  <c r="S19" i="4"/>
  <c r="S141" i="4"/>
  <c r="S128" i="4"/>
  <c r="S54" i="4"/>
  <c r="S138" i="4"/>
  <c r="S80" i="4"/>
  <c r="R146" i="4"/>
  <c r="S47" i="4"/>
  <c r="S71" i="4"/>
  <c r="S81" i="4"/>
  <c r="S114" i="4"/>
  <c r="S145" i="4"/>
  <c r="S142" i="4"/>
  <c r="S107" i="4"/>
  <c r="AH42" i="2"/>
  <c r="AI8" i="2"/>
  <c r="AH182" i="2"/>
  <c r="AH41" i="2"/>
  <c r="AH51" i="2"/>
  <c r="AH165" i="2"/>
  <c r="AH25" i="2"/>
  <c r="AH28" i="2"/>
  <c r="AH227" i="2" s="1"/>
  <c r="AH23" i="2"/>
  <c r="AH222" i="2" s="1"/>
  <c r="AH70" i="2"/>
  <c r="AH18" i="2"/>
  <c r="AH217" i="2" s="1"/>
  <c r="AH82" i="2"/>
  <c r="AH33" i="2"/>
  <c r="AH49" i="2"/>
  <c r="AH177" i="2"/>
  <c r="AH78" i="2"/>
  <c r="AH35" i="2"/>
  <c r="AH31" i="2"/>
  <c r="AH230" i="2" s="1"/>
  <c r="AH15" i="2"/>
  <c r="AG111" i="2"/>
  <c r="AG7" i="2"/>
  <c r="AG4" i="2"/>
  <c r="AG5" i="2" s="1"/>
  <c r="AH98" i="2"/>
  <c r="AH125" i="2"/>
  <c r="AH115" i="2"/>
  <c r="AG211" i="2"/>
  <c r="AH45" i="2"/>
  <c r="AH121" i="2"/>
  <c r="AH265" i="2" s="1"/>
  <c r="AH57" i="2"/>
  <c r="AH206" i="2"/>
  <c r="AH166" i="2"/>
  <c r="AH120" i="2"/>
  <c r="AH169" i="2"/>
  <c r="AH36" i="2"/>
  <c r="AH38" i="2"/>
  <c r="AH66" i="2"/>
  <c r="AH88" i="2"/>
  <c r="AH144" i="2"/>
  <c r="AH30" i="2"/>
  <c r="AG6" i="2"/>
  <c r="AH34" i="2"/>
  <c r="AH40" i="2"/>
  <c r="AH32" i="2"/>
  <c r="AH231" i="2" s="1"/>
  <c r="AH193" i="2"/>
  <c r="AH170" i="2"/>
  <c r="AH44" i="2"/>
  <c r="AH145" i="2"/>
  <c r="AH123" i="2"/>
  <c r="AH267" i="2" s="1"/>
  <c r="AH37" i="2"/>
  <c r="AH118" i="2"/>
  <c r="AH262" i="2" s="1"/>
  <c r="AH43" i="2"/>
  <c r="T23" i="4" s="1"/>
  <c r="AH202" i="2"/>
  <c r="AH209" i="2"/>
  <c r="AH39" i="2"/>
  <c r="AH52" i="2"/>
  <c r="AH130" i="2"/>
  <c r="AH140" i="2"/>
  <c r="AH17" i="2"/>
  <c r="AH216" i="2" s="1"/>
  <c r="AH201" i="2"/>
  <c r="AH133" i="2"/>
  <c r="AH106" i="2"/>
  <c r="AH152" i="2"/>
  <c r="AH60" i="2"/>
  <c r="AH129" i="2"/>
  <c r="AH273" i="2" s="1"/>
  <c r="AH54" i="2"/>
  <c r="AH20" i="2"/>
  <c r="AH27" i="2"/>
  <c r="AH226" i="2" s="1"/>
  <c r="AH187" i="2"/>
  <c r="R141" i="41" l="1"/>
  <c r="T188" i="36"/>
  <c r="Q242" i="41"/>
  <c r="Q344" i="41"/>
  <c r="P437" i="41"/>
  <c r="P500" i="41" s="1"/>
  <c r="P503" i="41" s="1"/>
  <c r="P516" i="41" s="1"/>
  <c r="O296" i="41"/>
  <c r="R135" i="40"/>
  <c r="R136" i="41"/>
  <c r="R137" i="41"/>
  <c r="T17" i="41"/>
  <c r="T135" i="41" s="1"/>
  <c r="T20" i="41"/>
  <c r="S12" i="41"/>
  <c r="T11" i="41"/>
  <c r="P90" i="41"/>
  <c r="Q155" i="41"/>
  <c r="O37" i="41"/>
  <c r="O104" i="41"/>
  <c r="Q404" i="41"/>
  <c r="P406" i="41"/>
  <c r="P103" i="41" s="1"/>
  <c r="R138" i="41"/>
  <c r="S13" i="41"/>
  <c r="S141" i="41" s="1"/>
  <c r="R14" i="41"/>
  <c r="R192" i="41" s="1"/>
  <c r="R300" i="41" s="1"/>
  <c r="R302" i="41" s="1"/>
  <c r="R303" i="41" s="1"/>
  <c r="R336" i="41" s="1"/>
  <c r="Q345" i="41"/>
  <c r="Q94" i="41"/>
  <c r="Q195" i="41"/>
  <c r="Q493" i="41" s="1"/>
  <c r="R191" i="41"/>
  <c r="R197" i="41"/>
  <c r="R200" i="41" s="1"/>
  <c r="O282" i="41"/>
  <c r="O458" i="41"/>
  <c r="O360" i="41"/>
  <c r="O47" i="41"/>
  <c r="O38" i="41"/>
  <c r="P59" i="41"/>
  <c r="Q292" i="41"/>
  <c r="Q432" i="41" s="1"/>
  <c r="Q428" i="41" s="1"/>
  <c r="Q429" i="41" s="1"/>
  <c r="P293" i="41"/>
  <c r="P123" i="41"/>
  <c r="Q341" i="41"/>
  <c r="P342" i="41"/>
  <c r="P529" i="41"/>
  <c r="P492" i="41"/>
  <c r="P91" i="41"/>
  <c r="T183" i="41"/>
  <c r="S189" i="41"/>
  <c r="O239" i="41"/>
  <c r="O210" i="41" s="1"/>
  <c r="P238" i="41"/>
  <c r="Q140" i="41"/>
  <c r="Q370" i="41"/>
  <c r="P372" i="41"/>
  <c r="P101" i="41" s="1"/>
  <c r="P295" i="41"/>
  <c r="O522" i="41"/>
  <c r="O346" i="41"/>
  <c r="O36" i="41" s="1"/>
  <c r="P526" i="41"/>
  <c r="P527" i="41" s="1"/>
  <c r="P350" i="41"/>
  <c r="Q349" i="41"/>
  <c r="S134" i="41"/>
  <c r="P34" i="41"/>
  <c r="P80" i="41"/>
  <c r="O79" i="41"/>
  <c r="P217" i="41"/>
  <c r="O434" i="41"/>
  <c r="O218" i="41"/>
  <c r="O114" i="41" s="1"/>
  <c r="O121" i="41" s="1"/>
  <c r="U165" i="41"/>
  <c r="W160" i="41"/>
  <c r="V161" i="41"/>
  <c r="Q141" i="38"/>
  <c r="Q136" i="38"/>
  <c r="P345" i="39"/>
  <c r="P344" i="39"/>
  <c r="Q136" i="39"/>
  <c r="Q137" i="39"/>
  <c r="Q283" i="39"/>
  <c r="P140" i="38"/>
  <c r="P142" i="38" s="1"/>
  <c r="P47" i="38" s="1"/>
  <c r="P344" i="40"/>
  <c r="O332" i="40"/>
  <c r="O208" i="40" s="1"/>
  <c r="P140" i="40"/>
  <c r="P142" i="40" s="1"/>
  <c r="P47" i="40" s="1"/>
  <c r="O500" i="39"/>
  <c r="O503" i="39" s="1"/>
  <c r="O516" i="39" s="1"/>
  <c r="P344" i="38"/>
  <c r="O432" i="40"/>
  <c r="O428" i="40" s="1"/>
  <c r="O429" i="40" s="1"/>
  <c r="Q283" i="40"/>
  <c r="Q137" i="40"/>
  <c r="P345" i="40"/>
  <c r="P345" i="38"/>
  <c r="O332" i="39"/>
  <c r="O208" i="39" s="1"/>
  <c r="O277" i="40"/>
  <c r="P275" i="39"/>
  <c r="O142" i="40"/>
  <c r="O34" i="40"/>
  <c r="P289" i="40"/>
  <c r="Q288" i="40"/>
  <c r="P404" i="39"/>
  <c r="O80" i="39"/>
  <c r="O406" i="39"/>
  <c r="O103" i="39" s="1"/>
  <c r="O432" i="38"/>
  <c r="O428" i="38" s="1"/>
  <c r="O293" i="38"/>
  <c r="O295" i="38"/>
  <c r="P292" i="38"/>
  <c r="Q306" i="39"/>
  <c r="P307" i="39"/>
  <c r="P242" i="39"/>
  <c r="O238" i="39"/>
  <c r="O59" i="40"/>
  <c r="P370" i="40"/>
  <c r="O372" i="40"/>
  <c r="O101" i="40" s="1"/>
  <c r="Q138" i="38"/>
  <c r="P155" i="38"/>
  <c r="O90" i="38"/>
  <c r="O34" i="39"/>
  <c r="Q314" i="39"/>
  <c r="P315" i="39"/>
  <c r="Q195" i="39"/>
  <c r="Q94" i="39"/>
  <c r="P94" i="39"/>
  <c r="P195" i="39"/>
  <c r="R134" i="40"/>
  <c r="Q138" i="39"/>
  <c r="P349" i="39"/>
  <c r="O350" i="39"/>
  <c r="O526" i="39"/>
  <c r="O527" i="39" s="1"/>
  <c r="P195" i="38"/>
  <c r="P94" i="38"/>
  <c r="O80" i="40"/>
  <c r="O79" i="40" s="1"/>
  <c r="P404" i="40"/>
  <c r="O406" i="40"/>
  <c r="O103" i="40" s="1"/>
  <c r="O493" i="38"/>
  <c r="O282" i="39"/>
  <c r="O47" i="39"/>
  <c r="O458" i="39"/>
  <c r="O360" i="39"/>
  <c r="Q273" i="40"/>
  <c r="P274" i="40"/>
  <c r="Q197" i="40"/>
  <c r="Q200" i="40" s="1"/>
  <c r="O432" i="39"/>
  <c r="O428" i="39" s="1"/>
  <c r="O293" i="39"/>
  <c r="P292" i="39"/>
  <c r="O295" i="39"/>
  <c r="P292" i="40"/>
  <c r="P432" i="40" s="1"/>
  <c r="Q138" i="40"/>
  <c r="P140" i="39"/>
  <c r="P341" i="38"/>
  <c r="O91" i="38"/>
  <c r="O123" i="38"/>
  <c r="O529" i="38"/>
  <c r="O342" i="38"/>
  <c r="O492" i="38"/>
  <c r="Q14" i="40"/>
  <c r="R13" i="40"/>
  <c r="R196" i="40" s="1"/>
  <c r="T16" i="39"/>
  <c r="S20" i="39"/>
  <c r="S17" i="39"/>
  <c r="S135" i="39" s="1"/>
  <c r="Q323" i="40"/>
  <c r="P324" i="40"/>
  <c r="P325" i="40" s="1"/>
  <c r="P319" i="39"/>
  <c r="Q318" i="39"/>
  <c r="T16" i="38"/>
  <c r="S17" i="38"/>
  <c r="S135" i="38" s="1"/>
  <c r="S20" i="38"/>
  <c r="R134" i="38"/>
  <c r="Q197" i="38"/>
  <c r="Q200" i="38" s="1"/>
  <c r="Q191" i="38"/>
  <c r="Q194" i="38" s="1"/>
  <c r="O142" i="38"/>
  <c r="O34" i="38"/>
  <c r="O526" i="40"/>
  <c r="O527" i="40" s="1"/>
  <c r="O350" i="40"/>
  <c r="P349" i="40"/>
  <c r="Q191" i="40"/>
  <c r="Q194" i="40" s="1"/>
  <c r="R134" i="39"/>
  <c r="P404" i="38"/>
  <c r="O80" i="38"/>
  <c r="O406" i="38"/>
  <c r="O103" i="38" s="1"/>
  <c r="Q323" i="39"/>
  <c r="P324" i="39"/>
  <c r="P325" i="39" s="1"/>
  <c r="P341" i="40"/>
  <c r="S183" i="39"/>
  <c r="R189" i="39"/>
  <c r="O277" i="39"/>
  <c r="P276" i="40"/>
  <c r="S183" i="40"/>
  <c r="T16" i="40"/>
  <c r="S17" i="40"/>
  <c r="S20" i="40"/>
  <c r="P307" i="40"/>
  <c r="Q306" i="40"/>
  <c r="Q307" i="40" s="1"/>
  <c r="R12" i="39"/>
  <c r="S11" i="39"/>
  <c r="S183" i="38"/>
  <c r="R189" i="38"/>
  <c r="O500" i="40"/>
  <c r="O503" i="40" s="1"/>
  <c r="O516" i="40" s="1"/>
  <c r="O91" i="40"/>
  <c r="O492" i="40"/>
  <c r="O342" i="40"/>
  <c r="O123" i="40"/>
  <c r="O529" i="40"/>
  <c r="R191" i="40"/>
  <c r="O238" i="38"/>
  <c r="P242" i="38"/>
  <c r="Q14" i="39"/>
  <c r="R13" i="39"/>
  <c r="R196" i="39" s="1"/>
  <c r="P319" i="40"/>
  <c r="Q318" i="40"/>
  <c r="Q141" i="39"/>
  <c r="P302" i="40"/>
  <c r="P303" i="40" s="1"/>
  <c r="P336" i="40" s="1"/>
  <c r="Q301" i="40"/>
  <c r="Q273" i="39"/>
  <c r="P274" i="39"/>
  <c r="P275" i="40"/>
  <c r="S11" i="40"/>
  <c r="R12" i="40"/>
  <c r="R135" i="36"/>
  <c r="O91" i="39"/>
  <c r="O492" i="39"/>
  <c r="P341" i="39"/>
  <c r="O123" i="39"/>
  <c r="O529" i="39"/>
  <c r="O342" i="39"/>
  <c r="O293" i="40"/>
  <c r="O295" i="40"/>
  <c r="O90" i="40"/>
  <c r="P155" i="40"/>
  <c r="R134" i="36"/>
  <c r="Q136" i="40"/>
  <c r="O526" i="38"/>
  <c r="O527" i="38" s="1"/>
  <c r="P349" i="38"/>
  <c r="O350" i="38"/>
  <c r="P155" i="39"/>
  <c r="Q283" i="38"/>
  <c r="R13" i="38"/>
  <c r="Q14" i="38"/>
  <c r="Q141" i="40"/>
  <c r="P276" i="39"/>
  <c r="Q301" i="39"/>
  <c r="P302" i="39"/>
  <c r="P303" i="39" s="1"/>
  <c r="P336" i="39" s="1"/>
  <c r="Q314" i="40"/>
  <c r="P315" i="40"/>
  <c r="O493" i="39"/>
  <c r="P370" i="39"/>
  <c r="O59" i="39"/>
  <c r="O372" i="39"/>
  <c r="O101" i="39" s="1"/>
  <c r="P311" i="40"/>
  <c r="Q310" i="40"/>
  <c r="Q288" i="39"/>
  <c r="P289" i="39"/>
  <c r="O238" i="40"/>
  <c r="P242" i="40"/>
  <c r="O437" i="38"/>
  <c r="O500" i="38" s="1"/>
  <c r="O503" i="38" s="1"/>
  <c r="O516" i="38" s="1"/>
  <c r="Q310" i="39"/>
  <c r="P311" i="39"/>
  <c r="O59" i="38"/>
  <c r="P370" i="38"/>
  <c r="O372" i="38"/>
  <c r="O101" i="38" s="1"/>
  <c r="P94" i="40"/>
  <c r="P195" i="40"/>
  <c r="R12" i="38"/>
  <c r="S11" i="38"/>
  <c r="Q137" i="38"/>
  <c r="O493" i="40"/>
  <c r="Q288" i="36"/>
  <c r="Q310" i="36"/>
  <c r="Q283" i="36"/>
  <c r="Q318" i="36"/>
  <c r="Q306" i="36"/>
  <c r="Q301" i="36"/>
  <c r="Q314" i="36"/>
  <c r="Q323" i="36"/>
  <c r="Q273" i="36"/>
  <c r="O325" i="36"/>
  <c r="O303" i="36"/>
  <c r="T44" i="36"/>
  <c r="Q136" i="36"/>
  <c r="Q141" i="36"/>
  <c r="Q137" i="36"/>
  <c r="Q138" i="36"/>
  <c r="O437" i="36"/>
  <c r="O500" i="36" s="1"/>
  <c r="O503" i="36" s="1"/>
  <c r="O516" i="36" s="1"/>
  <c r="P307" i="36"/>
  <c r="P302" i="36"/>
  <c r="P289" i="36"/>
  <c r="P311" i="36"/>
  <c r="P315" i="36"/>
  <c r="O332" i="36"/>
  <c r="O277" i="36"/>
  <c r="P276" i="36"/>
  <c r="P319" i="36"/>
  <c r="P275" i="36"/>
  <c r="P324" i="36"/>
  <c r="P274" i="36"/>
  <c r="T186" i="36"/>
  <c r="P140" i="36"/>
  <c r="P142" i="36" s="1"/>
  <c r="P47" i="36" s="1"/>
  <c r="P344" i="36"/>
  <c r="P345" i="36"/>
  <c r="R92" i="36"/>
  <c r="Q191" i="36"/>
  <c r="Q194" i="36" s="1"/>
  <c r="T154" i="36"/>
  <c r="S147" i="36"/>
  <c r="S150" i="36" s="1"/>
  <c r="S490" i="36"/>
  <c r="T146" i="36"/>
  <c r="S89" i="36"/>
  <c r="R12" i="36"/>
  <c r="S11" i="36"/>
  <c r="S183" i="36"/>
  <c r="S189" i="36" s="1"/>
  <c r="R189" i="36"/>
  <c r="O90" i="36"/>
  <c r="P155" i="36"/>
  <c r="T169" i="36"/>
  <c r="S170" i="36"/>
  <c r="S173" i="36" s="1"/>
  <c r="S491" i="36"/>
  <c r="T177" i="36"/>
  <c r="S178" i="36"/>
  <c r="S179" i="36" s="1"/>
  <c r="O217" i="36"/>
  <c r="O429" i="36"/>
  <c r="P242" i="36"/>
  <c r="P238" i="36" s="1"/>
  <c r="P370" i="36"/>
  <c r="P59" i="36" s="1"/>
  <c r="O372" i="36"/>
  <c r="O101" i="36" s="1"/>
  <c r="P195" i="36"/>
  <c r="P94" i="36"/>
  <c r="U22" i="36"/>
  <c r="V21" i="36"/>
  <c r="T16" i="36"/>
  <c r="S17" i="36"/>
  <c r="S20" i="36"/>
  <c r="V184" i="36"/>
  <c r="P341" i="36"/>
  <c r="O342" i="36"/>
  <c r="O123" i="36"/>
  <c r="O529" i="36"/>
  <c r="O492" i="36"/>
  <c r="O91" i="36"/>
  <c r="Q14" i="36"/>
  <c r="R13" i="36"/>
  <c r="O295" i="36"/>
  <c r="O293" i="36"/>
  <c r="P292" i="36"/>
  <c r="P432" i="36" s="1"/>
  <c r="P428" i="36" s="1"/>
  <c r="U271" i="36"/>
  <c r="V190" i="36"/>
  <c r="O526" i="36"/>
  <c r="O527" i="36" s="1"/>
  <c r="O350" i="36"/>
  <c r="P349" i="36"/>
  <c r="V185" i="36"/>
  <c r="V18" i="36"/>
  <c r="U19" i="36"/>
  <c r="U149" i="36" s="1"/>
  <c r="O493" i="36"/>
  <c r="O142" i="36"/>
  <c r="O34" i="36"/>
  <c r="P404" i="36"/>
  <c r="O80" i="36"/>
  <c r="O406" i="36"/>
  <c r="O103" i="36" s="1"/>
  <c r="V182" i="36"/>
  <c r="T24" i="4"/>
  <c r="AH299" i="2"/>
  <c r="AH303" i="2"/>
  <c r="AH259" i="2"/>
  <c r="AH283" i="2"/>
  <c r="AH274" i="2"/>
  <c r="AH286" i="2"/>
  <c r="AH264" i="2"/>
  <c r="AH284" i="2"/>
  <c r="AH269" i="2"/>
  <c r="AH285" i="2"/>
  <c r="AH301" i="2"/>
  <c r="AH302" i="2"/>
  <c r="AH300" i="2"/>
  <c r="AH298" i="2"/>
  <c r="AH253" i="2"/>
  <c r="AH258" i="2"/>
  <c r="AH229" i="2"/>
  <c r="AH241" i="2"/>
  <c r="AH257" i="2"/>
  <c r="AH254" i="2"/>
  <c r="AH255" i="2"/>
  <c r="AH219" i="2"/>
  <c r="AH239" i="2"/>
  <c r="AH256" i="2"/>
  <c r="AH224" i="2"/>
  <c r="AH240" i="2"/>
  <c r="AH214" i="2"/>
  <c r="AH238" i="2"/>
  <c r="AH280" i="2"/>
  <c r="AH277" i="2"/>
  <c r="AH279" i="2"/>
  <c r="T47" i="4"/>
  <c r="AH281" i="2"/>
  <c r="AH282" i="2"/>
  <c r="T122" i="4"/>
  <c r="AH232" i="2"/>
  <c r="AH234" i="2"/>
  <c r="AH237" i="2"/>
  <c r="AH236" i="2"/>
  <c r="AH235" i="2"/>
  <c r="T73" i="4"/>
  <c r="T14" i="4"/>
  <c r="AH233" i="2"/>
  <c r="T107" i="4"/>
  <c r="T84" i="4"/>
  <c r="AH290" i="2"/>
  <c r="T142" i="4"/>
  <c r="T27" i="4"/>
  <c r="T63" i="4"/>
  <c r="T42" i="4"/>
  <c r="AH295" i="2"/>
  <c r="T49" i="4"/>
  <c r="T74" i="4"/>
  <c r="AH248" i="2"/>
  <c r="AH247" i="2"/>
  <c r="AH251" i="2"/>
  <c r="T125" i="4"/>
  <c r="T127" i="4"/>
  <c r="AH296" i="2"/>
  <c r="AH304" i="2"/>
  <c r="AH246" i="2"/>
  <c r="T144" i="4"/>
  <c r="AH291" i="2"/>
  <c r="AH245" i="2"/>
  <c r="T108" i="4"/>
  <c r="AH292" i="2"/>
  <c r="AH287" i="2"/>
  <c r="T109" i="4"/>
  <c r="T20" i="4"/>
  <c r="AH244" i="2"/>
  <c r="AH242" i="2"/>
  <c r="AH250" i="2"/>
  <c r="AH297" i="2"/>
  <c r="AH294" i="2"/>
  <c r="AH243" i="2"/>
  <c r="AH288" i="2"/>
  <c r="AH252" i="2"/>
  <c r="AH305" i="2"/>
  <c r="T43" i="4"/>
  <c r="AH293" i="2"/>
  <c r="AH289" i="2"/>
  <c r="T17" i="4"/>
  <c r="AH249" i="2"/>
  <c r="T21" i="4"/>
  <c r="T132" i="4"/>
  <c r="T72" i="4"/>
  <c r="T96" i="4"/>
  <c r="T111" i="4"/>
  <c r="T114" i="4"/>
  <c r="T57" i="4"/>
  <c r="T138" i="4"/>
  <c r="T25" i="4"/>
  <c r="T90" i="4"/>
  <c r="T141" i="4"/>
  <c r="T110" i="4"/>
  <c r="T28" i="4"/>
  <c r="T64" i="4"/>
  <c r="T128" i="4"/>
  <c r="T26" i="4"/>
  <c r="T112" i="4"/>
  <c r="T130" i="4"/>
  <c r="T30" i="4"/>
  <c r="T93" i="4"/>
  <c r="T54" i="4"/>
  <c r="T87" i="4"/>
  <c r="T67" i="4"/>
  <c r="T69" i="4"/>
  <c r="T117" i="4"/>
  <c r="T104" i="4"/>
  <c r="T123" i="4"/>
  <c r="T33" i="4"/>
  <c r="T53" i="4"/>
  <c r="T113" i="4"/>
  <c r="T105" i="4"/>
  <c r="T88" i="4"/>
  <c r="T136" i="4"/>
  <c r="T135" i="4"/>
  <c r="T48" i="4"/>
  <c r="T98" i="4"/>
  <c r="T36" i="4"/>
  <c r="T100" i="4"/>
  <c r="T82" i="4"/>
  <c r="T35" i="4"/>
  <c r="T61" i="4"/>
  <c r="T121" i="4"/>
  <c r="T101" i="4"/>
  <c r="T52" i="4"/>
  <c r="T89" i="4"/>
  <c r="T41" i="4"/>
  <c r="T71" i="4"/>
  <c r="T118" i="4"/>
  <c r="T131" i="4"/>
  <c r="T92" i="4"/>
  <c r="T81" i="4"/>
  <c r="T66" i="4"/>
  <c r="T44" i="4"/>
  <c r="T106" i="4"/>
  <c r="T129" i="4"/>
  <c r="AI198" i="2"/>
  <c r="T39" i="4"/>
  <c r="T59" i="4"/>
  <c r="AI63" i="2"/>
  <c r="T126" i="4"/>
  <c r="T56" i="4"/>
  <c r="T91" i="4"/>
  <c r="T86" i="4"/>
  <c r="T103" i="4"/>
  <c r="T38" i="4"/>
  <c r="T140" i="4"/>
  <c r="T99" i="4"/>
  <c r="T51" i="4"/>
  <c r="T65" i="4"/>
  <c r="T70" i="4"/>
  <c r="T139" i="4"/>
  <c r="T97" i="4"/>
  <c r="T12" i="4"/>
  <c r="T134" i="4"/>
  <c r="T133" i="4"/>
  <c r="AI73" i="2"/>
  <c r="AI21" i="2"/>
  <c r="AI220" i="2" s="1"/>
  <c r="AI200" i="2"/>
  <c r="AI205" i="2"/>
  <c r="AI145" i="2"/>
  <c r="T124" i="4"/>
  <c r="AI117" i="2"/>
  <c r="AI261" i="2" s="1"/>
  <c r="AI144" i="2"/>
  <c r="AI100" i="2"/>
  <c r="AI180" i="2"/>
  <c r="AI130" i="2"/>
  <c r="AI77" i="2"/>
  <c r="AI143" i="2"/>
  <c r="AI89" i="2"/>
  <c r="AI208" i="2"/>
  <c r="AI203" i="2"/>
  <c r="AI103" i="2"/>
  <c r="AI156" i="2"/>
  <c r="AI184" i="2"/>
  <c r="AI170" i="2"/>
  <c r="AI101" i="2"/>
  <c r="AI71" i="2"/>
  <c r="AI66" i="2"/>
  <c r="AI196" i="2"/>
  <c r="AI169" i="2"/>
  <c r="AI92" i="2"/>
  <c r="AI159" i="2"/>
  <c r="AI136" i="2"/>
  <c r="AI84" i="2"/>
  <c r="AI160" i="2"/>
  <c r="AI78" i="2"/>
  <c r="AI190" i="2"/>
  <c r="AI79" i="2"/>
  <c r="AI129" i="2"/>
  <c r="AI273" i="2" s="1"/>
  <c r="AI157" i="2"/>
  <c r="AI47" i="2"/>
  <c r="AI76" i="2"/>
  <c r="AI72" i="2"/>
  <c r="AI186" i="2"/>
  <c r="AI181" i="2"/>
  <c r="AI152" i="2"/>
  <c r="AI168" i="2"/>
  <c r="AI97" i="2"/>
  <c r="AI209" i="2"/>
  <c r="AI29" i="2"/>
  <c r="AI228" i="2" s="1"/>
  <c r="AI150" i="2"/>
  <c r="AI193" i="2"/>
  <c r="AI58" i="2"/>
  <c r="AI99" i="2"/>
  <c r="AI120" i="2"/>
  <c r="AI162" i="2"/>
  <c r="AI158" i="2"/>
  <c r="AI164" i="2"/>
  <c r="AI122" i="2"/>
  <c r="AI266" i="2" s="1"/>
  <c r="AI125" i="2"/>
  <c r="AI191" i="2"/>
  <c r="AI25" i="2"/>
  <c r="AI183" i="2"/>
  <c r="T40" i="4"/>
  <c r="AI119" i="2"/>
  <c r="AI263" i="2" s="1"/>
  <c r="AI52" i="2"/>
  <c r="AI88" i="2"/>
  <c r="AI102" i="2"/>
  <c r="AI106" i="2"/>
  <c r="AI199" i="2"/>
  <c r="AI185" i="2"/>
  <c r="AI202" i="2"/>
  <c r="AI64" i="2"/>
  <c r="AI68" i="2"/>
  <c r="AI155" i="2"/>
  <c r="AI61" i="2"/>
  <c r="AI128" i="2"/>
  <c r="AI272" i="2" s="1"/>
  <c r="AI166" i="2"/>
  <c r="AI179" i="2"/>
  <c r="AI206" i="2"/>
  <c r="AI148" i="2"/>
  <c r="AI138" i="2"/>
  <c r="AI98" i="2"/>
  <c r="AI142" i="2"/>
  <c r="U92" i="4" s="1"/>
  <c r="AI124" i="2"/>
  <c r="AI268" i="2" s="1"/>
  <c r="AI49" i="2"/>
  <c r="AI165" i="2"/>
  <c r="AI176" i="2"/>
  <c r="T19" i="4"/>
  <c r="AI91" i="2"/>
  <c r="AI87" i="2"/>
  <c r="AI133" i="2"/>
  <c r="AI105" i="2"/>
  <c r="AI192" i="2"/>
  <c r="AI188" i="2"/>
  <c r="AI151" i="2"/>
  <c r="AI146" i="2"/>
  <c r="AI57" i="2"/>
  <c r="AI50" i="2"/>
  <c r="AI69" i="2"/>
  <c r="AI53" i="2"/>
  <c r="AI147" i="2"/>
  <c r="AI127" i="2"/>
  <c r="AI271" i="2" s="1"/>
  <c r="AI51" i="2"/>
  <c r="AI195" i="2"/>
  <c r="T16" i="4"/>
  <c r="AI187" i="2"/>
  <c r="AI108" i="2"/>
  <c r="AI126" i="2"/>
  <c r="AI270" i="2" s="1"/>
  <c r="AI118" i="2"/>
  <c r="AI262" i="2" s="1"/>
  <c r="AI104" i="2"/>
  <c r="AI27" i="2"/>
  <c r="AI226" i="2" s="1"/>
  <c r="AI207" i="2"/>
  <c r="AI167" i="2"/>
  <c r="AI17" i="2"/>
  <c r="AI216" i="2" s="1"/>
  <c r="AI161" i="2"/>
  <c r="AI197" i="2"/>
  <c r="AI116" i="2"/>
  <c r="AI260" i="2" s="1"/>
  <c r="AI163" i="2"/>
  <c r="AI83" i="2"/>
  <c r="AI90" i="2"/>
  <c r="AI173" i="2"/>
  <c r="AI95" i="2"/>
  <c r="AI149" i="2"/>
  <c r="AI121" i="2"/>
  <c r="AI265" i="2" s="1"/>
  <c r="AI26" i="2"/>
  <c r="AI225" i="2" s="1"/>
  <c r="AI55" i="2"/>
  <c r="AI19" i="2"/>
  <c r="AI218" i="2" s="1"/>
  <c r="AI171" i="2"/>
  <c r="AI107" i="2"/>
  <c r="AI82" i="2"/>
  <c r="AI210" i="2"/>
  <c r="T46" i="4"/>
  <c r="AI24" i="2"/>
  <c r="AI223" i="2" s="1"/>
  <c r="AI139" i="2"/>
  <c r="AI137" i="2"/>
  <c r="AI81" i="2"/>
  <c r="AI174" i="2"/>
  <c r="AI96" i="2"/>
  <c r="AI201" i="2"/>
  <c r="AI194" i="2"/>
  <c r="AI20" i="2"/>
  <c r="AI110" i="2"/>
  <c r="AI80" i="2"/>
  <c r="AI140" i="2"/>
  <c r="AI132" i="2"/>
  <c r="AI276" i="2" s="1"/>
  <c r="AI131" i="2"/>
  <c r="AI275" i="2" s="1"/>
  <c r="AI123" i="2"/>
  <c r="AI267" i="2" s="1"/>
  <c r="AI178" i="2"/>
  <c r="AI62" i="2"/>
  <c r="AI22" i="2"/>
  <c r="AI221" i="2" s="1"/>
  <c r="AI86" i="2"/>
  <c r="AI172" i="2"/>
  <c r="AI94" i="2"/>
  <c r="AI204" i="2"/>
  <c r="AI59" i="2"/>
  <c r="AI75" i="2"/>
  <c r="AI48" i="2"/>
  <c r="AI85" i="2"/>
  <c r="AI18" i="2"/>
  <c r="AI217" i="2" s="1"/>
  <c r="AI182" i="2"/>
  <c r="T62" i="4"/>
  <c r="T85" i="4"/>
  <c r="T45" i="4"/>
  <c r="T83" i="4"/>
  <c r="Q6" i="4"/>
  <c r="Q5" i="4"/>
  <c r="AI135" i="2"/>
  <c r="T31" i="4"/>
  <c r="T55" i="4"/>
  <c r="T18" i="4"/>
  <c r="T94" i="4"/>
  <c r="T37" i="4"/>
  <c r="T119" i="4"/>
  <c r="AI65" i="2"/>
  <c r="T15" i="4"/>
  <c r="T11" i="4"/>
  <c r="T75" i="4"/>
  <c r="T60" i="4"/>
  <c r="T13" i="4"/>
  <c r="T143" i="4"/>
  <c r="T32" i="4"/>
  <c r="T68" i="4"/>
  <c r="T102" i="4"/>
  <c r="AI54" i="2"/>
  <c r="T34" i="4"/>
  <c r="T80" i="4"/>
  <c r="S146" i="4"/>
  <c r="T116" i="4"/>
  <c r="T115" i="4"/>
  <c r="S10" i="4"/>
  <c r="R4" i="4"/>
  <c r="U16" i="41" s="1"/>
  <c r="R76" i="4"/>
  <c r="T22" i="4"/>
  <c r="T137" i="4"/>
  <c r="T58" i="4"/>
  <c r="T120" i="4"/>
  <c r="AI60" i="2"/>
  <c r="AI70" i="2"/>
  <c r="T145" i="4"/>
  <c r="T29" i="4"/>
  <c r="T50" i="4"/>
  <c r="T95" i="4"/>
  <c r="AI39" i="2"/>
  <c r="AI40" i="2"/>
  <c r="AI36" i="2"/>
  <c r="AI38" i="2"/>
  <c r="AI44" i="2"/>
  <c r="AI45" i="2"/>
  <c r="AI31" i="2"/>
  <c r="AI230" i="2" s="1"/>
  <c r="AI33" i="2"/>
  <c r="AI43" i="2"/>
  <c r="U23" i="4" s="1"/>
  <c r="AI41" i="2"/>
  <c r="AI115" i="2"/>
  <c r="AH211" i="2"/>
  <c r="AI30" i="2"/>
  <c r="AH6" i="2"/>
  <c r="AI15" i="2"/>
  <c r="AH111" i="2"/>
  <c r="AH7" i="2"/>
  <c r="AH4" i="2"/>
  <c r="AH5" i="2" s="1"/>
  <c r="AI35" i="2"/>
  <c r="AI189" i="2"/>
  <c r="AI134" i="2"/>
  <c r="AI141" i="2"/>
  <c r="AI46" i="2"/>
  <c r="AI153" i="2"/>
  <c r="AI175" i="2"/>
  <c r="AI93" i="2"/>
  <c r="AI56" i="2"/>
  <c r="AI37" i="2"/>
  <c r="AI32" i="2"/>
  <c r="AI231" i="2" s="1"/>
  <c r="AI23" i="2"/>
  <c r="AI222" i="2" s="1"/>
  <c r="AI67" i="2"/>
  <c r="AI74" i="2"/>
  <c r="AI42" i="2"/>
  <c r="AI34" i="2"/>
  <c r="AI177" i="2"/>
  <c r="AI28" i="2"/>
  <c r="AI227" i="2" s="1"/>
  <c r="AI16" i="2"/>
  <c r="AI215" i="2" s="1"/>
  <c r="AI109" i="2"/>
  <c r="AI154" i="2"/>
  <c r="R345" i="41" l="1"/>
  <c r="U188" i="36"/>
  <c r="R344" i="41"/>
  <c r="R242" i="41"/>
  <c r="S135" i="40"/>
  <c r="O224" i="41"/>
  <c r="O240" i="41"/>
  <c r="R140" i="41"/>
  <c r="R142" i="41" s="1"/>
  <c r="R47" i="41" s="1"/>
  <c r="Q295" i="41"/>
  <c r="R194" i="41"/>
  <c r="R195" i="41" s="1"/>
  <c r="R493" i="41" s="1"/>
  <c r="Q80" i="41"/>
  <c r="S136" i="41"/>
  <c r="Q59" i="41"/>
  <c r="S137" i="41"/>
  <c r="U17" i="41"/>
  <c r="U135" i="41" s="1"/>
  <c r="U20" i="41"/>
  <c r="T134" i="41"/>
  <c r="P239" i="41"/>
  <c r="P240" i="41" s="1"/>
  <c r="Q238" i="41"/>
  <c r="P346" i="41"/>
  <c r="P36" i="41" s="1"/>
  <c r="P522" i="41"/>
  <c r="P38" i="41"/>
  <c r="O40" i="41"/>
  <c r="O109" i="41" s="1"/>
  <c r="O113" i="41"/>
  <c r="S138" i="41"/>
  <c r="Q123" i="41"/>
  <c r="Q529" i="41"/>
  <c r="Q342" i="41"/>
  <c r="R341" i="41"/>
  <c r="Q492" i="41"/>
  <c r="Q91" i="41"/>
  <c r="T12" i="41"/>
  <c r="U11" i="41"/>
  <c r="P79" i="41"/>
  <c r="Q350" i="41"/>
  <c r="R349" i="41"/>
  <c r="Q526" i="41"/>
  <c r="Q527" i="41" s="1"/>
  <c r="Q90" i="41"/>
  <c r="R155" i="41"/>
  <c r="P104" i="41"/>
  <c r="P37" i="41"/>
  <c r="R370" i="41"/>
  <c r="Q372" i="41"/>
  <c r="Q101" i="41" s="1"/>
  <c r="S191" i="41"/>
  <c r="S197" i="41"/>
  <c r="S200" i="41" s="1"/>
  <c r="P360" i="41"/>
  <c r="O362" i="41"/>
  <c r="R404" i="41"/>
  <c r="Q406" i="41"/>
  <c r="Q103" i="41" s="1"/>
  <c r="Q142" i="41"/>
  <c r="Q47" i="41" s="1"/>
  <c r="Q34" i="41"/>
  <c r="U183" i="41"/>
  <c r="T189" i="41"/>
  <c r="P296" i="41"/>
  <c r="P458" i="41"/>
  <c r="O489" i="41"/>
  <c r="O460" i="41"/>
  <c r="P218" i="41"/>
  <c r="Q217" i="41"/>
  <c r="P434" i="41"/>
  <c r="O100" i="41"/>
  <c r="O106" i="41" s="1"/>
  <c r="P282" i="41"/>
  <c r="O284" i="41"/>
  <c r="O285" i="41" s="1"/>
  <c r="O333" i="41"/>
  <c r="S14" i="41"/>
  <c r="S192" i="41" s="1"/>
  <c r="S300" i="41" s="1"/>
  <c r="S302" i="41" s="1"/>
  <c r="S303" i="41" s="1"/>
  <c r="S336" i="41" s="1"/>
  <c r="T13" i="41"/>
  <c r="Q293" i="41"/>
  <c r="R292" i="41"/>
  <c r="Q437" i="41"/>
  <c r="Q500" i="41" s="1"/>
  <c r="Q503" i="41" s="1"/>
  <c r="Q516" i="41" s="1"/>
  <c r="Q345" i="39"/>
  <c r="V165" i="41"/>
  <c r="W161" i="41"/>
  <c r="X160" i="41"/>
  <c r="O217" i="40"/>
  <c r="O218" i="40" s="1"/>
  <c r="O114" i="40" s="1"/>
  <c r="O121" i="40" s="1"/>
  <c r="P34" i="38"/>
  <c r="Q140" i="39"/>
  <c r="Q344" i="40"/>
  <c r="R141" i="40"/>
  <c r="R136" i="40"/>
  <c r="P428" i="40"/>
  <c r="P429" i="40" s="1"/>
  <c r="R283" i="40"/>
  <c r="Q276" i="39"/>
  <c r="R137" i="40"/>
  <c r="R137" i="38"/>
  <c r="Q345" i="38"/>
  <c r="P295" i="40"/>
  <c r="Q276" i="40"/>
  <c r="Q275" i="40"/>
  <c r="P437" i="40"/>
  <c r="P500" i="40" s="1"/>
  <c r="P503" i="40" s="1"/>
  <c r="P516" i="40" s="1"/>
  <c r="O296" i="40"/>
  <c r="O296" i="38"/>
  <c r="P295" i="39"/>
  <c r="P59" i="38"/>
  <c r="O38" i="38"/>
  <c r="R310" i="40"/>
  <c r="Q311" i="40"/>
  <c r="R314" i="40"/>
  <c r="Q315" i="40"/>
  <c r="R283" i="38"/>
  <c r="R14" i="38"/>
  <c r="R192" i="38" s="1"/>
  <c r="R300" i="38" s="1"/>
  <c r="R302" i="38" s="1"/>
  <c r="R303" i="38" s="1"/>
  <c r="R336" i="38" s="1"/>
  <c r="S13" i="38"/>
  <c r="P90" i="40"/>
  <c r="Q155" i="40"/>
  <c r="Q344" i="39"/>
  <c r="T183" i="40"/>
  <c r="S189" i="40"/>
  <c r="P123" i="40"/>
  <c r="P342" i="40"/>
  <c r="P529" i="40"/>
  <c r="P492" i="40"/>
  <c r="P91" i="40"/>
  <c r="Q341" i="40"/>
  <c r="Q195" i="40"/>
  <c r="Q94" i="40"/>
  <c r="O282" i="38"/>
  <c r="O47" i="38"/>
  <c r="O458" i="38"/>
  <c r="O360" i="38"/>
  <c r="T17" i="38"/>
  <c r="T135" i="38" s="1"/>
  <c r="U16" i="38"/>
  <c r="T20" i="38"/>
  <c r="O296" i="39"/>
  <c r="S134" i="40"/>
  <c r="R314" i="39"/>
  <c r="Q315" i="39"/>
  <c r="P437" i="38"/>
  <c r="P500" i="38" s="1"/>
  <c r="P503" i="38" s="1"/>
  <c r="P516" i="38" s="1"/>
  <c r="R141" i="38"/>
  <c r="Q404" i="39"/>
  <c r="P406" i="39"/>
  <c r="P103" i="39" s="1"/>
  <c r="Q332" i="38"/>
  <c r="R14" i="39"/>
  <c r="R192" i="39" s="1"/>
  <c r="S13" i="39"/>
  <c r="S196" i="39" s="1"/>
  <c r="S12" i="39"/>
  <c r="T11" i="39"/>
  <c r="R137" i="39"/>
  <c r="Q195" i="38"/>
  <c r="Q94" i="38"/>
  <c r="T20" i="39"/>
  <c r="T17" i="39"/>
  <c r="T135" i="39" s="1"/>
  <c r="U16" i="39"/>
  <c r="P91" i="38"/>
  <c r="P492" i="38"/>
  <c r="P529" i="38"/>
  <c r="Q341" i="38"/>
  <c r="P123" i="38"/>
  <c r="P342" i="38"/>
  <c r="P493" i="38"/>
  <c r="R138" i="38"/>
  <c r="R283" i="39"/>
  <c r="P293" i="38"/>
  <c r="Q292" i="38"/>
  <c r="S12" i="38"/>
  <c r="T11" i="38"/>
  <c r="R310" i="39"/>
  <c r="Q311" i="39"/>
  <c r="R301" i="39"/>
  <c r="S301" i="39" s="1"/>
  <c r="Q302" i="39"/>
  <c r="Q303" i="39" s="1"/>
  <c r="Q336" i="39" s="1"/>
  <c r="P90" i="39"/>
  <c r="Q155" i="39"/>
  <c r="P529" i="39"/>
  <c r="P342" i="39"/>
  <c r="P492" i="39"/>
  <c r="P91" i="39"/>
  <c r="Q341" i="39"/>
  <c r="P123" i="39"/>
  <c r="P277" i="39"/>
  <c r="O522" i="40"/>
  <c r="O346" i="40"/>
  <c r="O36" i="40" s="1"/>
  <c r="R323" i="39"/>
  <c r="Q324" i="39"/>
  <c r="Q325" i="39" s="1"/>
  <c r="P350" i="40"/>
  <c r="P526" i="40"/>
  <c r="P527" i="40" s="1"/>
  <c r="Q349" i="40"/>
  <c r="Q319" i="39"/>
  <c r="R318" i="39"/>
  <c r="R306" i="40"/>
  <c r="R307" i="40" s="1"/>
  <c r="S13" i="40"/>
  <c r="S196" i="40" s="1"/>
  <c r="R14" i="40"/>
  <c r="R192" i="40" s="1"/>
  <c r="R194" i="40" s="1"/>
  <c r="P142" i="39"/>
  <c r="P47" i="39" s="1"/>
  <c r="P34" i="39"/>
  <c r="P432" i="39"/>
  <c r="P428" i="39" s="1"/>
  <c r="P429" i="39" s="1"/>
  <c r="P293" i="39"/>
  <c r="Q292" i="39"/>
  <c r="Q432" i="39" s="1"/>
  <c r="P277" i="40"/>
  <c r="Q344" i="38"/>
  <c r="P295" i="38"/>
  <c r="Q289" i="40"/>
  <c r="R288" i="40"/>
  <c r="O38" i="39"/>
  <c r="P59" i="39"/>
  <c r="O37" i="38"/>
  <c r="O104" i="38"/>
  <c r="Q274" i="39"/>
  <c r="R273" i="39"/>
  <c r="Q242" i="38"/>
  <c r="O37" i="40"/>
  <c r="O104" i="40"/>
  <c r="Q345" i="40"/>
  <c r="R273" i="40"/>
  <c r="Q274" i="40"/>
  <c r="P332" i="39"/>
  <c r="O104" i="39"/>
  <c r="O37" i="39"/>
  <c r="P493" i="39"/>
  <c r="Q370" i="40"/>
  <c r="P372" i="40"/>
  <c r="P101" i="40" s="1"/>
  <c r="P34" i="40"/>
  <c r="P493" i="40"/>
  <c r="P238" i="40"/>
  <c r="Q242" i="40"/>
  <c r="Q370" i="39"/>
  <c r="P372" i="39"/>
  <c r="P101" i="39" s="1"/>
  <c r="P350" i="38"/>
  <c r="Q349" i="38"/>
  <c r="P526" i="38"/>
  <c r="P527" i="38" s="1"/>
  <c r="R301" i="40"/>
  <c r="Q302" i="40"/>
  <c r="Q303" i="40" s="1"/>
  <c r="Q336" i="40" s="1"/>
  <c r="O239" i="38"/>
  <c r="O210" i="38" s="1"/>
  <c r="P238" i="38"/>
  <c r="O79" i="38"/>
  <c r="P80" i="38"/>
  <c r="Q140" i="38"/>
  <c r="Q275" i="39"/>
  <c r="R138" i="40"/>
  <c r="O217" i="39"/>
  <c r="O429" i="39"/>
  <c r="O362" i="39"/>
  <c r="Q197" i="39"/>
  <c r="Q200" i="39" s="1"/>
  <c r="Q349" i="39"/>
  <c r="P526" i="39"/>
  <c r="P527" i="39" s="1"/>
  <c r="P350" i="39"/>
  <c r="P90" i="38"/>
  <c r="Q155" i="38"/>
  <c r="P59" i="40"/>
  <c r="O38" i="40"/>
  <c r="O217" i="38"/>
  <c r="O429" i="38"/>
  <c r="O239" i="40"/>
  <c r="O210" i="40" s="1"/>
  <c r="R136" i="39"/>
  <c r="S135" i="36"/>
  <c r="Q404" i="38"/>
  <c r="P406" i="38"/>
  <c r="P103" i="38" s="1"/>
  <c r="S134" i="38"/>
  <c r="O522" i="38"/>
  <c r="O346" i="38"/>
  <c r="O36" i="38" s="1"/>
  <c r="O489" i="39"/>
  <c r="O460" i="39"/>
  <c r="P437" i="39"/>
  <c r="P500" i="39" s="1"/>
  <c r="P503" i="39" s="1"/>
  <c r="P516" i="39" s="1"/>
  <c r="R136" i="38"/>
  <c r="O458" i="40"/>
  <c r="O47" i="40"/>
  <c r="O360" i="40"/>
  <c r="O282" i="40"/>
  <c r="R141" i="39"/>
  <c r="R191" i="38"/>
  <c r="R197" i="38"/>
  <c r="R200" i="38" s="1"/>
  <c r="R191" i="39"/>
  <c r="Q142" i="39"/>
  <c r="Q47" i="39" s="1"/>
  <c r="R323" i="40"/>
  <c r="Q324" i="40"/>
  <c r="Q325" i="40" s="1"/>
  <c r="P80" i="40"/>
  <c r="P79" i="40" s="1"/>
  <c r="Q404" i="40"/>
  <c r="P406" i="40"/>
  <c r="P103" i="40" s="1"/>
  <c r="R138" i="39"/>
  <c r="Q493" i="39"/>
  <c r="O239" i="39"/>
  <c r="O210" i="39" s="1"/>
  <c r="P238" i="39"/>
  <c r="R306" i="39"/>
  <c r="Q307" i="39"/>
  <c r="Q370" i="38"/>
  <c r="P372" i="38"/>
  <c r="P101" i="38" s="1"/>
  <c r="R288" i="39"/>
  <c r="Q289" i="39"/>
  <c r="S134" i="36"/>
  <c r="O522" i="39"/>
  <c r="O346" i="39"/>
  <c r="O36" i="39" s="1"/>
  <c r="S12" i="40"/>
  <c r="T11" i="40"/>
  <c r="Q319" i="40"/>
  <c r="R318" i="40"/>
  <c r="T183" i="38"/>
  <c r="T189" i="38" s="1"/>
  <c r="S189" i="38"/>
  <c r="T17" i="40"/>
  <c r="T135" i="40" s="1"/>
  <c r="T20" i="40"/>
  <c r="U16" i="40"/>
  <c r="T183" i="39"/>
  <c r="S189" i="39"/>
  <c r="S134" i="39"/>
  <c r="P293" i="40"/>
  <c r="Q292" i="40"/>
  <c r="Q432" i="40" s="1"/>
  <c r="P332" i="40"/>
  <c r="O284" i="39"/>
  <c r="O285" i="39" s="1"/>
  <c r="O335" i="39" s="1"/>
  <c r="O337" i="39" s="1"/>
  <c r="O333" i="39"/>
  <c r="O222" i="39" s="1"/>
  <c r="Q140" i="40"/>
  <c r="P432" i="38"/>
  <c r="P428" i="38" s="1"/>
  <c r="Q242" i="39"/>
  <c r="P80" i="39"/>
  <c r="O79" i="39"/>
  <c r="R273" i="36"/>
  <c r="R301" i="36"/>
  <c r="R283" i="36"/>
  <c r="R323" i="36"/>
  <c r="R306" i="36"/>
  <c r="R288" i="36"/>
  <c r="R310" i="36"/>
  <c r="R314" i="36"/>
  <c r="R318" i="36"/>
  <c r="O336" i="36"/>
  <c r="P303" i="36"/>
  <c r="P325" i="36"/>
  <c r="R137" i="36"/>
  <c r="R141" i="36"/>
  <c r="R136" i="36"/>
  <c r="O208" i="36"/>
  <c r="R138" i="36"/>
  <c r="P437" i="36"/>
  <c r="P500" i="36" s="1"/>
  <c r="P503" i="36" s="1"/>
  <c r="P516" i="36" s="1"/>
  <c r="P429" i="36"/>
  <c r="P34" i="36"/>
  <c r="Q275" i="36"/>
  <c r="Q274" i="36"/>
  <c r="Q276" i="36"/>
  <c r="P332" i="36"/>
  <c r="Q324" i="36"/>
  <c r="Q302" i="36"/>
  <c r="Q289" i="36"/>
  <c r="Q319" i="36"/>
  <c r="Q197" i="36"/>
  <c r="Q200" i="36" s="1"/>
  <c r="Q315" i="36"/>
  <c r="P277" i="36"/>
  <c r="Q311" i="36"/>
  <c r="Q307" i="36"/>
  <c r="Q345" i="36"/>
  <c r="U44" i="36"/>
  <c r="O296" i="36"/>
  <c r="U187" i="36"/>
  <c r="U186" i="36"/>
  <c r="Q242" i="36"/>
  <c r="Q238" i="36" s="1"/>
  <c r="O522" i="36"/>
  <c r="O346" i="36"/>
  <c r="O36" i="36" s="1"/>
  <c r="W182" i="36"/>
  <c r="Q404" i="36"/>
  <c r="P406" i="36"/>
  <c r="P103" i="36" s="1"/>
  <c r="P295" i="36"/>
  <c r="W184" i="36"/>
  <c r="Q344" i="36"/>
  <c r="O360" i="36"/>
  <c r="O282" i="36"/>
  <c r="O458" i="36"/>
  <c r="O47" i="36"/>
  <c r="P526" i="36"/>
  <c r="P527" i="36" s="1"/>
  <c r="P350" i="36"/>
  <c r="Q349" i="36"/>
  <c r="U154" i="36"/>
  <c r="T491" i="36"/>
  <c r="O37" i="36"/>
  <c r="O104" i="36"/>
  <c r="R191" i="36"/>
  <c r="P492" i="36"/>
  <c r="Q341" i="36"/>
  <c r="P342" i="36"/>
  <c r="P91" i="36"/>
  <c r="P123" i="36"/>
  <c r="P529" i="36"/>
  <c r="P493" i="36"/>
  <c r="Q370" i="36"/>
  <c r="Q59" i="36" s="1"/>
  <c r="P372" i="36"/>
  <c r="P101" i="36" s="1"/>
  <c r="O239" i="36"/>
  <c r="S191" i="36"/>
  <c r="O38" i="36"/>
  <c r="O40" i="36" s="1"/>
  <c r="O434" i="36"/>
  <c r="O218" i="36"/>
  <c r="O114" i="36" s="1"/>
  <c r="O121" i="36" s="1"/>
  <c r="W185" i="36"/>
  <c r="R14" i="36"/>
  <c r="R192" i="36" s="1"/>
  <c r="R300" i="36" s="1"/>
  <c r="S13" i="36"/>
  <c r="U169" i="36"/>
  <c r="T170" i="36"/>
  <c r="T173" i="36" s="1"/>
  <c r="T11" i="36"/>
  <c r="S12" i="36"/>
  <c r="U139" i="36"/>
  <c r="Q140" i="36"/>
  <c r="W18" i="36"/>
  <c r="V19" i="36"/>
  <c r="V149" i="36" s="1"/>
  <c r="T183" i="36"/>
  <c r="U16" i="36"/>
  <c r="T17" i="36"/>
  <c r="T20" i="36"/>
  <c r="P90" i="36"/>
  <c r="Q155" i="36"/>
  <c r="U294" i="36"/>
  <c r="W190" i="36"/>
  <c r="V271" i="36"/>
  <c r="Q292" i="36"/>
  <c r="Q432" i="36" s="1"/>
  <c r="Q428" i="36" s="1"/>
  <c r="P293" i="36"/>
  <c r="S92" i="36"/>
  <c r="T89" i="36"/>
  <c r="T490" i="36"/>
  <c r="U146" i="36"/>
  <c r="T147" i="36"/>
  <c r="T150" i="36" s="1"/>
  <c r="P80" i="36"/>
  <c r="O79" i="36"/>
  <c r="V22" i="36"/>
  <c r="W21" i="36"/>
  <c r="U177" i="36"/>
  <c r="T178" i="36"/>
  <c r="T179" i="36" s="1"/>
  <c r="Q195" i="36"/>
  <c r="Q94" i="36"/>
  <c r="U24" i="4"/>
  <c r="AI299" i="2"/>
  <c r="AI264" i="2"/>
  <c r="AI284" i="2"/>
  <c r="AI298" i="2"/>
  <c r="AI259" i="2"/>
  <c r="AI283" i="2"/>
  <c r="AI300" i="2"/>
  <c r="AI269" i="2"/>
  <c r="AI285" i="2"/>
  <c r="AI301" i="2"/>
  <c r="AI303" i="2"/>
  <c r="AI274" i="2"/>
  <c r="AI286" i="2"/>
  <c r="AI302" i="2"/>
  <c r="AI258" i="2"/>
  <c r="U122" i="4"/>
  <c r="AI255" i="2"/>
  <c r="AI253" i="2"/>
  <c r="AI229" i="2"/>
  <c r="AI241" i="2"/>
  <c r="AI254" i="2"/>
  <c r="AI219" i="2"/>
  <c r="AI239" i="2"/>
  <c r="AI224" i="2"/>
  <c r="AI240" i="2"/>
  <c r="AI257" i="2"/>
  <c r="AI256" i="2"/>
  <c r="AI214" i="2"/>
  <c r="AI238" i="2"/>
  <c r="U63" i="4"/>
  <c r="AI281" i="2"/>
  <c r="AI282" i="2"/>
  <c r="AI280" i="2"/>
  <c r="AI277" i="2"/>
  <c r="AI279" i="2"/>
  <c r="U73" i="4"/>
  <c r="AI235" i="2"/>
  <c r="AI236" i="2"/>
  <c r="AI232" i="2"/>
  <c r="AI234" i="2"/>
  <c r="AI237" i="2"/>
  <c r="U107" i="4"/>
  <c r="U84" i="4"/>
  <c r="AI278" i="2"/>
  <c r="U27" i="4"/>
  <c r="U74" i="4"/>
  <c r="U14" i="4"/>
  <c r="AI233" i="2"/>
  <c r="U142" i="4"/>
  <c r="U42" i="4"/>
  <c r="U43" i="4"/>
  <c r="U49" i="4"/>
  <c r="U127" i="4"/>
  <c r="U54" i="4"/>
  <c r="U111" i="4"/>
  <c r="U132" i="4"/>
  <c r="U21" i="4"/>
  <c r="U102" i="4"/>
  <c r="AI288" i="2"/>
  <c r="U110" i="4"/>
  <c r="AI245" i="2"/>
  <c r="AI249" i="2"/>
  <c r="U17" i="4"/>
  <c r="AI287" i="2"/>
  <c r="AI246" i="2"/>
  <c r="U67" i="4"/>
  <c r="AI292" i="2"/>
  <c r="AI291" i="2"/>
  <c r="AI293" i="2"/>
  <c r="AI290" i="2"/>
  <c r="AI243" i="2"/>
  <c r="AI289" i="2"/>
  <c r="U96" i="4"/>
  <c r="U108" i="4"/>
  <c r="AI295" i="2"/>
  <c r="U57" i="4"/>
  <c r="AI296" i="2"/>
  <c r="U20" i="4"/>
  <c r="AI244" i="2"/>
  <c r="AI250" i="2"/>
  <c r="AI252" i="2"/>
  <c r="AI305" i="2"/>
  <c r="U109" i="4"/>
  <c r="AI248" i="2"/>
  <c r="AI247" i="2"/>
  <c r="AI294" i="2"/>
  <c r="AI297" i="2"/>
  <c r="AI304" i="2"/>
  <c r="AI242" i="2"/>
  <c r="AI251" i="2"/>
  <c r="U144" i="4"/>
  <c r="U139" i="4"/>
  <c r="U26" i="4"/>
  <c r="U28" i="4"/>
  <c r="U138" i="4"/>
  <c r="U72" i="4"/>
  <c r="U128" i="4"/>
  <c r="U112" i="4"/>
  <c r="U90" i="4"/>
  <c r="U61" i="4"/>
  <c r="U117" i="4"/>
  <c r="U114" i="4"/>
  <c r="U64" i="4"/>
  <c r="U87" i="4"/>
  <c r="U130" i="4"/>
  <c r="U30" i="4"/>
  <c r="U123" i="4"/>
  <c r="U141" i="4"/>
  <c r="U137" i="4"/>
  <c r="U99" i="4"/>
  <c r="U93" i="4"/>
  <c r="U94" i="4"/>
  <c r="U82" i="4"/>
  <c r="U105" i="4"/>
  <c r="U69" i="4"/>
  <c r="U71" i="4"/>
  <c r="U89" i="4"/>
  <c r="U106" i="4"/>
  <c r="U100" i="4"/>
  <c r="U88" i="4"/>
  <c r="U41" i="4"/>
  <c r="U134" i="4"/>
  <c r="U70" i="4"/>
  <c r="U136" i="4"/>
  <c r="U52" i="4"/>
  <c r="U66" i="4"/>
  <c r="U98" i="4"/>
  <c r="U113" i="4"/>
  <c r="U126" i="4"/>
  <c r="U121" i="4"/>
  <c r="U129" i="4"/>
  <c r="U135" i="4"/>
  <c r="U118" i="4"/>
  <c r="U48" i="4"/>
  <c r="U65" i="4"/>
  <c r="U101" i="4"/>
  <c r="U86" i="4"/>
  <c r="U62" i="4"/>
  <c r="U46" i="4"/>
  <c r="U58" i="4"/>
  <c r="U39" i="4"/>
  <c r="U33" i="4"/>
  <c r="U53" i="4"/>
  <c r="U95" i="4"/>
  <c r="U103" i="4"/>
  <c r="U35" i="4"/>
  <c r="U97" i="4"/>
  <c r="U56" i="4"/>
  <c r="U68" i="4"/>
  <c r="U81" i="4"/>
  <c r="U131" i="4"/>
  <c r="U51" i="4"/>
  <c r="U124" i="4"/>
  <c r="U44" i="4"/>
  <c r="U12" i="4"/>
  <c r="U120" i="4"/>
  <c r="U38" i="4"/>
  <c r="U59" i="4"/>
  <c r="U31" i="4"/>
  <c r="U32" i="4"/>
  <c r="U140" i="4"/>
  <c r="U40" i="4"/>
  <c r="U115" i="4"/>
  <c r="U143" i="4"/>
  <c r="U119" i="4"/>
  <c r="U133" i="4"/>
  <c r="U50" i="4"/>
  <c r="U16" i="4"/>
  <c r="U19" i="4"/>
  <c r="U18" i="4"/>
  <c r="U60" i="4"/>
  <c r="U55" i="4"/>
  <c r="U116" i="4"/>
  <c r="U37" i="4"/>
  <c r="U83" i="4"/>
  <c r="U29" i="4"/>
  <c r="U85" i="4"/>
  <c r="U145" i="4"/>
  <c r="U36" i="4"/>
  <c r="U34" i="4"/>
  <c r="U11" i="4"/>
  <c r="U104" i="4"/>
  <c r="U47" i="4"/>
  <c r="U22" i="4"/>
  <c r="U13" i="4"/>
  <c r="U91" i="4"/>
  <c r="U15" i="4"/>
  <c r="U45" i="4"/>
  <c r="R6" i="4"/>
  <c r="R5" i="4"/>
  <c r="U80" i="4"/>
  <c r="T146" i="4"/>
  <c r="U125" i="4"/>
  <c r="T10" i="4"/>
  <c r="S76" i="4"/>
  <c r="S4" i="4"/>
  <c r="V16" i="41" s="1"/>
  <c r="U75" i="4"/>
  <c r="U25" i="4"/>
  <c r="AI111" i="2"/>
  <c r="AI7" i="2"/>
  <c r="AI4" i="2"/>
  <c r="AI5" i="2" s="1"/>
  <c r="AI6" i="2"/>
  <c r="AI211" i="2"/>
  <c r="Q296" i="41" l="1"/>
  <c r="R94" i="41"/>
  <c r="P224" i="41"/>
  <c r="T136" i="41"/>
  <c r="V188" i="36"/>
  <c r="R59" i="41"/>
  <c r="Q79" i="41"/>
  <c r="R80" i="41"/>
  <c r="S140" i="41"/>
  <c r="S345" i="41"/>
  <c r="T141" i="41"/>
  <c r="P210" i="41"/>
  <c r="V20" i="41"/>
  <c r="V17" i="41"/>
  <c r="V135" i="41" s="1"/>
  <c r="S292" i="41"/>
  <c r="S432" i="41" s="1"/>
  <c r="R293" i="41"/>
  <c r="Q522" i="41"/>
  <c r="Q346" i="41"/>
  <c r="Q36" i="41" s="1"/>
  <c r="Q282" i="41"/>
  <c r="P284" i="41"/>
  <c r="P285" i="41" s="1"/>
  <c r="P333" i="41"/>
  <c r="O528" i="41"/>
  <c r="O63" i="41"/>
  <c r="Q38" i="41"/>
  <c r="P40" i="41"/>
  <c r="P109" i="41" s="1"/>
  <c r="P113" i="41"/>
  <c r="S142" i="41"/>
  <c r="S47" i="41" s="1"/>
  <c r="Q37" i="41"/>
  <c r="Q104" i="41"/>
  <c r="O533" i="41"/>
  <c r="O461" i="41"/>
  <c r="O127" i="41" s="1"/>
  <c r="Q360" i="41"/>
  <c r="P362" i="41"/>
  <c r="U12" i="41"/>
  <c r="V11" i="41"/>
  <c r="U134" i="41"/>
  <c r="O88" i="41"/>
  <c r="O93" i="41" s="1"/>
  <c r="R90" i="41"/>
  <c r="S155" i="41"/>
  <c r="R34" i="41"/>
  <c r="O335" i="41"/>
  <c r="O337" i="41" s="1"/>
  <c r="R295" i="41"/>
  <c r="Q458" i="41"/>
  <c r="P489" i="41"/>
  <c r="P460" i="41"/>
  <c r="S242" i="41"/>
  <c r="R432" i="41"/>
  <c r="R428" i="41" s="1"/>
  <c r="R429" i="41" s="1"/>
  <c r="U13" i="41"/>
  <c r="T14" i="41"/>
  <c r="T192" i="41" s="1"/>
  <c r="T300" i="41" s="1"/>
  <c r="T302" i="41" s="1"/>
  <c r="T303" i="41" s="1"/>
  <c r="T336" i="41" s="1"/>
  <c r="Q434" i="41"/>
  <c r="Q218" i="41"/>
  <c r="T137" i="41"/>
  <c r="S194" i="41"/>
  <c r="S344" i="41"/>
  <c r="R437" i="41"/>
  <c r="R500" i="41" s="1"/>
  <c r="R503" i="41" s="1"/>
  <c r="R516" i="41" s="1"/>
  <c r="T191" i="41"/>
  <c r="T197" i="41"/>
  <c r="T200" i="41" s="1"/>
  <c r="T138" i="41"/>
  <c r="R238" i="41"/>
  <c r="Q239" i="41"/>
  <c r="O222" i="41"/>
  <c r="P208" i="41" s="1"/>
  <c r="P114" i="41"/>
  <c r="P121" i="41" s="1"/>
  <c r="P100" i="41"/>
  <c r="P106" i="41" s="1"/>
  <c r="V183" i="41"/>
  <c r="U189" i="41"/>
  <c r="S404" i="41"/>
  <c r="R406" i="41"/>
  <c r="R103" i="41" s="1"/>
  <c r="S370" i="41"/>
  <c r="R372" i="41"/>
  <c r="R101" i="41" s="1"/>
  <c r="R350" i="41"/>
  <c r="S349" i="41"/>
  <c r="R526" i="41"/>
  <c r="R527" i="41" s="1"/>
  <c r="S341" i="41"/>
  <c r="R123" i="41"/>
  <c r="R529" i="41"/>
  <c r="R342" i="41"/>
  <c r="R492" i="41"/>
  <c r="R91" i="41"/>
  <c r="O434" i="40"/>
  <c r="X161" i="41"/>
  <c r="W165" i="41"/>
  <c r="Q34" i="39"/>
  <c r="P296" i="40"/>
  <c r="Q428" i="40"/>
  <c r="Q429" i="40" s="1"/>
  <c r="P217" i="40"/>
  <c r="P218" i="40" s="1"/>
  <c r="S283" i="40"/>
  <c r="P282" i="39"/>
  <c r="P284" i="39" s="1"/>
  <c r="P285" i="39" s="1"/>
  <c r="P335" i="39" s="1"/>
  <c r="P337" i="39" s="1"/>
  <c r="R276" i="40"/>
  <c r="R276" i="39"/>
  <c r="Q277" i="40"/>
  <c r="P458" i="39"/>
  <c r="Q458" i="39" s="1"/>
  <c r="S141" i="39"/>
  <c r="S136" i="39"/>
  <c r="S141" i="40"/>
  <c r="S137" i="38"/>
  <c r="R344" i="38"/>
  <c r="Q428" i="39"/>
  <c r="Q429" i="39" s="1"/>
  <c r="Q295" i="39"/>
  <c r="S301" i="40"/>
  <c r="P296" i="39"/>
  <c r="R194" i="38"/>
  <c r="R94" i="38" s="1"/>
  <c r="S137" i="40"/>
  <c r="R242" i="38"/>
  <c r="O224" i="40"/>
  <c r="S136" i="40"/>
  <c r="S141" i="38"/>
  <c r="S136" i="38"/>
  <c r="P296" i="38"/>
  <c r="Q80" i="39"/>
  <c r="O100" i="40"/>
  <c r="O106" i="40" s="1"/>
  <c r="Q332" i="39"/>
  <c r="R275" i="39"/>
  <c r="R242" i="39"/>
  <c r="R194" i="39"/>
  <c r="R195" i="39" s="1"/>
  <c r="R345" i="40"/>
  <c r="P360" i="39"/>
  <c r="P362" i="39" s="1"/>
  <c r="P79" i="38"/>
  <c r="S137" i="39"/>
  <c r="O362" i="40"/>
  <c r="P360" i="40"/>
  <c r="R349" i="39"/>
  <c r="Q350" i="39"/>
  <c r="Q526" i="39"/>
  <c r="Q527" i="39" s="1"/>
  <c r="P522" i="39"/>
  <c r="P346" i="39"/>
  <c r="P36" i="39" s="1"/>
  <c r="Q90" i="40"/>
  <c r="R155" i="40"/>
  <c r="Q437" i="40"/>
  <c r="Q500" i="40" s="1"/>
  <c r="Q503" i="40" s="1"/>
  <c r="Q516" i="40" s="1"/>
  <c r="R292" i="40"/>
  <c r="R432" i="40" s="1"/>
  <c r="Q293" i="40"/>
  <c r="U183" i="39"/>
  <c r="T189" i="39"/>
  <c r="U11" i="40"/>
  <c r="T12" i="40"/>
  <c r="R370" i="38"/>
  <c r="Q372" i="38"/>
  <c r="Q101" i="38" s="1"/>
  <c r="O88" i="39"/>
  <c r="O93" i="39" s="1"/>
  <c r="O40" i="40"/>
  <c r="O109" i="40" s="1"/>
  <c r="P38" i="40"/>
  <c r="O113" i="40"/>
  <c r="S138" i="40"/>
  <c r="O240" i="38"/>
  <c r="Q59" i="40"/>
  <c r="R370" i="40"/>
  <c r="Q372" i="40"/>
  <c r="Q101" i="40" s="1"/>
  <c r="S273" i="40"/>
  <c r="R274" i="40"/>
  <c r="S273" i="39"/>
  <c r="R274" i="39"/>
  <c r="R292" i="39"/>
  <c r="R432" i="39" s="1"/>
  <c r="Q293" i="39"/>
  <c r="R319" i="39"/>
  <c r="S318" i="39"/>
  <c r="T12" i="39"/>
  <c r="U11" i="39"/>
  <c r="P458" i="38"/>
  <c r="O460" i="38"/>
  <c r="O489" i="38"/>
  <c r="O113" i="38"/>
  <c r="P38" i="38"/>
  <c r="O40" i="38"/>
  <c r="O109" i="38" s="1"/>
  <c r="S191" i="39"/>
  <c r="Q80" i="40"/>
  <c r="Q79" i="40" s="1"/>
  <c r="R404" i="40"/>
  <c r="Q406" i="40"/>
  <c r="Q103" i="40" s="1"/>
  <c r="O434" i="38"/>
  <c r="O218" i="38"/>
  <c r="O114" i="38" s="1"/>
  <c r="O121" i="38" s="1"/>
  <c r="P217" i="38"/>
  <c r="O224" i="38"/>
  <c r="P37" i="38"/>
  <c r="P104" i="38"/>
  <c r="S310" i="40"/>
  <c r="R311" i="40"/>
  <c r="P429" i="38"/>
  <c r="U17" i="40"/>
  <c r="U135" i="40" s="1"/>
  <c r="U20" i="40"/>
  <c r="V16" i="40"/>
  <c r="R94" i="40"/>
  <c r="R195" i="40"/>
  <c r="O489" i="40"/>
  <c r="O460" i="40"/>
  <c r="P458" i="40"/>
  <c r="R404" i="38"/>
  <c r="Q406" i="38"/>
  <c r="Q103" i="38" s="1"/>
  <c r="O240" i="40"/>
  <c r="Q238" i="38"/>
  <c r="P239" i="38"/>
  <c r="R370" i="39"/>
  <c r="Q372" i="39"/>
  <c r="Q101" i="39" s="1"/>
  <c r="Q277" i="39"/>
  <c r="Q90" i="39"/>
  <c r="R155" i="39"/>
  <c r="U17" i="39"/>
  <c r="U135" i="39" s="1"/>
  <c r="U20" i="39"/>
  <c r="V16" i="39"/>
  <c r="R404" i="39"/>
  <c r="Q406" i="39"/>
  <c r="Q103" i="39" s="1"/>
  <c r="Q332" i="40"/>
  <c r="P522" i="40"/>
  <c r="P346" i="40"/>
  <c r="P36" i="40" s="1"/>
  <c r="T13" i="38"/>
  <c r="S14" i="38"/>
  <c r="S192" i="38" s="1"/>
  <c r="S300" i="38" s="1"/>
  <c r="S302" i="38" s="1"/>
  <c r="S303" i="38" s="1"/>
  <c r="S336" i="38" s="1"/>
  <c r="Q59" i="38"/>
  <c r="P239" i="39"/>
  <c r="P240" i="39" s="1"/>
  <c r="Q238" i="39"/>
  <c r="U11" i="38"/>
  <c r="T12" i="38"/>
  <c r="O362" i="38"/>
  <c r="P360" i="38"/>
  <c r="Q34" i="40"/>
  <c r="Q142" i="40"/>
  <c r="Q47" i="40" s="1"/>
  <c r="Q90" i="38"/>
  <c r="R155" i="38"/>
  <c r="Q142" i="38"/>
  <c r="Q47" i="38" s="1"/>
  <c r="Q34" i="38"/>
  <c r="Q238" i="40"/>
  <c r="R242" i="40"/>
  <c r="Q295" i="40"/>
  <c r="Q526" i="40"/>
  <c r="Q527" i="40" s="1"/>
  <c r="Q350" i="40"/>
  <c r="R349" i="40"/>
  <c r="Q432" i="38"/>
  <c r="Q428" i="38" s="1"/>
  <c r="Q429" i="38" s="1"/>
  <c r="Q293" i="38"/>
  <c r="R292" i="38"/>
  <c r="R432" i="38" s="1"/>
  <c r="T13" i="39"/>
  <c r="T301" i="39" s="1"/>
  <c r="S14" i="39"/>
  <c r="S197" i="40"/>
  <c r="S200" i="40" s="1"/>
  <c r="R197" i="40"/>
  <c r="R200" i="40" s="1"/>
  <c r="P282" i="38"/>
  <c r="O284" i="38"/>
  <c r="O285" i="38" s="1"/>
  <c r="O333" i="38"/>
  <c r="O222" i="38" s="1"/>
  <c r="S306" i="39"/>
  <c r="R307" i="39"/>
  <c r="Q437" i="39"/>
  <c r="Q500" i="39" s="1"/>
  <c r="Q503" i="39" s="1"/>
  <c r="Q516" i="39" s="1"/>
  <c r="O528" i="39"/>
  <c r="O63" i="39"/>
  <c r="Q80" i="38"/>
  <c r="P239" i="40"/>
  <c r="Q295" i="38"/>
  <c r="P522" i="38"/>
  <c r="P346" i="38"/>
  <c r="P36" i="38" s="1"/>
  <c r="R300" i="39"/>
  <c r="R302" i="39" s="1"/>
  <c r="R303" i="39" s="1"/>
  <c r="R336" i="39" s="1"/>
  <c r="S191" i="40"/>
  <c r="S283" i="38"/>
  <c r="R332" i="38"/>
  <c r="R344" i="40"/>
  <c r="S288" i="40"/>
  <c r="R289" i="40"/>
  <c r="O494" i="39"/>
  <c r="O495" i="39" s="1"/>
  <c r="O229" i="39" s="1"/>
  <c r="S197" i="38"/>
  <c r="S200" i="38" s="1"/>
  <c r="S191" i="38"/>
  <c r="T134" i="36"/>
  <c r="O223" i="39"/>
  <c r="T135" i="36"/>
  <c r="P37" i="40"/>
  <c r="P104" i="40"/>
  <c r="Q342" i="39"/>
  <c r="Q529" i="39"/>
  <c r="Q91" i="39"/>
  <c r="Q492" i="39"/>
  <c r="Q123" i="39"/>
  <c r="R341" i="39"/>
  <c r="S283" i="39"/>
  <c r="Q493" i="40"/>
  <c r="U183" i="40"/>
  <c r="T189" i="40"/>
  <c r="R345" i="39"/>
  <c r="O211" i="39"/>
  <c r="O225" i="39"/>
  <c r="R140" i="39"/>
  <c r="T197" i="38"/>
  <c r="T200" i="38" s="1"/>
  <c r="T191" i="38"/>
  <c r="O209" i="39"/>
  <c r="S138" i="39"/>
  <c r="R140" i="38"/>
  <c r="P37" i="39"/>
  <c r="P104" i="39"/>
  <c r="P208" i="39"/>
  <c r="Q59" i="39"/>
  <c r="R300" i="40"/>
  <c r="R302" i="40" s="1"/>
  <c r="R303" i="40" s="1"/>
  <c r="R336" i="40" s="1"/>
  <c r="Q437" i="38"/>
  <c r="Q500" i="38" s="1"/>
  <c r="Q503" i="38" s="1"/>
  <c r="Q516" i="38" s="1"/>
  <c r="Q91" i="38"/>
  <c r="R341" i="38"/>
  <c r="Q492" i="38"/>
  <c r="Q123" i="38"/>
  <c r="Q342" i="38"/>
  <c r="Q529" i="38"/>
  <c r="R315" i="39"/>
  <c r="S314" i="39"/>
  <c r="U183" i="38"/>
  <c r="V16" i="38"/>
  <c r="U20" i="38"/>
  <c r="U17" i="38"/>
  <c r="U135" i="38" s="1"/>
  <c r="Q123" i="40"/>
  <c r="Q342" i="40"/>
  <c r="Q529" i="40"/>
  <c r="R341" i="40"/>
  <c r="Q91" i="40"/>
  <c r="Q492" i="40"/>
  <c r="R344" i="39"/>
  <c r="R315" i="40"/>
  <c r="S314" i="40"/>
  <c r="R345" i="38"/>
  <c r="T134" i="40"/>
  <c r="P79" i="39"/>
  <c r="T134" i="39"/>
  <c r="S318" i="40"/>
  <c r="R319" i="40"/>
  <c r="S288" i="39"/>
  <c r="R289" i="39"/>
  <c r="O240" i="39"/>
  <c r="S323" i="40"/>
  <c r="R324" i="40"/>
  <c r="R325" i="40" s="1"/>
  <c r="R197" i="39"/>
  <c r="R200" i="39" s="1"/>
  <c r="O284" i="40"/>
  <c r="O285" i="40" s="1"/>
  <c r="P282" i="40"/>
  <c r="O333" i="40"/>
  <c r="O222" i="40" s="1"/>
  <c r="O533" i="39"/>
  <c r="O461" i="39"/>
  <c r="O127" i="39" s="1"/>
  <c r="T134" i="38"/>
  <c r="P217" i="39"/>
  <c r="O434" i="39"/>
  <c r="O218" i="39"/>
  <c r="O114" i="39" s="1"/>
  <c r="O121" i="39" s="1"/>
  <c r="O224" i="39"/>
  <c r="Q526" i="38"/>
  <c r="Q527" i="38" s="1"/>
  <c r="R349" i="38"/>
  <c r="Q350" i="38"/>
  <c r="O113" i="39"/>
  <c r="P38" i="39"/>
  <c r="O40" i="39"/>
  <c r="O109" i="39" s="1"/>
  <c r="S306" i="40"/>
  <c r="S307" i="40" s="1"/>
  <c r="S14" i="40"/>
  <c r="T13" i="40"/>
  <c r="T196" i="40" s="1"/>
  <c r="S323" i="39"/>
  <c r="R324" i="39"/>
  <c r="R325" i="39" s="1"/>
  <c r="S310" i="39"/>
  <c r="R311" i="39"/>
  <c r="S138" i="38"/>
  <c r="Q493" i="38"/>
  <c r="R140" i="40"/>
  <c r="R275" i="40"/>
  <c r="S314" i="36"/>
  <c r="S288" i="36"/>
  <c r="S283" i="36"/>
  <c r="S301" i="36"/>
  <c r="S306" i="36"/>
  <c r="S318" i="36"/>
  <c r="S310" i="36"/>
  <c r="S323" i="36"/>
  <c r="S273" i="36"/>
  <c r="O210" i="36"/>
  <c r="Q325" i="36"/>
  <c r="Q303" i="36"/>
  <c r="P336" i="36"/>
  <c r="O224" i="36"/>
  <c r="S137" i="36"/>
  <c r="S138" i="36"/>
  <c r="S136" i="36"/>
  <c r="S141" i="36"/>
  <c r="R302" i="36"/>
  <c r="R275" i="36"/>
  <c r="Q437" i="36"/>
  <c r="Q500" i="36" s="1"/>
  <c r="Q503" i="36" s="1"/>
  <c r="Q516" i="36" s="1"/>
  <c r="Q429" i="36"/>
  <c r="T92" i="36"/>
  <c r="R276" i="36"/>
  <c r="R307" i="36"/>
  <c r="R319" i="36"/>
  <c r="R324" i="36"/>
  <c r="R311" i="36"/>
  <c r="Q332" i="36"/>
  <c r="R289" i="36"/>
  <c r="R197" i="36"/>
  <c r="R200" i="36" s="1"/>
  <c r="R315" i="36"/>
  <c r="Q277" i="36"/>
  <c r="R274" i="36"/>
  <c r="V139" i="36"/>
  <c r="Q80" i="36"/>
  <c r="P296" i="36"/>
  <c r="O240" i="36"/>
  <c r="R345" i="36"/>
  <c r="V294" i="36"/>
  <c r="O100" i="36"/>
  <c r="O106" i="36" s="1"/>
  <c r="R242" i="36"/>
  <c r="R238" i="36" s="1"/>
  <c r="P522" i="36"/>
  <c r="P346" i="36"/>
  <c r="P36" i="36" s="1"/>
  <c r="Q493" i="36"/>
  <c r="U183" i="36"/>
  <c r="T189" i="36"/>
  <c r="Q142" i="36"/>
  <c r="Q47" i="36" s="1"/>
  <c r="Q34" i="36"/>
  <c r="P38" i="36"/>
  <c r="P40" i="36" s="1"/>
  <c r="O113" i="36"/>
  <c r="Q529" i="36"/>
  <c r="Q492" i="36"/>
  <c r="Q91" i="36"/>
  <c r="R341" i="36"/>
  <c r="Q123" i="36"/>
  <c r="Q342" i="36"/>
  <c r="X184" i="36"/>
  <c r="R404" i="36"/>
  <c r="Q406" i="36"/>
  <c r="Q103" i="36" s="1"/>
  <c r="U491" i="36"/>
  <c r="V177" i="36"/>
  <c r="U178" i="36"/>
  <c r="U179" i="36" s="1"/>
  <c r="X21" i="36"/>
  <c r="X22" i="36" s="1"/>
  <c r="W22" i="36"/>
  <c r="U170" i="36"/>
  <c r="U173" i="36" s="1"/>
  <c r="V169" i="36"/>
  <c r="Q350" i="36"/>
  <c r="Q526" i="36"/>
  <c r="Q527" i="36" s="1"/>
  <c r="R349" i="36"/>
  <c r="V16" i="36"/>
  <c r="U17" i="36"/>
  <c r="U20" i="36"/>
  <c r="T13" i="36"/>
  <c r="S14" i="36"/>
  <c r="S192" i="36" s="1"/>
  <c r="S300" i="36" s="1"/>
  <c r="V154" i="36"/>
  <c r="P37" i="36"/>
  <c r="P104" i="36"/>
  <c r="O460" i="36"/>
  <c r="O489" i="36"/>
  <c r="P458" i="36"/>
  <c r="Q293" i="36"/>
  <c r="R292" i="36"/>
  <c r="R432" i="36" s="1"/>
  <c r="R428" i="36" s="1"/>
  <c r="R140" i="36"/>
  <c r="X185" i="36"/>
  <c r="P239" i="36"/>
  <c r="V44" i="36"/>
  <c r="O284" i="36"/>
  <c r="O285" i="36" s="1"/>
  <c r="O335" i="36" s="1"/>
  <c r="O333" i="36"/>
  <c r="O222" i="36" s="1"/>
  <c r="P282" i="36"/>
  <c r="X182" i="36"/>
  <c r="X18" i="36"/>
  <c r="X19" i="36" s="1"/>
  <c r="W19" i="36"/>
  <c r="U147" i="36"/>
  <c r="U150" i="36" s="1"/>
  <c r="V146" i="36"/>
  <c r="U89" i="36"/>
  <c r="U490" i="36"/>
  <c r="T12" i="36"/>
  <c r="U11" i="36"/>
  <c r="V187" i="36"/>
  <c r="P217" i="36"/>
  <c r="O362" i="36"/>
  <c r="P360" i="36"/>
  <c r="Q295" i="36"/>
  <c r="V186" i="36"/>
  <c r="P79" i="36"/>
  <c r="W271" i="36"/>
  <c r="X190" i="36"/>
  <c r="Q90" i="36"/>
  <c r="R155" i="36"/>
  <c r="R370" i="36"/>
  <c r="R59" i="36" s="1"/>
  <c r="Q372" i="36"/>
  <c r="Q101" i="36" s="1"/>
  <c r="R194" i="36"/>
  <c r="R344" i="36"/>
  <c r="U10" i="4"/>
  <c r="T76" i="4"/>
  <c r="T4" i="4"/>
  <c r="W16" i="41" s="1"/>
  <c r="U146" i="4"/>
  <c r="S6" i="4"/>
  <c r="S5" i="4"/>
  <c r="T196" i="39" l="1"/>
  <c r="Q210" i="41"/>
  <c r="U137" i="41"/>
  <c r="U141" i="41"/>
  <c r="S80" i="41"/>
  <c r="R79" i="41"/>
  <c r="Q240" i="41"/>
  <c r="O363" i="41"/>
  <c r="O122" i="41" s="1"/>
  <c r="O128" i="41" s="1"/>
  <c r="S295" i="41"/>
  <c r="W17" i="41"/>
  <c r="W135" i="41" s="1"/>
  <c r="W20" i="41"/>
  <c r="O225" i="41"/>
  <c r="O211" i="41"/>
  <c r="P461" i="41"/>
  <c r="P127" i="41" s="1"/>
  <c r="P533" i="41"/>
  <c r="S90" i="41"/>
  <c r="T155" i="41"/>
  <c r="W183" i="41"/>
  <c r="V189" i="41"/>
  <c r="Q224" i="41"/>
  <c r="P88" i="41"/>
  <c r="P93" i="41" s="1"/>
  <c r="W11" i="41"/>
  <c r="V12" i="41"/>
  <c r="S350" i="41"/>
  <c r="T349" i="41"/>
  <c r="S526" i="41"/>
  <c r="S527" i="41" s="1"/>
  <c r="R239" i="41"/>
  <c r="R240" i="41" s="1"/>
  <c r="S238" i="41"/>
  <c r="R217" i="41"/>
  <c r="R458" i="41"/>
  <c r="Q489" i="41"/>
  <c r="Q460" i="41"/>
  <c r="R296" i="41"/>
  <c r="R38" i="41"/>
  <c r="Q40" i="41"/>
  <c r="Q109" i="41" s="1"/>
  <c r="Q113" i="41"/>
  <c r="R37" i="41"/>
  <c r="R104" i="41"/>
  <c r="S428" i="41"/>
  <c r="S429" i="41" s="1"/>
  <c r="S293" i="41"/>
  <c r="T292" i="41"/>
  <c r="V134" i="41"/>
  <c r="S437" i="41"/>
  <c r="S500" i="41" s="1"/>
  <c r="S503" i="41" s="1"/>
  <c r="S516" i="41" s="1"/>
  <c r="T344" i="41"/>
  <c r="V13" i="41"/>
  <c r="U14" i="41"/>
  <c r="U192" i="41" s="1"/>
  <c r="U300" i="41" s="1"/>
  <c r="U302" i="41" s="1"/>
  <c r="U303" i="41" s="1"/>
  <c r="U336" i="41" s="1"/>
  <c r="P528" i="41"/>
  <c r="P63" i="41"/>
  <c r="S34" i="41"/>
  <c r="O535" i="41"/>
  <c r="U136" i="41"/>
  <c r="R522" i="41"/>
  <c r="R346" i="41"/>
  <c r="R36" i="41" s="1"/>
  <c r="T370" i="41"/>
  <c r="S372" i="41"/>
  <c r="S101" i="41" s="1"/>
  <c r="O494" i="41"/>
  <c r="U138" i="41"/>
  <c r="S195" i="41"/>
  <c r="S493" i="41" s="1"/>
  <c r="S94" i="41"/>
  <c r="O223" i="41"/>
  <c r="O209" i="41"/>
  <c r="R360" i="41"/>
  <c r="Q362" i="41"/>
  <c r="P222" i="41"/>
  <c r="U191" i="41"/>
  <c r="U197" i="41"/>
  <c r="U200" i="41" s="1"/>
  <c r="T242" i="41"/>
  <c r="T345" i="41"/>
  <c r="P335" i="41"/>
  <c r="P337" i="41" s="1"/>
  <c r="S529" i="41"/>
  <c r="S123" i="41"/>
  <c r="T341" i="41"/>
  <c r="S342" i="41"/>
  <c r="S492" i="41"/>
  <c r="S91" i="41"/>
  <c r="T404" i="41"/>
  <c r="S406" i="41"/>
  <c r="S103" i="41" s="1"/>
  <c r="T194" i="41"/>
  <c r="Q114" i="41"/>
  <c r="Q121" i="41" s="1"/>
  <c r="Q100" i="41"/>
  <c r="Q106" i="41" s="1"/>
  <c r="S59" i="41"/>
  <c r="T140" i="41"/>
  <c r="R282" i="41"/>
  <c r="Q284" i="41"/>
  <c r="Q285" i="41" s="1"/>
  <c r="Q333" i="41"/>
  <c r="X165" i="41"/>
  <c r="Q282" i="39"/>
  <c r="Q284" i="39" s="1"/>
  <c r="Q285" i="39" s="1"/>
  <c r="Q335" i="39" s="1"/>
  <c r="Q337" i="39" s="1"/>
  <c r="Q217" i="40"/>
  <c r="Q434" i="40" s="1"/>
  <c r="P434" i="40"/>
  <c r="P333" i="39"/>
  <c r="P222" i="39" s="1"/>
  <c r="P494" i="39" s="1"/>
  <c r="P460" i="39"/>
  <c r="P461" i="39" s="1"/>
  <c r="P127" i="39" s="1"/>
  <c r="Q296" i="39"/>
  <c r="R428" i="40"/>
  <c r="S276" i="40"/>
  <c r="T137" i="38"/>
  <c r="R428" i="39"/>
  <c r="R429" i="39" s="1"/>
  <c r="S275" i="39"/>
  <c r="T301" i="40"/>
  <c r="S140" i="38"/>
  <c r="S142" i="38" s="1"/>
  <c r="S47" i="38" s="1"/>
  <c r="Q79" i="39"/>
  <c r="R195" i="38"/>
  <c r="R493" i="38" s="1"/>
  <c r="R80" i="39"/>
  <c r="R80" i="38"/>
  <c r="R59" i="38"/>
  <c r="S140" i="40"/>
  <c r="S142" i="40" s="1"/>
  <c r="S47" i="40" s="1"/>
  <c r="P224" i="40"/>
  <c r="R437" i="38"/>
  <c r="R500" i="38" s="1"/>
  <c r="R503" i="38" s="1"/>
  <c r="R516" i="38" s="1"/>
  <c r="R437" i="39"/>
  <c r="R500" i="39" s="1"/>
  <c r="R503" i="39" s="1"/>
  <c r="R516" i="39" s="1"/>
  <c r="S276" i="39"/>
  <c r="S242" i="39"/>
  <c r="R295" i="40"/>
  <c r="P210" i="38"/>
  <c r="R277" i="39"/>
  <c r="R295" i="39"/>
  <c r="S192" i="39"/>
  <c r="S300" i="39" s="1"/>
  <c r="S302" i="39" s="1"/>
  <c r="S303" i="39" s="1"/>
  <c r="S336" i="39" s="1"/>
  <c r="T283" i="39"/>
  <c r="T136" i="39"/>
  <c r="T137" i="39"/>
  <c r="S345" i="40"/>
  <c r="O226" i="39"/>
  <c r="T141" i="38"/>
  <c r="S344" i="39"/>
  <c r="P240" i="38"/>
  <c r="S275" i="40"/>
  <c r="S242" i="38"/>
  <c r="O100" i="38"/>
  <c r="O106" i="38" s="1"/>
  <c r="S140" i="39"/>
  <c r="S142" i="39" s="1"/>
  <c r="S47" i="39" s="1"/>
  <c r="O212" i="39"/>
  <c r="S194" i="38"/>
  <c r="S195" i="38" s="1"/>
  <c r="T136" i="38"/>
  <c r="P489" i="39"/>
  <c r="P88" i="39" s="1"/>
  <c r="P93" i="39" s="1"/>
  <c r="Q79" i="38"/>
  <c r="S345" i="38"/>
  <c r="S344" i="38"/>
  <c r="R94" i="39"/>
  <c r="S345" i="39"/>
  <c r="Q360" i="39"/>
  <c r="R437" i="40"/>
  <c r="Q296" i="40"/>
  <c r="R59" i="39"/>
  <c r="R295" i="38"/>
  <c r="Q296" i="38"/>
  <c r="O48" i="39"/>
  <c r="P113" i="39"/>
  <c r="Q38" i="39"/>
  <c r="P40" i="39"/>
  <c r="P109" i="39" s="1"/>
  <c r="U134" i="40"/>
  <c r="T306" i="39"/>
  <c r="S307" i="39"/>
  <c r="Q104" i="40"/>
  <c r="Q37" i="40"/>
  <c r="R332" i="39"/>
  <c r="P209" i="39"/>
  <c r="S404" i="38"/>
  <c r="R406" i="38"/>
  <c r="R103" i="38" s="1"/>
  <c r="R80" i="40"/>
  <c r="R79" i="40" s="1"/>
  <c r="S404" i="40"/>
  <c r="R406" i="40"/>
  <c r="R103" i="40" s="1"/>
  <c r="O533" i="38"/>
  <c r="O461" i="38"/>
  <c r="O127" i="38" s="1"/>
  <c r="Q38" i="40"/>
  <c r="P113" i="40"/>
  <c r="P40" i="40"/>
  <c r="P109" i="40" s="1"/>
  <c r="T191" i="39"/>
  <c r="R350" i="39"/>
  <c r="R526" i="39"/>
  <c r="R527" i="39" s="1"/>
  <c r="S349" i="39"/>
  <c r="T310" i="39"/>
  <c r="S311" i="39"/>
  <c r="Q522" i="40"/>
  <c r="Q346" i="40"/>
  <c r="Q36" i="40" s="1"/>
  <c r="S192" i="40"/>
  <c r="S194" i="40" s="1"/>
  <c r="T138" i="39"/>
  <c r="T283" i="38"/>
  <c r="S332" i="38"/>
  <c r="P208" i="38"/>
  <c r="O494" i="38"/>
  <c r="O495" i="38" s="1"/>
  <c r="O229" i="38" s="1"/>
  <c r="O48" i="38" s="1"/>
  <c r="T14" i="39"/>
  <c r="U13" i="39"/>
  <c r="P223" i="39"/>
  <c r="R90" i="39"/>
  <c r="S155" i="39"/>
  <c r="P489" i="40"/>
  <c r="Q458" i="40"/>
  <c r="P460" i="40"/>
  <c r="P434" i="38"/>
  <c r="P218" i="38"/>
  <c r="P114" i="38" s="1"/>
  <c r="P121" i="38" s="1"/>
  <c r="P224" i="38"/>
  <c r="Q217" i="38"/>
  <c r="Q458" i="38"/>
  <c r="P460" i="38"/>
  <c r="P489" i="38"/>
  <c r="S292" i="39"/>
  <c r="R293" i="39"/>
  <c r="R59" i="40"/>
  <c r="S370" i="40"/>
  <c r="R372" i="40"/>
  <c r="R101" i="40" s="1"/>
  <c r="P114" i="40"/>
  <c r="P121" i="40" s="1"/>
  <c r="P100" i="40"/>
  <c r="P106" i="40" s="1"/>
  <c r="V183" i="39"/>
  <c r="U189" i="39"/>
  <c r="Q360" i="40"/>
  <c r="P362" i="40"/>
  <c r="R34" i="40"/>
  <c r="R142" i="40"/>
  <c r="R47" i="40" s="1"/>
  <c r="O494" i="40"/>
  <c r="O495" i="40" s="1"/>
  <c r="O229" i="40" s="1"/>
  <c r="O48" i="40" s="1"/>
  <c r="T314" i="40"/>
  <c r="S315" i="40"/>
  <c r="U134" i="36"/>
  <c r="O363" i="39"/>
  <c r="O335" i="38"/>
  <c r="O337" i="38" s="1"/>
  <c r="R90" i="38"/>
  <c r="S155" i="38"/>
  <c r="O533" i="40"/>
  <c r="O461" i="40"/>
  <c r="O127" i="40" s="1"/>
  <c r="R90" i="40"/>
  <c r="S155" i="40"/>
  <c r="O528" i="40"/>
  <c r="O63" i="40"/>
  <c r="S324" i="39"/>
  <c r="S325" i="39" s="1"/>
  <c r="T323" i="39"/>
  <c r="P434" i="39"/>
  <c r="P218" i="39"/>
  <c r="P224" i="39"/>
  <c r="Q217" i="39"/>
  <c r="Q282" i="40"/>
  <c r="P284" i="40"/>
  <c r="P285" i="40" s="1"/>
  <c r="P333" i="40"/>
  <c r="P222" i="40" s="1"/>
  <c r="S289" i="39"/>
  <c r="T288" i="39"/>
  <c r="Q522" i="38"/>
  <c r="Q346" i="38"/>
  <c r="Q36" i="38" s="1"/>
  <c r="R34" i="38"/>
  <c r="R142" i="38"/>
  <c r="R47" i="38" s="1"/>
  <c r="P528" i="39"/>
  <c r="P63" i="39"/>
  <c r="O535" i="39"/>
  <c r="Q282" i="38"/>
  <c r="P284" i="38"/>
  <c r="P285" i="38" s="1"/>
  <c r="P333" i="38"/>
  <c r="P222" i="38" s="1"/>
  <c r="Q239" i="39"/>
  <c r="R238" i="39"/>
  <c r="Q239" i="38"/>
  <c r="R238" i="38"/>
  <c r="O88" i="40"/>
  <c r="O93" i="40" s="1"/>
  <c r="S197" i="39"/>
  <c r="S200" i="39" s="1"/>
  <c r="V11" i="39"/>
  <c r="U12" i="39"/>
  <c r="O497" i="39"/>
  <c r="T306" i="40"/>
  <c r="T307" i="40" s="1"/>
  <c r="U13" i="40"/>
  <c r="U196" i="40" s="1"/>
  <c r="T14" i="40"/>
  <c r="O335" i="40"/>
  <c r="O337" i="40" s="1"/>
  <c r="T141" i="40"/>
  <c r="Q522" i="39"/>
  <c r="Q346" i="39"/>
  <c r="Q36" i="39" s="1"/>
  <c r="U135" i="36"/>
  <c r="T137" i="40"/>
  <c r="S292" i="38"/>
  <c r="R293" i="38"/>
  <c r="R238" i="40"/>
  <c r="S242" i="40"/>
  <c r="T283" i="40"/>
  <c r="Q360" i="38"/>
  <c r="P362" i="38"/>
  <c r="P210" i="39"/>
  <c r="R493" i="40"/>
  <c r="T273" i="39"/>
  <c r="S274" i="39"/>
  <c r="S292" i="40"/>
  <c r="R293" i="40"/>
  <c r="Q37" i="38"/>
  <c r="Q104" i="38"/>
  <c r="T318" i="40"/>
  <c r="S319" i="40"/>
  <c r="V17" i="38"/>
  <c r="V135" i="38" s="1"/>
  <c r="W16" i="38"/>
  <c r="V20" i="38"/>
  <c r="R142" i="39"/>
  <c r="R47" i="39" s="1"/>
  <c r="R34" i="39"/>
  <c r="T136" i="40"/>
  <c r="R332" i="40"/>
  <c r="Q239" i="40"/>
  <c r="O528" i="38"/>
  <c r="O63" i="38"/>
  <c r="S404" i="39"/>
  <c r="R406" i="39"/>
  <c r="R103" i="39" s="1"/>
  <c r="S311" i="40"/>
  <c r="T310" i="40"/>
  <c r="Q460" i="39"/>
  <c r="P113" i="38"/>
  <c r="P40" i="38"/>
  <c r="P109" i="38" s="1"/>
  <c r="Q38" i="38"/>
  <c r="S319" i="39"/>
  <c r="T318" i="39"/>
  <c r="S370" i="38"/>
  <c r="R372" i="38"/>
  <c r="R101" i="38" s="1"/>
  <c r="R428" i="38"/>
  <c r="R526" i="38"/>
  <c r="R527" i="38" s="1"/>
  <c r="S349" i="38"/>
  <c r="R350" i="38"/>
  <c r="V183" i="38"/>
  <c r="U189" i="38"/>
  <c r="R91" i="38"/>
  <c r="R492" i="38"/>
  <c r="R342" i="38"/>
  <c r="S341" i="38"/>
  <c r="R123" i="38"/>
  <c r="R529" i="38"/>
  <c r="R493" i="39"/>
  <c r="P225" i="39"/>
  <c r="T191" i="40"/>
  <c r="T288" i="40"/>
  <c r="S289" i="40"/>
  <c r="P240" i="40"/>
  <c r="P210" i="40"/>
  <c r="T197" i="40"/>
  <c r="T200" i="40" s="1"/>
  <c r="T141" i="39"/>
  <c r="W16" i="39"/>
  <c r="V20" i="39"/>
  <c r="V17" i="39"/>
  <c r="V135" i="39" s="1"/>
  <c r="S370" i="39"/>
  <c r="R372" i="39"/>
  <c r="R101" i="39" s="1"/>
  <c r="W16" i="40"/>
  <c r="V17" i="40"/>
  <c r="V135" i="40" s="1"/>
  <c r="V20" i="40"/>
  <c r="R277" i="40"/>
  <c r="T138" i="40"/>
  <c r="T138" i="38"/>
  <c r="U134" i="38"/>
  <c r="T323" i="40"/>
  <c r="S324" i="40"/>
  <c r="S325" i="40" s="1"/>
  <c r="U134" i="39"/>
  <c r="R492" i="40"/>
  <c r="R529" i="40"/>
  <c r="R123" i="40"/>
  <c r="S341" i="40"/>
  <c r="R342" i="40"/>
  <c r="R91" i="40"/>
  <c r="T314" i="39"/>
  <c r="S315" i="39"/>
  <c r="O100" i="39"/>
  <c r="O106" i="39" s="1"/>
  <c r="P211" i="39"/>
  <c r="V183" i="40"/>
  <c r="U189" i="40"/>
  <c r="S341" i="39"/>
  <c r="R123" i="39"/>
  <c r="R529" i="39"/>
  <c r="R342" i="39"/>
  <c r="R91" i="39"/>
  <c r="R492" i="39"/>
  <c r="S344" i="40"/>
  <c r="P208" i="40"/>
  <c r="R350" i="40"/>
  <c r="R526" i="40"/>
  <c r="R527" i="40" s="1"/>
  <c r="S349" i="40"/>
  <c r="V11" i="38"/>
  <c r="U12" i="38"/>
  <c r="T14" i="38"/>
  <c r="T192" i="38" s="1"/>
  <c r="U13" i="38"/>
  <c r="O88" i="38"/>
  <c r="O93" i="38" s="1"/>
  <c r="S274" i="40"/>
  <c r="T273" i="40"/>
  <c r="V11" i="40"/>
  <c r="U12" i="40"/>
  <c r="Q37" i="39"/>
  <c r="Q104" i="39"/>
  <c r="T273" i="36"/>
  <c r="T306" i="36"/>
  <c r="T310" i="36"/>
  <c r="T323" i="36"/>
  <c r="T318" i="36"/>
  <c r="T288" i="36"/>
  <c r="T283" i="36"/>
  <c r="T314" i="36"/>
  <c r="T197" i="36"/>
  <c r="T200" i="36" s="1"/>
  <c r="T301" i="36"/>
  <c r="R303" i="36"/>
  <c r="P210" i="36"/>
  <c r="R325" i="36"/>
  <c r="Q336" i="36"/>
  <c r="T138" i="36"/>
  <c r="T137" i="36"/>
  <c r="P434" i="36"/>
  <c r="P224" i="36"/>
  <c r="P208" i="36"/>
  <c r="T141" i="36"/>
  <c r="T136" i="36"/>
  <c r="O223" i="36"/>
  <c r="O209" i="36"/>
  <c r="S302" i="36"/>
  <c r="R437" i="36"/>
  <c r="R500" i="36" s="1"/>
  <c r="R503" i="36" s="1"/>
  <c r="R516" i="36" s="1"/>
  <c r="R429" i="36"/>
  <c r="R277" i="36"/>
  <c r="R332" i="36"/>
  <c r="S324" i="36"/>
  <c r="S274" i="36"/>
  <c r="S197" i="36"/>
  <c r="S200" i="36" s="1"/>
  <c r="S319" i="36"/>
  <c r="S289" i="36"/>
  <c r="S276" i="36"/>
  <c r="S307" i="36"/>
  <c r="S275" i="36"/>
  <c r="S315" i="36"/>
  <c r="S311" i="36"/>
  <c r="R80" i="36"/>
  <c r="Q79" i="36"/>
  <c r="X271" i="36"/>
  <c r="S140" i="36"/>
  <c r="S142" i="36" s="1"/>
  <c r="S47" i="36" s="1"/>
  <c r="R295" i="36"/>
  <c r="S344" i="36"/>
  <c r="W294" i="36"/>
  <c r="X294" i="36" s="1"/>
  <c r="P240" i="36"/>
  <c r="U92" i="36"/>
  <c r="W187" i="36"/>
  <c r="X187" i="36" s="1"/>
  <c r="W44" i="36"/>
  <c r="X44" i="36" s="1"/>
  <c r="Q296" i="36"/>
  <c r="W149" i="36"/>
  <c r="X149" i="36" s="1"/>
  <c r="W139" i="36"/>
  <c r="X139" i="36" s="1"/>
  <c r="W186" i="36"/>
  <c r="X186" i="36" s="1"/>
  <c r="S341" i="36"/>
  <c r="R123" i="36"/>
  <c r="R91" i="36"/>
  <c r="R529" i="36"/>
  <c r="R342" i="36"/>
  <c r="R492" i="36"/>
  <c r="R195" i="36"/>
  <c r="R94" i="36"/>
  <c r="Q360" i="36"/>
  <c r="P362" i="36"/>
  <c r="W188" i="36"/>
  <c r="X188" i="36" s="1"/>
  <c r="T191" i="36"/>
  <c r="S345" i="36"/>
  <c r="R350" i="36"/>
  <c r="S349" i="36"/>
  <c r="R526" i="36"/>
  <c r="R527" i="36" s="1"/>
  <c r="O528" i="36"/>
  <c r="O63" i="36"/>
  <c r="V147" i="36"/>
  <c r="V150" i="36" s="1"/>
  <c r="V490" i="36"/>
  <c r="W146" i="36"/>
  <c r="V89" i="36"/>
  <c r="R293" i="36"/>
  <c r="S292" i="36"/>
  <c r="S432" i="36" s="1"/>
  <c r="S428" i="36" s="1"/>
  <c r="Q104" i="36"/>
  <c r="Q37" i="36"/>
  <c r="V183" i="36"/>
  <c r="U189" i="36"/>
  <c r="W154" i="36"/>
  <c r="U13" i="36"/>
  <c r="T14" i="36"/>
  <c r="T192" i="36" s="1"/>
  <c r="T300" i="36" s="1"/>
  <c r="R34" i="36"/>
  <c r="R142" i="36"/>
  <c r="R47" i="36" s="1"/>
  <c r="Q239" i="36"/>
  <c r="S194" i="36"/>
  <c r="S242" i="36"/>
  <c r="S238" i="36" s="1"/>
  <c r="S370" i="36"/>
  <c r="S59" i="36" s="1"/>
  <c r="R372" i="36"/>
  <c r="R101" i="36" s="1"/>
  <c r="V11" i="36"/>
  <c r="U12" i="36"/>
  <c r="Q282" i="36"/>
  <c r="P284" i="36"/>
  <c r="P285" i="36" s="1"/>
  <c r="P335" i="36" s="1"/>
  <c r="P333" i="36"/>
  <c r="P222" i="36" s="1"/>
  <c r="P489" i="36"/>
  <c r="Q458" i="36"/>
  <c r="P460" i="36"/>
  <c r="O109" i="36"/>
  <c r="R90" i="36"/>
  <c r="S155" i="36"/>
  <c r="O88" i="36"/>
  <c r="O93" i="36" s="1"/>
  <c r="V17" i="36"/>
  <c r="V20" i="36"/>
  <c r="W16" i="36"/>
  <c r="W169" i="36"/>
  <c r="V170" i="36"/>
  <c r="V173" i="36" s="1"/>
  <c r="Q522" i="36"/>
  <c r="Q346" i="36"/>
  <c r="Q36" i="36" s="1"/>
  <c r="Q217" i="36"/>
  <c r="P218" i="36"/>
  <c r="O337" i="36"/>
  <c r="O533" i="36"/>
  <c r="O461" i="36"/>
  <c r="O127" i="36" s="1"/>
  <c r="V491" i="36"/>
  <c r="W177" i="36"/>
  <c r="V178" i="36"/>
  <c r="V179" i="36" s="1"/>
  <c r="S404" i="36"/>
  <c r="R406" i="36"/>
  <c r="R103" i="36" s="1"/>
  <c r="Q38" i="36"/>
  <c r="Q40" i="36" s="1"/>
  <c r="P113" i="36"/>
  <c r="T6" i="4"/>
  <c r="T5" i="4"/>
  <c r="U76" i="4"/>
  <c r="U4" i="4"/>
  <c r="X16" i="41" s="1"/>
  <c r="U196" i="39" l="1"/>
  <c r="V137" i="41"/>
  <c r="S296" i="41"/>
  <c r="S79" i="41"/>
  <c r="V136" i="41"/>
  <c r="O56" i="41"/>
  <c r="U345" i="41"/>
  <c r="U242" i="41"/>
  <c r="U344" i="41"/>
  <c r="R210" i="41"/>
  <c r="P535" i="41"/>
  <c r="X17" i="41"/>
  <c r="X20" i="41"/>
  <c r="Q335" i="41"/>
  <c r="Q337" i="41" s="1"/>
  <c r="U404" i="41"/>
  <c r="T406" i="41"/>
  <c r="T103" i="41" s="1"/>
  <c r="U370" i="41"/>
  <c r="T372" i="41"/>
  <c r="T101" i="41" s="1"/>
  <c r="T295" i="41"/>
  <c r="T293" i="41"/>
  <c r="U292" i="41"/>
  <c r="U432" i="41" s="1"/>
  <c r="T80" i="41"/>
  <c r="T79" i="41" s="1"/>
  <c r="S282" i="41"/>
  <c r="R284" i="41"/>
  <c r="R285" i="41" s="1"/>
  <c r="R333" i="41"/>
  <c r="X135" i="41"/>
  <c r="Q528" i="41"/>
  <c r="Q63" i="41"/>
  <c r="T432" i="41"/>
  <c r="T428" i="41" s="1"/>
  <c r="T429" i="41" s="1"/>
  <c r="R218" i="41"/>
  <c r="S217" i="41"/>
  <c r="R224" i="41"/>
  <c r="R434" i="41"/>
  <c r="S37" i="41"/>
  <c r="S104" i="41"/>
  <c r="T90" i="41"/>
  <c r="U155" i="41"/>
  <c r="X183" i="41"/>
  <c r="X189" i="41" s="1"/>
  <c r="W189" i="41"/>
  <c r="T142" i="41"/>
  <c r="T47" i="41" s="1"/>
  <c r="T34" i="41"/>
  <c r="S360" i="41"/>
  <c r="R362" i="41"/>
  <c r="T437" i="41"/>
  <c r="T500" i="41" s="1"/>
  <c r="T503" i="41" s="1"/>
  <c r="T516" i="41" s="1"/>
  <c r="W13" i="41"/>
  <c r="V14" i="41"/>
  <c r="V192" i="41" s="1"/>
  <c r="T59" i="41"/>
  <c r="S522" i="41"/>
  <c r="S346" i="41"/>
  <c r="S36" i="41" s="1"/>
  <c r="V138" i="41"/>
  <c r="R40" i="41"/>
  <c r="R109" i="41" s="1"/>
  <c r="S38" i="41"/>
  <c r="R113" i="41"/>
  <c r="X11" i="41"/>
  <c r="X12" i="41" s="1"/>
  <c r="W12" i="41"/>
  <c r="Q208" i="41"/>
  <c r="S458" i="41"/>
  <c r="R489" i="41"/>
  <c r="R88" i="41" s="1"/>
  <c r="R93" i="41" s="1"/>
  <c r="R460" i="41"/>
  <c r="T342" i="41"/>
  <c r="T123" i="41"/>
  <c r="T529" i="41"/>
  <c r="U341" i="41"/>
  <c r="T492" i="41"/>
  <c r="T91" i="41"/>
  <c r="O212" i="41"/>
  <c r="P209" i="41"/>
  <c r="P494" i="41"/>
  <c r="T526" i="41"/>
  <c r="T527" i="41" s="1"/>
  <c r="U349" i="41"/>
  <c r="T350" i="41"/>
  <c r="P223" i="41"/>
  <c r="O226" i="41"/>
  <c r="U140" i="41"/>
  <c r="V141" i="41"/>
  <c r="S239" i="41"/>
  <c r="T238" i="41"/>
  <c r="P211" i="41"/>
  <c r="T94" i="41"/>
  <c r="T195" i="41"/>
  <c r="T493" i="41" s="1"/>
  <c r="O495" i="41"/>
  <c r="O229" i="41" s="1"/>
  <c r="W134" i="41"/>
  <c r="Q461" i="41"/>
  <c r="Q127" i="41" s="1"/>
  <c r="Q533" i="41"/>
  <c r="P225" i="41"/>
  <c r="Q222" i="41"/>
  <c r="U194" i="41"/>
  <c r="P363" i="41"/>
  <c r="Q88" i="41"/>
  <c r="Q93" i="41" s="1"/>
  <c r="V197" i="41"/>
  <c r="V200" i="41" s="1"/>
  <c r="V191" i="41"/>
  <c r="Q218" i="40"/>
  <c r="Q114" i="40" s="1"/>
  <c r="Q121" i="40" s="1"/>
  <c r="Q208" i="39"/>
  <c r="P533" i="39"/>
  <c r="P535" i="39" s="1"/>
  <c r="Q333" i="39"/>
  <c r="Q222" i="39" s="1"/>
  <c r="Q489" i="39"/>
  <c r="Q88" i="39" s="1"/>
  <c r="Q93" i="39" s="1"/>
  <c r="R217" i="40"/>
  <c r="R218" i="40" s="1"/>
  <c r="R114" i="40" s="1"/>
  <c r="R121" i="40" s="1"/>
  <c r="R429" i="40"/>
  <c r="S59" i="39"/>
  <c r="U283" i="39"/>
  <c r="S295" i="38"/>
  <c r="T242" i="39"/>
  <c r="R79" i="39"/>
  <c r="S437" i="39"/>
  <c r="S500" i="39" s="1"/>
  <c r="S503" i="39" s="1"/>
  <c r="S516" i="39" s="1"/>
  <c r="R79" i="38"/>
  <c r="O95" i="39"/>
  <c r="O96" i="39" s="1"/>
  <c r="O230" i="39" s="1"/>
  <c r="T344" i="40"/>
  <c r="S34" i="40"/>
  <c r="Q362" i="39"/>
  <c r="Q528" i="39" s="1"/>
  <c r="S94" i="38"/>
  <c r="T192" i="39"/>
  <c r="T194" i="39" s="1"/>
  <c r="T345" i="39"/>
  <c r="U136" i="39"/>
  <c r="T140" i="39"/>
  <c r="T142" i="39" s="1"/>
  <c r="T47" i="39" s="1"/>
  <c r="U141" i="39"/>
  <c r="U301" i="39"/>
  <c r="U137" i="39"/>
  <c r="S277" i="39"/>
  <c r="Q224" i="40"/>
  <c r="R296" i="38"/>
  <c r="S34" i="39"/>
  <c r="R296" i="40"/>
  <c r="T345" i="40"/>
  <c r="S295" i="40"/>
  <c r="Q223" i="39"/>
  <c r="S437" i="40"/>
  <c r="S500" i="40" s="1"/>
  <c r="S503" i="40" s="1"/>
  <c r="S516" i="40" s="1"/>
  <c r="T344" i="39"/>
  <c r="R296" i="39"/>
  <c r="R500" i="40"/>
  <c r="R503" i="40" s="1"/>
  <c r="R516" i="40" s="1"/>
  <c r="Q210" i="38"/>
  <c r="S194" i="39"/>
  <c r="S195" i="39" s="1"/>
  <c r="U141" i="38"/>
  <c r="Q209" i="39"/>
  <c r="Q211" i="39"/>
  <c r="U136" i="38"/>
  <c r="S437" i="38"/>
  <c r="S500" i="38" s="1"/>
  <c r="S503" i="38" s="1"/>
  <c r="S516" i="38" s="1"/>
  <c r="T140" i="38"/>
  <c r="T142" i="38" s="1"/>
  <c r="T47" i="38" s="1"/>
  <c r="O535" i="38"/>
  <c r="S295" i="39"/>
  <c r="S332" i="40"/>
  <c r="U136" i="40"/>
  <c r="Q240" i="38"/>
  <c r="P335" i="38"/>
  <c r="P337" i="38" s="1"/>
  <c r="P226" i="39"/>
  <c r="O535" i="40"/>
  <c r="O363" i="38"/>
  <c r="O122" i="38" s="1"/>
  <c r="O128" i="38" s="1"/>
  <c r="T275" i="40"/>
  <c r="R458" i="39"/>
  <c r="R460" i="39" s="1"/>
  <c r="S277" i="40"/>
  <c r="O497" i="40"/>
  <c r="O504" i="40" s="1"/>
  <c r="O225" i="38"/>
  <c r="O211" i="38"/>
  <c r="O211" i="40"/>
  <c r="O225" i="40"/>
  <c r="O53" i="38"/>
  <c r="O49" i="38"/>
  <c r="O50" i="38"/>
  <c r="O53" i="40"/>
  <c r="O49" i="40"/>
  <c r="O50" i="40"/>
  <c r="P494" i="38"/>
  <c r="W11" i="40"/>
  <c r="V12" i="40"/>
  <c r="W17" i="39"/>
  <c r="W135" i="39" s="1"/>
  <c r="X16" i="39"/>
  <c r="W20" i="39"/>
  <c r="U288" i="40"/>
  <c r="T289" i="40"/>
  <c r="U318" i="39"/>
  <c r="T319" i="39"/>
  <c r="T311" i="40"/>
  <c r="U310" i="40"/>
  <c r="T274" i="39"/>
  <c r="U273" i="39"/>
  <c r="P528" i="38"/>
  <c r="P63" i="38"/>
  <c r="U137" i="40"/>
  <c r="U141" i="40"/>
  <c r="R239" i="39"/>
  <c r="R240" i="39" s="1"/>
  <c r="S238" i="39"/>
  <c r="Q224" i="39"/>
  <c r="R217" i="39"/>
  <c r="Q434" i="39"/>
  <c r="Q218" i="39"/>
  <c r="P528" i="40"/>
  <c r="P63" i="40"/>
  <c r="S59" i="40"/>
  <c r="T404" i="38"/>
  <c r="S406" i="38"/>
  <c r="S103" i="38" s="1"/>
  <c r="S80" i="38"/>
  <c r="S526" i="40"/>
  <c r="S527" i="40" s="1"/>
  <c r="T349" i="40"/>
  <c r="S350" i="40"/>
  <c r="V134" i="38"/>
  <c r="S529" i="38"/>
  <c r="S492" i="38"/>
  <c r="S91" i="38"/>
  <c r="S123" i="38"/>
  <c r="T341" i="38"/>
  <c r="S342" i="38"/>
  <c r="R104" i="38"/>
  <c r="R37" i="38"/>
  <c r="R360" i="38"/>
  <c r="Q362" i="38"/>
  <c r="O515" i="39"/>
  <c r="O507" i="39"/>
  <c r="O504" i="39"/>
  <c r="Q240" i="39"/>
  <c r="Q210" i="39"/>
  <c r="O363" i="40"/>
  <c r="S90" i="38"/>
  <c r="T155" i="38"/>
  <c r="R360" i="39"/>
  <c r="R282" i="39"/>
  <c r="R360" i="40"/>
  <c r="Q362" i="40"/>
  <c r="S332" i="39"/>
  <c r="Q208" i="38"/>
  <c r="U138" i="39"/>
  <c r="S526" i="39"/>
  <c r="S527" i="39" s="1"/>
  <c r="T349" i="39"/>
  <c r="S350" i="39"/>
  <c r="R38" i="40"/>
  <c r="Q40" i="40"/>
  <c r="Q109" i="40" s="1"/>
  <c r="Q113" i="40"/>
  <c r="S34" i="38"/>
  <c r="R522" i="39"/>
  <c r="R346" i="39"/>
  <c r="R36" i="39" s="1"/>
  <c r="R522" i="38"/>
  <c r="R346" i="38"/>
  <c r="R36" i="38" s="1"/>
  <c r="S526" i="38"/>
  <c r="S527" i="38" s="1"/>
  <c r="T349" i="38"/>
  <c r="S350" i="38"/>
  <c r="Q113" i="38"/>
  <c r="R38" i="38"/>
  <c r="Q40" i="38"/>
  <c r="Q109" i="38" s="1"/>
  <c r="W17" i="38"/>
  <c r="W135" i="38" s="1"/>
  <c r="X16" i="38"/>
  <c r="W20" i="38"/>
  <c r="U283" i="40"/>
  <c r="S94" i="40"/>
  <c r="S195" i="40"/>
  <c r="P363" i="39"/>
  <c r="P114" i="39"/>
  <c r="P121" i="39" s="1"/>
  <c r="P100" i="39"/>
  <c r="P106" i="39" s="1"/>
  <c r="U191" i="39"/>
  <c r="U197" i="39"/>
  <c r="U200" i="39" s="1"/>
  <c r="S300" i="40"/>
  <c r="S302" i="40" s="1"/>
  <c r="S303" i="40" s="1"/>
  <c r="S336" i="40" s="1"/>
  <c r="T192" i="40"/>
  <c r="T194" i="40" s="1"/>
  <c r="Q113" i="39"/>
  <c r="Q40" i="39"/>
  <c r="Q109" i="39" s="1"/>
  <c r="R38" i="39"/>
  <c r="V13" i="38"/>
  <c r="U14" i="38"/>
  <c r="U192" i="38" s="1"/>
  <c r="R104" i="40"/>
  <c r="R37" i="40"/>
  <c r="U314" i="39"/>
  <c r="T315" i="39"/>
  <c r="U138" i="38"/>
  <c r="W17" i="40"/>
  <c r="W135" i="40" s="1"/>
  <c r="W20" i="40"/>
  <c r="X16" i="40"/>
  <c r="S432" i="40"/>
  <c r="S428" i="40" s="1"/>
  <c r="S429" i="40" s="1"/>
  <c r="T292" i="40"/>
  <c r="S293" i="40"/>
  <c r="S238" i="40"/>
  <c r="T242" i="40"/>
  <c r="W11" i="39"/>
  <c r="V12" i="39"/>
  <c r="R239" i="38"/>
  <c r="R240" i="38" s="1"/>
  <c r="S238" i="38"/>
  <c r="T289" i="39"/>
  <c r="U288" i="39"/>
  <c r="T155" i="40"/>
  <c r="S90" i="40"/>
  <c r="W183" i="39"/>
  <c r="V189" i="39"/>
  <c r="T292" i="39"/>
  <c r="S293" i="39"/>
  <c r="P533" i="40"/>
  <c r="P461" i="40"/>
  <c r="P127" i="40" s="1"/>
  <c r="V13" i="39"/>
  <c r="U14" i="39"/>
  <c r="R37" i="39"/>
  <c r="R104" i="39"/>
  <c r="T276" i="40"/>
  <c r="T274" i="40"/>
  <c r="U273" i="40"/>
  <c r="T300" i="38"/>
  <c r="T302" i="38" s="1"/>
  <c r="T303" i="38" s="1"/>
  <c r="T336" i="38" s="1"/>
  <c r="Q225" i="39"/>
  <c r="R429" i="38"/>
  <c r="R239" i="40"/>
  <c r="V135" i="36"/>
  <c r="O209" i="40"/>
  <c r="O223" i="40"/>
  <c r="T194" i="38"/>
  <c r="U323" i="39"/>
  <c r="T324" i="39"/>
  <c r="T325" i="39" s="1"/>
  <c r="P88" i="38"/>
  <c r="P93" i="38" s="1"/>
  <c r="Q460" i="40"/>
  <c r="R458" i="40"/>
  <c r="Q489" i="40"/>
  <c r="U283" i="38"/>
  <c r="T332" i="38"/>
  <c r="P494" i="40"/>
  <c r="T341" i="39"/>
  <c r="S123" i="39"/>
  <c r="S342" i="39"/>
  <c r="S492" i="39"/>
  <c r="S529" i="39"/>
  <c r="S91" i="39"/>
  <c r="R346" i="40"/>
  <c r="R36" i="40" s="1"/>
  <c r="R522" i="40"/>
  <c r="V134" i="39"/>
  <c r="U138" i="40"/>
  <c r="T370" i="39"/>
  <c r="S372" i="39"/>
  <c r="S101" i="39" s="1"/>
  <c r="U197" i="38"/>
  <c r="U200" i="38" s="1"/>
  <c r="U191" i="38"/>
  <c r="Q461" i="39"/>
  <c r="Q127" i="39" s="1"/>
  <c r="Q533" i="39"/>
  <c r="T404" i="39"/>
  <c r="S406" i="39"/>
  <c r="S103" i="39" s="1"/>
  <c r="Q240" i="40"/>
  <c r="Q210" i="40"/>
  <c r="U318" i="40"/>
  <c r="T319" i="40"/>
  <c r="T275" i="39"/>
  <c r="Q208" i="40"/>
  <c r="R282" i="38"/>
  <c r="Q284" i="38"/>
  <c r="Q285" i="38" s="1"/>
  <c r="Q333" i="38"/>
  <c r="Q222" i="38" s="1"/>
  <c r="O209" i="38"/>
  <c r="O223" i="38"/>
  <c r="T242" i="38"/>
  <c r="P533" i="38"/>
  <c r="P461" i="38"/>
  <c r="P127" i="38" s="1"/>
  <c r="P88" i="40"/>
  <c r="P93" i="40" s="1"/>
  <c r="T345" i="38"/>
  <c r="T197" i="39"/>
  <c r="T200" i="39" s="1"/>
  <c r="S80" i="40"/>
  <c r="S79" i="40" s="1"/>
  <c r="T404" i="40"/>
  <c r="S406" i="40"/>
  <c r="S103" i="40" s="1"/>
  <c r="O53" i="39"/>
  <c r="O49" i="39"/>
  <c r="O50" i="39"/>
  <c r="O497" i="38"/>
  <c r="V12" i="38"/>
  <c r="W11" i="38"/>
  <c r="U191" i="40"/>
  <c r="S123" i="40"/>
  <c r="S529" i="40"/>
  <c r="S492" i="40"/>
  <c r="S91" i="40"/>
  <c r="S342" i="40"/>
  <c r="T341" i="40"/>
  <c r="U197" i="40"/>
  <c r="U200" i="40" s="1"/>
  <c r="W183" i="38"/>
  <c r="V189" i="38"/>
  <c r="T370" i="38"/>
  <c r="S372" i="38"/>
  <c r="S101" i="38" s="1"/>
  <c r="S59" i="38"/>
  <c r="T276" i="39"/>
  <c r="P335" i="40"/>
  <c r="P337" i="40" s="1"/>
  <c r="P100" i="38"/>
  <c r="P106" i="38" s="1"/>
  <c r="O122" i="39"/>
  <c r="O128" i="39" s="1"/>
  <c r="O56" i="39"/>
  <c r="T315" i="40"/>
  <c r="U314" i="40"/>
  <c r="Q489" i="38"/>
  <c r="R458" i="38"/>
  <c r="Q460" i="38"/>
  <c r="S90" i="39"/>
  <c r="T155" i="39"/>
  <c r="T140" i="40"/>
  <c r="S80" i="39"/>
  <c r="W183" i="40"/>
  <c r="W189" i="40" s="1"/>
  <c r="V189" i="40"/>
  <c r="U323" i="40"/>
  <c r="T324" i="40"/>
  <c r="T325" i="40" s="1"/>
  <c r="P212" i="39"/>
  <c r="S432" i="38"/>
  <c r="S428" i="38" s="1"/>
  <c r="T292" i="38"/>
  <c r="S293" i="38"/>
  <c r="U137" i="38"/>
  <c r="U306" i="40"/>
  <c r="U307" i="40" s="1"/>
  <c r="V13" i="40"/>
  <c r="V196" i="40" s="1"/>
  <c r="U14" i="40"/>
  <c r="S493" i="38"/>
  <c r="T344" i="38"/>
  <c r="Q284" i="40"/>
  <c r="Q285" i="40" s="1"/>
  <c r="R282" i="40"/>
  <c r="Q333" i="40"/>
  <c r="Q222" i="40" s="1"/>
  <c r="V134" i="36"/>
  <c r="T370" i="40"/>
  <c r="S372" i="40"/>
  <c r="S101" i="40" s="1"/>
  <c r="Q224" i="38"/>
  <c r="Q218" i="38"/>
  <c r="Q434" i="38"/>
  <c r="R217" i="38"/>
  <c r="S432" i="39"/>
  <c r="S428" i="39" s="1"/>
  <c r="S429" i="39" s="1"/>
  <c r="U310" i="39"/>
  <c r="T311" i="39"/>
  <c r="U306" i="39"/>
  <c r="T307" i="39"/>
  <c r="V134" i="40"/>
  <c r="U301" i="40"/>
  <c r="U301" i="36"/>
  <c r="U323" i="36"/>
  <c r="U306" i="36"/>
  <c r="U197" i="36"/>
  <c r="U200" i="36" s="1"/>
  <c r="U283" i="36"/>
  <c r="U314" i="36"/>
  <c r="U318" i="36"/>
  <c r="U288" i="36"/>
  <c r="U310" i="36"/>
  <c r="U273" i="36"/>
  <c r="S303" i="36"/>
  <c r="R336" i="36"/>
  <c r="S325" i="36"/>
  <c r="Q208" i="36"/>
  <c r="P223" i="36"/>
  <c r="U136" i="36"/>
  <c r="Q240" i="36"/>
  <c r="Q210" i="36"/>
  <c r="U141" i="36"/>
  <c r="O211" i="36"/>
  <c r="O225" i="36"/>
  <c r="U137" i="36"/>
  <c r="Q434" i="36"/>
  <c r="Q224" i="36"/>
  <c r="P209" i="36"/>
  <c r="U138" i="36"/>
  <c r="S437" i="36"/>
  <c r="S500" i="36" s="1"/>
  <c r="S503" i="36" s="1"/>
  <c r="S516" i="36" s="1"/>
  <c r="S429" i="36"/>
  <c r="S80" i="36"/>
  <c r="S34" i="36"/>
  <c r="S332" i="36"/>
  <c r="T302" i="36"/>
  <c r="S277" i="36"/>
  <c r="T276" i="36"/>
  <c r="T311" i="36"/>
  <c r="T315" i="36"/>
  <c r="T289" i="36"/>
  <c r="T274" i="36"/>
  <c r="T275" i="36"/>
  <c r="T319" i="36"/>
  <c r="T324" i="36"/>
  <c r="T307" i="36"/>
  <c r="R79" i="36"/>
  <c r="R296" i="36"/>
  <c r="S295" i="36"/>
  <c r="T140" i="36"/>
  <c r="T142" i="36" s="1"/>
  <c r="T47" i="36" s="1"/>
  <c r="V92" i="36"/>
  <c r="P494" i="36"/>
  <c r="T242" i="36"/>
  <c r="T238" i="36" s="1"/>
  <c r="T370" i="36"/>
  <c r="T59" i="36" s="1"/>
  <c r="S372" i="36"/>
  <c r="S101" i="36" s="1"/>
  <c r="W147" i="36"/>
  <c r="W150" i="36" s="1"/>
  <c r="W490" i="36"/>
  <c r="X146" i="36"/>
  <c r="W89" i="36"/>
  <c r="S526" i="36"/>
  <c r="S527" i="36" s="1"/>
  <c r="T349" i="36"/>
  <c r="S350" i="36"/>
  <c r="T194" i="36"/>
  <c r="T404" i="36"/>
  <c r="S406" i="36"/>
  <c r="S103" i="36" s="1"/>
  <c r="P114" i="36"/>
  <c r="P121" i="36" s="1"/>
  <c r="P100" i="36"/>
  <c r="P106" i="36" s="1"/>
  <c r="P461" i="36"/>
  <c r="P127" i="36" s="1"/>
  <c r="P533" i="36"/>
  <c r="X154" i="36"/>
  <c r="R37" i="36"/>
  <c r="R104" i="36"/>
  <c r="W491" i="36"/>
  <c r="X177" i="36"/>
  <c r="W178" i="36"/>
  <c r="W179" i="36" s="1"/>
  <c r="W17" i="36"/>
  <c r="W20" i="36"/>
  <c r="X16" i="36"/>
  <c r="P88" i="36"/>
  <c r="P93" i="36" s="1"/>
  <c r="W11" i="36"/>
  <c r="V12" i="36"/>
  <c r="P528" i="36"/>
  <c r="P63" i="36"/>
  <c r="R522" i="36"/>
  <c r="R346" i="36"/>
  <c r="R36" i="36" s="1"/>
  <c r="Q489" i="36"/>
  <c r="R458" i="36"/>
  <c r="Q460" i="36"/>
  <c r="R217" i="36"/>
  <c r="Q218" i="36"/>
  <c r="O494" i="36"/>
  <c r="O363" i="36"/>
  <c r="Q362" i="36"/>
  <c r="R360" i="36"/>
  <c r="R493" i="36"/>
  <c r="R282" i="36"/>
  <c r="Q284" i="36"/>
  <c r="Q285" i="36" s="1"/>
  <c r="Q335" i="36" s="1"/>
  <c r="Q333" i="36"/>
  <c r="S195" i="36"/>
  <c r="S94" i="36"/>
  <c r="O535" i="36"/>
  <c r="T344" i="36"/>
  <c r="Q113" i="36"/>
  <c r="R38" i="36"/>
  <c r="R40" i="36" s="1"/>
  <c r="P109" i="36"/>
  <c r="U191" i="36"/>
  <c r="T345" i="36"/>
  <c r="X169" i="36"/>
  <c r="W170" i="36"/>
  <c r="W173" i="36" s="1"/>
  <c r="S90" i="36"/>
  <c r="T155" i="36"/>
  <c r="R239" i="36"/>
  <c r="V13" i="36"/>
  <c r="U14" i="36"/>
  <c r="U192" i="36" s="1"/>
  <c r="U300" i="36" s="1"/>
  <c r="W183" i="36"/>
  <c r="V189" i="36"/>
  <c r="S293" i="36"/>
  <c r="T292" i="36"/>
  <c r="T432" i="36" s="1"/>
  <c r="T428" i="36" s="1"/>
  <c r="T341" i="36"/>
  <c r="S123" i="36"/>
  <c r="S529" i="36"/>
  <c r="S342" i="36"/>
  <c r="S91" i="36"/>
  <c r="S492" i="36"/>
  <c r="U6" i="4"/>
  <c r="U5" i="4"/>
  <c r="V196" i="39" l="1"/>
  <c r="Q223" i="41"/>
  <c r="U428" i="41"/>
  <c r="U429" i="41" s="1"/>
  <c r="R222" i="41"/>
  <c r="U80" i="41"/>
  <c r="U79" i="41" s="1"/>
  <c r="O497" i="41"/>
  <c r="O507" i="41" s="1"/>
  <c r="O95" i="41"/>
  <c r="O96" i="41" s="1"/>
  <c r="O231" i="41" s="1"/>
  <c r="U295" i="41"/>
  <c r="U195" i="41"/>
  <c r="U493" i="41" s="1"/>
  <c r="U94" i="41"/>
  <c r="U238" i="41"/>
  <c r="T239" i="41"/>
  <c r="T240" i="41" s="1"/>
  <c r="U529" i="41"/>
  <c r="V341" i="41"/>
  <c r="U123" i="41"/>
  <c r="U342" i="41"/>
  <c r="U492" i="41"/>
  <c r="U91" i="41"/>
  <c r="V370" i="41"/>
  <c r="U372" i="41"/>
  <c r="U101" i="41" s="1"/>
  <c r="U90" i="41"/>
  <c r="V155" i="41"/>
  <c r="Q225" i="41"/>
  <c r="Q226" i="41" s="1"/>
  <c r="O48" i="41"/>
  <c r="W141" i="41"/>
  <c r="V242" i="41"/>
  <c r="R528" i="41"/>
  <c r="R63" i="41"/>
  <c r="T282" i="41"/>
  <c r="S284" i="41"/>
  <c r="S285" i="41" s="1"/>
  <c r="S333" i="41"/>
  <c r="V404" i="41"/>
  <c r="V80" i="41" s="1"/>
  <c r="U406" i="41"/>
  <c r="U103" i="41" s="1"/>
  <c r="X191" i="41"/>
  <c r="X197" i="41"/>
  <c r="X200" i="41" s="1"/>
  <c r="S240" i="41"/>
  <c r="S210" i="41"/>
  <c r="W138" i="41"/>
  <c r="Q100" i="40"/>
  <c r="Q106" i="40" s="1"/>
  <c r="V194" i="41"/>
  <c r="Q209" i="41"/>
  <c r="P212" i="41"/>
  <c r="T522" i="41"/>
  <c r="T346" i="41"/>
  <c r="T36" i="41" s="1"/>
  <c r="T38" i="41"/>
  <c r="S40" i="41"/>
  <c r="S109" i="41" s="1"/>
  <c r="S113" i="41"/>
  <c r="T360" i="41"/>
  <c r="S362" i="41"/>
  <c r="U142" i="41"/>
  <c r="U47" i="41" s="1"/>
  <c r="U34" i="41"/>
  <c r="R533" i="41"/>
  <c r="R461" i="41"/>
  <c r="R127" i="41" s="1"/>
  <c r="V345" i="41"/>
  <c r="Q535" i="41"/>
  <c r="V292" i="41"/>
  <c r="V432" i="41" s="1"/>
  <c r="V428" i="41" s="1"/>
  <c r="V429" i="41" s="1"/>
  <c r="U293" i="41"/>
  <c r="X134" i="41"/>
  <c r="V349" i="41"/>
  <c r="U350" i="41"/>
  <c r="U526" i="41"/>
  <c r="U527" i="41" s="1"/>
  <c r="X13" i="41"/>
  <c r="X14" i="41" s="1"/>
  <c r="W14" i="41"/>
  <c r="R114" i="41"/>
  <c r="R121" i="41" s="1"/>
  <c r="R100" i="41"/>
  <c r="R106" i="41" s="1"/>
  <c r="R335" i="41"/>
  <c r="R337" i="41" s="1"/>
  <c r="Q211" i="41"/>
  <c r="W137" i="41"/>
  <c r="V344" i="41"/>
  <c r="U59" i="41"/>
  <c r="V59" i="41" s="1"/>
  <c r="Q363" i="41"/>
  <c r="T296" i="41"/>
  <c r="T458" i="41"/>
  <c r="S489" i="41"/>
  <c r="S88" i="41" s="1"/>
  <c r="S93" i="41" s="1"/>
  <c r="S460" i="41"/>
  <c r="W136" i="41"/>
  <c r="P226" i="41"/>
  <c r="P122" i="41"/>
  <c r="P128" i="41" s="1"/>
  <c r="P56" i="41"/>
  <c r="V140" i="41"/>
  <c r="T37" i="41"/>
  <c r="T104" i="41"/>
  <c r="R208" i="41"/>
  <c r="Q494" i="41"/>
  <c r="U437" i="41"/>
  <c r="U500" i="41" s="1"/>
  <c r="U503" i="41" s="1"/>
  <c r="U516" i="41" s="1"/>
  <c r="V300" i="41"/>
  <c r="V302" i="41" s="1"/>
  <c r="V303" i="41" s="1"/>
  <c r="V336" i="41" s="1"/>
  <c r="W192" i="41"/>
  <c r="W191" i="41"/>
  <c r="W197" i="41"/>
  <c r="W200" i="41" s="1"/>
  <c r="T217" i="41"/>
  <c r="S224" i="41"/>
  <c r="S434" i="41"/>
  <c r="S218" i="41"/>
  <c r="Q494" i="39"/>
  <c r="R434" i="40"/>
  <c r="T59" i="39"/>
  <c r="R208" i="39"/>
  <c r="S296" i="38"/>
  <c r="T437" i="39"/>
  <c r="T500" i="39" s="1"/>
  <c r="T503" i="39" s="1"/>
  <c r="T516" i="39" s="1"/>
  <c r="S296" i="40"/>
  <c r="T295" i="40"/>
  <c r="Q63" i="39"/>
  <c r="U345" i="40"/>
  <c r="Q535" i="39"/>
  <c r="O232" i="39"/>
  <c r="S94" i="39"/>
  <c r="S296" i="39"/>
  <c r="V141" i="38"/>
  <c r="O98" i="39"/>
  <c r="O99" i="39" s="1"/>
  <c r="O129" i="39" s="1"/>
  <c r="O231" i="39"/>
  <c r="S458" i="39"/>
  <c r="S460" i="39" s="1"/>
  <c r="T300" i="39"/>
  <c r="T302" i="39" s="1"/>
  <c r="T303" i="39" s="1"/>
  <c r="T336" i="39" s="1"/>
  <c r="V136" i="40"/>
  <c r="T80" i="39"/>
  <c r="T34" i="39"/>
  <c r="S217" i="40"/>
  <c r="S218" i="40" s="1"/>
  <c r="S114" i="40" s="1"/>
  <c r="S121" i="40" s="1"/>
  <c r="U276" i="39"/>
  <c r="U345" i="38"/>
  <c r="Q212" i="39"/>
  <c r="V137" i="38"/>
  <c r="U275" i="40"/>
  <c r="U140" i="39"/>
  <c r="U142" i="39" s="1"/>
  <c r="U47" i="39" s="1"/>
  <c r="R224" i="40"/>
  <c r="U344" i="39"/>
  <c r="V136" i="38"/>
  <c r="T34" i="38"/>
  <c r="Q226" i="39"/>
  <c r="U275" i="39"/>
  <c r="U140" i="40"/>
  <c r="U142" i="40" s="1"/>
  <c r="U47" i="40" s="1"/>
  <c r="U242" i="38"/>
  <c r="U344" i="38"/>
  <c r="U194" i="38"/>
  <c r="U94" i="38" s="1"/>
  <c r="O56" i="38"/>
  <c r="O507" i="40"/>
  <c r="O512" i="40" s="1"/>
  <c r="O515" i="40"/>
  <c r="O521" i="40" s="1"/>
  <c r="O536" i="40" s="1"/>
  <c r="O537" i="40" s="1"/>
  <c r="R100" i="40"/>
  <c r="R106" i="40" s="1"/>
  <c r="T59" i="38"/>
  <c r="P211" i="38"/>
  <c r="R489" i="39"/>
  <c r="R88" i="39" s="1"/>
  <c r="R93" i="39" s="1"/>
  <c r="T437" i="40"/>
  <c r="T500" i="40" s="1"/>
  <c r="T503" i="40" s="1"/>
  <c r="T516" i="40" s="1"/>
  <c r="P95" i="39"/>
  <c r="V301" i="40"/>
  <c r="P223" i="40"/>
  <c r="T332" i="40"/>
  <c r="Q335" i="40"/>
  <c r="Q337" i="40" s="1"/>
  <c r="U344" i="40"/>
  <c r="T277" i="40"/>
  <c r="U140" i="38"/>
  <c r="U142" i="38" s="1"/>
  <c r="U47" i="38" s="1"/>
  <c r="T432" i="40"/>
  <c r="T428" i="40" s="1"/>
  <c r="T429" i="40" s="1"/>
  <c r="U276" i="40"/>
  <c r="S429" i="38"/>
  <c r="V191" i="40"/>
  <c r="Q461" i="38"/>
  <c r="Q127" i="38" s="1"/>
  <c r="Q533" i="38"/>
  <c r="S239" i="40"/>
  <c r="S240" i="40" s="1"/>
  <c r="U311" i="39"/>
  <c r="V310" i="39"/>
  <c r="W191" i="40"/>
  <c r="R489" i="38"/>
  <c r="S458" i="38"/>
  <c r="R460" i="38"/>
  <c r="P225" i="40"/>
  <c r="V197" i="40"/>
  <c r="V200" i="40" s="1"/>
  <c r="T80" i="40"/>
  <c r="T79" i="40" s="1"/>
  <c r="U404" i="40"/>
  <c r="T406" i="40"/>
  <c r="T103" i="40" s="1"/>
  <c r="S282" i="38"/>
  <c r="R284" i="38"/>
  <c r="R285" i="38" s="1"/>
  <c r="R333" i="38"/>
  <c r="R222" i="38" s="1"/>
  <c r="V138" i="40"/>
  <c r="S522" i="39"/>
  <c r="S346" i="39"/>
  <c r="S36" i="39" s="1"/>
  <c r="T195" i="39"/>
  <c r="T94" i="39"/>
  <c r="V14" i="39"/>
  <c r="W13" i="39"/>
  <c r="V136" i="39"/>
  <c r="T195" i="40"/>
  <c r="T94" i="40"/>
  <c r="V314" i="39"/>
  <c r="U315" i="39"/>
  <c r="V283" i="40"/>
  <c r="S104" i="38"/>
  <c r="S37" i="38"/>
  <c r="S360" i="40"/>
  <c r="R362" i="40"/>
  <c r="O51" i="39"/>
  <c r="O512" i="39"/>
  <c r="S522" i="38"/>
  <c r="S346" i="38"/>
  <c r="S36" i="38" s="1"/>
  <c r="W134" i="38"/>
  <c r="P211" i="40"/>
  <c r="X183" i="39"/>
  <c r="X189" i="39" s="1"/>
  <c r="W189" i="39"/>
  <c r="T350" i="39"/>
  <c r="U349" i="39"/>
  <c r="T526" i="39"/>
  <c r="T527" i="39" s="1"/>
  <c r="X17" i="39"/>
  <c r="X135" i="39" s="1"/>
  <c r="X20" i="39"/>
  <c r="T432" i="38"/>
  <c r="T428" i="38" s="1"/>
  <c r="T429" i="38" s="1"/>
  <c r="U292" i="38"/>
  <c r="U432" i="38" s="1"/>
  <c r="T293" i="38"/>
  <c r="Q88" i="38"/>
  <c r="Q93" i="38" s="1"/>
  <c r="T492" i="40"/>
  <c r="U341" i="40"/>
  <c r="T91" i="40"/>
  <c r="T123" i="40"/>
  <c r="T342" i="40"/>
  <c r="T529" i="40"/>
  <c r="X11" i="38"/>
  <c r="X12" i="38" s="1"/>
  <c r="W12" i="38"/>
  <c r="P223" i="38"/>
  <c r="O226" i="38"/>
  <c r="Q494" i="40"/>
  <c r="V318" i="40"/>
  <c r="U319" i="40"/>
  <c r="R240" i="40"/>
  <c r="R210" i="40"/>
  <c r="T295" i="39"/>
  <c r="S239" i="38"/>
  <c r="T238" i="38"/>
  <c r="X183" i="40"/>
  <c r="X189" i="40" s="1"/>
  <c r="X20" i="40"/>
  <c r="X17" i="40"/>
  <c r="X135" i="40" s="1"/>
  <c r="T526" i="38"/>
  <c r="T527" i="38" s="1"/>
  <c r="U349" i="38"/>
  <c r="T350" i="38"/>
  <c r="T432" i="39"/>
  <c r="T428" i="39" s="1"/>
  <c r="S282" i="39"/>
  <c r="R284" i="39"/>
  <c r="R285" i="39" s="1"/>
  <c r="R335" i="39" s="1"/>
  <c r="R333" i="39"/>
  <c r="R222" i="39" s="1"/>
  <c r="T91" i="38"/>
  <c r="U341" i="38"/>
  <c r="T492" i="38"/>
  <c r="T123" i="38"/>
  <c r="T342" i="38"/>
  <c r="T529" i="38"/>
  <c r="U404" i="38"/>
  <c r="T406" i="38"/>
  <c r="T103" i="38" s="1"/>
  <c r="Q114" i="39"/>
  <c r="Q121" i="39" s="1"/>
  <c r="Q100" i="39"/>
  <c r="Q106" i="39" s="1"/>
  <c r="S239" i="39"/>
  <c r="T238" i="39"/>
  <c r="V273" i="39"/>
  <c r="U274" i="39"/>
  <c r="V318" i="39"/>
  <c r="U319" i="39"/>
  <c r="R113" i="39"/>
  <c r="R40" i="39"/>
  <c r="R109" i="39" s="1"/>
  <c r="S38" i="39"/>
  <c r="R434" i="38"/>
  <c r="R218" i="38"/>
  <c r="R114" i="38" s="1"/>
  <c r="R121" i="38" s="1"/>
  <c r="R224" i="38"/>
  <c r="S217" i="38"/>
  <c r="U370" i="38"/>
  <c r="T372" i="38"/>
  <c r="T101" i="38" s="1"/>
  <c r="S522" i="40"/>
  <c r="S346" i="40"/>
  <c r="S36" i="40" s="1"/>
  <c r="O212" i="38"/>
  <c r="P209" i="38"/>
  <c r="W134" i="39"/>
  <c r="U341" i="39"/>
  <c r="T342" i="39"/>
  <c r="T123" i="39"/>
  <c r="T529" i="39"/>
  <c r="T91" i="39"/>
  <c r="T492" i="39"/>
  <c r="V283" i="38"/>
  <c r="U332" i="38"/>
  <c r="V323" i="39"/>
  <c r="U324" i="39"/>
  <c r="U325" i="39" s="1"/>
  <c r="R210" i="38"/>
  <c r="T293" i="40"/>
  <c r="U292" i="40"/>
  <c r="U432" i="40" s="1"/>
  <c r="T300" i="40"/>
  <c r="T302" i="40" s="1"/>
  <c r="T303" i="40" s="1"/>
  <c r="T336" i="40" s="1"/>
  <c r="U192" i="40"/>
  <c r="X17" i="38"/>
  <c r="X135" i="38" s="1"/>
  <c r="X20" i="38"/>
  <c r="R362" i="39"/>
  <c r="S360" i="39"/>
  <c r="O521" i="39"/>
  <c r="O536" i="39" s="1"/>
  <c r="O537" i="39" s="1"/>
  <c r="O518" i="39"/>
  <c r="O71" i="39" s="1"/>
  <c r="S38" i="40"/>
  <c r="T59" i="40"/>
  <c r="R210" i="39"/>
  <c r="T277" i="39"/>
  <c r="Q335" i="38"/>
  <c r="Q337" i="38" s="1"/>
  <c r="Q528" i="40"/>
  <c r="Q63" i="40"/>
  <c r="T80" i="38"/>
  <c r="S79" i="38"/>
  <c r="Q363" i="39"/>
  <c r="W134" i="40"/>
  <c r="W134" i="36"/>
  <c r="V314" i="40"/>
  <c r="U315" i="40"/>
  <c r="V191" i="38"/>
  <c r="V197" i="38"/>
  <c r="V200" i="38" s="1"/>
  <c r="O515" i="38"/>
  <c r="O504" i="38"/>
  <c r="O507" i="38"/>
  <c r="T195" i="38"/>
  <c r="T94" i="38"/>
  <c r="U300" i="38"/>
  <c r="U302" i="38" s="1"/>
  <c r="U303" i="38" s="1"/>
  <c r="U336" i="38" s="1"/>
  <c r="T90" i="40"/>
  <c r="U155" i="40"/>
  <c r="V138" i="39"/>
  <c r="T90" i="38"/>
  <c r="U155" i="38"/>
  <c r="Q528" i="38"/>
  <c r="Q63" i="38"/>
  <c r="S217" i="39"/>
  <c r="R434" i="39"/>
  <c r="R218" i="39"/>
  <c r="R224" i="39"/>
  <c r="V141" i="40"/>
  <c r="T295" i="38"/>
  <c r="U370" i="40"/>
  <c r="T372" i="40"/>
  <c r="T101" i="40" s="1"/>
  <c r="Q114" i="38"/>
  <c r="Q121" i="38" s="1"/>
  <c r="Q100" i="38"/>
  <c r="Q106" i="38" s="1"/>
  <c r="V306" i="40"/>
  <c r="V307" i="40" s="1"/>
  <c r="V14" i="40"/>
  <c r="W13" i="40"/>
  <c r="W196" i="40" s="1"/>
  <c r="T142" i="40"/>
  <c r="T47" i="40" s="1"/>
  <c r="T34" i="40"/>
  <c r="X183" i="38"/>
  <c r="X189" i="38" s="1"/>
  <c r="W189" i="38"/>
  <c r="S493" i="39"/>
  <c r="O51" i="40"/>
  <c r="Q88" i="40"/>
  <c r="Q93" i="40" s="1"/>
  <c r="O226" i="40"/>
  <c r="U289" i="39"/>
  <c r="V288" i="39"/>
  <c r="X11" i="39"/>
  <c r="X12" i="39" s="1"/>
  <c r="W12" i="39"/>
  <c r="T437" i="38"/>
  <c r="T500" i="38" s="1"/>
  <c r="T503" i="38" s="1"/>
  <c r="T516" i="38" s="1"/>
  <c r="V14" i="38"/>
  <c r="W13" i="38"/>
  <c r="S79" i="39"/>
  <c r="U345" i="39"/>
  <c r="Q494" i="38"/>
  <c r="R208" i="38"/>
  <c r="R362" i="38"/>
  <c r="S360" i="38"/>
  <c r="S104" i="40"/>
  <c r="S37" i="40"/>
  <c r="P363" i="40"/>
  <c r="V137" i="40"/>
  <c r="P535" i="38"/>
  <c r="U307" i="39"/>
  <c r="V306" i="39"/>
  <c r="S282" i="40"/>
  <c r="R284" i="40"/>
  <c r="R285" i="40" s="1"/>
  <c r="R333" i="40"/>
  <c r="R222" i="40" s="1"/>
  <c r="R533" i="39"/>
  <c r="R461" i="39"/>
  <c r="R127" i="39" s="1"/>
  <c r="T90" i="39"/>
  <c r="U155" i="39"/>
  <c r="R208" i="40"/>
  <c r="U404" i="39"/>
  <c r="T406" i="39"/>
  <c r="T103" i="39" s="1"/>
  <c r="U370" i="39"/>
  <c r="T372" i="39"/>
  <c r="T101" i="39" s="1"/>
  <c r="R489" i="40"/>
  <c r="S458" i="40"/>
  <c r="R460" i="40"/>
  <c r="O212" i="40"/>
  <c r="P209" i="40"/>
  <c r="T293" i="39"/>
  <c r="U292" i="39"/>
  <c r="V137" i="39"/>
  <c r="V138" i="38"/>
  <c r="T332" i="39"/>
  <c r="P122" i="39"/>
  <c r="P128" i="39" s="1"/>
  <c r="P56" i="39"/>
  <c r="V141" i="39"/>
  <c r="R113" i="40"/>
  <c r="R40" i="40"/>
  <c r="R109" i="40" s="1"/>
  <c r="O122" i="40"/>
  <c r="O128" i="40" s="1"/>
  <c r="O56" i="40"/>
  <c r="V283" i="39"/>
  <c r="T526" i="40"/>
  <c r="T527" i="40" s="1"/>
  <c r="T350" i="40"/>
  <c r="U349" i="40"/>
  <c r="P535" i="40"/>
  <c r="V288" i="40"/>
  <c r="U289" i="40"/>
  <c r="W12" i="40"/>
  <c r="X11" i="40"/>
  <c r="X12" i="40" s="1"/>
  <c r="V323" i="40"/>
  <c r="U324" i="40"/>
  <c r="U325" i="40" s="1"/>
  <c r="U192" i="39"/>
  <c r="U194" i="39" s="1"/>
  <c r="Q533" i="40"/>
  <c r="Q461" i="40"/>
  <c r="Q127" i="40" s="1"/>
  <c r="W135" i="36"/>
  <c r="U274" i="40"/>
  <c r="V273" i="40"/>
  <c r="V191" i="39"/>
  <c r="T238" i="40"/>
  <c r="U242" i="40"/>
  <c r="S493" i="40"/>
  <c r="R113" i="38"/>
  <c r="S38" i="38"/>
  <c r="R40" i="38"/>
  <c r="R109" i="38" s="1"/>
  <c r="S37" i="39"/>
  <c r="S104" i="39"/>
  <c r="V301" i="39"/>
  <c r="P363" i="38"/>
  <c r="U311" i="40"/>
  <c r="V310" i="40"/>
  <c r="U242" i="39"/>
  <c r="P225" i="38"/>
  <c r="V283" i="36"/>
  <c r="V306" i="36"/>
  <c r="V310" i="36"/>
  <c r="V323" i="36"/>
  <c r="V318" i="36"/>
  <c r="V273" i="36"/>
  <c r="V288" i="36"/>
  <c r="V301" i="36"/>
  <c r="V197" i="36"/>
  <c r="V200" i="36" s="1"/>
  <c r="V314" i="36"/>
  <c r="T303" i="36"/>
  <c r="S336" i="36"/>
  <c r="T325" i="36"/>
  <c r="V136" i="36"/>
  <c r="R434" i="36"/>
  <c r="R224" i="36"/>
  <c r="V137" i="36"/>
  <c r="Q223" i="36"/>
  <c r="Q222" i="36"/>
  <c r="R208" i="36" s="1"/>
  <c r="V138" i="36"/>
  <c r="Q209" i="36"/>
  <c r="V141" i="36"/>
  <c r="R240" i="36"/>
  <c r="R210" i="36"/>
  <c r="S79" i="36"/>
  <c r="T80" i="36"/>
  <c r="T437" i="36"/>
  <c r="T500" i="36" s="1"/>
  <c r="T503" i="36" s="1"/>
  <c r="T516" i="36" s="1"/>
  <c r="T429" i="36"/>
  <c r="S217" i="36"/>
  <c r="U302" i="36"/>
  <c r="U315" i="36"/>
  <c r="U275" i="36"/>
  <c r="U311" i="36"/>
  <c r="T277" i="36"/>
  <c r="T332" i="36"/>
  <c r="U319" i="36"/>
  <c r="U274" i="36"/>
  <c r="U307" i="36"/>
  <c r="U289" i="36"/>
  <c r="U276" i="36"/>
  <c r="U324" i="36"/>
  <c r="S296" i="36"/>
  <c r="X178" i="36"/>
  <c r="X179" i="36" s="1"/>
  <c r="X170" i="36"/>
  <c r="O226" i="36"/>
  <c r="U194" i="36"/>
  <c r="U195" i="36" s="1"/>
  <c r="U345" i="36"/>
  <c r="P535" i="36"/>
  <c r="S239" i="36"/>
  <c r="T90" i="36"/>
  <c r="U155" i="36"/>
  <c r="P337" i="36"/>
  <c r="P225" i="36" s="1"/>
  <c r="Q88" i="36"/>
  <c r="Q93" i="36" s="1"/>
  <c r="X11" i="36"/>
  <c r="W12" i="36"/>
  <c r="R113" i="36"/>
  <c r="S38" i="36"/>
  <c r="S40" i="36" s="1"/>
  <c r="U344" i="36"/>
  <c r="O495" i="36"/>
  <c r="O212" i="36"/>
  <c r="T295" i="36"/>
  <c r="T342" i="36"/>
  <c r="T492" i="36"/>
  <c r="T91" i="36"/>
  <c r="U341" i="36"/>
  <c r="T123" i="36"/>
  <c r="T529" i="36"/>
  <c r="S282" i="36"/>
  <c r="R333" i="36"/>
  <c r="R284" i="36"/>
  <c r="R285" i="36" s="1"/>
  <c r="R335" i="36" s="1"/>
  <c r="S360" i="36"/>
  <c r="R362" i="36"/>
  <c r="W92" i="36"/>
  <c r="S37" i="36"/>
  <c r="S104" i="36"/>
  <c r="X147" i="36"/>
  <c r="X490" i="36"/>
  <c r="X89" i="36"/>
  <c r="Q528" i="36"/>
  <c r="Q63" i="36"/>
  <c r="T526" i="36"/>
  <c r="T527" i="36" s="1"/>
  <c r="U349" i="36"/>
  <c r="T350" i="36"/>
  <c r="V191" i="36"/>
  <c r="Q109" i="36"/>
  <c r="Q114" i="36"/>
  <c r="Q121" i="36" s="1"/>
  <c r="Q100" i="36"/>
  <c r="Q106" i="36" s="1"/>
  <c r="X183" i="36"/>
  <c r="W189" i="36"/>
  <c r="S493" i="36"/>
  <c r="U242" i="36"/>
  <c r="U238" i="36" s="1"/>
  <c r="X491" i="36"/>
  <c r="T94" i="36"/>
  <c r="T195" i="36"/>
  <c r="U370" i="36"/>
  <c r="U59" i="36" s="1"/>
  <c r="T372" i="36"/>
  <c r="T101" i="36" s="1"/>
  <c r="O122" i="36"/>
  <c r="O128" i="36" s="1"/>
  <c r="O56" i="36"/>
  <c r="Q533" i="36"/>
  <c r="Q461" i="36"/>
  <c r="Q127" i="36" s="1"/>
  <c r="P363" i="36"/>
  <c r="X20" i="36"/>
  <c r="X17" i="36"/>
  <c r="T34" i="36"/>
  <c r="S522" i="36"/>
  <c r="S346" i="36"/>
  <c r="S36" i="36" s="1"/>
  <c r="U292" i="36"/>
  <c r="U432" i="36" s="1"/>
  <c r="U428" i="36" s="1"/>
  <c r="T293" i="36"/>
  <c r="W13" i="36"/>
  <c r="V14" i="36"/>
  <c r="V192" i="36" s="1"/>
  <c r="R218" i="36"/>
  <c r="R114" i="36" s="1"/>
  <c r="R121" i="36" s="1"/>
  <c r="R489" i="36"/>
  <c r="S458" i="36"/>
  <c r="R460" i="36"/>
  <c r="U140" i="36"/>
  <c r="U404" i="36"/>
  <c r="T406" i="36"/>
  <c r="T103" i="36" s="1"/>
  <c r="W196" i="39" l="1"/>
  <c r="O515" i="41"/>
  <c r="W344" i="41"/>
  <c r="O98" i="41"/>
  <c r="O99" i="41" s="1"/>
  <c r="O129" i="41" s="1"/>
  <c r="O504" i="41"/>
  <c r="O51" i="41" s="1"/>
  <c r="O230" i="41"/>
  <c r="Q212" i="41"/>
  <c r="Q95" i="41" s="1"/>
  <c r="X344" i="41"/>
  <c r="O232" i="41"/>
  <c r="R223" i="41"/>
  <c r="V295" i="41"/>
  <c r="W345" i="41"/>
  <c r="X345" i="41" s="1"/>
  <c r="W140" i="41"/>
  <c r="W142" i="41" s="1"/>
  <c r="W47" i="41" s="1"/>
  <c r="S222" i="41"/>
  <c r="W194" i="41"/>
  <c r="W195" i="41" s="1"/>
  <c r="W493" i="41" s="1"/>
  <c r="R535" i="41"/>
  <c r="W242" i="41"/>
  <c r="X242" i="41" s="1"/>
  <c r="U296" i="41"/>
  <c r="V79" i="41"/>
  <c r="T434" i="41"/>
  <c r="U217" i="41"/>
  <c r="T224" i="41"/>
  <c r="T218" i="41"/>
  <c r="R494" i="41"/>
  <c r="S208" i="41"/>
  <c r="X138" i="41"/>
  <c r="S335" i="41"/>
  <c r="S337" i="41" s="1"/>
  <c r="X141" i="41"/>
  <c r="W370" i="41"/>
  <c r="W59" i="41" s="1"/>
  <c r="V372" i="41"/>
  <c r="V101" i="41" s="1"/>
  <c r="O521" i="41"/>
  <c r="O536" i="41" s="1"/>
  <c r="O518" i="41"/>
  <c r="O71" i="41" s="1"/>
  <c r="U282" i="41"/>
  <c r="T284" i="41"/>
  <c r="T285" i="41" s="1"/>
  <c r="T333" i="41"/>
  <c r="O50" i="41"/>
  <c r="O53" i="41"/>
  <c r="O49" i="41"/>
  <c r="U38" i="41"/>
  <c r="T40" i="41"/>
  <c r="T109" i="41" s="1"/>
  <c r="T113" i="41"/>
  <c r="W300" i="41"/>
  <c r="W302" i="41" s="1"/>
  <c r="W303" i="41" s="1"/>
  <c r="W336" i="41" s="1"/>
  <c r="X192" i="41"/>
  <c r="X300" i="41" s="1"/>
  <c r="X302" i="41" s="1"/>
  <c r="X136" i="41"/>
  <c r="Q122" i="41"/>
  <c r="Q128" i="41" s="1"/>
  <c r="Q56" i="41"/>
  <c r="P95" i="41"/>
  <c r="T210" i="41"/>
  <c r="O512" i="41"/>
  <c r="V142" i="41"/>
  <c r="V47" i="41" s="1"/>
  <c r="V34" i="41"/>
  <c r="S461" i="41"/>
  <c r="S127" i="41" s="1"/>
  <c r="S533" i="41"/>
  <c r="S528" i="41"/>
  <c r="S63" i="41"/>
  <c r="R209" i="41"/>
  <c r="R225" i="41"/>
  <c r="U522" i="41"/>
  <c r="U346" i="41"/>
  <c r="U36" i="41" s="1"/>
  <c r="U239" i="41"/>
  <c r="V238" i="41"/>
  <c r="V526" i="41"/>
  <c r="V527" i="41" s="1"/>
  <c r="W349" i="41"/>
  <c r="V350" i="41"/>
  <c r="S114" i="41"/>
  <c r="S121" i="41" s="1"/>
  <c r="S100" i="41"/>
  <c r="S106" i="41" s="1"/>
  <c r="V293" i="41"/>
  <c r="W292" i="41"/>
  <c r="U360" i="41"/>
  <c r="T362" i="41"/>
  <c r="V195" i="41"/>
  <c r="V493" i="41" s="1"/>
  <c r="V94" i="41"/>
  <c r="U458" i="41"/>
  <c r="T489" i="41"/>
  <c r="T88" i="41" s="1"/>
  <c r="T93" i="41" s="1"/>
  <c r="T460" i="41"/>
  <c r="X137" i="41"/>
  <c r="R363" i="41"/>
  <c r="W155" i="41"/>
  <c r="V90" i="41"/>
  <c r="W341" i="41"/>
  <c r="V529" i="41"/>
  <c r="V342" i="41"/>
  <c r="V123" i="41"/>
  <c r="V91" i="41"/>
  <c r="V492" i="41"/>
  <c r="R211" i="41"/>
  <c r="U37" i="41"/>
  <c r="U104" i="41"/>
  <c r="V437" i="41"/>
  <c r="V500" i="41" s="1"/>
  <c r="V503" i="41" s="1"/>
  <c r="V516" i="41" s="1"/>
  <c r="W404" i="41"/>
  <c r="W80" i="41" s="1"/>
  <c r="V406" i="41"/>
  <c r="V103" i="41" s="1"/>
  <c r="T296" i="40"/>
  <c r="T458" i="39"/>
  <c r="T460" i="39" s="1"/>
  <c r="O108" i="39"/>
  <c r="O110" i="39" s="1"/>
  <c r="O111" i="39" s="1"/>
  <c r="O233" i="39"/>
  <c r="O35" i="39" s="1"/>
  <c r="O39" i="39" s="1"/>
  <c r="O130" i="39" s="1"/>
  <c r="S434" i="40"/>
  <c r="S208" i="39"/>
  <c r="T79" i="39"/>
  <c r="U80" i="39"/>
  <c r="Q95" i="39"/>
  <c r="U195" i="38"/>
  <c r="U493" i="38" s="1"/>
  <c r="S489" i="39"/>
  <c r="S88" i="39" s="1"/>
  <c r="S93" i="39" s="1"/>
  <c r="U295" i="38"/>
  <c r="V344" i="39"/>
  <c r="V140" i="38"/>
  <c r="V142" i="38" s="1"/>
  <c r="V47" i="38" s="1"/>
  <c r="W137" i="38"/>
  <c r="U277" i="39"/>
  <c r="T296" i="39"/>
  <c r="V275" i="39"/>
  <c r="V275" i="40"/>
  <c r="U34" i="40"/>
  <c r="S210" i="40"/>
  <c r="U428" i="40"/>
  <c r="U429" i="40" s="1"/>
  <c r="R100" i="38"/>
  <c r="R106" i="38" s="1"/>
  <c r="T217" i="40"/>
  <c r="T434" i="40" s="1"/>
  <c r="V242" i="38"/>
  <c r="U437" i="38"/>
  <c r="U500" i="38" s="1"/>
  <c r="U503" i="38" s="1"/>
  <c r="U516" i="38" s="1"/>
  <c r="V344" i="40"/>
  <c r="S224" i="40"/>
  <c r="O518" i="40"/>
  <c r="O71" i="40" s="1"/>
  <c r="P495" i="40" s="1"/>
  <c r="P212" i="38"/>
  <c r="U277" i="40"/>
  <c r="U59" i="38"/>
  <c r="U332" i="39"/>
  <c r="V242" i="39"/>
  <c r="Q209" i="40"/>
  <c r="R335" i="40"/>
  <c r="R337" i="40" s="1"/>
  <c r="V345" i="39"/>
  <c r="Q363" i="38"/>
  <c r="Q122" i="38" s="1"/>
  <c r="Q128" i="38" s="1"/>
  <c r="O519" i="39"/>
  <c r="O95" i="38"/>
  <c r="O96" i="38" s="1"/>
  <c r="Q211" i="38"/>
  <c r="W283" i="39"/>
  <c r="U295" i="40"/>
  <c r="O95" i="40"/>
  <c r="O96" i="40" s="1"/>
  <c r="O98" i="40" s="1"/>
  <c r="O99" i="40" s="1"/>
  <c r="W301" i="39"/>
  <c r="W137" i="39"/>
  <c r="W141" i="39"/>
  <c r="W136" i="39"/>
  <c r="T296" i="38"/>
  <c r="W137" i="40"/>
  <c r="V276" i="39"/>
  <c r="W141" i="40"/>
  <c r="V345" i="40"/>
  <c r="S100" i="40"/>
  <c r="S106" i="40" s="1"/>
  <c r="U195" i="39"/>
  <c r="U94" i="39"/>
  <c r="U90" i="39"/>
  <c r="V155" i="39"/>
  <c r="T239" i="39"/>
  <c r="U238" i="39"/>
  <c r="T37" i="38"/>
  <c r="T104" i="38"/>
  <c r="S489" i="38"/>
  <c r="T458" i="38"/>
  <c r="S460" i="38"/>
  <c r="Q225" i="38"/>
  <c r="T104" i="40"/>
  <c r="T37" i="40"/>
  <c r="U432" i="39"/>
  <c r="U428" i="39" s="1"/>
  <c r="U429" i="39" s="1"/>
  <c r="V292" i="39"/>
  <c r="V432" i="39" s="1"/>
  <c r="U293" i="39"/>
  <c r="X13" i="38"/>
  <c r="X14" i="38" s="1"/>
  <c r="W14" i="38"/>
  <c r="W191" i="38"/>
  <c r="W197" i="38"/>
  <c r="W200" i="38" s="1"/>
  <c r="V370" i="40"/>
  <c r="U372" i="40"/>
  <c r="U101" i="40" s="1"/>
  <c r="V315" i="40"/>
  <c r="W314" i="40"/>
  <c r="Q122" i="39"/>
  <c r="Q128" i="39" s="1"/>
  <c r="Q56" i="39"/>
  <c r="W141" i="38"/>
  <c r="S240" i="39"/>
  <c r="S210" i="39"/>
  <c r="U526" i="38"/>
  <c r="U527" i="38" s="1"/>
  <c r="U350" i="38"/>
  <c r="V349" i="38"/>
  <c r="W318" i="40"/>
  <c r="V319" i="40"/>
  <c r="T522" i="40"/>
  <c r="T346" i="40"/>
  <c r="T36" i="40" s="1"/>
  <c r="T37" i="39"/>
  <c r="T104" i="39"/>
  <c r="X134" i="38"/>
  <c r="W14" i="39"/>
  <c r="X13" i="39"/>
  <c r="X14" i="39" s="1"/>
  <c r="W138" i="40"/>
  <c r="U80" i="40"/>
  <c r="U79" i="40" s="1"/>
  <c r="V404" i="40"/>
  <c r="U406" i="40"/>
  <c r="U103" i="40" s="1"/>
  <c r="R88" i="38"/>
  <c r="R93" i="38" s="1"/>
  <c r="U238" i="40"/>
  <c r="V242" i="40"/>
  <c r="X135" i="36"/>
  <c r="W323" i="40"/>
  <c r="V324" i="40"/>
  <c r="V325" i="40" s="1"/>
  <c r="V370" i="39"/>
  <c r="U372" i="39"/>
  <c r="U101" i="39" s="1"/>
  <c r="T360" i="38"/>
  <c r="S362" i="38"/>
  <c r="X197" i="38"/>
  <c r="X200" i="38" s="1"/>
  <c r="X191" i="38"/>
  <c r="W306" i="40"/>
  <c r="W14" i="40"/>
  <c r="X13" i="40"/>
  <c r="X14" i="40" s="1"/>
  <c r="Q535" i="38"/>
  <c r="V192" i="38"/>
  <c r="V194" i="38" s="1"/>
  <c r="V345" i="38"/>
  <c r="T79" i="38"/>
  <c r="W318" i="39"/>
  <c r="V319" i="39"/>
  <c r="U492" i="38"/>
  <c r="U529" i="38"/>
  <c r="U91" i="38"/>
  <c r="V341" i="38"/>
  <c r="U342" i="38"/>
  <c r="U123" i="38"/>
  <c r="T239" i="38"/>
  <c r="U238" i="38"/>
  <c r="W191" i="39"/>
  <c r="W283" i="40"/>
  <c r="W310" i="40"/>
  <c r="V311" i="40"/>
  <c r="S40" i="38"/>
  <c r="S109" i="38" s="1"/>
  <c r="S113" i="38"/>
  <c r="T38" i="38"/>
  <c r="T239" i="40"/>
  <c r="T240" i="40" s="1"/>
  <c r="S461" i="39"/>
  <c r="S127" i="39" s="1"/>
  <c r="S533" i="39"/>
  <c r="R528" i="38"/>
  <c r="R63" i="38"/>
  <c r="U90" i="38"/>
  <c r="V155" i="38"/>
  <c r="U300" i="40"/>
  <c r="U302" i="40" s="1"/>
  <c r="U303" i="40" s="1"/>
  <c r="U336" i="40" s="1"/>
  <c r="V192" i="40"/>
  <c r="V194" i="40" s="1"/>
  <c r="W323" i="39"/>
  <c r="V324" i="39"/>
  <c r="V325" i="39" s="1"/>
  <c r="T522" i="39"/>
  <c r="T346" i="39"/>
  <c r="T36" i="39" s="1"/>
  <c r="S240" i="38"/>
  <c r="S210" i="38"/>
  <c r="X191" i="39"/>
  <c r="V276" i="40"/>
  <c r="U194" i="40"/>
  <c r="U428" i="38"/>
  <c r="U429" i="38" s="1"/>
  <c r="V404" i="39"/>
  <c r="U406" i="39"/>
  <c r="U103" i="39" s="1"/>
  <c r="R494" i="38"/>
  <c r="S208" i="38"/>
  <c r="O51" i="38"/>
  <c r="O512" i="38"/>
  <c r="P495" i="39"/>
  <c r="O78" i="39"/>
  <c r="O64" i="39"/>
  <c r="O65" i="39" s="1"/>
  <c r="O67" i="39" s="1"/>
  <c r="O85" i="39"/>
  <c r="U91" i="39"/>
  <c r="U492" i="39"/>
  <c r="V341" i="39"/>
  <c r="U529" i="39"/>
  <c r="U342" i="39"/>
  <c r="U123" i="39"/>
  <c r="V370" i="38"/>
  <c r="V372" i="38" s="1"/>
  <c r="U372" i="38"/>
  <c r="U101" i="38" s="1"/>
  <c r="U295" i="39"/>
  <c r="U123" i="40"/>
  <c r="U342" i="40"/>
  <c r="U529" i="40"/>
  <c r="U91" i="40"/>
  <c r="U492" i="40"/>
  <c r="V341" i="40"/>
  <c r="V292" i="38"/>
  <c r="U293" i="38"/>
  <c r="U332" i="40"/>
  <c r="V311" i="39"/>
  <c r="W310" i="39"/>
  <c r="V344" i="38"/>
  <c r="W136" i="40"/>
  <c r="U350" i="40"/>
  <c r="V349" i="40"/>
  <c r="U526" i="40"/>
  <c r="U527" i="40" s="1"/>
  <c r="U90" i="40"/>
  <c r="V155" i="40"/>
  <c r="U526" i="39"/>
  <c r="U527" i="39" s="1"/>
  <c r="V349" i="39"/>
  <c r="U350" i="39"/>
  <c r="P122" i="38"/>
  <c r="P128" i="38" s="1"/>
  <c r="P56" i="38"/>
  <c r="V197" i="39"/>
  <c r="V200" i="39" s="1"/>
  <c r="R114" i="39"/>
  <c r="R121" i="39" s="1"/>
  <c r="R100" i="39"/>
  <c r="R106" i="39" s="1"/>
  <c r="U437" i="39"/>
  <c r="U500" i="39" s="1"/>
  <c r="U503" i="39" s="1"/>
  <c r="U516" i="39" s="1"/>
  <c r="T493" i="38"/>
  <c r="O521" i="38"/>
  <c r="O536" i="38" s="1"/>
  <c r="O537" i="38" s="1"/>
  <c r="O518" i="38"/>
  <c r="O71" i="38" s="1"/>
  <c r="X134" i="36"/>
  <c r="Q363" i="40"/>
  <c r="W283" i="38"/>
  <c r="V332" i="38"/>
  <c r="V140" i="39"/>
  <c r="S434" i="38"/>
  <c r="S218" i="38"/>
  <c r="S114" i="38" s="1"/>
  <c r="S121" i="38" s="1"/>
  <c r="T217" i="38"/>
  <c r="S224" i="38"/>
  <c r="W136" i="38"/>
  <c r="W273" i="39"/>
  <c r="V274" i="39"/>
  <c r="U80" i="38"/>
  <c r="V404" i="38"/>
  <c r="U406" i="38"/>
  <c r="U103" i="38" s="1"/>
  <c r="R337" i="39"/>
  <c r="R209" i="39"/>
  <c r="R223" i="39"/>
  <c r="Q223" i="38"/>
  <c r="P226" i="38"/>
  <c r="U34" i="38"/>
  <c r="P212" i="40"/>
  <c r="Q211" i="40"/>
  <c r="W314" i="39"/>
  <c r="V315" i="39"/>
  <c r="T493" i="39"/>
  <c r="R335" i="38"/>
  <c r="R337" i="38" s="1"/>
  <c r="W288" i="40"/>
  <c r="V289" i="40"/>
  <c r="W138" i="38"/>
  <c r="R533" i="40"/>
  <c r="R461" i="40"/>
  <c r="R127" i="40" s="1"/>
  <c r="T282" i="40"/>
  <c r="S284" i="40"/>
  <c r="S285" i="40" s="1"/>
  <c r="S333" i="40"/>
  <c r="S222" i="40" s="1"/>
  <c r="V289" i="39"/>
  <c r="W288" i="39"/>
  <c r="W138" i="39"/>
  <c r="V140" i="40"/>
  <c r="Q535" i="40"/>
  <c r="U59" i="40"/>
  <c r="T360" i="39"/>
  <c r="S362" i="39"/>
  <c r="U437" i="40"/>
  <c r="U500" i="40" s="1"/>
  <c r="U503" i="40" s="1"/>
  <c r="U516" i="40" s="1"/>
  <c r="V292" i="40"/>
  <c r="U293" i="40"/>
  <c r="X134" i="39"/>
  <c r="S113" i="39"/>
  <c r="T38" i="39"/>
  <c r="S40" i="39"/>
  <c r="S109" i="39" s="1"/>
  <c r="T282" i="39"/>
  <c r="S284" i="39"/>
  <c r="S285" i="39" s="1"/>
  <c r="S335" i="39" s="1"/>
  <c r="S337" i="39" s="1"/>
  <c r="S333" i="39"/>
  <c r="S222" i="39" s="1"/>
  <c r="Q223" i="40"/>
  <c r="R528" i="40"/>
  <c r="R63" i="40"/>
  <c r="T282" i="38"/>
  <c r="S284" i="38"/>
  <c r="S285" i="38" s="1"/>
  <c r="S333" i="38"/>
  <c r="S222" i="38" s="1"/>
  <c r="P226" i="40"/>
  <c r="Q225" i="40"/>
  <c r="U59" i="39"/>
  <c r="R88" i="40"/>
  <c r="R93" i="40" s="1"/>
  <c r="W273" i="40"/>
  <c r="V274" i="40"/>
  <c r="U300" i="39"/>
  <c r="U302" i="39" s="1"/>
  <c r="U303" i="39" s="1"/>
  <c r="U336" i="39" s="1"/>
  <c r="V192" i="39"/>
  <c r="T458" i="40"/>
  <c r="S460" i="40"/>
  <c r="S489" i="40"/>
  <c r="R494" i="40"/>
  <c r="S208" i="40"/>
  <c r="W306" i="39"/>
  <c r="V307" i="39"/>
  <c r="P122" i="40"/>
  <c r="P128" i="40" s="1"/>
  <c r="P56" i="40"/>
  <c r="S218" i="39"/>
  <c r="S434" i="39"/>
  <c r="S224" i="39"/>
  <c r="T217" i="39"/>
  <c r="X134" i="40"/>
  <c r="S40" i="40"/>
  <c r="S109" i="40" s="1"/>
  <c r="S113" i="40"/>
  <c r="T38" i="40"/>
  <c r="R528" i="39"/>
  <c r="R535" i="39" s="1"/>
  <c r="R363" i="39"/>
  <c r="R63" i="39"/>
  <c r="Q209" i="38"/>
  <c r="T522" i="38"/>
  <c r="T346" i="38"/>
  <c r="T36" i="38" s="1"/>
  <c r="T429" i="39"/>
  <c r="X191" i="40"/>
  <c r="R494" i="39"/>
  <c r="U34" i="39"/>
  <c r="W301" i="40"/>
  <c r="T360" i="40"/>
  <c r="S362" i="40"/>
  <c r="T493" i="40"/>
  <c r="R533" i="38"/>
  <c r="R461" i="38"/>
  <c r="R127" i="38" s="1"/>
  <c r="W314" i="36"/>
  <c r="W301" i="36"/>
  <c r="W306" i="36"/>
  <c r="W323" i="36"/>
  <c r="W273" i="36"/>
  <c r="W283" i="36"/>
  <c r="W288" i="36"/>
  <c r="W310" i="36"/>
  <c r="W197" i="36"/>
  <c r="W200" i="36" s="1"/>
  <c r="W318" i="36"/>
  <c r="O229" i="36"/>
  <c r="U303" i="36"/>
  <c r="T336" i="36"/>
  <c r="U325" i="36"/>
  <c r="P211" i="36"/>
  <c r="P212" i="36" s="1"/>
  <c r="R209" i="36"/>
  <c r="W136" i="36"/>
  <c r="W138" i="36"/>
  <c r="R222" i="36"/>
  <c r="S240" i="36"/>
  <c r="S210" i="36"/>
  <c r="S434" i="36"/>
  <c r="S224" i="36"/>
  <c r="R223" i="36"/>
  <c r="W141" i="36"/>
  <c r="W137" i="36"/>
  <c r="T79" i="36"/>
  <c r="U80" i="36"/>
  <c r="U437" i="36"/>
  <c r="U500" i="36" s="1"/>
  <c r="U503" i="36" s="1"/>
  <c r="U516" i="36" s="1"/>
  <c r="U429" i="36"/>
  <c r="V276" i="36"/>
  <c r="V319" i="36"/>
  <c r="U332" i="36"/>
  <c r="V311" i="36"/>
  <c r="V307" i="36"/>
  <c r="V324" i="36"/>
  <c r="U277" i="36"/>
  <c r="V275" i="36"/>
  <c r="V274" i="36"/>
  <c r="V289" i="36"/>
  <c r="V315" i="36"/>
  <c r="X189" i="36"/>
  <c r="X173" i="36"/>
  <c r="X150" i="36"/>
  <c r="X12" i="36"/>
  <c r="Q494" i="36"/>
  <c r="O95" i="36"/>
  <c r="O96" i="36" s="1"/>
  <c r="U94" i="36"/>
  <c r="T296" i="36"/>
  <c r="V344" i="36"/>
  <c r="Q535" i="36"/>
  <c r="R337" i="36"/>
  <c r="R109" i="36"/>
  <c r="S362" i="36"/>
  <c r="T360" i="36"/>
  <c r="S218" i="36"/>
  <c r="T217" i="36"/>
  <c r="V242" i="36"/>
  <c r="V238" i="36" s="1"/>
  <c r="W191" i="36"/>
  <c r="U295" i="36"/>
  <c r="S113" i="36"/>
  <c r="T38" i="36"/>
  <c r="T40" i="36" s="1"/>
  <c r="T239" i="36"/>
  <c r="V292" i="36"/>
  <c r="V432" i="36" s="1"/>
  <c r="V428" i="36" s="1"/>
  <c r="U293" i="36"/>
  <c r="T493" i="36"/>
  <c r="T104" i="36"/>
  <c r="T37" i="36"/>
  <c r="U493" i="36"/>
  <c r="R533" i="36"/>
  <c r="R461" i="36"/>
  <c r="R127" i="36" s="1"/>
  <c r="U526" i="36"/>
  <c r="U527" i="36" s="1"/>
  <c r="V349" i="36"/>
  <c r="U350" i="36"/>
  <c r="Q363" i="36"/>
  <c r="S333" i="36"/>
  <c r="T282" i="36"/>
  <c r="S284" i="36"/>
  <c r="S285" i="36" s="1"/>
  <c r="S335" i="36" s="1"/>
  <c r="T458" i="36"/>
  <c r="S460" i="36"/>
  <c r="S489" i="36"/>
  <c r="R100" i="36"/>
  <c r="R106" i="36" s="1"/>
  <c r="U492" i="36"/>
  <c r="U91" i="36"/>
  <c r="V341" i="36"/>
  <c r="U123" i="36"/>
  <c r="U342" i="36"/>
  <c r="U529" i="36"/>
  <c r="O497" i="36"/>
  <c r="V345" i="36"/>
  <c r="V404" i="36"/>
  <c r="U406" i="36"/>
  <c r="U103" i="36" s="1"/>
  <c r="R88" i="36"/>
  <c r="R93" i="36" s="1"/>
  <c r="P226" i="36"/>
  <c r="P122" i="36"/>
  <c r="P128" i="36" s="1"/>
  <c r="P56" i="36"/>
  <c r="V370" i="36"/>
  <c r="V59" i="36" s="1"/>
  <c r="U372" i="36"/>
  <c r="U101" i="36" s="1"/>
  <c r="V300" i="36"/>
  <c r="V302" i="36" s="1"/>
  <c r="V194" i="36"/>
  <c r="U90" i="36"/>
  <c r="V155" i="36"/>
  <c r="U142" i="36"/>
  <c r="U47" i="36" s="1"/>
  <c r="U34" i="36"/>
  <c r="W14" i="36"/>
  <c r="W192" i="36" s="1"/>
  <c r="X13" i="36"/>
  <c r="R528" i="36"/>
  <c r="R63" i="36"/>
  <c r="T522" i="36"/>
  <c r="T346" i="36"/>
  <c r="T36" i="36" s="1"/>
  <c r="Q337" i="36"/>
  <c r="V140" i="36"/>
  <c r="O519" i="40" l="1"/>
  <c r="X196" i="40"/>
  <c r="X196" i="39"/>
  <c r="O108" i="41"/>
  <c r="O110" i="41" s="1"/>
  <c r="O111" i="41" s="1"/>
  <c r="T222" i="41"/>
  <c r="R226" i="41"/>
  <c r="S223" i="41"/>
  <c r="O233" i="41"/>
  <c r="O35" i="41" s="1"/>
  <c r="O46" i="41" s="1"/>
  <c r="S535" i="41"/>
  <c r="V296" i="41"/>
  <c r="R212" i="41"/>
  <c r="X194" i="41"/>
  <c r="X94" i="41" s="1"/>
  <c r="W295" i="41"/>
  <c r="O537" i="41"/>
  <c r="W94" i="41"/>
  <c r="O519" i="41"/>
  <c r="U210" i="41"/>
  <c r="S211" i="41"/>
  <c r="X140" i="41"/>
  <c r="X142" i="41" s="1"/>
  <c r="X47" i="41" s="1"/>
  <c r="S209" i="41"/>
  <c r="T335" i="41"/>
  <c r="T337" i="41" s="1"/>
  <c r="W79" i="41"/>
  <c r="T533" i="41"/>
  <c r="T461" i="41"/>
  <c r="T127" i="41" s="1"/>
  <c r="V360" i="41"/>
  <c r="U362" i="41"/>
  <c r="V104" i="41"/>
  <c r="V37" i="41"/>
  <c r="V282" i="41"/>
  <c r="U284" i="41"/>
  <c r="U285" i="41" s="1"/>
  <c r="U333" i="41"/>
  <c r="X370" i="41"/>
  <c r="X372" i="41" s="1"/>
  <c r="W372" i="41"/>
  <c r="W101" i="41" s="1"/>
  <c r="S494" i="41"/>
  <c r="T208" i="41"/>
  <c r="V522" i="41"/>
  <c r="V346" i="41"/>
  <c r="V36" i="41" s="1"/>
  <c r="W526" i="41"/>
  <c r="W527" i="41" s="1"/>
  <c r="W350" i="41"/>
  <c r="X349" i="41"/>
  <c r="U40" i="41"/>
  <c r="U109" i="41" s="1"/>
  <c r="V38" i="41"/>
  <c r="U113" i="41"/>
  <c r="T528" i="41"/>
  <c r="T63" i="41"/>
  <c r="V458" i="41"/>
  <c r="U489" i="41"/>
  <c r="U88" i="41" s="1"/>
  <c r="U93" i="41" s="1"/>
  <c r="U460" i="41"/>
  <c r="S225" i="41"/>
  <c r="P495" i="41"/>
  <c r="O78" i="41"/>
  <c r="O64" i="41"/>
  <c r="O65" i="41" s="1"/>
  <c r="O67" i="41" s="1"/>
  <c r="O85" i="41"/>
  <c r="W529" i="41"/>
  <c r="X341" i="41"/>
  <c r="W123" i="41"/>
  <c r="W342" i="41"/>
  <c r="W492" i="41"/>
  <c r="W91" i="41"/>
  <c r="T114" i="41"/>
  <c r="T121" i="41" s="1"/>
  <c r="T100" i="41"/>
  <c r="T106" i="41" s="1"/>
  <c r="X292" i="41"/>
  <c r="W293" i="41"/>
  <c r="W437" i="41"/>
  <c r="W500" i="41" s="1"/>
  <c r="W503" i="41" s="1"/>
  <c r="W516" i="41" s="1"/>
  <c r="W90" i="41"/>
  <c r="X155" i="41"/>
  <c r="X90" i="41" s="1"/>
  <c r="U240" i="41"/>
  <c r="S363" i="41"/>
  <c r="X303" i="41"/>
  <c r="X336" i="41" s="1"/>
  <c r="W432" i="41"/>
  <c r="W428" i="41" s="1"/>
  <c r="W429" i="41" s="1"/>
  <c r="U434" i="41"/>
  <c r="U218" i="41"/>
  <c r="V217" i="41"/>
  <c r="U224" i="41"/>
  <c r="W34" i="41"/>
  <c r="X404" i="41"/>
  <c r="X406" i="41" s="1"/>
  <c r="W406" i="41"/>
  <c r="W103" i="41" s="1"/>
  <c r="R122" i="41"/>
  <c r="R128" i="41" s="1"/>
  <c r="R56" i="41"/>
  <c r="W238" i="41"/>
  <c r="V239" i="41"/>
  <c r="U296" i="40"/>
  <c r="O85" i="40"/>
  <c r="O64" i="40"/>
  <c r="O65" i="40" s="1"/>
  <c r="O67" i="40" s="1"/>
  <c r="O78" i="40"/>
  <c r="O505" i="40" s="1"/>
  <c r="U458" i="39"/>
  <c r="U460" i="39" s="1"/>
  <c r="O70" i="39"/>
  <c r="O57" i="39" s="1"/>
  <c r="O58" i="39" s="1"/>
  <c r="S494" i="39"/>
  <c r="U79" i="39"/>
  <c r="V80" i="39"/>
  <c r="O41" i="39"/>
  <c r="O45" i="39" s="1"/>
  <c r="O46" i="39"/>
  <c r="W344" i="39"/>
  <c r="X344" i="39" s="1"/>
  <c r="V34" i="38"/>
  <c r="S335" i="40"/>
  <c r="S337" i="40" s="1"/>
  <c r="U296" i="38"/>
  <c r="V437" i="38"/>
  <c r="V500" i="38" s="1"/>
  <c r="V503" i="38" s="1"/>
  <c r="V516" i="38" s="1"/>
  <c r="P95" i="38"/>
  <c r="V277" i="39"/>
  <c r="W275" i="39"/>
  <c r="W275" i="40"/>
  <c r="X136" i="38"/>
  <c r="V277" i="40"/>
  <c r="X301" i="39"/>
  <c r="U217" i="40"/>
  <c r="U218" i="40" s="1"/>
  <c r="T218" i="40"/>
  <c r="T114" i="40" s="1"/>
  <c r="T121" i="40" s="1"/>
  <c r="V432" i="38"/>
  <c r="V428" i="38" s="1"/>
  <c r="V429" i="38" s="1"/>
  <c r="W344" i="40"/>
  <c r="X344" i="40" s="1"/>
  <c r="R223" i="40"/>
  <c r="V332" i="40"/>
  <c r="Q56" i="38"/>
  <c r="X137" i="38"/>
  <c r="T210" i="40"/>
  <c r="X137" i="39"/>
  <c r="V295" i="39"/>
  <c r="X283" i="39"/>
  <c r="V59" i="40"/>
  <c r="X137" i="40"/>
  <c r="X136" i="40"/>
  <c r="X301" i="40"/>
  <c r="V59" i="39"/>
  <c r="X141" i="40"/>
  <c r="W140" i="40"/>
  <c r="W142" i="40" s="1"/>
  <c r="W47" i="40" s="1"/>
  <c r="W140" i="39"/>
  <c r="W142" i="39" s="1"/>
  <c r="W47" i="39" s="1"/>
  <c r="S335" i="38"/>
  <c r="S337" i="38" s="1"/>
  <c r="R211" i="38"/>
  <c r="X283" i="40"/>
  <c r="R535" i="40"/>
  <c r="R363" i="40"/>
  <c r="R56" i="40" s="1"/>
  <c r="R363" i="38"/>
  <c r="R122" i="38" s="1"/>
  <c r="R128" i="38" s="1"/>
  <c r="W345" i="40"/>
  <c r="X345" i="40" s="1"/>
  <c r="W345" i="39"/>
  <c r="X345" i="39" s="1"/>
  <c r="V428" i="39"/>
  <c r="V429" i="39" s="1"/>
  <c r="W370" i="38"/>
  <c r="W372" i="38" s="1"/>
  <c r="O519" i="38"/>
  <c r="W242" i="39"/>
  <c r="X242" i="39" s="1"/>
  <c r="U296" i="39"/>
  <c r="T489" i="39"/>
  <c r="T88" i="39" s="1"/>
  <c r="T93" i="39" s="1"/>
  <c r="X141" i="38"/>
  <c r="V94" i="40"/>
  <c r="V195" i="40"/>
  <c r="V437" i="40"/>
  <c r="V500" i="40" s="1"/>
  <c r="V503" i="40" s="1"/>
  <c r="V516" i="40" s="1"/>
  <c r="V293" i="40"/>
  <c r="W292" i="40"/>
  <c r="R223" i="38"/>
  <c r="Q226" i="38"/>
  <c r="U346" i="39"/>
  <c r="U36" i="39" s="1"/>
  <c r="U522" i="39"/>
  <c r="T533" i="39"/>
  <c r="T461" i="39"/>
  <c r="T127" i="39" s="1"/>
  <c r="U360" i="40"/>
  <c r="T362" i="40"/>
  <c r="T224" i="39"/>
  <c r="U217" i="39"/>
  <c r="T434" i="39"/>
  <c r="T218" i="39"/>
  <c r="T114" i="39" s="1"/>
  <c r="T121" i="39" s="1"/>
  <c r="Q226" i="40"/>
  <c r="R225" i="40"/>
  <c r="V437" i="39"/>
  <c r="V500" i="39" s="1"/>
  <c r="V503" i="39" s="1"/>
  <c r="V516" i="39" s="1"/>
  <c r="U104" i="40"/>
  <c r="U37" i="40"/>
  <c r="S494" i="38"/>
  <c r="T208" i="38"/>
  <c r="R535" i="38"/>
  <c r="X141" i="39"/>
  <c r="V300" i="38"/>
  <c r="V302" i="38" s="1"/>
  <c r="V303" i="38" s="1"/>
  <c r="V336" i="38" s="1"/>
  <c r="W192" i="38"/>
  <c r="W194" i="38" s="1"/>
  <c r="S528" i="38"/>
  <c r="S63" i="38"/>
  <c r="U239" i="40"/>
  <c r="U240" i="40" s="1"/>
  <c r="V432" i="40"/>
  <c r="V428" i="40" s="1"/>
  <c r="W370" i="40"/>
  <c r="V372" i="40"/>
  <c r="V101" i="40" s="1"/>
  <c r="R225" i="38"/>
  <c r="V295" i="40"/>
  <c r="S528" i="40"/>
  <c r="S63" i="40"/>
  <c r="U282" i="39"/>
  <c r="T284" i="39"/>
  <c r="T285" i="39" s="1"/>
  <c r="T335" i="39" s="1"/>
  <c r="T337" i="39" s="1"/>
  <c r="T333" i="39"/>
  <c r="T222" i="39" s="1"/>
  <c r="O108" i="40"/>
  <c r="O129" i="40"/>
  <c r="V526" i="40"/>
  <c r="V527" i="40" s="1"/>
  <c r="V350" i="40"/>
  <c r="W349" i="40"/>
  <c r="U522" i="40"/>
  <c r="U346" i="40"/>
  <c r="U36" i="40" s="1"/>
  <c r="V300" i="40"/>
  <c r="V302" i="40" s="1"/>
  <c r="V303" i="40" s="1"/>
  <c r="V336" i="40" s="1"/>
  <c r="W192" i="40"/>
  <c r="W345" i="38"/>
  <c r="X345" i="38" s="1"/>
  <c r="V238" i="40"/>
  <c r="W242" i="40"/>
  <c r="X242" i="40" s="1"/>
  <c r="X306" i="39"/>
  <c r="X307" i="39" s="1"/>
  <c r="W307" i="39"/>
  <c r="V300" i="39"/>
  <c r="V302" i="39" s="1"/>
  <c r="V303" i="39" s="1"/>
  <c r="V336" i="39" s="1"/>
  <c r="W192" i="39"/>
  <c r="W194" i="39" s="1"/>
  <c r="T113" i="39"/>
  <c r="U38" i="39"/>
  <c r="T40" i="39"/>
  <c r="T109" i="39" s="1"/>
  <c r="S528" i="39"/>
  <c r="S535" i="39" s="1"/>
  <c r="S363" i="39"/>
  <c r="S63" i="39"/>
  <c r="X138" i="39"/>
  <c r="S223" i="39"/>
  <c r="X273" i="39"/>
  <c r="W274" i="39"/>
  <c r="X283" i="38"/>
  <c r="W332" i="38"/>
  <c r="U37" i="39"/>
  <c r="U104" i="39"/>
  <c r="V59" i="38"/>
  <c r="W341" i="39"/>
  <c r="V342" i="39"/>
  <c r="V123" i="39"/>
  <c r="V529" i="39"/>
  <c r="V91" i="39"/>
  <c r="V492" i="39"/>
  <c r="O81" i="39"/>
  <c r="O82" i="39" s="1"/>
  <c r="O505" i="39"/>
  <c r="U195" i="40"/>
  <c r="U94" i="40"/>
  <c r="S100" i="38"/>
  <c r="S106" i="38" s="1"/>
  <c r="U239" i="38"/>
  <c r="V238" i="38"/>
  <c r="U360" i="38"/>
  <c r="T362" i="38"/>
  <c r="V332" i="39"/>
  <c r="X138" i="40"/>
  <c r="T224" i="40"/>
  <c r="S533" i="38"/>
  <c r="S461" i="38"/>
  <c r="S127" i="38" s="1"/>
  <c r="R209" i="38"/>
  <c r="S494" i="40"/>
  <c r="T208" i="40"/>
  <c r="T362" i="39"/>
  <c r="U360" i="39"/>
  <c r="X288" i="39"/>
  <c r="W289" i="39"/>
  <c r="W315" i="39"/>
  <c r="X314" i="39"/>
  <c r="S209" i="39"/>
  <c r="V526" i="39"/>
  <c r="V527" i="39" s="1"/>
  <c r="V350" i="39"/>
  <c r="W349" i="39"/>
  <c r="V293" i="38"/>
  <c r="W292" i="38"/>
  <c r="W432" i="38" s="1"/>
  <c r="P229" i="39"/>
  <c r="P497" i="39"/>
  <c r="V194" i="39"/>
  <c r="V90" i="38"/>
  <c r="W155" i="38"/>
  <c r="T113" i="38"/>
  <c r="U38" i="38"/>
  <c r="T40" i="38"/>
  <c r="T109" i="38" s="1"/>
  <c r="T240" i="38"/>
  <c r="T210" i="38"/>
  <c r="X318" i="39"/>
  <c r="W319" i="39"/>
  <c r="V295" i="38"/>
  <c r="T489" i="38"/>
  <c r="U458" i="38"/>
  <c r="T460" i="38"/>
  <c r="U239" i="39"/>
  <c r="U240" i="39" s="1"/>
  <c r="V238" i="39"/>
  <c r="U493" i="39"/>
  <c r="T489" i="40"/>
  <c r="U458" i="40"/>
  <c r="T460" i="40"/>
  <c r="V195" i="38"/>
  <c r="V94" i="38"/>
  <c r="S114" i="39"/>
  <c r="S121" i="39" s="1"/>
  <c r="S100" i="39"/>
  <c r="S106" i="39" s="1"/>
  <c r="Q212" i="38"/>
  <c r="Q212" i="40"/>
  <c r="R211" i="40"/>
  <c r="R211" i="39"/>
  <c r="R225" i="39"/>
  <c r="Q122" i="40"/>
  <c r="Q128" i="40" s="1"/>
  <c r="Q56" i="40"/>
  <c r="W344" i="38"/>
  <c r="X344" i="38" s="1"/>
  <c r="V342" i="40"/>
  <c r="V91" i="40"/>
  <c r="V492" i="40"/>
  <c r="V529" i="40"/>
  <c r="W341" i="40"/>
  <c r="V123" i="40"/>
  <c r="T208" i="39"/>
  <c r="W370" i="39"/>
  <c r="V372" i="39"/>
  <c r="V101" i="39" s="1"/>
  <c r="X318" i="40"/>
  <c r="W319" i="40"/>
  <c r="W292" i="39"/>
  <c r="V293" i="39"/>
  <c r="S88" i="38"/>
  <c r="S93" i="38" s="1"/>
  <c r="T240" i="39"/>
  <c r="T210" i="39"/>
  <c r="T284" i="40"/>
  <c r="T285" i="40" s="1"/>
  <c r="U282" i="40"/>
  <c r="T333" i="40"/>
  <c r="T222" i="40" s="1"/>
  <c r="R122" i="39"/>
  <c r="R128" i="39" s="1"/>
  <c r="R56" i="39"/>
  <c r="U282" i="38"/>
  <c r="T284" i="38"/>
  <c r="T285" i="38" s="1"/>
  <c r="T333" i="38"/>
  <c r="T222" i="38" s="1"/>
  <c r="X138" i="38"/>
  <c r="P95" i="40"/>
  <c r="T434" i="38"/>
  <c r="T218" i="38"/>
  <c r="T224" i="38"/>
  <c r="U217" i="38"/>
  <c r="W155" i="40"/>
  <c r="V90" i="40"/>
  <c r="W311" i="39"/>
  <c r="X310" i="39"/>
  <c r="W404" i="39"/>
  <c r="V406" i="39"/>
  <c r="V103" i="39" s="1"/>
  <c r="W276" i="40"/>
  <c r="U522" i="38"/>
  <c r="U346" i="38"/>
  <c r="U36" i="38" s="1"/>
  <c r="W140" i="38"/>
  <c r="V526" i="38"/>
  <c r="V527" i="38" s="1"/>
  <c r="V350" i="38"/>
  <c r="W349" i="38"/>
  <c r="O232" i="38"/>
  <c r="O230" i="38"/>
  <c r="O231" i="38"/>
  <c r="S88" i="40"/>
  <c r="S93" i="40" s="1"/>
  <c r="X273" i="40"/>
  <c r="W274" i="40"/>
  <c r="V142" i="40"/>
  <c r="V47" i="40" s="1"/>
  <c r="V34" i="40"/>
  <c r="W197" i="40"/>
  <c r="W200" i="40" s="1"/>
  <c r="V80" i="38"/>
  <c r="W404" i="38"/>
  <c r="V406" i="38"/>
  <c r="V103" i="38" s="1"/>
  <c r="V101" i="38"/>
  <c r="R209" i="40"/>
  <c r="W276" i="39"/>
  <c r="W197" i="39"/>
  <c r="W200" i="39" s="1"/>
  <c r="W341" i="38"/>
  <c r="V123" i="38"/>
  <c r="V492" i="38"/>
  <c r="V529" i="38"/>
  <c r="V342" i="38"/>
  <c r="V91" i="38"/>
  <c r="W307" i="40"/>
  <c r="X306" i="40"/>
  <c r="X307" i="40" s="1"/>
  <c r="X323" i="40"/>
  <c r="X324" i="40" s="1"/>
  <c r="X325" i="40" s="1"/>
  <c r="W324" i="40"/>
  <c r="W325" i="40" s="1"/>
  <c r="U37" i="38"/>
  <c r="U104" i="38"/>
  <c r="W315" i="40"/>
  <c r="X314" i="40"/>
  <c r="X136" i="39"/>
  <c r="O98" i="38"/>
  <c r="O99" i="38" s="1"/>
  <c r="V142" i="39"/>
  <c r="V47" i="39" s="1"/>
  <c r="V34" i="39"/>
  <c r="T40" i="40"/>
  <c r="T109" i="40" s="1"/>
  <c r="U38" i="40"/>
  <c r="T113" i="40"/>
  <c r="P229" i="40"/>
  <c r="P497" i="40"/>
  <c r="S461" i="40"/>
  <c r="S127" i="40" s="1"/>
  <c r="S533" i="40"/>
  <c r="W289" i="40"/>
  <c r="X288" i="40"/>
  <c r="O85" i="38"/>
  <c r="O78" i="38"/>
  <c r="O64" i="38"/>
  <c r="O65" i="38" s="1"/>
  <c r="O67" i="38" s="1"/>
  <c r="P495" i="38"/>
  <c r="O232" i="40"/>
  <c r="O231" i="40"/>
  <c r="O230" i="40"/>
  <c r="X323" i="39"/>
  <c r="X324" i="39" s="1"/>
  <c r="X325" i="39" s="1"/>
  <c r="W324" i="39"/>
  <c r="W325" i="39" s="1"/>
  <c r="W311" i="40"/>
  <c r="X310" i="40"/>
  <c r="U79" i="38"/>
  <c r="V80" i="40"/>
  <c r="W404" i="40"/>
  <c r="V406" i="40"/>
  <c r="V103" i="40" s="1"/>
  <c r="V90" i="39"/>
  <c r="W155" i="39"/>
  <c r="W242" i="38"/>
  <c r="X242" i="38" s="1"/>
  <c r="O48" i="36"/>
  <c r="X323" i="36"/>
  <c r="X324" i="36" s="1"/>
  <c r="X310" i="36"/>
  <c r="X306" i="36"/>
  <c r="X307" i="36" s="1"/>
  <c r="V303" i="36"/>
  <c r="X273" i="36"/>
  <c r="X274" i="36" s="1"/>
  <c r="X283" i="36"/>
  <c r="X314" i="36"/>
  <c r="X318" i="36"/>
  <c r="X197" i="36"/>
  <c r="X200" i="36" s="1"/>
  <c r="X288" i="36"/>
  <c r="X301" i="36"/>
  <c r="U336" i="36"/>
  <c r="W276" i="36"/>
  <c r="V325" i="36"/>
  <c r="V80" i="36"/>
  <c r="U79" i="36"/>
  <c r="S209" i="36"/>
  <c r="Q211" i="36"/>
  <c r="T240" i="36"/>
  <c r="T210" i="36"/>
  <c r="X137" i="36"/>
  <c r="O232" i="36"/>
  <c r="O230" i="36"/>
  <c r="O231" i="36"/>
  <c r="X141" i="36"/>
  <c r="S222" i="36"/>
  <c r="Q225" i="36"/>
  <c r="Q226" i="36" s="1"/>
  <c r="T434" i="36"/>
  <c r="T224" i="36"/>
  <c r="X138" i="36"/>
  <c r="S223" i="36"/>
  <c r="X136" i="36"/>
  <c r="S208" i="36"/>
  <c r="V437" i="36"/>
  <c r="V500" i="36" s="1"/>
  <c r="V503" i="36" s="1"/>
  <c r="V516" i="36" s="1"/>
  <c r="V429" i="36"/>
  <c r="W275" i="36"/>
  <c r="W315" i="36"/>
  <c r="W311" i="36"/>
  <c r="V332" i="36"/>
  <c r="W289" i="36"/>
  <c r="V277" i="36"/>
  <c r="W274" i="36"/>
  <c r="W324" i="36"/>
  <c r="W319" i="36"/>
  <c r="W307" i="36"/>
  <c r="X191" i="36"/>
  <c r="X92" i="36"/>
  <c r="X14" i="36"/>
  <c r="X192" i="36" s="1"/>
  <c r="R494" i="36"/>
  <c r="S337" i="36"/>
  <c r="R363" i="36"/>
  <c r="R122" i="36" s="1"/>
  <c r="R128" i="36" s="1"/>
  <c r="U296" i="36"/>
  <c r="W300" i="36"/>
  <c r="W302" i="36" s="1"/>
  <c r="W370" i="36"/>
  <c r="W59" i="36" s="1"/>
  <c r="V372" i="36"/>
  <c r="V101" i="36" s="1"/>
  <c r="U522" i="36"/>
  <c r="U346" i="36"/>
  <c r="U36" i="36" s="1"/>
  <c r="S88" i="36"/>
  <c r="S93" i="36" s="1"/>
  <c r="S533" i="36"/>
  <c r="S461" i="36"/>
  <c r="S127" i="36" s="1"/>
  <c r="W344" i="36"/>
  <c r="U360" i="36"/>
  <c r="T362" i="36"/>
  <c r="W404" i="36"/>
  <c r="V406" i="36"/>
  <c r="V103" i="36" s="1"/>
  <c r="V123" i="36"/>
  <c r="V529" i="36"/>
  <c r="V492" i="36"/>
  <c r="V91" i="36"/>
  <c r="W341" i="36"/>
  <c r="V342" i="36"/>
  <c r="T489" i="36"/>
  <c r="U458" i="36"/>
  <c r="T460" i="36"/>
  <c r="Q122" i="36"/>
  <c r="Q128" i="36" s="1"/>
  <c r="Q56" i="36"/>
  <c r="R535" i="36"/>
  <c r="P95" i="36"/>
  <c r="V295" i="36"/>
  <c r="S528" i="36"/>
  <c r="S63" i="36"/>
  <c r="W345" i="36"/>
  <c r="U37" i="36"/>
  <c r="U104" i="36"/>
  <c r="U239" i="36"/>
  <c r="V350" i="36"/>
  <c r="V526" i="36"/>
  <c r="V527" i="36" s="1"/>
  <c r="W349" i="36"/>
  <c r="V142" i="36"/>
  <c r="V47" i="36" s="1"/>
  <c r="V34" i="36"/>
  <c r="V90" i="36"/>
  <c r="W155" i="36"/>
  <c r="U282" i="36"/>
  <c r="T284" i="36"/>
  <c r="T285" i="36" s="1"/>
  <c r="T335" i="36" s="1"/>
  <c r="T333" i="36"/>
  <c r="T113" i="36"/>
  <c r="U38" i="36"/>
  <c r="U40" i="36" s="1"/>
  <c r="T218" i="36"/>
  <c r="U217" i="36"/>
  <c r="S109" i="36"/>
  <c r="V94" i="36"/>
  <c r="V195" i="36"/>
  <c r="O507" i="36"/>
  <c r="O504" i="36"/>
  <c r="O515" i="36"/>
  <c r="W194" i="36"/>
  <c r="S114" i="36"/>
  <c r="S121" i="36" s="1"/>
  <c r="S100" i="36"/>
  <c r="S106" i="36" s="1"/>
  <c r="O98" i="36"/>
  <c r="O99" i="36" s="1"/>
  <c r="V293" i="36"/>
  <c r="W292" i="36"/>
  <c r="W432" i="36" s="1"/>
  <c r="W428" i="36" s="1"/>
  <c r="W242" i="36"/>
  <c r="W238" i="36" s="1"/>
  <c r="W140" i="36"/>
  <c r="O70" i="41" l="1"/>
  <c r="R95" i="41"/>
  <c r="O41" i="41"/>
  <c r="O45" i="41" s="1"/>
  <c r="O39" i="41"/>
  <c r="O130" i="41" s="1"/>
  <c r="W296" i="41"/>
  <c r="X195" i="41"/>
  <c r="X493" i="41" s="1"/>
  <c r="T535" i="41"/>
  <c r="S212" i="41"/>
  <c r="X293" i="41"/>
  <c r="X103" i="41"/>
  <c r="O7" i="41"/>
  <c r="O8" i="41" s="1"/>
  <c r="T223" i="41"/>
  <c r="T211" i="41"/>
  <c r="T209" i="41"/>
  <c r="X59" i="41"/>
  <c r="X437" i="41"/>
  <c r="X500" i="41" s="1"/>
  <c r="X503" i="41" s="1"/>
  <c r="X516" i="41" s="1"/>
  <c r="W458" i="41"/>
  <c r="V489" i="41"/>
  <c r="V88" i="41" s="1"/>
  <c r="V93" i="41" s="1"/>
  <c r="V460" i="41"/>
  <c r="W38" i="41"/>
  <c r="V40" i="41"/>
  <c r="V109" i="41" s="1"/>
  <c r="V113" i="41"/>
  <c r="U335" i="41"/>
  <c r="U337" i="41" s="1"/>
  <c r="X432" i="41"/>
  <c r="X428" i="41" s="1"/>
  <c r="X429" i="41" s="1"/>
  <c r="S122" i="41"/>
  <c r="S128" i="41" s="1"/>
  <c r="S56" i="41"/>
  <c r="W282" i="41"/>
  <c r="V284" i="41"/>
  <c r="V285" i="41" s="1"/>
  <c r="V333" i="41"/>
  <c r="O505" i="41"/>
  <c r="O81" i="41"/>
  <c r="O82" i="41" s="1"/>
  <c r="X526" i="41"/>
  <c r="X527" i="41" s="1"/>
  <c r="X350" i="41"/>
  <c r="U208" i="41"/>
  <c r="T494" i="41"/>
  <c r="V240" i="41"/>
  <c r="V210" i="41"/>
  <c r="V224" i="41"/>
  <c r="W217" i="41"/>
  <c r="V434" i="41"/>
  <c r="V218" i="41"/>
  <c r="P229" i="41"/>
  <c r="P497" i="41"/>
  <c r="T363" i="41"/>
  <c r="W37" i="41"/>
  <c r="W104" i="41"/>
  <c r="U528" i="41"/>
  <c r="U63" i="41"/>
  <c r="X34" i="41"/>
  <c r="X238" i="41"/>
  <c r="W239" i="41"/>
  <c r="U114" i="41"/>
  <c r="U121" i="41" s="1"/>
  <c r="U100" i="41"/>
  <c r="U106" i="41" s="1"/>
  <c r="W346" i="41"/>
  <c r="W36" i="41" s="1"/>
  <c r="W522" i="41"/>
  <c r="T225" i="41"/>
  <c r="W360" i="41"/>
  <c r="V362" i="41"/>
  <c r="S226" i="41"/>
  <c r="U533" i="41"/>
  <c r="U461" i="41"/>
  <c r="U127" i="41" s="1"/>
  <c r="O57" i="41"/>
  <c r="O58" i="41" s="1"/>
  <c r="P96" i="41"/>
  <c r="X101" i="41"/>
  <c r="X295" i="41"/>
  <c r="X123" i="41"/>
  <c r="X529" i="41"/>
  <c r="X342" i="41"/>
  <c r="X91" i="41"/>
  <c r="X492" i="41"/>
  <c r="U222" i="41"/>
  <c r="X80" i="41"/>
  <c r="X79" i="41" s="1"/>
  <c r="O81" i="40"/>
  <c r="O82" i="40" s="1"/>
  <c r="P96" i="39"/>
  <c r="P98" i="39" s="1"/>
  <c r="P99" i="39" s="1"/>
  <c r="V79" i="39"/>
  <c r="W428" i="38"/>
  <c r="W429" i="38" s="1"/>
  <c r="T335" i="40"/>
  <c r="T337" i="40" s="1"/>
  <c r="W59" i="38"/>
  <c r="V217" i="40"/>
  <c r="V434" i="40" s="1"/>
  <c r="R122" i="40"/>
  <c r="R128" i="40" s="1"/>
  <c r="W59" i="39"/>
  <c r="S209" i="40"/>
  <c r="T100" i="40"/>
  <c r="T106" i="40" s="1"/>
  <c r="W295" i="40"/>
  <c r="X370" i="38"/>
  <c r="X372" i="38" s="1"/>
  <c r="X101" i="38" s="1"/>
  <c r="U434" i="40"/>
  <c r="R212" i="38"/>
  <c r="U210" i="40"/>
  <c r="X140" i="40"/>
  <c r="X142" i="40" s="1"/>
  <c r="X47" i="40" s="1"/>
  <c r="X140" i="38"/>
  <c r="X142" i="38" s="1"/>
  <c r="X47" i="38" s="1"/>
  <c r="W437" i="40"/>
  <c r="W500" i="40" s="1"/>
  <c r="W503" i="40" s="1"/>
  <c r="W516" i="40" s="1"/>
  <c r="U489" i="39"/>
  <c r="U88" i="39" s="1"/>
  <c r="U93" i="39" s="1"/>
  <c r="W101" i="38"/>
  <c r="Q95" i="40"/>
  <c r="X289" i="40"/>
  <c r="U208" i="40"/>
  <c r="V296" i="39"/>
  <c r="T335" i="38"/>
  <c r="T337" i="38" s="1"/>
  <c r="S225" i="38"/>
  <c r="W59" i="40"/>
  <c r="W34" i="39"/>
  <c r="U224" i="40"/>
  <c r="W437" i="39"/>
  <c r="W500" i="39" s="1"/>
  <c r="W503" i="39" s="1"/>
  <c r="W516" i="39" s="1"/>
  <c r="S211" i="38"/>
  <c r="W277" i="40"/>
  <c r="R56" i="38"/>
  <c r="X311" i="39"/>
  <c r="X319" i="40"/>
  <c r="W437" i="38"/>
  <c r="W500" i="38" s="1"/>
  <c r="W503" i="38" s="1"/>
  <c r="W516" i="38" s="1"/>
  <c r="X140" i="39"/>
  <c r="X142" i="39" s="1"/>
  <c r="X47" i="39" s="1"/>
  <c r="W332" i="40"/>
  <c r="X315" i="40"/>
  <c r="X276" i="39"/>
  <c r="V296" i="38"/>
  <c r="W80" i="40"/>
  <c r="X319" i="39"/>
  <c r="V79" i="38"/>
  <c r="T100" i="39"/>
  <c r="T106" i="39" s="1"/>
  <c r="V296" i="40"/>
  <c r="P229" i="38"/>
  <c r="P497" i="38"/>
  <c r="T494" i="39"/>
  <c r="U208" i="39"/>
  <c r="V493" i="38"/>
  <c r="W238" i="38"/>
  <c r="V239" i="38"/>
  <c r="V240" i="38" s="1"/>
  <c r="X404" i="40"/>
  <c r="X406" i="40" s="1"/>
  <c r="W406" i="40"/>
  <c r="W103" i="40" s="1"/>
  <c r="P507" i="40"/>
  <c r="P504" i="40"/>
  <c r="P515" i="40"/>
  <c r="W350" i="38"/>
  <c r="X349" i="38"/>
  <c r="W526" i="38"/>
  <c r="W527" i="38" s="1"/>
  <c r="X404" i="39"/>
  <c r="X406" i="39" s="1"/>
  <c r="W406" i="39"/>
  <c r="W103" i="39" s="1"/>
  <c r="U489" i="38"/>
  <c r="V458" i="38"/>
  <c r="U460" i="38"/>
  <c r="W295" i="38"/>
  <c r="W90" i="38"/>
  <c r="X155" i="38"/>
  <c r="X90" i="38" s="1"/>
  <c r="X315" i="39"/>
  <c r="T528" i="39"/>
  <c r="T535" i="39" s="1"/>
  <c r="T363" i="39"/>
  <c r="T63" i="39"/>
  <c r="U240" i="38"/>
  <c r="U210" i="38"/>
  <c r="W300" i="39"/>
  <c r="W302" i="39" s="1"/>
  <c r="W303" i="39" s="1"/>
  <c r="W336" i="39" s="1"/>
  <c r="X192" i="39"/>
  <c r="V37" i="40"/>
  <c r="V104" i="40"/>
  <c r="S363" i="40"/>
  <c r="V522" i="38"/>
  <c r="V346" i="38"/>
  <c r="V36" i="38" s="1"/>
  <c r="W432" i="39"/>
  <c r="W428" i="39" s="1"/>
  <c r="X292" i="39"/>
  <c r="W293" i="39"/>
  <c r="T533" i="38"/>
  <c r="T461" i="38"/>
  <c r="T127" i="38" s="1"/>
  <c r="O505" i="38"/>
  <c r="O81" i="38"/>
  <c r="O82" i="38" s="1"/>
  <c r="P48" i="40"/>
  <c r="X404" i="38"/>
  <c r="X406" i="38" s="1"/>
  <c r="W406" i="38"/>
  <c r="W103" i="38" s="1"/>
  <c r="V37" i="38"/>
  <c r="V104" i="38"/>
  <c r="T88" i="38"/>
  <c r="T93" i="38" s="1"/>
  <c r="W293" i="38"/>
  <c r="X292" i="38"/>
  <c r="X432" i="38" s="1"/>
  <c r="U210" i="39"/>
  <c r="X332" i="38"/>
  <c r="V239" i="40"/>
  <c r="V240" i="40" s="1"/>
  <c r="W238" i="40"/>
  <c r="S535" i="40"/>
  <c r="U533" i="39"/>
  <c r="U461" i="39"/>
  <c r="U127" i="39" s="1"/>
  <c r="T528" i="40"/>
  <c r="T63" i="40"/>
  <c r="W432" i="40"/>
  <c r="W428" i="40" s="1"/>
  <c r="W429" i="40" s="1"/>
  <c r="X292" i="40"/>
  <c r="W293" i="40"/>
  <c r="V493" i="40"/>
  <c r="X332" i="40"/>
  <c r="X197" i="40"/>
  <c r="X200" i="40" s="1"/>
  <c r="V282" i="40"/>
  <c r="U284" i="40"/>
  <c r="U285" i="40" s="1"/>
  <c r="U333" i="40"/>
  <c r="U222" i="40" s="1"/>
  <c r="W350" i="40"/>
  <c r="X349" i="40"/>
  <c r="W526" i="40"/>
  <c r="W527" i="40" s="1"/>
  <c r="S223" i="38"/>
  <c r="R226" i="38"/>
  <c r="O129" i="38"/>
  <c r="O108" i="38"/>
  <c r="W80" i="38"/>
  <c r="U333" i="38"/>
  <c r="U222" i="38" s="1"/>
  <c r="V282" i="38"/>
  <c r="U284" i="38"/>
  <c r="U285" i="38" s="1"/>
  <c r="T494" i="40"/>
  <c r="V522" i="39"/>
  <c r="V346" i="39"/>
  <c r="V36" i="39" s="1"/>
  <c r="R226" i="40"/>
  <c r="S225" i="40"/>
  <c r="U362" i="40"/>
  <c r="V360" i="40"/>
  <c r="T209" i="39"/>
  <c r="V38" i="40"/>
  <c r="U113" i="40"/>
  <c r="U40" i="40"/>
  <c r="U109" i="40" s="1"/>
  <c r="W123" i="38"/>
  <c r="W342" i="38"/>
  <c r="W529" i="38"/>
  <c r="W492" i="38"/>
  <c r="W91" i="38"/>
  <c r="X341" i="38"/>
  <c r="W142" i="38"/>
  <c r="W47" i="38" s="1"/>
  <c r="W34" i="38"/>
  <c r="W529" i="40"/>
  <c r="W492" i="40"/>
  <c r="W91" i="40"/>
  <c r="X341" i="40"/>
  <c r="W342" i="40"/>
  <c r="W123" i="40"/>
  <c r="S225" i="39"/>
  <c r="R226" i="39"/>
  <c r="S223" i="40"/>
  <c r="W526" i="39"/>
  <c r="W527" i="39" s="1"/>
  <c r="W350" i="39"/>
  <c r="X349" i="39"/>
  <c r="T528" i="38"/>
  <c r="T63" i="38"/>
  <c r="U493" i="40"/>
  <c r="X341" i="39"/>
  <c r="W342" i="39"/>
  <c r="W123" i="39"/>
  <c r="W492" i="39"/>
  <c r="W529" i="39"/>
  <c r="W91" i="39"/>
  <c r="S122" i="39"/>
  <c r="S128" i="39" s="1"/>
  <c r="S56" i="39"/>
  <c r="W300" i="40"/>
  <c r="W302" i="40" s="1"/>
  <c r="W303" i="40" s="1"/>
  <c r="W336" i="40" s="1"/>
  <c r="X192" i="40"/>
  <c r="W194" i="40"/>
  <c r="O70" i="40"/>
  <c r="O110" i="40"/>
  <c r="O111" i="40" s="1"/>
  <c r="S363" i="38"/>
  <c r="V458" i="39"/>
  <c r="X332" i="39"/>
  <c r="X197" i="39"/>
  <c r="X200" i="39" s="1"/>
  <c r="W90" i="39"/>
  <c r="X155" i="39"/>
  <c r="X90" i="39" s="1"/>
  <c r="W195" i="39"/>
  <c r="W94" i="39"/>
  <c r="O233" i="40"/>
  <c r="O35" i="40" s="1"/>
  <c r="W90" i="40"/>
  <c r="X155" i="40"/>
  <c r="X90" i="40" s="1"/>
  <c r="S211" i="39"/>
  <c r="O60" i="39"/>
  <c r="O7" i="39" s="1"/>
  <c r="O8" i="39" s="1"/>
  <c r="O62" i="39"/>
  <c r="V37" i="39"/>
  <c r="V104" i="39"/>
  <c r="V360" i="38"/>
  <c r="U362" i="38"/>
  <c r="W295" i="39"/>
  <c r="W277" i="39"/>
  <c r="W34" i="40"/>
  <c r="S535" i="38"/>
  <c r="T494" i="38"/>
  <c r="U208" i="38"/>
  <c r="V79" i="40"/>
  <c r="T114" i="38"/>
  <c r="T121" i="38" s="1"/>
  <c r="T100" i="38"/>
  <c r="T106" i="38" s="1"/>
  <c r="V522" i="40"/>
  <c r="V346" i="40"/>
  <c r="V36" i="40" s="1"/>
  <c r="U362" i="39"/>
  <c r="V360" i="39"/>
  <c r="X311" i="40"/>
  <c r="X274" i="40"/>
  <c r="V217" i="38"/>
  <c r="U218" i="38"/>
  <c r="U224" i="38"/>
  <c r="U434" i="38"/>
  <c r="R212" i="40"/>
  <c r="S211" i="40"/>
  <c r="T533" i="40"/>
  <c r="T461" i="40"/>
  <c r="T127" i="40" s="1"/>
  <c r="V239" i="39"/>
  <c r="W238" i="39"/>
  <c r="U114" i="40"/>
  <c r="U121" i="40" s="1"/>
  <c r="U100" i="40"/>
  <c r="U106" i="40" s="1"/>
  <c r="V195" i="39"/>
  <c r="V94" i="39"/>
  <c r="X274" i="39"/>
  <c r="X370" i="40"/>
  <c r="X372" i="40" s="1"/>
  <c r="W372" i="40"/>
  <c r="W101" i="40" s="1"/>
  <c r="W300" i="38"/>
  <c r="W302" i="38" s="1"/>
  <c r="W303" i="38" s="1"/>
  <c r="W336" i="38" s="1"/>
  <c r="X192" i="38"/>
  <c r="W80" i="39"/>
  <c r="X275" i="40"/>
  <c r="T88" i="40"/>
  <c r="T93" i="40" s="1"/>
  <c r="P48" i="39"/>
  <c r="W195" i="38"/>
  <c r="W94" i="38"/>
  <c r="O233" i="38"/>
  <c r="O35" i="38" s="1"/>
  <c r="X276" i="40"/>
  <c r="X370" i="39"/>
  <c r="X372" i="39" s="1"/>
  <c r="W372" i="39"/>
  <c r="W101" i="39" s="1"/>
  <c r="U460" i="40"/>
  <c r="U489" i="40"/>
  <c r="V458" i="40"/>
  <c r="W332" i="39"/>
  <c r="U113" i="38"/>
  <c r="V38" i="38"/>
  <c r="U40" i="38"/>
  <c r="U109" i="38" s="1"/>
  <c r="P507" i="39"/>
  <c r="P515" i="39"/>
  <c r="P504" i="39"/>
  <c r="R212" i="39"/>
  <c r="X289" i="39"/>
  <c r="S209" i="38"/>
  <c r="T223" i="39"/>
  <c r="U113" i="39"/>
  <c r="V38" i="39"/>
  <c r="U40" i="39"/>
  <c r="U109" i="39" s="1"/>
  <c r="V282" i="39"/>
  <c r="U284" i="39"/>
  <c r="U285" i="39" s="1"/>
  <c r="U335" i="39" s="1"/>
  <c r="U337" i="39" s="1"/>
  <c r="U333" i="39"/>
  <c r="U222" i="39" s="1"/>
  <c r="V429" i="40"/>
  <c r="X275" i="39"/>
  <c r="V217" i="39"/>
  <c r="U224" i="39"/>
  <c r="U434" i="39"/>
  <c r="U218" i="39"/>
  <c r="Q95" i="38"/>
  <c r="O50" i="36"/>
  <c r="O49" i="36"/>
  <c r="O53" i="36"/>
  <c r="V336" i="36"/>
  <c r="W303" i="36"/>
  <c r="X325" i="36"/>
  <c r="W325" i="36"/>
  <c r="V79" i="36"/>
  <c r="T208" i="36"/>
  <c r="R211" i="36"/>
  <c r="R212" i="36" s="1"/>
  <c r="U240" i="36"/>
  <c r="U210" i="36"/>
  <c r="T223" i="36"/>
  <c r="U434" i="36"/>
  <c r="U224" i="36"/>
  <c r="T209" i="36"/>
  <c r="R225" i="36"/>
  <c r="T222" i="36"/>
  <c r="X242" i="36"/>
  <c r="X238" i="36" s="1"/>
  <c r="W437" i="36"/>
  <c r="W500" i="36" s="1"/>
  <c r="W503" i="36" s="1"/>
  <c r="W516" i="36" s="1"/>
  <c r="W429" i="36"/>
  <c r="X289" i="36"/>
  <c r="X275" i="36"/>
  <c r="W277" i="36"/>
  <c r="X311" i="36"/>
  <c r="X276" i="36"/>
  <c r="X319" i="36"/>
  <c r="W332" i="36"/>
  <c r="X332" i="36"/>
  <c r="X315" i="36"/>
  <c r="X344" i="36"/>
  <c r="X345" i="36"/>
  <c r="X300" i="36"/>
  <c r="S494" i="36"/>
  <c r="X194" i="36"/>
  <c r="T337" i="36"/>
  <c r="R56" i="36"/>
  <c r="S363" i="36"/>
  <c r="S122" i="36" s="1"/>
  <c r="S128" i="36" s="1"/>
  <c r="W295" i="36"/>
  <c r="Q212" i="36"/>
  <c r="Q95" i="36" s="1"/>
  <c r="X140" i="36"/>
  <c r="W142" i="36"/>
  <c r="W47" i="36" s="1"/>
  <c r="W34" i="36"/>
  <c r="V37" i="36"/>
  <c r="V104" i="36"/>
  <c r="U460" i="36"/>
  <c r="U489" i="36"/>
  <c r="V458" i="36"/>
  <c r="V360" i="36"/>
  <c r="U362" i="36"/>
  <c r="S535" i="36"/>
  <c r="V493" i="36"/>
  <c r="T88" i="36"/>
  <c r="T93" i="36" s="1"/>
  <c r="X404" i="36"/>
  <c r="W406" i="36"/>
  <c r="W103" i="36" s="1"/>
  <c r="W80" i="36"/>
  <c r="X370" i="36"/>
  <c r="X59" i="36" s="1"/>
  <c r="W372" i="36"/>
  <c r="W101" i="36" s="1"/>
  <c r="O521" i="36"/>
  <c r="O518" i="36"/>
  <c r="U218" i="36"/>
  <c r="W90" i="36"/>
  <c r="X155" i="36"/>
  <c r="V522" i="36"/>
  <c r="V346" i="36"/>
  <c r="V36" i="36" s="1"/>
  <c r="V296" i="36"/>
  <c r="W195" i="36"/>
  <c r="W94" i="36"/>
  <c r="O512" i="36"/>
  <c r="O51" i="36"/>
  <c r="O233" i="36"/>
  <c r="O35" i="36" s="1"/>
  <c r="U284" i="36"/>
  <c r="U285" i="36" s="1"/>
  <c r="U335" i="36" s="1"/>
  <c r="V282" i="36"/>
  <c r="U333" i="36"/>
  <c r="X341" i="36"/>
  <c r="W342" i="36"/>
  <c r="W123" i="36"/>
  <c r="W529" i="36"/>
  <c r="W492" i="36"/>
  <c r="W91" i="36"/>
  <c r="X292" i="36"/>
  <c r="X432" i="36" s="1"/>
  <c r="X428" i="36" s="1"/>
  <c r="X429" i="36" s="1"/>
  <c r="W293" i="36"/>
  <c r="T114" i="36"/>
  <c r="T121" i="36" s="1"/>
  <c r="T100" i="36"/>
  <c r="T106" i="36" s="1"/>
  <c r="U113" i="36"/>
  <c r="V38" i="36"/>
  <c r="V40" i="36" s="1"/>
  <c r="V239" i="36"/>
  <c r="T109" i="36"/>
  <c r="W526" i="36"/>
  <c r="W527" i="36" s="1"/>
  <c r="W350" i="36"/>
  <c r="X349" i="36"/>
  <c r="O129" i="36"/>
  <c r="O108" i="36"/>
  <c r="T461" i="36"/>
  <c r="T127" i="36" s="1"/>
  <c r="T533" i="36"/>
  <c r="T528" i="36"/>
  <c r="T63" i="36"/>
  <c r="T212" i="41" l="1"/>
  <c r="X296" i="41"/>
  <c r="S95" i="41"/>
  <c r="U209" i="41"/>
  <c r="U223" i="41"/>
  <c r="U225" i="41"/>
  <c r="X522" i="41"/>
  <c r="X346" i="41"/>
  <c r="X36" i="41" s="1"/>
  <c r="P231" i="41"/>
  <c r="P232" i="41"/>
  <c r="P230" i="41"/>
  <c r="P98" i="41"/>
  <c r="P99" i="41" s="1"/>
  <c r="P48" i="41"/>
  <c r="X38" i="41"/>
  <c r="W40" i="41"/>
  <c r="W109" i="41" s="1"/>
  <c r="W113" i="41"/>
  <c r="O60" i="41"/>
  <c r="O62" i="41"/>
  <c r="V114" i="41"/>
  <c r="V121" i="41" s="1"/>
  <c r="V100" i="41"/>
  <c r="V106" i="41" s="1"/>
  <c r="U494" i="41"/>
  <c r="V208" i="41"/>
  <c r="V461" i="41"/>
  <c r="V127" i="41" s="1"/>
  <c r="V533" i="41"/>
  <c r="U363" i="41"/>
  <c r="X104" i="41"/>
  <c r="X37" i="41"/>
  <c r="P507" i="41"/>
  <c r="P504" i="41"/>
  <c r="P515" i="41"/>
  <c r="T226" i="41"/>
  <c r="U535" i="41"/>
  <c r="X217" i="41"/>
  <c r="W434" i="41"/>
  <c r="W224" i="41"/>
  <c r="W218" i="41"/>
  <c r="X458" i="41"/>
  <c r="W489" i="41"/>
  <c r="W88" i="41" s="1"/>
  <c r="W93" i="41" s="1"/>
  <c r="W460" i="41"/>
  <c r="X239" i="41"/>
  <c r="V222" i="41"/>
  <c r="V528" i="41"/>
  <c r="V63" i="41"/>
  <c r="V335" i="41"/>
  <c r="X360" i="41"/>
  <c r="X362" i="41" s="1"/>
  <c r="W362" i="41"/>
  <c r="W240" i="41"/>
  <c r="W210" i="41"/>
  <c r="T122" i="41"/>
  <c r="T128" i="41" s="1"/>
  <c r="T56" i="41"/>
  <c r="X282" i="41"/>
  <c r="W284" i="41"/>
  <c r="W285" i="41" s="1"/>
  <c r="W333" i="41"/>
  <c r="U211" i="41"/>
  <c r="P230" i="39"/>
  <c r="P232" i="39"/>
  <c r="P231" i="39"/>
  <c r="V218" i="40"/>
  <c r="V114" i="40" s="1"/>
  <c r="V121" i="40" s="1"/>
  <c r="X428" i="38"/>
  <c r="X429" i="38" s="1"/>
  <c r="U335" i="40"/>
  <c r="U337" i="40" s="1"/>
  <c r="X59" i="38"/>
  <c r="S226" i="38"/>
  <c r="U494" i="40"/>
  <c r="T223" i="40"/>
  <c r="W296" i="40"/>
  <c r="X437" i="40"/>
  <c r="X500" i="40" s="1"/>
  <c r="X503" i="40" s="1"/>
  <c r="X516" i="40" s="1"/>
  <c r="R95" i="38"/>
  <c r="T211" i="39"/>
  <c r="T212" i="39" s="1"/>
  <c r="X437" i="38"/>
  <c r="X500" i="38" s="1"/>
  <c r="X503" i="38" s="1"/>
  <c r="X516" i="38" s="1"/>
  <c r="T211" i="38"/>
  <c r="X295" i="39"/>
  <c r="U335" i="38"/>
  <c r="U337" i="38" s="1"/>
  <c r="W79" i="38"/>
  <c r="T225" i="38"/>
  <c r="T535" i="38"/>
  <c r="X80" i="39"/>
  <c r="X34" i="40"/>
  <c r="R95" i="39"/>
  <c r="R95" i="40"/>
  <c r="X437" i="39"/>
  <c r="X500" i="39" s="1"/>
  <c r="X503" i="39" s="1"/>
  <c r="X516" i="39" s="1"/>
  <c r="T363" i="38"/>
  <c r="T122" i="38" s="1"/>
  <c r="T128" i="38" s="1"/>
  <c r="X103" i="40"/>
  <c r="V210" i="38"/>
  <c r="X295" i="38"/>
  <c r="X80" i="40"/>
  <c r="X277" i="39"/>
  <c r="X80" i="38"/>
  <c r="V208" i="40"/>
  <c r="W296" i="39"/>
  <c r="V210" i="39"/>
  <c r="V210" i="40"/>
  <c r="U223" i="39"/>
  <c r="X103" i="38"/>
  <c r="X432" i="40"/>
  <c r="X428" i="40" s="1"/>
  <c r="X429" i="40" s="1"/>
  <c r="W79" i="40"/>
  <c r="V224" i="40"/>
  <c r="X295" i="40"/>
  <c r="W239" i="40"/>
  <c r="W240" i="40" s="1"/>
  <c r="X238" i="40"/>
  <c r="W38" i="39"/>
  <c r="V40" i="39"/>
  <c r="V109" i="39" s="1"/>
  <c r="V113" i="39"/>
  <c r="X300" i="38"/>
  <c r="X302" i="38" s="1"/>
  <c r="X303" i="38" s="1"/>
  <c r="X336" i="38" s="1"/>
  <c r="X194" i="38"/>
  <c r="W79" i="39"/>
  <c r="W522" i="38"/>
  <c r="W346" i="38"/>
  <c r="W36" i="38" s="1"/>
  <c r="T223" i="38"/>
  <c r="T363" i="40"/>
  <c r="X293" i="38"/>
  <c r="X432" i="39"/>
  <c r="X428" i="39" s="1"/>
  <c r="X429" i="39" s="1"/>
  <c r="X293" i="39"/>
  <c r="X300" i="39"/>
  <c r="X302" i="39" s="1"/>
  <c r="X303" i="39" s="1"/>
  <c r="X336" i="39" s="1"/>
  <c r="X194" i="39"/>
  <c r="U533" i="38"/>
  <c r="U461" i="38"/>
  <c r="U127" i="38" s="1"/>
  <c r="W37" i="38"/>
  <c r="W104" i="38"/>
  <c r="P521" i="40"/>
  <c r="P536" i="40" s="1"/>
  <c r="P518" i="40"/>
  <c r="P71" i="40" s="1"/>
  <c r="T209" i="40"/>
  <c r="V240" i="39"/>
  <c r="U528" i="38"/>
  <c r="U63" i="38"/>
  <c r="T225" i="39"/>
  <c r="S226" i="39"/>
  <c r="W360" i="40"/>
  <c r="V362" i="40"/>
  <c r="T535" i="40"/>
  <c r="W429" i="39"/>
  <c r="W458" i="38"/>
  <c r="V460" i="38"/>
  <c r="V489" i="38"/>
  <c r="P512" i="40"/>
  <c r="P51" i="40"/>
  <c r="O46" i="38"/>
  <c r="O39" i="38"/>
  <c r="O41" i="38"/>
  <c r="O45" i="38" s="1"/>
  <c r="V113" i="38"/>
  <c r="W38" i="38"/>
  <c r="V40" i="38"/>
  <c r="V109" i="38" s="1"/>
  <c r="P53" i="39"/>
  <c r="P49" i="39"/>
  <c r="P50" i="39"/>
  <c r="X238" i="39"/>
  <c r="W239" i="39"/>
  <c r="W240" i="39" s="1"/>
  <c r="W360" i="39"/>
  <c r="V362" i="39"/>
  <c r="U494" i="38"/>
  <c r="V208" i="38"/>
  <c r="W360" i="38"/>
  <c r="V362" i="38"/>
  <c r="U528" i="40"/>
  <c r="U63" i="40"/>
  <c r="O70" i="38"/>
  <c r="O110" i="38"/>
  <c r="O111" i="38" s="1"/>
  <c r="X526" i="40"/>
  <c r="X527" i="40" s="1"/>
  <c r="X350" i="40"/>
  <c r="T122" i="39"/>
  <c r="T128" i="39" s="1"/>
  <c r="T56" i="39"/>
  <c r="U88" i="38"/>
  <c r="U93" i="38" s="1"/>
  <c r="U494" i="39"/>
  <c r="P521" i="39"/>
  <c r="P536" i="39" s="1"/>
  <c r="P518" i="39"/>
  <c r="P71" i="39" s="1"/>
  <c r="T209" i="38"/>
  <c r="S212" i="38"/>
  <c r="X101" i="39"/>
  <c r="W493" i="38"/>
  <c r="X101" i="40"/>
  <c r="U114" i="38"/>
  <c r="U121" i="38" s="1"/>
  <c r="U100" i="38"/>
  <c r="U106" i="38" s="1"/>
  <c r="U528" i="39"/>
  <c r="U535" i="39" s="1"/>
  <c r="U363" i="39"/>
  <c r="U63" i="39"/>
  <c r="P96" i="40"/>
  <c r="O57" i="40"/>
  <c r="O58" i="40" s="1"/>
  <c r="O60" i="40" s="1"/>
  <c r="W522" i="40"/>
  <c r="W346" i="40"/>
  <c r="W36" i="40" s="1"/>
  <c r="U209" i="39"/>
  <c r="S226" i="40"/>
  <c r="T225" i="40"/>
  <c r="W37" i="40"/>
  <c r="W104" i="40"/>
  <c r="P49" i="40"/>
  <c r="P53" i="40"/>
  <c r="P50" i="40"/>
  <c r="X59" i="40"/>
  <c r="U114" i="39"/>
  <c r="U121" i="39" s="1"/>
  <c r="U100" i="39"/>
  <c r="U106" i="39" s="1"/>
  <c r="V493" i="39"/>
  <c r="W217" i="38"/>
  <c r="V224" i="38"/>
  <c r="V434" i="38"/>
  <c r="V218" i="38"/>
  <c r="O46" i="40"/>
  <c r="O39" i="40"/>
  <c r="O41" i="40"/>
  <c r="O45" i="40" s="1"/>
  <c r="O7" i="40" s="1"/>
  <c r="O8" i="40" s="1"/>
  <c r="W94" i="40"/>
  <c r="W195" i="40"/>
  <c r="X526" i="39"/>
  <c r="X527" i="39" s="1"/>
  <c r="X350" i="39"/>
  <c r="X123" i="40"/>
  <c r="X529" i="40"/>
  <c r="X342" i="40"/>
  <c r="X492" i="40"/>
  <c r="X91" i="40"/>
  <c r="X91" i="38"/>
  <c r="X123" i="38"/>
  <c r="X529" i="38"/>
  <c r="X342" i="38"/>
  <c r="X492" i="38"/>
  <c r="V40" i="40"/>
  <c r="V109" i="40" s="1"/>
  <c r="V113" i="40"/>
  <c r="W38" i="40"/>
  <c r="S212" i="39"/>
  <c r="X59" i="39"/>
  <c r="X34" i="38"/>
  <c r="W217" i="39"/>
  <c r="V224" i="39"/>
  <c r="V434" i="39"/>
  <c r="V218" i="39"/>
  <c r="S122" i="38"/>
  <c r="S128" i="38" s="1"/>
  <c r="S56" i="38"/>
  <c r="V460" i="40"/>
  <c r="W458" i="40"/>
  <c r="V489" i="40"/>
  <c r="X300" i="40"/>
  <c r="X302" i="40" s="1"/>
  <c r="X303" i="40" s="1"/>
  <c r="X336" i="40" s="1"/>
  <c r="X194" i="40"/>
  <c r="W522" i="39"/>
  <c r="W346" i="39"/>
  <c r="W36" i="39" s="1"/>
  <c r="W37" i="39"/>
  <c r="W104" i="39"/>
  <c r="W217" i="40"/>
  <c r="X34" i="39"/>
  <c r="X293" i="40"/>
  <c r="V208" i="39"/>
  <c r="S122" i="40"/>
  <c r="S128" i="40" s="1"/>
  <c r="S56" i="40"/>
  <c r="X103" i="39"/>
  <c r="P507" i="38"/>
  <c r="P504" i="38"/>
  <c r="P515" i="38"/>
  <c r="U533" i="40"/>
  <c r="U461" i="40"/>
  <c r="U127" i="40" s="1"/>
  <c r="P108" i="39"/>
  <c r="P129" i="39"/>
  <c r="W296" i="38"/>
  <c r="X526" i="38"/>
  <c r="X527" i="38" s="1"/>
  <c r="X350" i="38"/>
  <c r="W282" i="39"/>
  <c r="V284" i="39"/>
  <c r="V285" i="39" s="1"/>
  <c r="V335" i="39" s="1"/>
  <c r="V337" i="39" s="1"/>
  <c r="V333" i="39"/>
  <c r="V222" i="39" s="1"/>
  <c r="P512" i="39"/>
  <c r="P51" i="39"/>
  <c r="U88" i="40"/>
  <c r="U93" i="40" s="1"/>
  <c r="S212" i="40"/>
  <c r="T211" i="40"/>
  <c r="X277" i="40"/>
  <c r="W493" i="39"/>
  <c r="W458" i="39"/>
  <c r="V489" i="39"/>
  <c r="V460" i="39"/>
  <c r="X91" i="39"/>
  <c r="X123" i="39"/>
  <c r="X529" i="39"/>
  <c r="X492" i="39"/>
  <c r="X342" i="39"/>
  <c r="W282" i="38"/>
  <c r="V284" i="38"/>
  <c r="V285" i="38" s="1"/>
  <c r="V333" i="38"/>
  <c r="V222" i="38" s="1"/>
  <c r="W282" i="40"/>
  <c r="V284" i="40"/>
  <c r="V285" i="40" s="1"/>
  <c r="V333" i="40"/>
  <c r="W239" i="38"/>
  <c r="W240" i="38" s="1"/>
  <c r="X238" i="38"/>
  <c r="P48" i="38"/>
  <c r="W336" i="36"/>
  <c r="O71" i="36"/>
  <c r="O536" i="36"/>
  <c r="U208" i="36"/>
  <c r="W79" i="36"/>
  <c r="S225" i="36"/>
  <c r="S211" i="36"/>
  <c r="U209" i="36"/>
  <c r="V240" i="36"/>
  <c r="V210" i="36"/>
  <c r="U222" i="36"/>
  <c r="U223" i="36"/>
  <c r="X437" i="36"/>
  <c r="V217" i="36"/>
  <c r="V224" i="36" s="1"/>
  <c r="X277" i="36"/>
  <c r="T494" i="36"/>
  <c r="X406" i="36"/>
  <c r="X90" i="36"/>
  <c r="X372" i="36"/>
  <c r="X142" i="36"/>
  <c r="X94" i="36"/>
  <c r="X302" i="36"/>
  <c r="X195" i="36"/>
  <c r="X493" i="36" s="1"/>
  <c r="U337" i="36"/>
  <c r="S56" i="36"/>
  <c r="T535" i="36"/>
  <c r="R226" i="36"/>
  <c r="R95" i="36" s="1"/>
  <c r="T363" i="36"/>
  <c r="T122" i="36" s="1"/>
  <c r="T128" i="36" s="1"/>
  <c r="W296" i="36"/>
  <c r="U114" i="36"/>
  <c r="U121" i="36" s="1"/>
  <c r="U100" i="36"/>
  <c r="U106" i="36" s="1"/>
  <c r="W522" i="36"/>
  <c r="W346" i="36"/>
  <c r="W36" i="36" s="1"/>
  <c r="X80" i="36"/>
  <c r="X350" i="36"/>
  <c r="X526" i="36"/>
  <c r="U528" i="36"/>
  <c r="U63" i="36"/>
  <c r="W360" i="36"/>
  <c r="V362" i="36"/>
  <c r="X529" i="36"/>
  <c r="X492" i="36"/>
  <c r="X342" i="36"/>
  <c r="X91" i="36"/>
  <c r="X123" i="36"/>
  <c r="W493" i="36"/>
  <c r="V489" i="36"/>
  <c r="W458" i="36"/>
  <c r="V460" i="36"/>
  <c r="W239" i="36"/>
  <c r="W282" i="36"/>
  <c r="V284" i="36"/>
  <c r="V285" i="36" s="1"/>
  <c r="V335" i="36" s="1"/>
  <c r="V333" i="36"/>
  <c r="U88" i="36"/>
  <c r="U93" i="36" s="1"/>
  <c r="X293" i="36"/>
  <c r="U533" i="36"/>
  <c r="U461" i="36"/>
  <c r="U127" i="36" s="1"/>
  <c r="X295" i="36"/>
  <c r="O46" i="36"/>
  <c r="O41" i="36"/>
  <c r="O45" i="36" s="1"/>
  <c r="O39" i="36"/>
  <c r="X34" i="36"/>
  <c r="W104" i="36"/>
  <c r="W37" i="36"/>
  <c r="V113" i="36"/>
  <c r="W38" i="36"/>
  <c r="W40" i="36" s="1"/>
  <c r="O110" i="36"/>
  <c r="O111" i="36" s="1"/>
  <c r="O70" i="36"/>
  <c r="U109" i="36"/>
  <c r="O519" i="36"/>
  <c r="T95" i="41" l="1"/>
  <c r="V535" i="41"/>
  <c r="V223" i="41"/>
  <c r="P233" i="41"/>
  <c r="P35" i="41" s="1"/>
  <c r="P41" i="41" s="1"/>
  <c r="P45" i="41" s="1"/>
  <c r="V209" i="41"/>
  <c r="W222" i="41"/>
  <c r="V363" i="41"/>
  <c r="V56" i="41" s="1"/>
  <c r="W461" i="41"/>
  <c r="W127" i="41" s="1"/>
  <c r="W533" i="41"/>
  <c r="U122" i="41"/>
  <c r="U128" i="41" s="1"/>
  <c r="U56" i="41"/>
  <c r="P108" i="41"/>
  <c r="P129" i="41"/>
  <c r="X210" i="41"/>
  <c r="W528" i="41"/>
  <c r="W63" i="41"/>
  <c r="P521" i="41"/>
  <c r="P536" i="41" s="1"/>
  <c r="P518" i="41"/>
  <c r="P71" i="41" s="1"/>
  <c r="X528" i="41"/>
  <c r="X63" i="41"/>
  <c r="X489" i="41"/>
  <c r="X88" i="41" s="1"/>
  <c r="X93" i="41" s="1"/>
  <c r="X460" i="41"/>
  <c r="P51" i="41"/>
  <c r="P512" i="41"/>
  <c r="W335" i="41"/>
  <c r="W337" i="41" s="1"/>
  <c r="V337" i="41"/>
  <c r="V211" i="41" s="1"/>
  <c r="W114" i="41"/>
  <c r="W121" i="41" s="1"/>
  <c r="W100" i="41"/>
  <c r="W106" i="41" s="1"/>
  <c r="X284" i="41"/>
  <c r="X285" i="41" s="1"/>
  <c r="X333" i="41"/>
  <c r="U212" i="41"/>
  <c r="V494" i="41"/>
  <c r="W208" i="41"/>
  <c r="X40" i="41"/>
  <c r="X109" i="41" s="1"/>
  <c r="X113" i="41"/>
  <c r="X240" i="41"/>
  <c r="X218" i="41"/>
  <c r="X434" i="41"/>
  <c r="X224" i="41"/>
  <c r="P49" i="41"/>
  <c r="P53" i="41"/>
  <c r="P50" i="41"/>
  <c r="U226" i="41"/>
  <c r="P233" i="39"/>
  <c r="P35" i="39" s="1"/>
  <c r="P41" i="39" s="1"/>
  <c r="P45" i="39" s="1"/>
  <c r="V335" i="40"/>
  <c r="V337" i="40" s="1"/>
  <c r="V100" i="40"/>
  <c r="V106" i="40" s="1"/>
  <c r="U209" i="40"/>
  <c r="X79" i="39"/>
  <c r="S95" i="38"/>
  <c r="X79" i="38"/>
  <c r="U225" i="39"/>
  <c r="U226" i="39" s="1"/>
  <c r="X296" i="39"/>
  <c r="U225" i="38"/>
  <c r="V335" i="38"/>
  <c r="V337" i="38" s="1"/>
  <c r="U211" i="38"/>
  <c r="U363" i="38"/>
  <c r="U122" i="38" s="1"/>
  <c r="U128" i="38" s="1"/>
  <c r="X79" i="40"/>
  <c r="T56" i="38"/>
  <c r="X296" i="38"/>
  <c r="S95" i="39"/>
  <c r="U535" i="38"/>
  <c r="U209" i="38"/>
  <c r="U223" i="40"/>
  <c r="X296" i="40"/>
  <c r="W210" i="40"/>
  <c r="T212" i="38"/>
  <c r="V223" i="39"/>
  <c r="W208" i="39"/>
  <c r="U363" i="40"/>
  <c r="U56" i="40" s="1"/>
  <c r="S95" i="40"/>
  <c r="U535" i="40"/>
  <c r="W210" i="38"/>
  <c r="P519" i="39"/>
  <c r="P51" i="38"/>
  <c r="P512" i="38"/>
  <c r="Q495" i="40"/>
  <c r="P78" i="40"/>
  <c r="P85" i="40"/>
  <c r="P64" i="40"/>
  <c r="P65" i="40" s="1"/>
  <c r="P67" i="40" s="1"/>
  <c r="W284" i="40"/>
  <c r="W285" i="40" s="1"/>
  <c r="X282" i="40"/>
  <c r="W333" i="40"/>
  <c r="W113" i="40"/>
  <c r="X38" i="40"/>
  <c r="W40" i="40"/>
  <c r="W109" i="40" s="1"/>
  <c r="X217" i="38"/>
  <c r="W224" i="38"/>
  <c r="W434" i="38"/>
  <c r="W218" i="38"/>
  <c r="W434" i="40"/>
  <c r="W218" i="40"/>
  <c r="W224" i="40"/>
  <c r="X217" i="40"/>
  <c r="T226" i="39"/>
  <c r="T95" i="39" s="1"/>
  <c r="V528" i="39"/>
  <c r="V63" i="39"/>
  <c r="P537" i="39"/>
  <c r="U211" i="39"/>
  <c r="P49" i="38"/>
  <c r="P53" i="38"/>
  <c r="P50" i="38"/>
  <c r="W434" i="39"/>
  <c r="W218" i="39"/>
  <c r="W114" i="39" s="1"/>
  <c r="W121" i="39" s="1"/>
  <c r="W224" i="39"/>
  <c r="X217" i="39"/>
  <c r="Q495" i="39"/>
  <c r="P64" i="39"/>
  <c r="P65" i="39" s="1"/>
  <c r="P67" i="39" s="1"/>
  <c r="P85" i="39"/>
  <c r="P78" i="39"/>
  <c r="W113" i="39"/>
  <c r="X38" i="39"/>
  <c r="W40" i="39"/>
  <c r="W109" i="39" s="1"/>
  <c r="X522" i="40"/>
  <c r="X346" i="40"/>
  <c r="X36" i="40" s="1"/>
  <c r="P537" i="40"/>
  <c r="X37" i="40"/>
  <c r="X104" i="40"/>
  <c r="W362" i="39"/>
  <c r="X360" i="39"/>
  <c r="X362" i="39" s="1"/>
  <c r="V88" i="38"/>
  <c r="V93" i="38" s="1"/>
  <c r="W493" i="40"/>
  <c r="V533" i="39"/>
  <c r="V461" i="39"/>
  <c r="V127" i="39" s="1"/>
  <c r="T226" i="40"/>
  <c r="U225" i="40"/>
  <c r="V533" i="38"/>
  <c r="V461" i="38"/>
  <c r="V127" i="38" s="1"/>
  <c r="V528" i="40"/>
  <c r="V63" i="40"/>
  <c r="X239" i="38"/>
  <c r="X240" i="38" s="1"/>
  <c r="V88" i="39"/>
  <c r="V93" i="39" s="1"/>
  <c r="X458" i="40"/>
  <c r="W489" i="40"/>
  <c r="W460" i="40"/>
  <c r="X522" i="38"/>
  <c r="X346" i="38"/>
  <c r="X36" i="38" s="1"/>
  <c r="X360" i="38"/>
  <c r="X362" i="38" s="1"/>
  <c r="W362" i="38"/>
  <c r="X458" i="38"/>
  <c r="W460" i="38"/>
  <c r="W489" i="38"/>
  <c r="X360" i="40"/>
  <c r="X362" i="40" s="1"/>
  <c r="W362" i="40"/>
  <c r="T122" i="40"/>
  <c r="T128" i="40" s="1"/>
  <c r="T56" i="40"/>
  <c r="X195" i="38"/>
  <c r="X94" i="38"/>
  <c r="X282" i="38"/>
  <c r="W284" i="38"/>
  <c r="W285" i="38" s="1"/>
  <c r="W333" i="38"/>
  <c r="W222" i="38" s="1"/>
  <c r="T212" i="40"/>
  <c r="U211" i="40"/>
  <c r="X282" i="39"/>
  <c r="W284" i="39"/>
  <c r="W285" i="39" s="1"/>
  <c r="W335" i="39" s="1"/>
  <c r="W337" i="39" s="1"/>
  <c r="W333" i="39"/>
  <c r="W222" i="39" s="1"/>
  <c r="P110" i="39"/>
  <c r="P111" i="39" s="1"/>
  <c r="P70" i="39"/>
  <c r="V88" i="40"/>
  <c r="V93" i="40" s="1"/>
  <c r="O130" i="40"/>
  <c r="O62" i="40"/>
  <c r="P232" i="40"/>
  <c r="P231" i="40"/>
  <c r="P230" i="40"/>
  <c r="P98" i="40"/>
  <c r="P99" i="40" s="1"/>
  <c r="V528" i="38"/>
  <c r="V63" i="38"/>
  <c r="W489" i="39"/>
  <c r="X458" i="39"/>
  <c r="W460" i="39"/>
  <c r="V494" i="39"/>
  <c r="V533" i="40"/>
  <c r="V461" i="40"/>
  <c r="V127" i="40" s="1"/>
  <c r="V114" i="39"/>
  <c r="V121" i="39" s="1"/>
  <c r="V100" i="39"/>
  <c r="V106" i="39" s="1"/>
  <c r="X104" i="39"/>
  <c r="X37" i="39"/>
  <c r="V114" i="38"/>
  <c r="V121" i="38" s="1"/>
  <c r="V100" i="38"/>
  <c r="V106" i="38" s="1"/>
  <c r="V209" i="39"/>
  <c r="U122" i="39"/>
  <c r="U128" i="39" s="1"/>
  <c r="U56" i="39"/>
  <c r="P96" i="38"/>
  <c r="O57" i="38"/>
  <c r="O58" i="38" s="1"/>
  <c r="O60" i="38" s="1"/>
  <c r="V494" i="38"/>
  <c r="W208" i="38"/>
  <c r="W40" i="38"/>
  <c r="W109" i="38" s="1"/>
  <c r="X38" i="38"/>
  <c r="W113" i="38"/>
  <c r="W210" i="39"/>
  <c r="X94" i="39"/>
  <c r="X195" i="39"/>
  <c r="X239" i="40"/>
  <c r="X240" i="40" s="1"/>
  <c r="X104" i="38"/>
  <c r="X37" i="38"/>
  <c r="V222" i="40"/>
  <c r="W208" i="40" s="1"/>
  <c r="X522" i="39"/>
  <c r="X346" i="39"/>
  <c r="X36" i="39" s="1"/>
  <c r="P521" i="38"/>
  <c r="P536" i="38" s="1"/>
  <c r="P518" i="38"/>
  <c r="P71" i="38" s="1"/>
  <c r="X94" i="40"/>
  <c r="X195" i="40"/>
  <c r="X239" i="39"/>
  <c r="X240" i="39" s="1"/>
  <c r="O130" i="38"/>
  <c r="P519" i="40"/>
  <c r="U223" i="38"/>
  <c r="T226" i="38"/>
  <c r="O78" i="36"/>
  <c r="O505" i="36" s="1"/>
  <c r="O85" i="36"/>
  <c r="P495" i="36"/>
  <c r="P229" i="36" s="1"/>
  <c r="O64" i="36"/>
  <c r="O537" i="36"/>
  <c r="T211" i="36"/>
  <c r="T212" i="36" s="1"/>
  <c r="S212" i="36"/>
  <c r="T225" i="36"/>
  <c r="V209" i="36"/>
  <c r="W240" i="36"/>
  <c r="W210" i="36"/>
  <c r="V223" i="36"/>
  <c r="V222" i="36"/>
  <c r="V208" i="36"/>
  <c r="W217" i="36"/>
  <c r="V434" i="36"/>
  <c r="V218" i="36"/>
  <c r="V114" i="36" s="1"/>
  <c r="V121" i="36" s="1"/>
  <c r="U494" i="36"/>
  <c r="X101" i="36"/>
  <c r="X103" i="36"/>
  <c r="V337" i="36"/>
  <c r="X303" i="36"/>
  <c r="X336" i="36" s="1"/>
  <c r="X527" i="36"/>
  <c r="X239" i="36"/>
  <c r="X500" i="36"/>
  <c r="X47" i="36"/>
  <c r="X79" i="36"/>
  <c r="T56" i="36"/>
  <c r="S226" i="36"/>
  <c r="U535" i="36"/>
  <c r="X296" i="36"/>
  <c r="X522" i="36"/>
  <c r="X346" i="36"/>
  <c r="V528" i="36"/>
  <c r="V63" i="36"/>
  <c r="X104" i="36"/>
  <c r="X37" i="36"/>
  <c r="X38" i="36"/>
  <c r="X40" i="36" s="1"/>
  <c r="W113" i="36"/>
  <c r="X360" i="36"/>
  <c r="W362" i="36"/>
  <c r="O57" i="36"/>
  <c r="O58" i="36" s="1"/>
  <c r="O60" i="36" s="1"/>
  <c r="P96" i="36"/>
  <c r="V533" i="36"/>
  <c r="V461" i="36"/>
  <c r="V127" i="36" s="1"/>
  <c r="U363" i="36"/>
  <c r="V109" i="36"/>
  <c r="O130" i="36"/>
  <c r="W333" i="36"/>
  <c r="X282" i="36"/>
  <c r="W284" i="36"/>
  <c r="W285" i="36" s="1"/>
  <c r="W335" i="36" s="1"/>
  <c r="W460" i="36"/>
  <c r="W489" i="36"/>
  <c r="X458" i="36"/>
  <c r="V88" i="36"/>
  <c r="V93" i="36" s="1"/>
  <c r="W363" i="41" l="1"/>
  <c r="W56" i="41" s="1"/>
  <c r="P46" i="41"/>
  <c r="P39" i="41"/>
  <c r="P130" i="41" s="1"/>
  <c r="V122" i="41"/>
  <c r="V128" i="41" s="1"/>
  <c r="P537" i="41"/>
  <c r="V225" i="41"/>
  <c r="W211" i="41" s="1"/>
  <c r="W209" i="41"/>
  <c r="V212" i="41"/>
  <c r="W122" i="41"/>
  <c r="W128" i="41" s="1"/>
  <c r="W535" i="41"/>
  <c r="X114" i="41"/>
  <c r="X121" i="41" s="1"/>
  <c r="X100" i="41"/>
  <c r="X106" i="41" s="1"/>
  <c r="U95" i="41"/>
  <c r="W494" i="41"/>
  <c r="X208" i="41"/>
  <c r="X222" i="41"/>
  <c r="P519" i="41"/>
  <c r="X335" i="41"/>
  <c r="X337" i="41" s="1"/>
  <c r="P64" i="41"/>
  <c r="P65" i="41" s="1"/>
  <c r="P67" i="41" s="1"/>
  <c r="P85" i="41"/>
  <c r="P7" i="41" s="1"/>
  <c r="P8" i="41" s="1"/>
  <c r="Q495" i="41"/>
  <c r="P78" i="41"/>
  <c r="P110" i="41"/>
  <c r="P111" i="41" s="1"/>
  <c r="P70" i="41"/>
  <c r="W223" i="41"/>
  <c r="X461" i="41"/>
  <c r="X533" i="41"/>
  <c r="X535" i="41" s="1"/>
  <c r="O7" i="38"/>
  <c r="O8" i="38" s="1"/>
  <c r="P46" i="39"/>
  <c r="P39" i="39"/>
  <c r="P130" i="39" s="1"/>
  <c r="W335" i="40"/>
  <c r="W337" i="40" s="1"/>
  <c r="V225" i="39"/>
  <c r="V226" i="39" s="1"/>
  <c r="V209" i="40"/>
  <c r="V225" i="38"/>
  <c r="V211" i="38"/>
  <c r="U212" i="38"/>
  <c r="W335" i="38"/>
  <c r="W337" i="38" s="1"/>
  <c r="U56" i="38"/>
  <c r="T95" i="38"/>
  <c r="V535" i="38"/>
  <c r="V223" i="40"/>
  <c r="U122" i="40"/>
  <c r="U128" i="40" s="1"/>
  <c r="X210" i="38"/>
  <c r="V535" i="39"/>
  <c r="V211" i="40"/>
  <c r="T95" i="40"/>
  <c r="V363" i="38"/>
  <c r="V122" i="38" s="1"/>
  <c r="V128" i="38" s="1"/>
  <c r="W209" i="39"/>
  <c r="V223" i="38"/>
  <c r="U226" i="38"/>
  <c r="P232" i="38"/>
  <c r="P230" i="38"/>
  <c r="P231" i="38"/>
  <c r="P98" i="38"/>
  <c r="P99" i="38" s="1"/>
  <c r="P233" i="40"/>
  <c r="P35" i="40" s="1"/>
  <c r="X284" i="38"/>
  <c r="X285" i="38" s="1"/>
  <c r="X333" i="38"/>
  <c r="X222" i="38" s="1"/>
  <c r="W533" i="38"/>
  <c r="W461" i="38"/>
  <c r="W127" i="38" s="1"/>
  <c r="V363" i="40"/>
  <c r="V211" i="39"/>
  <c r="U212" i="39"/>
  <c r="U95" i="39" s="1"/>
  <c r="X40" i="40"/>
  <c r="X109" i="40" s="1"/>
  <c r="X113" i="40"/>
  <c r="W100" i="39"/>
  <c r="W106" i="39" s="1"/>
  <c r="W223" i="39"/>
  <c r="P57" i="39"/>
  <c r="P58" i="39" s="1"/>
  <c r="Q96" i="39"/>
  <c r="W528" i="39"/>
  <c r="W63" i="39"/>
  <c r="X113" i="39"/>
  <c r="X40" i="39"/>
  <c r="X109" i="39" s="1"/>
  <c r="X434" i="39"/>
  <c r="X218" i="39"/>
  <c r="X224" i="39"/>
  <c r="X210" i="39"/>
  <c r="X493" i="40"/>
  <c r="V494" i="40"/>
  <c r="X113" i="38"/>
  <c r="X40" i="38"/>
  <c r="X109" i="38" s="1"/>
  <c r="W533" i="39"/>
  <c r="W461" i="39"/>
  <c r="W127" i="39" s="1"/>
  <c r="X489" i="38"/>
  <c r="X460" i="38"/>
  <c r="W533" i="40"/>
  <c r="W461" i="40"/>
  <c r="W127" i="40" s="1"/>
  <c r="V535" i="40"/>
  <c r="X224" i="40"/>
  <c r="X218" i="40"/>
  <c r="X434" i="40"/>
  <c r="X460" i="39"/>
  <c r="X489" i="39"/>
  <c r="X493" i="38"/>
  <c r="W528" i="38"/>
  <c r="W63" i="38"/>
  <c r="W88" i="40"/>
  <c r="W93" i="40" s="1"/>
  <c r="V209" i="38"/>
  <c r="P505" i="39"/>
  <c r="P81" i="39"/>
  <c r="P82" i="39" s="1"/>
  <c r="X210" i="40"/>
  <c r="P108" i="40"/>
  <c r="P129" i="40"/>
  <c r="W88" i="38"/>
  <c r="W93" i="38" s="1"/>
  <c r="O62" i="38"/>
  <c r="P519" i="38"/>
  <c r="W88" i="39"/>
  <c r="W93" i="39" s="1"/>
  <c r="X284" i="39"/>
  <c r="X285" i="39" s="1"/>
  <c r="X335" i="39" s="1"/>
  <c r="X337" i="39" s="1"/>
  <c r="X333" i="39"/>
  <c r="X222" i="39" s="1"/>
  <c r="X528" i="38"/>
  <c r="X63" i="38"/>
  <c r="X489" i="40"/>
  <c r="X460" i="40"/>
  <c r="V363" i="39"/>
  <c r="W114" i="40"/>
  <c r="W121" i="40" s="1"/>
  <c r="W100" i="40"/>
  <c r="W106" i="40" s="1"/>
  <c r="W114" i="38"/>
  <c r="W121" i="38" s="1"/>
  <c r="W100" i="38"/>
  <c r="W106" i="38" s="1"/>
  <c r="W222" i="40"/>
  <c r="P505" i="40"/>
  <c r="P81" i="40"/>
  <c r="P82" i="40" s="1"/>
  <c r="X208" i="39"/>
  <c r="Q495" i="38"/>
  <c r="P85" i="38"/>
  <c r="P78" i="38"/>
  <c r="P64" i="38"/>
  <c r="P65" i="38" s="1"/>
  <c r="P67" i="38" s="1"/>
  <c r="W494" i="38"/>
  <c r="X208" i="38"/>
  <c r="U226" i="40"/>
  <c r="V225" i="40"/>
  <c r="X284" i="40"/>
  <c r="X285" i="40" s="1"/>
  <c r="X333" i="40"/>
  <c r="Q229" i="40"/>
  <c r="Q497" i="40"/>
  <c r="X493" i="39"/>
  <c r="W528" i="40"/>
  <c r="W63" i="40"/>
  <c r="Q229" i="39"/>
  <c r="Q497" i="39"/>
  <c r="P537" i="38"/>
  <c r="X528" i="40"/>
  <c r="X63" i="40"/>
  <c r="X528" i="39"/>
  <c r="X63" i="39"/>
  <c r="U212" i="40"/>
  <c r="X224" i="38"/>
  <c r="X434" i="38"/>
  <c r="X218" i="38"/>
  <c r="W494" i="39"/>
  <c r="P497" i="36"/>
  <c r="O81" i="36"/>
  <c r="O65" i="36"/>
  <c r="S95" i="36"/>
  <c r="U225" i="36"/>
  <c r="U211" i="36"/>
  <c r="W208" i="36"/>
  <c r="P232" i="36"/>
  <c r="P231" i="36"/>
  <c r="P230" i="36"/>
  <c r="W222" i="36"/>
  <c r="W223" i="36"/>
  <c r="W434" i="36"/>
  <c r="W224" i="36"/>
  <c r="X210" i="36" s="1"/>
  <c r="W209" i="36"/>
  <c r="X217" i="36"/>
  <c r="W218" i="36"/>
  <c r="W100" i="36" s="1"/>
  <c r="W106" i="36" s="1"/>
  <c r="V100" i="36"/>
  <c r="V106" i="36" s="1"/>
  <c r="V494" i="36"/>
  <c r="W337" i="36"/>
  <c r="X240" i="36"/>
  <c r="X362" i="36"/>
  <c r="X36" i="36"/>
  <c r="X503" i="36"/>
  <c r="O62" i="36"/>
  <c r="T226" i="36"/>
  <c r="T95" i="36" s="1"/>
  <c r="V363" i="36"/>
  <c r="V122" i="36" s="1"/>
  <c r="V128" i="36" s="1"/>
  <c r="U122" i="36"/>
  <c r="U128" i="36" s="1"/>
  <c r="U56" i="36"/>
  <c r="X333" i="36"/>
  <c r="X284" i="36"/>
  <c r="W109" i="36"/>
  <c r="P98" i="36"/>
  <c r="P99" i="36" s="1"/>
  <c r="V535" i="36"/>
  <c r="X489" i="36"/>
  <c r="X460" i="36"/>
  <c r="W528" i="36"/>
  <c r="W63" i="36"/>
  <c r="W88" i="36"/>
  <c r="W93" i="36" s="1"/>
  <c r="P48" i="36"/>
  <c r="X113" i="36"/>
  <c r="W461" i="36"/>
  <c r="W127" i="36" s="1"/>
  <c r="W533" i="36"/>
  <c r="W225" i="41" l="1"/>
  <c r="X225" i="41" s="1"/>
  <c r="X209" i="41"/>
  <c r="W212" i="41"/>
  <c r="V226" i="41"/>
  <c r="V95" i="41" s="1"/>
  <c r="X494" i="41"/>
  <c r="X127" i="41"/>
  <c r="X363" i="41"/>
  <c r="X223" i="41"/>
  <c r="P57" i="41"/>
  <c r="P58" i="41" s="1"/>
  <c r="Q96" i="41"/>
  <c r="Q229" i="41"/>
  <c r="Q497" i="41"/>
  <c r="P81" i="41"/>
  <c r="P82" i="41" s="1"/>
  <c r="P505" i="41"/>
  <c r="X335" i="40"/>
  <c r="X337" i="40" s="1"/>
  <c r="V212" i="40"/>
  <c r="W223" i="40"/>
  <c r="W225" i="39"/>
  <c r="W226" i="39" s="1"/>
  <c r="V212" i="38"/>
  <c r="U95" i="38"/>
  <c r="U95" i="40"/>
  <c r="W225" i="38"/>
  <c r="W211" i="38"/>
  <c r="X335" i="38"/>
  <c r="X337" i="38" s="1"/>
  <c r="W209" i="40"/>
  <c r="W211" i="40"/>
  <c r="W535" i="38"/>
  <c r="W535" i="40"/>
  <c r="V56" i="38"/>
  <c r="X222" i="40"/>
  <c r="W209" i="38"/>
  <c r="W535" i="39"/>
  <c r="Q48" i="39"/>
  <c r="V226" i="40"/>
  <c r="W225" i="40"/>
  <c r="P505" i="38"/>
  <c r="P81" i="38"/>
  <c r="P82" i="38" s="1"/>
  <c r="X114" i="40"/>
  <c r="X121" i="40" s="1"/>
  <c r="X100" i="40"/>
  <c r="X106" i="40" s="1"/>
  <c r="X88" i="38"/>
  <c r="X93" i="38" s="1"/>
  <c r="X223" i="39"/>
  <c r="X208" i="40"/>
  <c r="X533" i="38"/>
  <c r="X535" i="38" s="1"/>
  <c r="X461" i="38"/>
  <c r="W494" i="40"/>
  <c r="X114" i="38"/>
  <c r="X121" i="38" s="1"/>
  <c r="X100" i="38"/>
  <c r="X106" i="38" s="1"/>
  <c r="Q504" i="39"/>
  <c r="Q515" i="39"/>
  <c r="Q507" i="39"/>
  <c r="P60" i="39"/>
  <c r="P7" i="39" s="1"/>
  <c r="P8" i="39" s="1"/>
  <c r="P62" i="39"/>
  <c r="Q229" i="38"/>
  <c r="Q497" i="38"/>
  <c r="X88" i="39"/>
  <c r="X93" i="39" s="1"/>
  <c r="X494" i="38"/>
  <c r="X494" i="39"/>
  <c r="V122" i="39"/>
  <c r="V128" i="39" s="1"/>
  <c r="V56" i="39"/>
  <c r="X533" i="39"/>
  <c r="X535" i="39" s="1"/>
  <c r="X461" i="39"/>
  <c r="W363" i="39"/>
  <c r="P46" i="40"/>
  <c r="P41" i="40"/>
  <c r="P45" i="40" s="1"/>
  <c r="P39" i="40"/>
  <c r="Q504" i="40"/>
  <c r="Q515" i="40"/>
  <c r="Q507" i="40"/>
  <c r="P129" i="38"/>
  <c r="P108" i="38"/>
  <c r="W223" i="38"/>
  <c r="V226" i="38"/>
  <c r="Q48" i="40"/>
  <c r="X461" i="40"/>
  <c r="X533" i="40"/>
  <c r="X535" i="40" s="1"/>
  <c r="W211" i="39"/>
  <c r="V212" i="39"/>
  <c r="V95" i="39" s="1"/>
  <c r="X88" i="40"/>
  <c r="X93" i="40" s="1"/>
  <c r="P110" i="40"/>
  <c r="P111" i="40" s="1"/>
  <c r="P70" i="40"/>
  <c r="W363" i="38"/>
  <c r="X114" i="39"/>
  <c r="X121" i="39" s="1"/>
  <c r="X100" i="39"/>
  <c r="X106" i="39" s="1"/>
  <c r="Q231" i="39"/>
  <c r="Q232" i="39"/>
  <c r="Q230" i="39"/>
  <c r="Q98" i="39"/>
  <c r="Q99" i="39" s="1"/>
  <c r="W363" i="40"/>
  <c r="V122" i="40"/>
  <c r="V128" i="40" s="1"/>
  <c r="V56" i="40"/>
  <c r="P233" i="38"/>
  <c r="P35" i="38" s="1"/>
  <c r="X209" i="39"/>
  <c r="P515" i="36"/>
  <c r="P521" i="36" s="1"/>
  <c r="P504" i="36"/>
  <c r="P51" i="36" s="1"/>
  <c r="P507" i="36"/>
  <c r="O82" i="36"/>
  <c r="O7" i="36" s="1"/>
  <c r="O8" i="36" s="1"/>
  <c r="O67" i="36"/>
  <c r="V211" i="36"/>
  <c r="V212" i="36" s="1"/>
  <c r="U212" i="36"/>
  <c r="V225" i="36"/>
  <c r="X222" i="36"/>
  <c r="X434" i="36"/>
  <c r="X224" i="36"/>
  <c r="W114" i="36"/>
  <c r="W121" i="36" s="1"/>
  <c r="X208" i="36"/>
  <c r="X218" i="36"/>
  <c r="X114" i="36" s="1"/>
  <c r="W494" i="36"/>
  <c r="X63" i="36"/>
  <c r="X528" i="36"/>
  <c r="X285" i="36"/>
  <c r="X335" i="36" s="1"/>
  <c r="X223" i="36" s="1"/>
  <c r="X516" i="36"/>
  <c r="X109" i="36"/>
  <c r="V56" i="36"/>
  <c r="U226" i="36"/>
  <c r="W535" i="36"/>
  <c r="X533" i="36"/>
  <c r="X461" i="36"/>
  <c r="X88" i="36"/>
  <c r="P129" i="36"/>
  <c r="P108" i="36"/>
  <c r="P49" i="36"/>
  <c r="P53" i="36"/>
  <c r="P50" i="36"/>
  <c r="P233" i="36"/>
  <c r="P35" i="36" s="1"/>
  <c r="W363" i="36"/>
  <c r="X211" i="41" l="1"/>
  <c r="X212" i="41" s="1"/>
  <c r="W226" i="41"/>
  <c r="W95" i="41" s="1"/>
  <c r="X226" i="41"/>
  <c r="X122" i="41"/>
  <c r="X128" i="41" s="1"/>
  <c r="X56" i="41"/>
  <c r="Q507" i="41"/>
  <c r="Q504" i="41"/>
  <c r="Q515" i="41"/>
  <c r="P60" i="41"/>
  <c r="P62" i="41"/>
  <c r="Q48" i="41"/>
  <c r="Q230" i="41"/>
  <c r="Q232" i="41"/>
  <c r="Q231" i="41"/>
  <c r="Q98" i="41"/>
  <c r="Q99" i="41" s="1"/>
  <c r="V95" i="38"/>
  <c r="V95" i="40"/>
  <c r="X209" i="40"/>
  <c r="X225" i="39"/>
  <c r="X226" i="39" s="1"/>
  <c r="W212" i="38"/>
  <c r="X223" i="40"/>
  <c r="W212" i="40"/>
  <c r="X225" i="38"/>
  <c r="X209" i="38"/>
  <c r="X211" i="40"/>
  <c r="X211" i="38"/>
  <c r="P518" i="36"/>
  <c r="P71" i="36" s="1"/>
  <c r="Q495" i="36" s="1"/>
  <c r="Q233" i="39"/>
  <c r="Q35" i="39" s="1"/>
  <c r="Q46" i="39" s="1"/>
  <c r="Q129" i="39"/>
  <c r="Q108" i="39"/>
  <c r="Q49" i="40"/>
  <c r="Q53" i="40"/>
  <c r="Q50" i="40"/>
  <c r="Q507" i="38"/>
  <c r="Q504" i="38"/>
  <c r="Q515" i="38"/>
  <c r="Q518" i="39"/>
  <c r="Q71" i="39" s="1"/>
  <c r="Q521" i="39"/>
  <c r="Q536" i="39" s="1"/>
  <c r="X494" i="40"/>
  <c r="Q96" i="40"/>
  <c r="P57" i="40"/>
  <c r="P58" i="40" s="1"/>
  <c r="P60" i="40" s="1"/>
  <c r="W122" i="39"/>
  <c r="W128" i="39" s="1"/>
  <c r="W56" i="39"/>
  <c r="Q48" i="38"/>
  <c r="Q512" i="39"/>
  <c r="Q51" i="39"/>
  <c r="W226" i="40"/>
  <c r="X225" i="40"/>
  <c r="X127" i="40"/>
  <c r="X363" i="40"/>
  <c r="P130" i="40"/>
  <c r="Q521" i="40"/>
  <c r="Q536" i="40" s="1"/>
  <c r="Q518" i="40"/>
  <c r="Q71" i="40" s="1"/>
  <c r="X127" i="39"/>
  <c r="X363" i="39"/>
  <c r="P46" i="38"/>
  <c r="P41" i="38"/>
  <c r="P45" i="38" s="1"/>
  <c r="P39" i="38"/>
  <c r="Q512" i="40"/>
  <c r="Q51" i="40"/>
  <c r="Q49" i="39"/>
  <c r="Q53" i="39"/>
  <c r="Q50" i="39"/>
  <c r="X211" i="39"/>
  <c r="X212" i="39" s="1"/>
  <c r="W212" i="39"/>
  <c r="W95" i="39" s="1"/>
  <c r="X223" i="38"/>
  <c r="W226" i="38"/>
  <c r="W122" i="40"/>
  <c r="W128" i="40" s="1"/>
  <c r="W56" i="40"/>
  <c r="W122" i="38"/>
  <c r="W128" i="38" s="1"/>
  <c r="W56" i="38"/>
  <c r="P110" i="38"/>
  <c r="P111" i="38" s="1"/>
  <c r="P70" i="38"/>
  <c r="X127" i="38"/>
  <c r="X363" i="38"/>
  <c r="P512" i="36"/>
  <c r="P536" i="36"/>
  <c r="P537" i="36" s="1"/>
  <c r="W225" i="36"/>
  <c r="W226" i="36" s="1"/>
  <c r="U95" i="36"/>
  <c r="W211" i="36"/>
  <c r="W212" i="36" s="1"/>
  <c r="V226" i="36"/>
  <c r="V95" i="36" s="1"/>
  <c r="X209" i="36"/>
  <c r="X100" i="36"/>
  <c r="X106" i="36" s="1"/>
  <c r="X494" i="36"/>
  <c r="X93" i="36"/>
  <c r="X535" i="36"/>
  <c r="X121" i="36"/>
  <c r="X127" i="36"/>
  <c r="X363" i="36"/>
  <c r="W122" i="36"/>
  <c r="W128" i="36" s="1"/>
  <c r="W56" i="36"/>
  <c r="P39" i="36"/>
  <c r="P46" i="36"/>
  <c r="P41" i="36"/>
  <c r="P45" i="36" s="1"/>
  <c r="P110" i="36"/>
  <c r="P111" i="36" s="1"/>
  <c r="P70" i="36"/>
  <c r="X95" i="41" l="1"/>
  <c r="Q233" i="41"/>
  <c r="Q35" i="41" s="1"/>
  <c r="Q41" i="41" s="1"/>
  <c r="Q45" i="41" s="1"/>
  <c r="Q129" i="41"/>
  <c r="Q108" i="41"/>
  <c r="Q521" i="41"/>
  <c r="Q536" i="41" s="1"/>
  <c r="Q518" i="41"/>
  <c r="Q71" i="41" s="1"/>
  <c r="Q51" i="41"/>
  <c r="Q512" i="41"/>
  <c r="Q49" i="41"/>
  <c r="Q53" i="41"/>
  <c r="Q50" i="41"/>
  <c r="P7" i="40"/>
  <c r="P8" i="40" s="1"/>
  <c r="X212" i="40"/>
  <c r="W95" i="38"/>
  <c r="W95" i="40"/>
  <c r="X226" i="40"/>
  <c r="X226" i="38"/>
  <c r="X95" i="39"/>
  <c r="P519" i="36"/>
  <c r="X212" i="38"/>
  <c r="Q39" i="39"/>
  <c r="Q130" i="39" s="1"/>
  <c r="Q519" i="39"/>
  <c r="Q41" i="39"/>
  <c r="Q45" i="39" s="1"/>
  <c r="Q519" i="40"/>
  <c r="Q537" i="39"/>
  <c r="P62" i="40"/>
  <c r="X122" i="38"/>
  <c r="X128" i="38" s="1"/>
  <c r="X56" i="38"/>
  <c r="Q49" i="38"/>
  <c r="Q53" i="38"/>
  <c r="Q50" i="38"/>
  <c r="P130" i="38"/>
  <c r="Q232" i="40"/>
  <c r="Q231" i="40"/>
  <c r="Q230" i="40"/>
  <c r="Q98" i="40"/>
  <c r="Q99" i="40" s="1"/>
  <c r="Q96" i="38"/>
  <c r="P57" i="38"/>
  <c r="P58" i="38" s="1"/>
  <c r="P60" i="38" s="1"/>
  <c r="X122" i="40"/>
  <c r="X128" i="40" s="1"/>
  <c r="X56" i="40"/>
  <c r="X122" i="39"/>
  <c r="X128" i="39" s="1"/>
  <c r="X56" i="39"/>
  <c r="Q537" i="40"/>
  <c r="R495" i="39"/>
  <c r="Q78" i="39"/>
  <c r="Q64" i="39"/>
  <c r="Q65" i="39" s="1"/>
  <c r="Q67" i="39" s="1"/>
  <c r="Q85" i="39"/>
  <c r="Q521" i="38"/>
  <c r="Q536" i="38" s="1"/>
  <c r="Q518" i="38"/>
  <c r="Q71" i="38" s="1"/>
  <c r="Q64" i="40"/>
  <c r="Q65" i="40" s="1"/>
  <c r="Q67" i="40" s="1"/>
  <c r="R495" i="40"/>
  <c r="Q85" i="40"/>
  <c r="Q78" i="40"/>
  <c r="Q512" i="38"/>
  <c r="Q51" i="38"/>
  <c r="Q110" i="39"/>
  <c r="Q111" i="39" s="1"/>
  <c r="Q70" i="39"/>
  <c r="P85" i="36"/>
  <c r="P64" i="36"/>
  <c r="P78" i="36"/>
  <c r="X337" i="36"/>
  <c r="P130" i="36"/>
  <c r="Q229" i="36"/>
  <c r="Q497" i="36"/>
  <c r="X122" i="36"/>
  <c r="X56" i="36"/>
  <c r="Q96" i="36"/>
  <c r="P57" i="36"/>
  <c r="P58" i="36" s="1"/>
  <c r="P60" i="36" s="1"/>
  <c r="W95" i="36"/>
  <c r="Q39" i="41" l="1"/>
  <c r="Q130" i="41" s="1"/>
  <c r="Q46" i="41"/>
  <c r="Q537" i="41"/>
  <c r="Q519" i="41"/>
  <c r="Q85" i="41"/>
  <c r="Q7" i="41" s="1"/>
  <c r="Q8" i="41" s="1"/>
  <c r="Q64" i="41"/>
  <c r="Q65" i="41" s="1"/>
  <c r="Q67" i="41" s="1"/>
  <c r="R495" i="41"/>
  <c r="Q78" i="41"/>
  <c r="Q110" i="41"/>
  <c r="Q111" i="41" s="1"/>
  <c r="Q70" i="41"/>
  <c r="P7" i="38"/>
  <c r="P8" i="38" s="1"/>
  <c r="X95" i="40"/>
  <c r="X95" i="38"/>
  <c r="Q233" i="40"/>
  <c r="Q35" i="40" s="1"/>
  <c r="Q41" i="40" s="1"/>
  <c r="Q45" i="40" s="1"/>
  <c r="Q64" i="38"/>
  <c r="Q65" i="38" s="1"/>
  <c r="Q67" i="38" s="1"/>
  <c r="R495" i="38"/>
  <c r="Q78" i="38"/>
  <c r="Q85" i="38"/>
  <c r="R229" i="39"/>
  <c r="R497" i="39"/>
  <c r="R96" i="39"/>
  <c r="Q57" i="39"/>
  <c r="Q58" i="39" s="1"/>
  <c r="Q519" i="38"/>
  <c r="Q129" i="40"/>
  <c r="Q108" i="40"/>
  <c r="Q537" i="38"/>
  <c r="Q505" i="40"/>
  <c r="Q81" i="40"/>
  <c r="Q82" i="40" s="1"/>
  <c r="Q230" i="38"/>
  <c r="Q232" i="38"/>
  <c r="Q231" i="38"/>
  <c r="Q98" i="38"/>
  <c r="Q99" i="38" s="1"/>
  <c r="R229" i="40"/>
  <c r="R497" i="40"/>
  <c r="Q81" i="39"/>
  <c r="Q82" i="39" s="1"/>
  <c r="Q505" i="39"/>
  <c r="P62" i="38"/>
  <c r="P505" i="36"/>
  <c r="P81" i="36"/>
  <c r="P65" i="36"/>
  <c r="Q230" i="36"/>
  <c r="Q231" i="36"/>
  <c r="Q232" i="36"/>
  <c r="X211" i="36"/>
  <c r="X212" i="36" s="1"/>
  <c r="X225" i="36"/>
  <c r="X128" i="36"/>
  <c r="P62" i="36"/>
  <c r="Q98" i="36"/>
  <c r="Q99" i="36" s="1"/>
  <c r="Q504" i="36"/>
  <c r="Q515" i="36"/>
  <c r="Q507" i="36"/>
  <c r="Q48" i="36"/>
  <c r="R96" i="41" l="1"/>
  <c r="Q57" i="41"/>
  <c r="Q58" i="41" s="1"/>
  <c r="Q505" i="41"/>
  <c r="Q81" i="41"/>
  <c r="Q82" i="41" s="1"/>
  <c r="R229" i="41"/>
  <c r="R497" i="41"/>
  <c r="Q39" i="40"/>
  <c r="Q130" i="40" s="1"/>
  <c r="Q46" i="40"/>
  <c r="R48" i="39"/>
  <c r="R515" i="40"/>
  <c r="R504" i="40"/>
  <c r="R507" i="40"/>
  <c r="Q60" i="39"/>
  <c r="Q7" i="39" s="1"/>
  <c r="Q8" i="39" s="1"/>
  <c r="Q62" i="39"/>
  <c r="R48" i="40"/>
  <c r="R231" i="39"/>
  <c r="R230" i="39"/>
  <c r="R232" i="39"/>
  <c r="R98" i="39"/>
  <c r="R99" i="39" s="1"/>
  <c r="Q108" i="38"/>
  <c r="Q129" i="38"/>
  <c r="R515" i="39"/>
  <c r="R507" i="39"/>
  <c r="R504" i="39"/>
  <c r="Q110" i="40"/>
  <c r="Q111" i="40" s="1"/>
  <c r="Q70" i="40"/>
  <c r="Q233" i="38"/>
  <c r="Q35" i="38" s="1"/>
  <c r="Q505" i="38"/>
  <c r="Q81" i="38"/>
  <c r="Q82" i="38" s="1"/>
  <c r="R229" i="38"/>
  <c r="R497" i="38"/>
  <c r="P82" i="36"/>
  <c r="P7" i="36" s="1"/>
  <c r="P8" i="36" s="1"/>
  <c r="P67" i="36"/>
  <c r="X226" i="36"/>
  <c r="Q49" i="36"/>
  <c r="Q53" i="36"/>
  <c r="Q50" i="36"/>
  <c r="Q129" i="36"/>
  <c r="Q108" i="36"/>
  <c r="Q233" i="36"/>
  <c r="Q35" i="36" s="1"/>
  <c r="Q518" i="36"/>
  <c r="Q521" i="36"/>
  <c r="Q512" i="36"/>
  <c r="Q51" i="36"/>
  <c r="R48" i="41" l="1"/>
  <c r="R515" i="41"/>
  <c r="R507" i="41"/>
  <c r="R504" i="41"/>
  <c r="Q60" i="41"/>
  <c r="Q62" i="41"/>
  <c r="R230" i="41"/>
  <c r="R231" i="41"/>
  <c r="R232" i="41"/>
  <c r="R98" i="41"/>
  <c r="R99" i="41" s="1"/>
  <c r="R233" i="39"/>
  <c r="R35" i="39" s="1"/>
  <c r="R41" i="39" s="1"/>
  <c r="R45" i="39" s="1"/>
  <c r="Q110" i="38"/>
  <c r="Q111" i="38" s="1"/>
  <c r="Q70" i="38"/>
  <c r="R507" i="38"/>
  <c r="R504" i="38"/>
  <c r="R515" i="38"/>
  <c r="Q46" i="38"/>
  <c r="Q39" i="38"/>
  <c r="Q41" i="38"/>
  <c r="Q45" i="38" s="1"/>
  <c r="R108" i="39"/>
  <c r="R129" i="39"/>
  <c r="R48" i="38"/>
  <c r="Q57" i="40"/>
  <c r="Q58" i="40" s="1"/>
  <c r="R96" i="40"/>
  <c r="R512" i="39"/>
  <c r="R51" i="39"/>
  <c r="R512" i="40"/>
  <c r="R51" i="40"/>
  <c r="R49" i="40"/>
  <c r="R53" i="40"/>
  <c r="R50" i="40"/>
  <c r="R518" i="40"/>
  <c r="R71" i="40" s="1"/>
  <c r="R521" i="40"/>
  <c r="R536" i="40" s="1"/>
  <c r="R521" i="39"/>
  <c r="R536" i="39" s="1"/>
  <c r="R518" i="39"/>
  <c r="R71" i="39" s="1"/>
  <c r="R49" i="39"/>
  <c r="R53" i="39"/>
  <c r="R50" i="39"/>
  <c r="Q536" i="36"/>
  <c r="Q537" i="36" s="1"/>
  <c r="Q71" i="36"/>
  <c r="Q64" i="36" s="1"/>
  <c r="X95" i="36"/>
  <c r="Q46" i="36"/>
  <c r="Q41" i="36"/>
  <c r="Q45" i="36" s="1"/>
  <c r="Q39" i="36"/>
  <c r="Q110" i="36"/>
  <c r="Q111" i="36" s="1"/>
  <c r="Q70" i="36"/>
  <c r="Q519" i="36"/>
  <c r="R233" i="41" l="1"/>
  <c r="R35" i="41" s="1"/>
  <c r="R46" i="41" s="1"/>
  <c r="R512" i="41"/>
  <c r="R51" i="41"/>
  <c r="R129" i="41"/>
  <c r="R108" i="41"/>
  <c r="R521" i="41"/>
  <c r="R536" i="41" s="1"/>
  <c r="R518" i="41"/>
  <c r="R71" i="41" s="1"/>
  <c r="R53" i="41"/>
  <c r="R50" i="41"/>
  <c r="R49" i="41"/>
  <c r="R495" i="36"/>
  <c r="R497" i="36" s="1"/>
  <c r="R39" i="39"/>
  <c r="R130" i="39" s="1"/>
  <c r="Q78" i="36"/>
  <c r="Q81" i="36" s="1"/>
  <c r="Q85" i="36"/>
  <c r="R519" i="40"/>
  <c r="R46" i="39"/>
  <c r="R519" i="39"/>
  <c r="R537" i="40"/>
  <c r="R53" i="38"/>
  <c r="R49" i="38"/>
  <c r="R50" i="38"/>
  <c r="R512" i="38"/>
  <c r="R51" i="38"/>
  <c r="R537" i="39"/>
  <c r="Q60" i="40"/>
  <c r="Q7" i="40" s="1"/>
  <c r="Q8" i="40" s="1"/>
  <c r="Q62" i="40"/>
  <c r="R521" i="38"/>
  <c r="R536" i="38" s="1"/>
  <c r="R518" i="38"/>
  <c r="R71" i="38" s="1"/>
  <c r="S495" i="39"/>
  <c r="R85" i="39"/>
  <c r="R78" i="39"/>
  <c r="R64" i="39"/>
  <c r="R65" i="39" s="1"/>
  <c r="R67" i="39" s="1"/>
  <c r="R110" i="39"/>
  <c r="R111" i="39" s="1"/>
  <c r="R70" i="39"/>
  <c r="Q57" i="38"/>
  <c r="Q58" i="38" s="1"/>
  <c r="Q60" i="38" s="1"/>
  <c r="R96" i="38"/>
  <c r="R78" i="40"/>
  <c r="R64" i="40"/>
  <c r="R65" i="40" s="1"/>
  <c r="R67" i="40" s="1"/>
  <c r="S495" i="40"/>
  <c r="R85" i="40"/>
  <c r="Q130" i="38"/>
  <c r="R231" i="40"/>
  <c r="R232" i="40"/>
  <c r="R230" i="40"/>
  <c r="R98" i="40"/>
  <c r="R99" i="40" s="1"/>
  <c r="Q65" i="36"/>
  <c r="R96" i="36"/>
  <c r="Q57" i="36"/>
  <c r="Q58" i="36" s="1"/>
  <c r="Q60" i="36" s="1"/>
  <c r="Q130" i="36"/>
  <c r="R39" i="41" l="1"/>
  <c r="R130" i="41" s="1"/>
  <c r="R41" i="41"/>
  <c r="R45" i="41" s="1"/>
  <c r="R110" i="41"/>
  <c r="R111" i="41" s="1"/>
  <c r="R70" i="41"/>
  <c r="R537" i="41"/>
  <c r="R519" i="41"/>
  <c r="R78" i="41"/>
  <c r="S495" i="41"/>
  <c r="R85" i="41"/>
  <c r="R64" i="41"/>
  <c r="R65" i="41" s="1"/>
  <c r="R67" i="41" s="1"/>
  <c r="Q7" i="38"/>
  <c r="Q8" i="38" s="1"/>
  <c r="R229" i="36"/>
  <c r="R48" i="36" s="1"/>
  <c r="Q505" i="36"/>
  <c r="Q62" i="38"/>
  <c r="R233" i="40"/>
  <c r="R35" i="40" s="1"/>
  <c r="R41" i="40" s="1"/>
  <c r="R45" i="40" s="1"/>
  <c r="R505" i="39"/>
  <c r="R81" i="39"/>
  <c r="R82" i="39" s="1"/>
  <c r="R81" i="40"/>
  <c r="R82" i="40" s="1"/>
  <c r="R505" i="40"/>
  <c r="R231" i="38"/>
  <c r="R230" i="38"/>
  <c r="R232" i="38"/>
  <c r="R98" i="38"/>
  <c r="R99" i="38" s="1"/>
  <c r="R519" i="38"/>
  <c r="S229" i="39"/>
  <c r="S497" i="39"/>
  <c r="S96" i="39"/>
  <c r="R57" i="39"/>
  <c r="R58" i="39" s="1"/>
  <c r="S495" i="38"/>
  <c r="R78" i="38"/>
  <c r="R64" i="38"/>
  <c r="R65" i="38" s="1"/>
  <c r="R67" i="38" s="1"/>
  <c r="R85" i="38"/>
  <c r="R537" i="38"/>
  <c r="R129" i="40"/>
  <c r="R108" i="40"/>
  <c r="S229" i="40"/>
  <c r="S497" i="40"/>
  <c r="Q67" i="36"/>
  <c r="Q82" i="36"/>
  <c r="Q7" i="36" s="1"/>
  <c r="Q8" i="36" s="1"/>
  <c r="R230" i="36"/>
  <c r="R232" i="36"/>
  <c r="R231" i="36"/>
  <c r="R515" i="36"/>
  <c r="R507" i="36"/>
  <c r="R504" i="36"/>
  <c r="R98" i="36"/>
  <c r="R99" i="36" s="1"/>
  <c r="Q62" i="36"/>
  <c r="R7" i="41" l="1"/>
  <c r="R8" i="41" s="1"/>
  <c r="S229" i="41"/>
  <c r="S497" i="41"/>
  <c r="R81" i="41"/>
  <c r="R82" i="41" s="1"/>
  <c r="R505" i="41"/>
  <c r="R57" i="41"/>
  <c r="R58" i="41" s="1"/>
  <c r="S96" i="41"/>
  <c r="R39" i="40"/>
  <c r="R130" i="40" s="1"/>
  <c r="R46" i="40"/>
  <c r="R233" i="38"/>
  <c r="R35" i="38" s="1"/>
  <c r="R46" i="38" s="1"/>
  <c r="R81" i="38"/>
  <c r="R82" i="38" s="1"/>
  <c r="R505" i="38"/>
  <c r="R129" i="38"/>
  <c r="R108" i="38"/>
  <c r="S229" i="38"/>
  <c r="S497" i="38"/>
  <c r="R110" i="40"/>
  <c r="R111" i="40" s="1"/>
  <c r="R70" i="40"/>
  <c r="R60" i="39"/>
  <c r="R7" i="39" s="1"/>
  <c r="R8" i="39" s="1"/>
  <c r="R62" i="39"/>
  <c r="S232" i="39"/>
  <c r="S231" i="39"/>
  <c r="S230" i="39"/>
  <c r="S98" i="39"/>
  <c r="S99" i="39" s="1"/>
  <c r="S515" i="39"/>
  <c r="S507" i="39"/>
  <c r="S504" i="39"/>
  <c r="S515" i="40"/>
  <c r="S507" i="40"/>
  <c r="S504" i="40"/>
  <c r="S48" i="39"/>
  <c r="S48" i="40"/>
  <c r="R49" i="36"/>
  <c r="R53" i="36"/>
  <c r="R50" i="36"/>
  <c r="R233" i="36"/>
  <c r="R35" i="36" s="1"/>
  <c r="R129" i="36"/>
  <c r="R108" i="36"/>
  <c r="R512" i="36"/>
  <c r="R51" i="36"/>
  <c r="R521" i="36"/>
  <c r="R518" i="36"/>
  <c r="S98" i="41" l="1"/>
  <c r="S99" i="41" s="1"/>
  <c r="S230" i="41"/>
  <c r="S232" i="41"/>
  <c r="S231" i="41"/>
  <c r="R60" i="41"/>
  <c r="R62" i="41"/>
  <c r="S515" i="41"/>
  <c r="S504" i="41"/>
  <c r="S507" i="41"/>
  <c r="S48" i="41"/>
  <c r="R41" i="38"/>
  <c r="R45" i="38" s="1"/>
  <c r="R39" i="38"/>
  <c r="R130" i="38" s="1"/>
  <c r="S233" i="39"/>
  <c r="S35" i="39" s="1"/>
  <c r="S41" i="39" s="1"/>
  <c r="S45" i="39" s="1"/>
  <c r="S129" i="39"/>
  <c r="S108" i="39"/>
  <c r="S515" i="38"/>
  <c r="S504" i="38"/>
  <c r="S507" i="38"/>
  <c r="S518" i="40"/>
  <c r="S71" i="40" s="1"/>
  <c r="S521" i="40"/>
  <c r="S536" i="40" s="1"/>
  <c r="S48" i="38"/>
  <c r="S512" i="39"/>
  <c r="S51" i="39"/>
  <c r="S53" i="40"/>
  <c r="S49" i="40"/>
  <c r="S50" i="40"/>
  <c r="S521" i="39"/>
  <c r="S536" i="39" s="1"/>
  <c r="S518" i="39"/>
  <c r="S71" i="39" s="1"/>
  <c r="R110" i="38"/>
  <c r="R111" i="38" s="1"/>
  <c r="R70" i="38"/>
  <c r="S49" i="39"/>
  <c r="S53" i="39"/>
  <c r="S50" i="39"/>
  <c r="S96" i="40"/>
  <c r="R57" i="40"/>
  <c r="R58" i="40" s="1"/>
  <c r="S512" i="40"/>
  <c r="S51" i="40"/>
  <c r="R71" i="36"/>
  <c r="R78" i="36" s="1"/>
  <c r="R536" i="36"/>
  <c r="R537" i="36" s="1"/>
  <c r="R519" i="36"/>
  <c r="R46" i="36"/>
  <c r="R41" i="36"/>
  <c r="R45" i="36" s="1"/>
  <c r="R39" i="36"/>
  <c r="R110" i="36"/>
  <c r="R111" i="36" s="1"/>
  <c r="R70" i="36"/>
  <c r="S233" i="41" l="1"/>
  <c r="S35" i="41" s="1"/>
  <c r="S41" i="41" s="1"/>
  <c r="S45" i="41" s="1"/>
  <c r="S512" i="41"/>
  <c r="S51" i="41"/>
  <c r="S518" i="41"/>
  <c r="S71" i="41" s="1"/>
  <c r="S521" i="41"/>
  <c r="S536" i="41" s="1"/>
  <c r="S49" i="41"/>
  <c r="S53" i="41"/>
  <c r="S50" i="41"/>
  <c r="S129" i="41"/>
  <c r="S108" i="41"/>
  <c r="S46" i="39"/>
  <c r="S39" i="39"/>
  <c r="S130" i="39" s="1"/>
  <c r="S537" i="40"/>
  <c r="S519" i="40"/>
  <c r="S537" i="39"/>
  <c r="S85" i="40"/>
  <c r="S78" i="40"/>
  <c r="S64" i="40"/>
  <c r="S65" i="40" s="1"/>
  <c r="S67" i="40" s="1"/>
  <c r="T495" i="40"/>
  <c r="R60" i="40"/>
  <c r="R7" i="40" s="1"/>
  <c r="R8" i="40" s="1"/>
  <c r="R62" i="40"/>
  <c r="S96" i="38"/>
  <c r="R57" i="38"/>
  <c r="R58" i="38" s="1"/>
  <c r="S232" i="40"/>
  <c r="S231" i="40"/>
  <c r="S230" i="40"/>
  <c r="S98" i="40"/>
  <c r="S99" i="40" s="1"/>
  <c r="S51" i="38"/>
  <c r="S512" i="38"/>
  <c r="S519" i="39"/>
  <c r="S518" i="38"/>
  <c r="S71" i="38" s="1"/>
  <c r="S521" i="38"/>
  <c r="S536" i="38" s="1"/>
  <c r="S85" i="39"/>
  <c r="S64" i="39"/>
  <c r="S65" i="39" s="1"/>
  <c r="S67" i="39" s="1"/>
  <c r="S78" i="39"/>
  <c r="T495" i="39"/>
  <c r="S53" i="38"/>
  <c r="S49" i="38"/>
  <c r="S50" i="38"/>
  <c r="S110" i="39"/>
  <c r="S111" i="39" s="1"/>
  <c r="S70" i="39"/>
  <c r="R64" i="36"/>
  <c r="R65" i="36" s="1"/>
  <c r="S495" i="36"/>
  <c r="S229" i="36" s="1"/>
  <c r="R85" i="36"/>
  <c r="R505" i="36"/>
  <c r="R81" i="36"/>
  <c r="S96" i="36"/>
  <c r="R57" i="36"/>
  <c r="R58" i="36" s="1"/>
  <c r="R60" i="36" s="1"/>
  <c r="R130" i="36"/>
  <c r="S39" i="41" l="1"/>
  <c r="S130" i="41" s="1"/>
  <c r="S46" i="41"/>
  <c r="S519" i="41"/>
  <c r="S110" i="41"/>
  <c r="S111" i="41" s="1"/>
  <c r="S70" i="41"/>
  <c r="S85" i="41"/>
  <c r="S7" i="41" s="1"/>
  <c r="S8" i="41" s="1"/>
  <c r="T495" i="41"/>
  <c r="S64" i="41"/>
  <c r="S65" i="41" s="1"/>
  <c r="S67" i="41" s="1"/>
  <c r="S78" i="41"/>
  <c r="S537" i="41"/>
  <c r="S233" i="40"/>
  <c r="S35" i="40" s="1"/>
  <c r="S46" i="40" s="1"/>
  <c r="T96" i="39"/>
  <c r="S57" i="39"/>
  <c r="S58" i="39" s="1"/>
  <c r="S231" i="38"/>
  <c r="S230" i="38"/>
  <c r="S232" i="38"/>
  <c r="S98" i="38"/>
  <c r="S99" i="38" s="1"/>
  <c r="S519" i="38"/>
  <c r="S129" i="40"/>
  <c r="S108" i="40"/>
  <c r="S537" i="38"/>
  <c r="T495" i="38"/>
  <c r="S78" i="38"/>
  <c r="S64" i="38"/>
  <c r="S65" i="38" s="1"/>
  <c r="S67" i="38" s="1"/>
  <c r="S85" i="38"/>
  <c r="T229" i="40"/>
  <c r="T497" i="40"/>
  <c r="T229" i="39"/>
  <c r="T497" i="39"/>
  <c r="S505" i="40"/>
  <c r="S81" i="40"/>
  <c r="S82" i="40" s="1"/>
  <c r="S505" i="39"/>
  <c r="S81" i="39"/>
  <c r="S82" i="39" s="1"/>
  <c r="R60" i="38"/>
  <c r="R7" i="38" s="1"/>
  <c r="R8" i="38" s="1"/>
  <c r="R62" i="38"/>
  <c r="S497" i="36"/>
  <c r="R82" i="36"/>
  <c r="R7" i="36" s="1"/>
  <c r="R8" i="36" s="1"/>
  <c r="R67" i="36"/>
  <c r="S230" i="36"/>
  <c r="S232" i="36"/>
  <c r="S231" i="36"/>
  <c r="R62" i="36"/>
  <c r="S98" i="36"/>
  <c r="S99" i="36" s="1"/>
  <c r="S48" i="36"/>
  <c r="T229" i="41" l="1"/>
  <c r="T497" i="41"/>
  <c r="S57" i="41"/>
  <c r="S58" i="41" s="1"/>
  <c r="T96" i="41"/>
  <c r="S505" i="41"/>
  <c r="S81" i="41"/>
  <c r="S82" i="41" s="1"/>
  <c r="S39" i="40"/>
  <c r="S130" i="40" s="1"/>
  <c r="S41" i="40"/>
  <c r="S45" i="40" s="1"/>
  <c r="S81" i="38"/>
  <c r="S82" i="38" s="1"/>
  <c r="S505" i="38"/>
  <c r="T229" i="38"/>
  <c r="T497" i="38"/>
  <c r="S129" i="38"/>
  <c r="S108" i="38"/>
  <c r="T507" i="39"/>
  <c r="T504" i="39"/>
  <c r="T515" i="39"/>
  <c r="T48" i="39"/>
  <c r="S233" i="38"/>
  <c r="S35" i="38" s="1"/>
  <c r="T507" i="40"/>
  <c r="T504" i="40"/>
  <c r="T515" i="40"/>
  <c r="T48" i="40"/>
  <c r="S110" i="40"/>
  <c r="S111" i="40" s="1"/>
  <c r="S70" i="40"/>
  <c r="S60" i="39"/>
  <c r="S7" i="39" s="1"/>
  <c r="S8" i="39" s="1"/>
  <c r="S62" i="39"/>
  <c r="T232" i="39"/>
  <c r="T230" i="39"/>
  <c r="T231" i="39"/>
  <c r="T98" i="39"/>
  <c r="T99" i="39" s="1"/>
  <c r="S507" i="36"/>
  <c r="S515" i="36"/>
  <c r="S518" i="36" s="1"/>
  <c r="S504" i="36"/>
  <c r="S51" i="36" s="1"/>
  <c r="S129" i="36"/>
  <c r="S108" i="36"/>
  <c r="S53" i="36"/>
  <c r="S49" i="36"/>
  <c r="S50" i="36"/>
  <c r="S233" i="36"/>
  <c r="S35" i="36" s="1"/>
  <c r="T230" i="41" l="1"/>
  <c r="T232" i="41"/>
  <c r="T98" i="41"/>
  <c r="T99" i="41" s="1"/>
  <c r="T231" i="41"/>
  <c r="S60" i="41"/>
  <c r="S62" i="41"/>
  <c r="T507" i="41"/>
  <c r="T515" i="41"/>
  <c r="T504" i="41"/>
  <c r="T48" i="41"/>
  <c r="S521" i="36"/>
  <c r="S536" i="36" s="1"/>
  <c r="S537" i="36" s="1"/>
  <c r="T233" i="39"/>
  <c r="T35" i="39" s="1"/>
  <c r="T46" i="39" s="1"/>
  <c r="T512" i="39"/>
  <c r="T51" i="39"/>
  <c r="T96" i="40"/>
  <c r="S57" i="40"/>
  <c r="S58" i="40" s="1"/>
  <c r="S39" i="38"/>
  <c r="S46" i="38"/>
  <c r="S41" i="38"/>
  <c r="S45" i="38" s="1"/>
  <c r="S110" i="38"/>
  <c r="S111" i="38" s="1"/>
  <c r="S70" i="38"/>
  <c r="T512" i="40"/>
  <c r="T51" i="40"/>
  <c r="T129" i="39"/>
  <c r="T108" i="39"/>
  <c r="T515" i="38"/>
  <c r="T507" i="38"/>
  <c r="T504" i="38"/>
  <c r="T53" i="40"/>
  <c r="T49" i="40"/>
  <c r="T50" i="40"/>
  <c r="T53" i="39"/>
  <c r="T49" i="39"/>
  <c r="T50" i="39"/>
  <c r="T48" i="38"/>
  <c r="T518" i="40"/>
  <c r="T71" i="40" s="1"/>
  <c r="T521" i="40"/>
  <c r="T536" i="40" s="1"/>
  <c r="T521" i="39"/>
  <c r="T536" i="39" s="1"/>
  <c r="T518" i="39"/>
  <c r="T71" i="39" s="1"/>
  <c r="S512" i="36"/>
  <c r="S71" i="36"/>
  <c r="S85" i="36" s="1"/>
  <c r="S110" i="36"/>
  <c r="S111" i="36" s="1"/>
  <c r="S70" i="36"/>
  <c r="S41" i="36"/>
  <c r="S45" i="36" s="1"/>
  <c r="S46" i="36"/>
  <c r="S39" i="36"/>
  <c r="S519" i="36"/>
  <c r="T233" i="41" l="1"/>
  <c r="T35" i="41" s="1"/>
  <c r="T39" i="41" s="1"/>
  <c r="T129" i="41"/>
  <c r="T108" i="41"/>
  <c r="T49" i="41"/>
  <c r="T53" i="41"/>
  <c r="T50" i="41"/>
  <c r="T521" i="41"/>
  <c r="T536" i="41" s="1"/>
  <c r="T518" i="41"/>
  <c r="T71" i="41" s="1"/>
  <c r="T512" i="41"/>
  <c r="T51" i="41"/>
  <c r="T39" i="39"/>
  <c r="T130" i="39" s="1"/>
  <c r="T41" i="39"/>
  <c r="T45" i="39" s="1"/>
  <c r="T519" i="40"/>
  <c r="T537" i="39"/>
  <c r="T537" i="40"/>
  <c r="S60" i="40"/>
  <c r="S7" i="40" s="1"/>
  <c r="S8" i="40" s="1"/>
  <c r="S62" i="40"/>
  <c r="T85" i="40"/>
  <c r="U495" i="40"/>
  <c r="T78" i="40"/>
  <c r="T64" i="40"/>
  <c r="T65" i="40" s="1"/>
  <c r="T67" i="40" s="1"/>
  <c r="T230" i="40"/>
  <c r="T232" i="40"/>
  <c r="T231" i="40"/>
  <c r="T98" i="40"/>
  <c r="T99" i="40" s="1"/>
  <c r="T49" i="38"/>
  <c r="T53" i="38"/>
  <c r="T50" i="38"/>
  <c r="S57" i="38"/>
  <c r="S58" i="38" s="1"/>
  <c r="S60" i="38" s="1"/>
  <c r="T96" i="38"/>
  <c r="T512" i="38"/>
  <c r="T51" i="38"/>
  <c r="T519" i="39"/>
  <c r="U495" i="39"/>
  <c r="T78" i="39"/>
  <c r="T85" i="39"/>
  <c r="T64" i="39"/>
  <c r="T65" i="39" s="1"/>
  <c r="T67" i="39" s="1"/>
  <c r="T521" i="38"/>
  <c r="T536" i="38" s="1"/>
  <c r="T518" i="38"/>
  <c r="T71" i="38" s="1"/>
  <c r="T110" i="39"/>
  <c r="T111" i="39" s="1"/>
  <c r="T70" i="39"/>
  <c r="S130" i="38"/>
  <c r="S78" i="36"/>
  <c r="S64" i="36"/>
  <c r="T495" i="36"/>
  <c r="T229" i="36" s="1"/>
  <c r="T96" i="36"/>
  <c r="S57" i="36"/>
  <c r="S58" i="36" s="1"/>
  <c r="S60" i="36" s="1"/>
  <c r="S130" i="36"/>
  <c r="T41" i="41" l="1"/>
  <c r="T45" i="41" s="1"/>
  <c r="T46" i="41"/>
  <c r="T130" i="41"/>
  <c r="T537" i="41"/>
  <c r="T110" i="41"/>
  <c r="T111" i="41" s="1"/>
  <c r="T70" i="41"/>
  <c r="T78" i="41"/>
  <c r="U495" i="41"/>
  <c r="T85" i="41"/>
  <c r="T64" i="41"/>
  <c r="T65" i="41" s="1"/>
  <c r="T67" i="41" s="1"/>
  <c r="T519" i="41"/>
  <c r="S7" i="38"/>
  <c r="S8" i="38" s="1"/>
  <c r="T519" i="38"/>
  <c r="T233" i="40"/>
  <c r="T35" i="40" s="1"/>
  <c r="T46" i="40" s="1"/>
  <c r="T230" i="38"/>
  <c r="T231" i="38"/>
  <c r="T232" i="38"/>
  <c r="T98" i="38"/>
  <c r="T99" i="38" s="1"/>
  <c r="U96" i="39"/>
  <c r="T57" i="39"/>
  <c r="T58" i="39" s="1"/>
  <c r="U229" i="39"/>
  <c r="U497" i="39"/>
  <c r="T505" i="40"/>
  <c r="T81" i="40"/>
  <c r="T82" i="40" s="1"/>
  <c r="U229" i="40"/>
  <c r="U497" i="40"/>
  <c r="T505" i="39"/>
  <c r="T81" i="39"/>
  <c r="T82" i="39" s="1"/>
  <c r="U495" i="38"/>
  <c r="T78" i="38"/>
  <c r="T64" i="38"/>
  <c r="T65" i="38" s="1"/>
  <c r="T67" i="38" s="1"/>
  <c r="T85" i="38"/>
  <c r="T537" i="38"/>
  <c r="T129" i="40"/>
  <c r="T108" i="40"/>
  <c r="S62" i="38"/>
  <c r="S505" i="36"/>
  <c r="S81" i="36"/>
  <c r="T497" i="36"/>
  <c r="T515" i="36" s="1"/>
  <c r="S65" i="36"/>
  <c r="T231" i="36"/>
  <c r="T230" i="36"/>
  <c r="T232" i="36"/>
  <c r="S62" i="36"/>
  <c r="T48" i="36"/>
  <c r="T98" i="36"/>
  <c r="T99" i="36" s="1"/>
  <c r="T7" i="41" l="1"/>
  <c r="T8" i="41" s="1"/>
  <c r="U229" i="41"/>
  <c r="U497" i="41"/>
  <c r="T81" i="41"/>
  <c r="T82" i="41" s="1"/>
  <c r="T505" i="41"/>
  <c r="T57" i="41"/>
  <c r="T58" i="41" s="1"/>
  <c r="U96" i="41"/>
  <c r="T39" i="40"/>
  <c r="T130" i="40" s="1"/>
  <c r="T41" i="40"/>
  <c r="T45" i="40" s="1"/>
  <c r="T504" i="36"/>
  <c r="T51" i="36" s="1"/>
  <c r="T507" i="36"/>
  <c r="U507" i="40"/>
  <c r="U504" i="40"/>
  <c r="U515" i="40"/>
  <c r="U48" i="39"/>
  <c r="U48" i="40"/>
  <c r="T60" i="39"/>
  <c r="T7" i="39" s="1"/>
  <c r="T8" i="39" s="1"/>
  <c r="T62" i="39"/>
  <c r="U232" i="39"/>
  <c r="U231" i="39"/>
  <c r="U230" i="39"/>
  <c r="U98" i="39"/>
  <c r="U99" i="39" s="1"/>
  <c r="T505" i="38"/>
  <c r="T81" i="38"/>
  <c r="T82" i="38" s="1"/>
  <c r="T108" i="38"/>
  <c r="T129" i="38"/>
  <c r="U229" i="38"/>
  <c r="U497" i="38"/>
  <c r="T110" i="40"/>
  <c r="T111" i="40" s="1"/>
  <c r="T70" i="40"/>
  <c r="U507" i="39"/>
  <c r="U504" i="39"/>
  <c r="U515" i="39"/>
  <c r="T233" i="38"/>
  <c r="T35" i="38" s="1"/>
  <c r="S82" i="36"/>
  <c r="S7" i="36" s="1"/>
  <c r="S8" i="36" s="1"/>
  <c r="S67" i="36"/>
  <c r="T53" i="36"/>
  <c r="T49" i="36"/>
  <c r="T50" i="36"/>
  <c r="T233" i="36"/>
  <c r="T35" i="36" s="1"/>
  <c r="T129" i="36"/>
  <c r="T108" i="36"/>
  <c r="T518" i="36"/>
  <c r="T521" i="36"/>
  <c r="U504" i="41" l="1"/>
  <c r="U515" i="41"/>
  <c r="U507" i="41"/>
  <c r="U98" i="41"/>
  <c r="U99" i="41" s="1"/>
  <c r="U231" i="41"/>
  <c r="U230" i="41"/>
  <c r="U232" i="41"/>
  <c r="T60" i="41"/>
  <c r="T62" i="41"/>
  <c r="U48" i="41"/>
  <c r="T512" i="36"/>
  <c r="U233" i="39"/>
  <c r="U35" i="39" s="1"/>
  <c r="U41" i="39" s="1"/>
  <c r="U45" i="39" s="1"/>
  <c r="U96" i="40"/>
  <c r="T57" i="40"/>
  <c r="T58" i="40" s="1"/>
  <c r="U53" i="40"/>
  <c r="U49" i="40"/>
  <c r="U50" i="40"/>
  <c r="U129" i="39"/>
  <c r="U108" i="39"/>
  <c r="U53" i="39"/>
  <c r="U49" i="39"/>
  <c r="U50" i="39"/>
  <c r="T46" i="38"/>
  <c r="T41" i="38"/>
  <c r="T45" i="38" s="1"/>
  <c r="T39" i="38"/>
  <c r="U507" i="38"/>
  <c r="U504" i="38"/>
  <c r="U515" i="38"/>
  <c r="U518" i="39"/>
  <c r="U71" i="39" s="1"/>
  <c r="U521" i="39"/>
  <c r="U536" i="39" s="1"/>
  <c r="U48" i="38"/>
  <c r="U521" i="40"/>
  <c r="U536" i="40" s="1"/>
  <c r="U518" i="40"/>
  <c r="U71" i="40" s="1"/>
  <c r="U51" i="39"/>
  <c r="U512" i="39"/>
  <c r="U512" i="40"/>
  <c r="U51" i="40"/>
  <c r="T110" i="38"/>
  <c r="T111" i="38" s="1"/>
  <c r="T70" i="38"/>
  <c r="T536" i="36"/>
  <c r="T71" i="36"/>
  <c r="T78" i="36" s="1"/>
  <c r="T519" i="36"/>
  <c r="T110" i="36"/>
  <c r="T111" i="36" s="1"/>
  <c r="T70" i="36"/>
  <c r="T46" i="36"/>
  <c r="T41" i="36"/>
  <c r="T45" i="36" s="1"/>
  <c r="T39" i="36"/>
  <c r="U233" i="41" l="1"/>
  <c r="U35" i="41" s="1"/>
  <c r="U41" i="41" s="1"/>
  <c r="U45" i="41" s="1"/>
  <c r="U129" i="41"/>
  <c r="U108" i="41"/>
  <c r="U53" i="41"/>
  <c r="U50" i="41"/>
  <c r="U49" i="41"/>
  <c r="U518" i="41"/>
  <c r="U71" i="41" s="1"/>
  <c r="U521" i="41"/>
  <c r="U536" i="41" s="1"/>
  <c r="U512" i="41"/>
  <c r="U51" i="41"/>
  <c r="U39" i="39"/>
  <c r="U130" i="39" s="1"/>
  <c r="U46" i="39"/>
  <c r="U519" i="40"/>
  <c r="U537" i="40"/>
  <c r="U519" i="39"/>
  <c r="U78" i="39"/>
  <c r="U64" i="39"/>
  <c r="U65" i="39" s="1"/>
  <c r="U67" i="39" s="1"/>
  <c r="U85" i="39"/>
  <c r="V495" i="39"/>
  <c r="U537" i="39"/>
  <c r="T60" i="40"/>
  <c r="T7" i="40" s="1"/>
  <c r="T8" i="40" s="1"/>
  <c r="T62" i="40"/>
  <c r="U521" i="38"/>
  <c r="U536" i="38" s="1"/>
  <c r="U518" i="38"/>
  <c r="U71" i="38" s="1"/>
  <c r="U231" i="40"/>
  <c r="U232" i="40"/>
  <c r="U230" i="40"/>
  <c r="U98" i="40"/>
  <c r="U99" i="40" s="1"/>
  <c r="V495" i="40"/>
  <c r="U78" i="40"/>
  <c r="U64" i="40"/>
  <c r="U65" i="40" s="1"/>
  <c r="U67" i="40" s="1"/>
  <c r="U85" i="40"/>
  <c r="U512" i="38"/>
  <c r="U51" i="38"/>
  <c r="U110" i="39"/>
  <c r="U111" i="39" s="1"/>
  <c r="U70" i="39"/>
  <c r="U96" i="38"/>
  <c r="T57" i="38"/>
  <c r="T58" i="38" s="1"/>
  <c r="T60" i="38" s="1"/>
  <c r="U53" i="38"/>
  <c r="U49" i="38"/>
  <c r="U50" i="38"/>
  <c r="T130" i="38"/>
  <c r="T64" i="36"/>
  <c r="T65" i="36" s="1"/>
  <c r="T85" i="36"/>
  <c r="U495" i="36"/>
  <c r="U497" i="36" s="1"/>
  <c r="T537" i="36"/>
  <c r="T130" i="36"/>
  <c r="T505" i="36"/>
  <c r="T81" i="36"/>
  <c r="U96" i="36"/>
  <c r="T57" i="36"/>
  <c r="T58" i="36" s="1"/>
  <c r="T60" i="36" s="1"/>
  <c r="U519" i="41" l="1"/>
  <c r="U39" i="41"/>
  <c r="U46" i="41"/>
  <c r="U537" i="41"/>
  <c r="U110" i="41"/>
  <c r="U111" i="41" s="1"/>
  <c r="U70" i="41"/>
  <c r="U130" i="41"/>
  <c r="V495" i="41"/>
  <c r="U78" i="41"/>
  <c r="U64" i="41"/>
  <c r="U65" i="41" s="1"/>
  <c r="U67" i="41" s="1"/>
  <c r="U85" i="41"/>
  <c r="U7" i="41" s="1"/>
  <c r="U8" i="41" s="1"/>
  <c r="T7" i="38"/>
  <c r="T8" i="38" s="1"/>
  <c r="U519" i="38"/>
  <c r="U229" i="36"/>
  <c r="U48" i="36" s="1"/>
  <c r="U537" i="38"/>
  <c r="T62" i="38"/>
  <c r="U505" i="40"/>
  <c r="U81" i="40"/>
  <c r="U82" i="40" s="1"/>
  <c r="V229" i="40"/>
  <c r="V497" i="40"/>
  <c r="U57" i="39"/>
  <c r="U58" i="39" s="1"/>
  <c r="V96" i="39"/>
  <c r="U129" i="40"/>
  <c r="U108" i="40"/>
  <c r="U233" i="40"/>
  <c r="U35" i="40" s="1"/>
  <c r="V229" i="39"/>
  <c r="V497" i="39"/>
  <c r="U231" i="38"/>
  <c r="U232" i="38"/>
  <c r="U230" i="38"/>
  <c r="U98" i="38"/>
  <c r="U99" i="38" s="1"/>
  <c r="U64" i="38"/>
  <c r="U65" i="38" s="1"/>
  <c r="U67" i="38" s="1"/>
  <c r="V495" i="38"/>
  <c r="U78" i="38"/>
  <c r="U85" i="38"/>
  <c r="U505" i="39"/>
  <c r="U81" i="39"/>
  <c r="U82" i="39" s="1"/>
  <c r="T67" i="36"/>
  <c r="T82" i="36"/>
  <c r="T7" i="36" s="1"/>
  <c r="T8" i="36" s="1"/>
  <c r="U232" i="36"/>
  <c r="U230" i="36"/>
  <c r="U231" i="36"/>
  <c r="U98" i="36"/>
  <c r="U99" i="36" s="1"/>
  <c r="U504" i="36"/>
  <c r="U515" i="36"/>
  <c r="U507" i="36"/>
  <c r="T62" i="36"/>
  <c r="U81" i="41" l="1"/>
  <c r="U82" i="41" s="1"/>
  <c r="U505" i="41"/>
  <c r="V229" i="41"/>
  <c r="V497" i="41"/>
  <c r="U57" i="41"/>
  <c r="U58" i="41" s="1"/>
  <c r="V96" i="41"/>
  <c r="U233" i="38"/>
  <c r="U35" i="38" s="1"/>
  <c r="U39" i="38" s="1"/>
  <c r="V232" i="39"/>
  <c r="V231" i="39"/>
  <c r="V230" i="39"/>
  <c r="V98" i="39"/>
  <c r="V99" i="39" s="1"/>
  <c r="U60" i="39"/>
  <c r="U7" i="39" s="1"/>
  <c r="U8" i="39" s="1"/>
  <c r="U62" i="39"/>
  <c r="V504" i="39"/>
  <c r="V515" i="39"/>
  <c r="V507" i="39"/>
  <c r="V507" i="40"/>
  <c r="V504" i="40"/>
  <c r="V515" i="40"/>
  <c r="U505" i="38"/>
  <c r="U81" i="38"/>
  <c r="U82" i="38" s="1"/>
  <c r="V48" i="39"/>
  <c r="V48" i="40"/>
  <c r="V229" i="38"/>
  <c r="V497" i="38"/>
  <c r="U46" i="40"/>
  <c r="U41" i="40"/>
  <c r="U45" i="40" s="1"/>
  <c r="U39" i="40"/>
  <c r="U110" i="40"/>
  <c r="U111" i="40" s="1"/>
  <c r="U70" i="40"/>
  <c r="U129" i="38"/>
  <c r="U108" i="38"/>
  <c r="U233" i="36"/>
  <c r="U35" i="36" s="1"/>
  <c r="U39" i="36" s="1"/>
  <c r="U521" i="36"/>
  <c r="U518" i="36"/>
  <c r="U512" i="36"/>
  <c r="U51" i="36"/>
  <c r="U53" i="36"/>
  <c r="U49" i="36"/>
  <c r="U50" i="36"/>
  <c r="U108" i="36"/>
  <c r="U129" i="36"/>
  <c r="V98" i="41" l="1"/>
  <c r="V99" i="41" s="1"/>
  <c r="V230" i="41"/>
  <c r="V231" i="41"/>
  <c r="V232" i="41"/>
  <c r="U60" i="41"/>
  <c r="U62" i="41"/>
  <c r="V504" i="41"/>
  <c r="V515" i="41"/>
  <c r="V507" i="41"/>
  <c r="V48" i="41"/>
  <c r="U46" i="38"/>
  <c r="U41" i="38"/>
  <c r="U45" i="38" s="1"/>
  <c r="V233" i="39"/>
  <c r="V35" i="39" s="1"/>
  <c r="V41" i="39" s="1"/>
  <c r="V45" i="39" s="1"/>
  <c r="V507" i="38"/>
  <c r="V504" i="38"/>
  <c r="V515" i="38"/>
  <c r="V518" i="40"/>
  <c r="V71" i="40" s="1"/>
  <c r="V521" i="40"/>
  <c r="V536" i="40" s="1"/>
  <c r="V48" i="38"/>
  <c r="V512" i="40"/>
  <c r="V51" i="40"/>
  <c r="V53" i="40"/>
  <c r="V49" i="40"/>
  <c r="V50" i="40"/>
  <c r="U110" i="38"/>
  <c r="U111" i="38" s="1"/>
  <c r="U70" i="38"/>
  <c r="V96" i="40"/>
  <c r="U57" i="40"/>
  <c r="U58" i="40" s="1"/>
  <c r="U60" i="40" s="1"/>
  <c r="V129" i="39"/>
  <c r="V108" i="39"/>
  <c r="V53" i="39"/>
  <c r="V49" i="39"/>
  <c r="V50" i="39"/>
  <c r="V521" i="39"/>
  <c r="V536" i="39" s="1"/>
  <c r="V518" i="39"/>
  <c r="V71" i="39" s="1"/>
  <c r="U130" i="40"/>
  <c r="V512" i="39"/>
  <c r="V51" i="39"/>
  <c r="U130" i="38"/>
  <c r="U71" i="36"/>
  <c r="U536" i="36"/>
  <c r="U537" i="36" s="1"/>
  <c r="U41" i="36"/>
  <c r="U45" i="36" s="1"/>
  <c r="U46" i="36"/>
  <c r="U519" i="36"/>
  <c r="U110" i="36"/>
  <c r="U111" i="36" s="1"/>
  <c r="U70" i="36"/>
  <c r="U130" i="36"/>
  <c r="V233" i="41" l="1"/>
  <c r="V35" i="41" s="1"/>
  <c r="V41" i="41" s="1"/>
  <c r="V45" i="41" s="1"/>
  <c r="V51" i="41"/>
  <c r="V512" i="41"/>
  <c r="V521" i="41"/>
  <c r="V536" i="41" s="1"/>
  <c r="V518" i="41"/>
  <c r="V71" i="41" s="1"/>
  <c r="V53" i="41"/>
  <c r="V49" i="41"/>
  <c r="V50" i="41"/>
  <c r="V129" i="41"/>
  <c r="V108" i="41"/>
  <c r="U7" i="40"/>
  <c r="U8" i="40" s="1"/>
  <c r="V46" i="39"/>
  <c r="V39" i="39"/>
  <c r="V130" i="39" s="1"/>
  <c r="U62" i="40"/>
  <c r="V519" i="40"/>
  <c r="V231" i="40"/>
  <c r="V230" i="40"/>
  <c r="V232" i="40"/>
  <c r="V98" i="40"/>
  <c r="V99" i="40" s="1"/>
  <c r="U57" i="38"/>
  <c r="U58" i="38" s="1"/>
  <c r="V96" i="38"/>
  <c r="V53" i="38"/>
  <c r="V49" i="38"/>
  <c r="V50" i="38"/>
  <c r="V537" i="39"/>
  <c r="V110" i="39"/>
  <c r="V111" i="39" s="1"/>
  <c r="V70" i="39"/>
  <c r="V537" i="40"/>
  <c r="V64" i="40"/>
  <c r="V65" i="40" s="1"/>
  <c r="V67" i="40" s="1"/>
  <c r="V85" i="40"/>
  <c r="W495" i="40"/>
  <c r="V78" i="40"/>
  <c r="V521" i="38"/>
  <c r="V536" i="38" s="1"/>
  <c r="V518" i="38"/>
  <c r="V71" i="38" s="1"/>
  <c r="V519" i="39"/>
  <c r="V512" i="38"/>
  <c r="V51" i="38"/>
  <c r="V85" i="39"/>
  <c r="V64" i="39"/>
  <c r="V65" i="39" s="1"/>
  <c r="V67" i="39" s="1"/>
  <c r="W495" i="39"/>
  <c r="V78" i="39"/>
  <c r="U85" i="36"/>
  <c r="V495" i="36"/>
  <c r="U78" i="36"/>
  <c r="U505" i="36" s="1"/>
  <c r="U64" i="36"/>
  <c r="U57" i="36"/>
  <c r="U58" i="36" s="1"/>
  <c r="V96" i="36"/>
  <c r="V39" i="41" l="1"/>
  <c r="V130" i="41" s="1"/>
  <c r="V46" i="41"/>
  <c r="V519" i="41"/>
  <c r="V537" i="41"/>
  <c r="V78" i="41"/>
  <c r="V64" i="41"/>
  <c r="V65" i="41" s="1"/>
  <c r="V67" i="41" s="1"/>
  <c r="V85" i="41"/>
  <c r="V7" i="41" s="1"/>
  <c r="V8" i="41" s="1"/>
  <c r="W495" i="41"/>
  <c r="V110" i="41"/>
  <c r="V111" i="41" s="1"/>
  <c r="V70" i="41"/>
  <c r="V519" i="38"/>
  <c r="V505" i="39"/>
  <c r="V81" i="39"/>
  <c r="V82" i="39" s="1"/>
  <c r="W495" i="38"/>
  <c r="V64" i="38"/>
  <c r="V65" i="38" s="1"/>
  <c r="V67" i="38" s="1"/>
  <c r="V85" i="38"/>
  <c r="V78" i="38"/>
  <c r="W229" i="39"/>
  <c r="W497" i="39"/>
  <c r="U60" i="38"/>
  <c r="U7" i="38" s="1"/>
  <c r="U8" i="38" s="1"/>
  <c r="U62" i="38"/>
  <c r="V505" i="40"/>
  <c r="V81" i="40"/>
  <c r="V82" i="40" s="1"/>
  <c r="W229" i="40"/>
  <c r="W497" i="40"/>
  <c r="V537" i="38"/>
  <c r="V129" i="40"/>
  <c r="V108" i="40"/>
  <c r="V57" i="39"/>
  <c r="V58" i="39" s="1"/>
  <c r="W96" i="39"/>
  <c r="V233" i="40"/>
  <c r="V35" i="40" s="1"/>
  <c r="V230" i="38"/>
  <c r="V231" i="38"/>
  <c r="V232" i="38"/>
  <c r="V98" i="38"/>
  <c r="V99" i="38" s="1"/>
  <c r="U81" i="36"/>
  <c r="U82" i="36" s="1"/>
  <c r="V497" i="36"/>
  <c r="V507" i="36" s="1"/>
  <c r="V229" i="36"/>
  <c r="U65" i="36"/>
  <c r="V230" i="36"/>
  <c r="V232" i="36"/>
  <c r="V231" i="36"/>
  <c r="V98" i="36"/>
  <c r="V99" i="36" s="1"/>
  <c r="U60" i="36"/>
  <c r="U62" i="36"/>
  <c r="V57" i="41" l="1"/>
  <c r="V58" i="41" s="1"/>
  <c r="W96" i="41"/>
  <c r="W229" i="41"/>
  <c r="W497" i="41"/>
  <c r="V81" i="41"/>
  <c r="V82" i="41" s="1"/>
  <c r="V505" i="41"/>
  <c r="U7" i="36"/>
  <c r="U8" i="36" s="1"/>
  <c r="W515" i="39"/>
  <c r="W504" i="39"/>
  <c r="W507" i="39"/>
  <c r="W48" i="39"/>
  <c r="V233" i="38"/>
  <c r="V35" i="38" s="1"/>
  <c r="W507" i="40"/>
  <c r="W504" i="40"/>
  <c r="W515" i="40"/>
  <c r="V505" i="38"/>
  <c r="V81" i="38"/>
  <c r="V82" i="38" s="1"/>
  <c r="V46" i="40"/>
  <c r="V41" i="40"/>
  <c r="V45" i="40" s="1"/>
  <c r="V39" i="40"/>
  <c r="W48" i="40"/>
  <c r="W232" i="39"/>
  <c r="W230" i="39"/>
  <c r="W231" i="39"/>
  <c r="W98" i="39"/>
  <c r="W99" i="39" s="1"/>
  <c r="W229" i="38"/>
  <c r="W497" i="38"/>
  <c r="V60" i="39"/>
  <c r="V7" i="39" s="1"/>
  <c r="V8" i="39" s="1"/>
  <c r="V62" i="39"/>
  <c r="V108" i="38"/>
  <c r="V129" i="38"/>
  <c r="V110" i="40"/>
  <c r="V111" i="40" s="1"/>
  <c r="V70" i="40"/>
  <c r="V515" i="36"/>
  <c r="V504" i="36"/>
  <c r="U67" i="36"/>
  <c r="V48" i="36"/>
  <c r="V49" i="36" s="1"/>
  <c r="V129" i="36"/>
  <c r="V108" i="36"/>
  <c r="V233" i="36"/>
  <c r="V35" i="36" s="1"/>
  <c r="W507" i="41" l="1"/>
  <c r="W504" i="41"/>
  <c r="W515" i="41"/>
  <c r="W48" i="41"/>
  <c r="W98" i="41"/>
  <c r="W99" i="41" s="1"/>
  <c r="W232" i="41"/>
  <c r="W231" i="41"/>
  <c r="W230" i="41"/>
  <c r="V60" i="41"/>
  <c r="V62" i="41"/>
  <c r="W233" i="39"/>
  <c r="W35" i="39" s="1"/>
  <c r="W46" i="39" s="1"/>
  <c r="W53" i="40"/>
  <c r="W49" i="40"/>
  <c r="W50" i="40"/>
  <c r="W512" i="40"/>
  <c r="W51" i="40"/>
  <c r="W515" i="38"/>
  <c r="W504" i="38"/>
  <c r="W507" i="38"/>
  <c r="V130" i="40"/>
  <c r="V41" i="38"/>
  <c r="V45" i="38" s="1"/>
  <c r="V46" i="38"/>
  <c r="V39" i="38"/>
  <c r="W48" i="38"/>
  <c r="W53" i="39"/>
  <c r="W49" i="39"/>
  <c r="W50" i="39"/>
  <c r="W96" i="40"/>
  <c r="V57" i="40"/>
  <c r="V58" i="40" s="1"/>
  <c r="V60" i="40" s="1"/>
  <c r="W129" i="39"/>
  <c r="W108" i="39"/>
  <c r="W512" i="39"/>
  <c r="W51" i="39"/>
  <c r="V110" i="38"/>
  <c r="V111" i="38" s="1"/>
  <c r="V70" i="38"/>
  <c r="W521" i="40"/>
  <c r="W536" i="40" s="1"/>
  <c r="W518" i="40"/>
  <c r="W71" i="40" s="1"/>
  <c r="W521" i="39"/>
  <c r="W536" i="39" s="1"/>
  <c r="W518" i="39"/>
  <c r="W71" i="39" s="1"/>
  <c r="V53" i="36"/>
  <c r="V521" i="36"/>
  <c r="V536" i="36" s="1"/>
  <c r="V51" i="36"/>
  <c r="V512" i="36"/>
  <c r="V50" i="36"/>
  <c r="V518" i="36"/>
  <c r="V41" i="36"/>
  <c r="V45" i="36" s="1"/>
  <c r="V46" i="36"/>
  <c r="V39" i="36"/>
  <c r="V110" i="36"/>
  <c r="V111" i="36" s="1"/>
  <c r="V70" i="36"/>
  <c r="W233" i="41" l="1"/>
  <c r="W35" i="41" s="1"/>
  <c r="W39" i="41" s="1"/>
  <c r="W129" i="41"/>
  <c r="W108" i="41"/>
  <c r="W49" i="41"/>
  <c r="W53" i="41"/>
  <c r="W50" i="41"/>
  <c r="W518" i="41"/>
  <c r="W71" i="41" s="1"/>
  <c r="W521" i="41"/>
  <c r="W536" i="41" s="1"/>
  <c r="W512" i="41"/>
  <c r="W51" i="41"/>
  <c r="V7" i="40"/>
  <c r="V8" i="40" s="1"/>
  <c r="W39" i="39"/>
  <c r="W130" i="39" s="1"/>
  <c r="W41" i="39"/>
  <c r="W45" i="39" s="1"/>
  <c r="W519" i="39"/>
  <c r="V57" i="38"/>
  <c r="V58" i="38" s="1"/>
  <c r="V60" i="38" s="1"/>
  <c r="W96" i="38"/>
  <c r="W231" i="40"/>
  <c r="W230" i="40"/>
  <c r="W232" i="40"/>
  <c r="W98" i="40"/>
  <c r="W99" i="40" s="1"/>
  <c r="V130" i="38"/>
  <c r="V62" i="40"/>
  <c r="W537" i="40"/>
  <c r="X495" i="40"/>
  <c r="W78" i="40"/>
  <c r="W85" i="40"/>
  <c r="W64" i="40"/>
  <c r="W65" i="40" s="1"/>
  <c r="W67" i="40" s="1"/>
  <c r="W537" i="39"/>
  <c r="X495" i="39"/>
  <c r="W78" i="39"/>
  <c r="W64" i="39"/>
  <c r="W65" i="39" s="1"/>
  <c r="W67" i="39" s="1"/>
  <c r="W85" i="39"/>
  <c r="W110" i="39"/>
  <c r="W111" i="39" s="1"/>
  <c r="W70" i="39"/>
  <c r="W53" i="38"/>
  <c r="W49" i="38"/>
  <c r="W50" i="38"/>
  <c r="W51" i="38"/>
  <c r="W512" i="38"/>
  <c r="W519" i="40"/>
  <c r="W521" i="38"/>
  <c r="W536" i="38" s="1"/>
  <c r="W518" i="38"/>
  <c r="W71" i="38" s="1"/>
  <c r="V519" i="36"/>
  <c r="V71" i="36"/>
  <c r="W495" i="36" s="1"/>
  <c r="V537" i="36"/>
  <c r="V57" i="36"/>
  <c r="V58" i="36" s="1"/>
  <c r="V60" i="36" s="1"/>
  <c r="W96" i="36"/>
  <c r="V130" i="36"/>
  <c r="W41" i="41" l="1"/>
  <c r="W45" i="41" s="1"/>
  <c r="W46" i="41"/>
  <c r="W519" i="41"/>
  <c r="W537" i="41"/>
  <c r="W110" i="41"/>
  <c r="W111" i="41" s="1"/>
  <c r="W70" i="41"/>
  <c r="X495" i="41"/>
  <c r="W85" i="41"/>
  <c r="W78" i="41"/>
  <c r="W64" i="41"/>
  <c r="W65" i="41" s="1"/>
  <c r="W67" i="41" s="1"/>
  <c r="W130" i="41"/>
  <c r="V7" i="38"/>
  <c r="V8" i="38" s="1"/>
  <c r="W233" i="40"/>
  <c r="W35" i="40" s="1"/>
  <c r="W39" i="40" s="1"/>
  <c r="W519" i="38"/>
  <c r="V62" i="38"/>
  <c r="W108" i="40"/>
  <c r="W129" i="40"/>
  <c r="W505" i="40"/>
  <c r="W81" i="40"/>
  <c r="W82" i="40" s="1"/>
  <c r="X229" i="40"/>
  <c r="X497" i="40"/>
  <c r="W537" i="38"/>
  <c r="W505" i="39"/>
  <c r="W81" i="39"/>
  <c r="W82" i="39" s="1"/>
  <c r="X229" i="39"/>
  <c r="X497" i="39"/>
  <c r="W230" i="38"/>
  <c r="W231" i="38"/>
  <c r="W232" i="38"/>
  <c r="W98" i="38"/>
  <c r="W99" i="38" s="1"/>
  <c r="W85" i="38"/>
  <c r="W78" i="38"/>
  <c r="W64" i="38"/>
  <c r="W65" i="38" s="1"/>
  <c r="W67" i="38" s="1"/>
  <c r="X495" i="38"/>
  <c r="X96" i="39"/>
  <c r="W57" i="39"/>
  <c r="W58" i="39" s="1"/>
  <c r="V64" i="36"/>
  <c r="V85" i="36"/>
  <c r="V78" i="36"/>
  <c r="W229" i="36"/>
  <c r="W497" i="36"/>
  <c r="W231" i="36"/>
  <c r="W232" i="36"/>
  <c r="W230" i="36"/>
  <c r="V62" i="36"/>
  <c r="W98" i="36"/>
  <c r="W99" i="36" s="1"/>
  <c r="W7" i="41" l="1"/>
  <c r="W8" i="41" s="1"/>
  <c r="W81" i="41"/>
  <c r="W82" i="41" s="1"/>
  <c r="W505" i="41"/>
  <c r="X229" i="41"/>
  <c r="X497" i="41"/>
  <c r="W57" i="41"/>
  <c r="W58" i="41" s="1"/>
  <c r="X96" i="41"/>
  <c r="W46" i="40"/>
  <c r="W41" i="40"/>
  <c r="W45" i="40" s="1"/>
  <c r="X229" i="38"/>
  <c r="X497" i="38"/>
  <c r="W233" i="38"/>
  <c r="W35" i="38" s="1"/>
  <c r="W130" i="40"/>
  <c r="X507" i="39"/>
  <c r="X515" i="39"/>
  <c r="X504" i="39"/>
  <c r="X48" i="40"/>
  <c r="W505" i="38"/>
  <c r="W81" i="38"/>
  <c r="W82" i="38" s="1"/>
  <c r="X48" i="39"/>
  <c r="X231" i="39"/>
  <c r="X230" i="39"/>
  <c r="X232" i="39"/>
  <c r="X98" i="39"/>
  <c r="X99" i="39" s="1"/>
  <c r="W129" i="38"/>
  <c r="W108" i="38"/>
  <c r="W60" i="39"/>
  <c r="W7" i="39" s="1"/>
  <c r="W8" i="39" s="1"/>
  <c r="W62" i="39"/>
  <c r="X507" i="40"/>
  <c r="X504" i="40"/>
  <c r="X515" i="40"/>
  <c r="W110" i="40"/>
  <c r="W111" i="40" s="1"/>
  <c r="W70" i="40"/>
  <c r="W507" i="36"/>
  <c r="W504" i="36"/>
  <c r="W51" i="36" s="1"/>
  <c r="W48" i="36"/>
  <c r="V65" i="36"/>
  <c r="W515" i="36"/>
  <c r="V81" i="36"/>
  <c r="V505" i="36"/>
  <c r="W233" i="36"/>
  <c r="W35" i="36" s="1"/>
  <c r="W41" i="36" s="1"/>
  <c r="W45" i="36" s="1"/>
  <c r="W129" i="36"/>
  <c r="W108" i="36"/>
  <c r="X98" i="41" l="1"/>
  <c r="X99" i="41" s="1"/>
  <c r="X232" i="41"/>
  <c r="X230" i="41"/>
  <c r="X231" i="41"/>
  <c r="X233" i="41" s="1"/>
  <c r="X35" i="41" s="1"/>
  <c r="W60" i="41"/>
  <c r="W62" i="41"/>
  <c r="X507" i="41"/>
  <c r="X504" i="41"/>
  <c r="X515" i="41"/>
  <c r="X48" i="41"/>
  <c r="W512" i="36"/>
  <c r="X233" i="39"/>
  <c r="X35" i="39" s="1"/>
  <c r="X41" i="39" s="1"/>
  <c r="X45" i="39" s="1"/>
  <c r="X512" i="40"/>
  <c r="X51" i="40"/>
  <c r="X51" i="39"/>
  <c r="X512" i="39"/>
  <c r="X521" i="39"/>
  <c r="X536" i="39" s="1"/>
  <c r="X518" i="39"/>
  <c r="X71" i="39" s="1"/>
  <c r="X53" i="39"/>
  <c r="X49" i="39"/>
  <c r="X50" i="39"/>
  <c r="W110" i="38"/>
  <c r="W111" i="38" s="1"/>
  <c r="W70" i="38"/>
  <c r="X96" i="40"/>
  <c r="W57" i="40"/>
  <c r="W58" i="40" s="1"/>
  <c r="W46" i="38"/>
  <c r="W41" i="38"/>
  <c r="W45" i="38" s="1"/>
  <c r="W39" i="38"/>
  <c r="X129" i="39"/>
  <c r="X108" i="39"/>
  <c r="X49" i="40"/>
  <c r="X53" i="40"/>
  <c r="X50" i="40"/>
  <c r="X504" i="38"/>
  <c r="X507" i="38"/>
  <c r="X515" i="38"/>
  <c r="X521" i="40"/>
  <c r="X536" i="40" s="1"/>
  <c r="X518" i="40"/>
  <c r="X71" i="40" s="1"/>
  <c r="X48" i="38"/>
  <c r="W518" i="36"/>
  <c r="W71" i="36" s="1"/>
  <c r="X495" i="36" s="1"/>
  <c r="W521" i="36"/>
  <c r="W50" i="36"/>
  <c r="W49" i="36"/>
  <c r="V67" i="36"/>
  <c r="W53" i="36"/>
  <c r="V82" i="36"/>
  <c r="V7" i="36" s="1"/>
  <c r="V8" i="36" s="1"/>
  <c r="W39" i="36"/>
  <c r="W130" i="36" s="1"/>
  <c r="W46" i="36"/>
  <c r="W110" i="36"/>
  <c r="W111" i="36" s="1"/>
  <c r="W70" i="36"/>
  <c r="X39" i="41" l="1"/>
  <c r="X46" i="41"/>
  <c r="X41" i="41"/>
  <c r="X45" i="41" s="1"/>
  <c r="X512" i="41"/>
  <c r="X51" i="41"/>
  <c r="X53" i="41"/>
  <c r="X49" i="41"/>
  <c r="X50" i="41"/>
  <c r="X521" i="41"/>
  <c r="X536" i="41" s="1"/>
  <c r="X518" i="41"/>
  <c r="X71" i="41" s="1"/>
  <c r="X108" i="41"/>
  <c r="X129" i="41"/>
  <c r="X39" i="39"/>
  <c r="X130" i="39" s="1"/>
  <c r="X519" i="39"/>
  <c r="X46" i="39"/>
  <c r="X537" i="40"/>
  <c r="W519" i="36"/>
  <c r="X78" i="40"/>
  <c r="X85" i="40"/>
  <c r="X64" i="40"/>
  <c r="X65" i="40" s="1"/>
  <c r="X67" i="40" s="1"/>
  <c r="X110" i="39"/>
  <c r="X111" i="39" s="1"/>
  <c r="X70" i="39"/>
  <c r="X57" i="39" s="1"/>
  <c r="X58" i="39" s="1"/>
  <c r="X60" i="39" s="1"/>
  <c r="W57" i="38"/>
  <c r="W58" i="38" s="1"/>
  <c r="W60" i="38" s="1"/>
  <c r="X96" i="38"/>
  <c r="X521" i="38"/>
  <c r="X536" i="38" s="1"/>
  <c r="X518" i="38"/>
  <c r="X71" i="38" s="1"/>
  <c r="W130" i="38"/>
  <c r="X537" i="39"/>
  <c r="X230" i="40"/>
  <c r="X231" i="40"/>
  <c r="X232" i="40"/>
  <c r="X98" i="40"/>
  <c r="X99" i="40" s="1"/>
  <c r="X53" i="38"/>
  <c r="X49" i="38"/>
  <c r="X50" i="38"/>
  <c r="X512" i="38"/>
  <c r="X51" i="38"/>
  <c r="X519" i="40"/>
  <c r="W60" i="40"/>
  <c r="W7" i="40" s="1"/>
  <c r="W8" i="40" s="1"/>
  <c r="W62" i="40"/>
  <c r="X64" i="39"/>
  <c r="X65" i="39" s="1"/>
  <c r="X67" i="39" s="1"/>
  <c r="X85" i="39"/>
  <c r="X78" i="39"/>
  <c r="W536" i="36"/>
  <c r="W85" i="36"/>
  <c r="W64" i="36"/>
  <c r="W78" i="36"/>
  <c r="X229" i="36"/>
  <c r="X497" i="36"/>
  <c r="X96" i="36"/>
  <c r="W57" i="36"/>
  <c r="W58" i="36" s="1"/>
  <c r="X110" i="41" l="1"/>
  <c r="X111" i="41" s="1"/>
  <c r="X70" i="41"/>
  <c r="X57" i="41" s="1"/>
  <c r="X58" i="41" s="1"/>
  <c r="X60" i="41" s="1"/>
  <c r="X519" i="41"/>
  <c r="X78" i="41"/>
  <c r="X85" i="41"/>
  <c r="X64" i="41"/>
  <c r="X65" i="41" s="1"/>
  <c r="X67" i="41" s="1"/>
  <c r="X537" i="41"/>
  <c r="X130" i="41"/>
  <c r="W7" i="38"/>
  <c r="W8" i="38" s="1"/>
  <c r="X537" i="38"/>
  <c r="X519" i="38"/>
  <c r="W62" i="38"/>
  <c r="X505" i="39"/>
  <c r="X81" i="39"/>
  <c r="X82" i="39" s="1"/>
  <c r="X233" i="40"/>
  <c r="X35" i="40" s="1"/>
  <c r="X231" i="38"/>
  <c r="X232" i="38"/>
  <c r="X230" i="38"/>
  <c r="X98" i="38"/>
  <c r="X99" i="38" s="1"/>
  <c r="X129" i="40"/>
  <c r="X108" i="40"/>
  <c r="X78" i="38"/>
  <c r="X64" i="38"/>
  <c r="X65" i="38" s="1"/>
  <c r="X67" i="38" s="1"/>
  <c r="X85" i="38"/>
  <c r="X62" i="39"/>
  <c r="X505" i="40"/>
  <c r="X81" i="40"/>
  <c r="X82" i="40" s="1"/>
  <c r="W537" i="36"/>
  <c r="W65" i="36"/>
  <c r="W81" i="36"/>
  <c r="W505" i="36"/>
  <c r="X232" i="36"/>
  <c r="X231" i="36"/>
  <c r="X230" i="36"/>
  <c r="X98" i="36"/>
  <c r="X515" i="36"/>
  <c r="X504" i="36"/>
  <c r="X507" i="36"/>
  <c r="W60" i="36"/>
  <c r="W62" i="36"/>
  <c r="X48" i="36"/>
  <c r="X7" i="41" l="1"/>
  <c r="X8" i="41" s="1"/>
  <c r="X505" i="41"/>
  <c r="X81" i="41"/>
  <c r="X82" i="41" s="1"/>
  <c r="X62" i="41"/>
  <c r="X7" i="39"/>
  <c r="X8" i="39" s="1"/>
  <c r="X233" i="38"/>
  <c r="X35" i="38" s="1"/>
  <c r="X46" i="38" s="1"/>
  <c r="X129" i="38"/>
  <c r="X108" i="38"/>
  <c r="X46" i="40"/>
  <c r="X41" i="40"/>
  <c r="X45" i="40" s="1"/>
  <c r="X7" i="40" s="1"/>
  <c r="X8" i="40" s="1"/>
  <c r="X39" i="40"/>
  <c r="X505" i="38"/>
  <c r="X81" i="38"/>
  <c r="X82" i="38" s="1"/>
  <c r="X110" i="40"/>
  <c r="X111" i="40" s="1"/>
  <c r="X70" i="40"/>
  <c r="X57" i="40" s="1"/>
  <c r="X58" i="40" s="1"/>
  <c r="X60" i="40" s="1"/>
  <c r="W67" i="36"/>
  <c r="W82" i="36"/>
  <c r="W7" i="36" s="1"/>
  <c r="W8" i="36" s="1"/>
  <c r="X99" i="36"/>
  <c r="X129" i="36" s="1"/>
  <c r="X233" i="36"/>
  <c r="X49" i="36"/>
  <c r="X53" i="36"/>
  <c r="X50" i="36"/>
  <c r="X512" i="36"/>
  <c r="X51" i="36"/>
  <c r="X521" i="36"/>
  <c r="X518" i="36"/>
  <c r="X41" i="38" l="1"/>
  <c r="X45" i="38" s="1"/>
  <c r="X39" i="38"/>
  <c r="X130" i="38" s="1"/>
  <c r="X130" i="40"/>
  <c r="X62" i="40"/>
  <c r="X110" i="38"/>
  <c r="X111" i="38" s="1"/>
  <c r="X70" i="38"/>
  <c r="X57" i="38" s="1"/>
  <c r="X58" i="38" s="1"/>
  <c r="X60" i="38" s="1"/>
  <c r="X108" i="36"/>
  <c r="X110" i="36" s="1"/>
  <c r="X35" i="36"/>
  <c r="X41" i="36" s="1"/>
  <c r="X71" i="36"/>
  <c r="X536" i="36"/>
  <c r="X519" i="36"/>
  <c r="X7" i="38" l="1"/>
  <c r="X8" i="38" s="1"/>
  <c r="X62" i="38"/>
  <c r="X64" i="36"/>
  <c r="X65" i="36" s="1"/>
  <c r="X70" i="36"/>
  <c r="X57" i="36" s="1"/>
  <c r="X85" i="36"/>
  <c r="X78" i="36"/>
  <c r="X39" i="36"/>
  <c r="X130" i="36" s="1"/>
  <c r="X537" i="36"/>
  <c r="X45" i="36"/>
  <c r="X111" i="36"/>
  <c r="X46" i="36"/>
  <c r="X505" i="36" l="1"/>
  <c r="X81" i="36"/>
  <c r="X58" i="36"/>
  <c r="X67" i="36"/>
  <c r="X82" i="36" l="1"/>
  <c r="X60" i="36"/>
  <c r="X62" i="36"/>
  <c r="X7" i="36" l="1"/>
  <c r="X8"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7" authorId="0" shapeId="0" xr:uid="{BAE68FC5-2A4B-4BE0-9500-EEF0AE79C865}">
      <text>
        <r>
          <rPr>
            <sz val="9"/>
            <color indexed="81"/>
            <rFont val="Tahoma"/>
            <family val="2"/>
          </rPr>
          <t xml:space="preserve">Non-Earners' Account and non-earners' share of the Treatment Injury Account is paid by the government. Hence those shares of the levy income are removed in the preparation of consolidated accounts.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89830A34-B1EA-404E-992F-75ABA54C065A}">
      <text>
        <r>
          <rPr>
            <sz val="9"/>
            <color indexed="81"/>
            <rFont val="Tahoma"/>
            <family val="2"/>
          </rPr>
          <t xml:space="preserve">NAC stands for Needed As Check. The data in this row is not actually picked up in the model itself, but is used as a check on other data in this worksheet.
</t>
        </r>
      </text>
    </comment>
    <comment ref="B10" authorId="0" shapeId="0" xr:uid="{AB555A6F-7582-4AB6-9184-ABDC686AE1A5}">
      <text>
        <r>
          <rPr>
            <sz val="9"/>
            <color indexed="81"/>
            <rFont val="Tahoma"/>
            <family val="2"/>
          </rPr>
          <t xml:space="preserve">UIM stands for Used In Model. The data in this row is directly referenced in the main modelling worksheets of the model.
</t>
        </r>
      </text>
    </comment>
    <comment ref="A147" authorId="0" shapeId="0" xr:uid="{A34BBC6C-8FC7-434F-A0F6-DDFB9AA3AB38}">
      <text>
        <r>
          <rPr>
            <sz val="9"/>
            <color indexed="81"/>
            <rFont val="Tahoma"/>
            <family val="2"/>
          </rPr>
          <t>Includes unsettled purchases of securities, which are classified as accounts payable in the Statement of Financial Position.</t>
        </r>
      </text>
    </comment>
    <comment ref="A153" authorId="0" shapeId="0" xr:uid="{BB776F47-ADC2-429E-8AAD-1DAA6D2E5363}">
      <text>
        <r>
          <rPr>
            <sz val="9"/>
            <color indexed="81"/>
            <rFont val="Tahoma"/>
            <family val="2"/>
          </rPr>
          <t>Includes unsettled purchases of securities, which are classified as accounts payable in the Statement of Financial Position.</t>
        </r>
      </text>
    </comment>
    <comment ref="A170" authorId="0" shapeId="0" xr:uid="{9FFACE3B-9D11-45F4-99CE-E8B689511CA9}">
      <text>
        <r>
          <rPr>
            <sz val="9"/>
            <color indexed="81"/>
            <rFont val="Tahoma"/>
            <family val="2"/>
          </rPr>
          <t>In the Statement of Segments this variable is labelled Social assistance and official development assistance, but it is exactly the same variable which is labelled Transfer payments and subsidies in the Statement of Financial Performance.</t>
        </r>
      </text>
    </comment>
    <comment ref="A204" authorId="0" shapeId="0" xr:uid="{507A74F1-BE2F-445B-9557-965B852EA8ED}">
      <text>
        <r>
          <rPr>
            <sz val="9"/>
            <color indexed="81"/>
            <rFont val="Tahoma"/>
            <family val="2"/>
          </rPr>
          <t xml:space="preserve">Often there are no inter-segment eliminations for Insurance expenses and this is what is assumed in projected years. However, occasionally they occur in historical and forecast years, and, if they do, they are normally very small. In such cases they are included with State-owned enterprises numbers. </t>
        </r>
      </text>
    </comment>
    <comment ref="A240" authorId="0" shapeId="0" xr:uid="{A7D22ECA-3BAA-4A28-9832-B67A120E7939}">
      <text>
        <r>
          <rPr>
            <sz val="9"/>
            <color indexed="81"/>
            <rFont val="Tahoma"/>
            <family val="2"/>
          </rPr>
          <t xml:space="preserve">Often there is no State-owned enterprises Dividend revenue and this is what is assumed in projected years. However, occasionally it occurs in historical and forecast years, and, if it does, it is normally very small. In such cases it is included with Inter-segment eliminations numbers. </t>
        </r>
      </text>
    </comment>
    <comment ref="A262" authorId="0" shapeId="0" xr:uid="{3750AAE9-EE24-4486-A001-B29AE97F062F}">
      <text>
        <r>
          <rPr>
            <sz val="9"/>
            <color indexed="81"/>
            <rFont val="Tahoma"/>
            <family val="2"/>
          </rPr>
          <t xml:space="preserve">Often there are no inter-segment eliminations for Depreciation expenses and this is what is assumed in projected years. However, occasionally they occur in historical and forecast years, and, if they do, they are normally very small. In such cases they are included with State-owned enterprises numbers. </t>
        </r>
      </text>
    </comment>
    <comment ref="A267" authorId="0" shapeId="0" xr:uid="{C4E9CDFA-9C56-4D3D-91FC-666472B4DD5A}">
      <text>
        <r>
          <rPr>
            <sz val="9"/>
            <color indexed="81"/>
            <rFont val="Tahoma"/>
            <family val="2"/>
          </rPr>
          <t xml:space="preserve">Often there are no inter-segment eliminations for Amortisation expenses and this is what is assumed in projected years. However, occasionally they occur in historical and forecast years, and, if they do, they are normally very small. In such cases they are included with State-owned enterprises numbers. </t>
        </r>
      </text>
    </comment>
    <comment ref="D351" authorId="0" shapeId="0" xr:uid="{3A3740EE-E7BC-4E3C-8A71-C0D2CBBFEAE3}">
      <text>
        <r>
          <rPr>
            <sz val="9"/>
            <color indexed="81"/>
            <rFont val="Tahoma"/>
            <family val="2"/>
          </rPr>
          <t xml:space="preserve">Adjustment made for accounting measurement change to previous year
</t>
        </r>
      </text>
    </comment>
    <comment ref="D368" authorId="0" shapeId="0" xr:uid="{0C775A55-F5FD-4920-B039-F164BA539869}">
      <text>
        <r>
          <rPr>
            <sz val="9"/>
            <color indexed="81"/>
            <rFont val="Tahoma"/>
            <family val="2"/>
          </rPr>
          <t xml:space="preserve">Adjustment made for accounting measurement change to previous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<sst xmlns="http://schemas.openxmlformats.org/spreadsheetml/2006/main" count="4285" uniqueCount="1475">
  <si>
    <t>STATISTICS NEW ZEALAND OUTTURNS AND PROJECTIONS OF RESIDENT POPULATION OF NEW ZEALAND AND LABOUR FORCE, BY SINGLE YEAR OF AGE AND GENDER, AS AT 30 JUNE</t>
  </si>
  <si>
    <t>Historical population data</t>
  </si>
  <si>
    <t>Labour Force projections use</t>
  </si>
  <si>
    <t>Year ended 30 June</t>
  </si>
  <si>
    <t>Population (millions)</t>
  </si>
  <si>
    <t>Annual growth (%)</t>
  </si>
  <si>
    <t>Working-age popn (15+, millions)</t>
  </si>
  <si>
    <t>Labour Force (LF, millions)</t>
  </si>
  <si>
    <t>Total LF participation rate (%)</t>
  </si>
  <si>
    <t>FEMALE POPULATION</t>
  </si>
  <si>
    <t>95 &amp; over</t>
  </si>
  <si>
    <t>Female total</t>
  </si>
  <si>
    <t>MALE POPULATION</t>
  </si>
  <si>
    <t>Male total</t>
  </si>
  <si>
    <t>FEMALE LABOUR FORCE</t>
  </si>
  <si>
    <t>80 &amp; over</t>
  </si>
  <si>
    <t>MALE LABOUR FORCE</t>
  </si>
  <si>
    <t>FEMALE PARTICIPATION RATES</t>
  </si>
  <si>
    <t>MALE PARTICIPATION RATES</t>
  </si>
  <si>
    <t>Infoshare: Estimated Resident Population by age and sex as at 30 June</t>
  </si>
  <si>
    <t>Population projections</t>
  </si>
  <si>
    <t>National population projections: 2022 (base) - 2073 50th percentile projection</t>
  </si>
  <si>
    <t xml:space="preserve"> National labour force projections: 2020 (base) - 2073 50th percentile projection</t>
  </si>
  <si>
    <t>Age and gender group labour force participation rates from these labour force projections applied to updated population projections</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</si>
  <si>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</si>
  <si>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</si>
  <si>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</si>
  <si>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</si>
  <si>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</si>
  <si>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</si>
  <si>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</si>
  <si>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</si>
  <si>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</si>
  <si>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</si>
  <si>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</si>
  <si>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</si>
  <si>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</si>
  <si>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</si>
  <si>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</si>
  <si>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</si>
  <si>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</si>
  <si>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</si>
  <si>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</si>
  <si>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</si>
  <si>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</si>
  <si>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</si>
  <si>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</si>
  <si>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</si>
  <si>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</si>
  <si>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</si>
  <si>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</si>
  <si>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</si>
  <si>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</si>
  <si>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</si>
  <si>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</si>
  <si>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</si>
  <si>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</si>
  <si>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</si>
  <si>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ECONOMIC HISTORICAL AND FORECAST DATA</t>
  </si>
  <si>
    <t>Historical and forecast data in this worksheet are produced by the Treasury. They are used in the main modelling worksheets of the Fiscal Strategy Model.</t>
  </si>
  <si>
    <t xml:space="preserve">Real Gross Domestic Product (GDP) ($09/10 billion) (production, base is 2009/10) </t>
  </si>
  <si>
    <t>Nominal GDP ($ billion) (expenditure measure)</t>
  </si>
  <si>
    <t xml:space="preserve">Labour Force (millions) (aggregate) </t>
  </si>
  <si>
    <t>Working-Age Population (millions) (aged 15 years &amp; over)</t>
  </si>
  <si>
    <t>Total Population (millions)</t>
  </si>
  <si>
    <t>Unemployment Rate (percentage of labour force)</t>
  </si>
  <si>
    <r>
      <t xml:space="preserve">Average weekly hours worked (Total hours worked </t>
    </r>
    <r>
      <rPr>
        <b/>
        <sz val="11"/>
        <color indexed="8"/>
        <rFont val="Calibri"/>
        <family val="2"/>
      </rPr>
      <t>÷</t>
    </r>
    <r>
      <rPr>
        <b/>
        <sz val="11"/>
        <color indexed="8"/>
        <rFont val="Arial"/>
        <family val="2"/>
      </rPr>
      <t xml:space="preserve"> total employed labour force)</t>
    </r>
  </si>
  <si>
    <t>Labour productivity annual growth (percentage) (hours worked measure)</t>
  </si>
  <si>
    <t>Consumers Price Index (CPI)</t>
  </si>
  <si>
    <t>Average hourly wage growth (percentage) (ordinary time measure)</t>
  </si>
  <si>
    <t>Government 10-year bond annual rate of return (percentage) (average of 4 quarters)</t>
  </si>
  <si>
    <t>Net migration (thousands)</t>
  </si>
  <si>
    <t>Gross December quarter average ordinary time weekly earnings (AOTWE)</t>
  </si>
  <si>
    <t>Net per person weekly couple rate of New Zealand Superannuation ($ per week)</t>
  </si>
  <si>
    <t>Gross per person weekly couple rate of New Zealand Superannuation ($ per week)</t>
  </si>
  <si>
    <t>Net of tax &amp; ACC Earner levy average ordinary time weekly earnings ($ per week)</t>
  </si>
  <si>
    <t>Taxable income over $0 and up to $15,600 per year</t>
  </si>
  <si>
    <t>Taxable income over $15,600 and up to $53,500 per year</t>
  </si>
  <si>
    <t>Taxable income over $53,500 and up to $78,100 per year</t>
  </si>
  <si>
    <t>Taxable income over $78,100 and up to $180,000 per year</t>
  </si>
  <si>
    <t>Taxable income over $180,000 per year</t>
  </si>
  <si>
    <t>ACC Earner levy</t>
  </si>
  <si>
    <t>2004/05</t>
  </si>
  <si>
    <t>Income limits</t>
  </si>
  <si>
    <t>Tax rate</t>
  </si>
  <si>
    <t>Gross</t>
  </si>
  <si>
    <t>Tax</t>
  </si>
  <si>
    <t>Net</t>
  </si>
  <si>
    <t>RESIDENT POPULATION OF NEW ZEALAND, BY SINGLE YEAR OF AGE AND GENDER, AS AT 30 JUNE, THAT MATCHES HOUSEHOLD LABOUR FORCE SURVEY (HLFS) HISTORY AND TREASURY"S HLFS-BASED FORECASTS</t>
  </si>
  <si>
    <t>Minors' popn (0-14, millions)</t>
  </si>
  <si>
    <t>Net Migration (thousands) - Treasury</t>
  </si>
  <si>
    <t>Net Migration (thousands) - Statistics NZ</t>
  </si>
  <si>
    <t>Net Migration by age and gender group (percentages are based on June-end years between 2001/02 and 2022/23, where net migration was at least 10,000)</t>
  </si>
  <si>
    <t>Age Group (years)</t>
  </si>
  <si>
    <t>Female</t>
  </si>
  <si>
    <t>Male</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</si>
  <si>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</si>
  <si>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</si>
  <si>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</si>
  <si>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</si>
  <si>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</si>
  <si>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</si>
  <si>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</si>
  <si>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</si>
  <si>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</si>
  <si>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</si>
  <si>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</si>
  <si>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</si>
  <si>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</si>
  <si>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</si>
  <si>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</si>
  <si>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</si>
  <si>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</si>
  <si>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</si>
  <si>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 &amp; over</t>
  </si>
  <si>
    <t>TOTAL</t>
  </si>
  <si>
    <t>Annual growth rates of selected age and gender groups</t>
  </si>
  <si>
    <t>LABOUR FORCE OF NEW ZEALAND, BY SINGLE YEAR OF AGE AND GENDER, AS AT 30 JUNE, THAT MATCHES HOUSEHOLD LABOUR FORCE SURVEY (HLFS) HISTORY AND TREASURY"S HLFS-BASED FORECASTS</t>
  </si>
  <si>
    <t>Labour Force (LF) (millions)</t>
  </si>
  <si>
    <t>Aggregate labour force participation rate %</t>
  </si>
  <si>
    <t>Uncalibrated Labour Force (millions)</t>
  </si>
  <si>
    <t>ECONOMIC AND FISCAL PROJECTION ASSUMPTIONS</t>
  </si>
  <si>
    <t>Assumptions are picked up in a modelling worksheet by formulae connected to the scenario name used at the top of the "set of assumptions" column in this worksheet.</t>
  </si>
  <si>
    <t>Any year variable used in this worksheet should be a number variable but will refer to a June-end year e.g. enter the number 2029 for the year ended 30 June 2029 or fiscal year 2028/29.</t>
  </si>
  <si>
    <t>SCENARIO NAME</t>
  </si>
  <si>
    <t>First Projected Year (key variable, must set to year immediately after last forecast year)</t>
  </si>
  <si>
    <t>ECONOMIC ASSUMPTIONS</t>
  </si>
  <si>
    <t>Average weekly hours worked (hours per week)</t>
  </si>
  <si>
    <t>Labour productivity annual growth (percentage)</t>
  </si>
  <si>
    <t>Consumers Price Index (CPI) annual growth (percentage)</t>
  </si>
  <si>
    <t>Government 10-year bond annual rate of return (percentage)</t>
  </si>
  <si>
    <t>Annual transition rates to long-run stable assumptions</t>
  </si>
  <si>
    <t>The following are the economic variables most often altered in scenarios. The values used are the desired long-run stable levels or annual growth rates.</t>
  </si>
  <si>
    <t>Select annual rates at which various economic variables move towards their long-run stable values from their end-of-forecast values.</t>
  </si>
  <si>
    <t>Unemployment Rate (percentage points per year)</t>
  </si>
  <si>
    <t>Average weekly hours worked (hours per week per year)</t>
  </si>
  <si>
    <r>
      <t>Labour productivity growth</t>
    </r>
    <r>
      <rPr>
        <sz val="11"/>
        <color indexed="8"/>
        <rFont val="Arial"/>
        <family val="2"/>
      </rPr>
      <t xml:space="preserve"> (percentage points per year)</t>
    </r>
  </si>
  <si>
    <t>Consumers Price Index growth (percentage points per year)</t>
  </si>
  <si>
    <t>Government 10-year bond annual rate of return (percentage points per year)</t>
  </si>
  <si>
    <t>Percentage of net ordinary time weekly earnings that serves as NZS wage floor</t>
  </si>
  <si>
    <t>Percentage of net ordinary time weekly earnings that serves as NZS wage ceiling</t>
  </si>
  <si>
    <r>
      <t xml:space="preserve">SCENARIO NAME SELECTED IN </t>
    </r>
    <r>
      <rPr>
        <b/>
        <i/>
        <sz val="11"/>
        <color indexed="8"/>
        <rFont val="Arial"/>
        <family val="2"/>
      </rPr>
      <t>ASSUMPTIONS</t>
    </r>
    <r>
      <rPr>
        <b/>
        <sz val="11"/>
        <color indexed="8"/>
        <rFont val="Arial"/>
        <family val="2"/>
      </rPr>
      <t xml:space="preserve"> WORKSHEET WRITTEN HERE </t>
    </r>
    <r>
      <rPr>
        <b/>
        <sz val="11"/>
        <color indexed="8"/>
        <rFont val="Calibri"/>
        <family val="2"/>
      </rPr>
      <t>→</t>
    </r>
  </si>
  <si>
    <r>
      <rPr>
        <i/>
        <sz val="11"/>
        <color indexed="8"/>
        <rFont val="Calibri"/>
        <family val="2"/>
      </rPr>
      <t>←</t>
    </r>
    <r>
      <rPr>
        <i/>
        <sz val="11"/>
        <color indexed="8"/>
        <rFont val="Arial"/>
        <family val="2"/>
      </rPr>
      <t xml:space="preserve"> This number is calculated from Scenario name entry and used in formulae throughout model</t>
    </r>
  </si>
  <si>
    <t>All monetary values, unless otherwise stated, are in units of billions of New Zealand dollars</t>
  </si>
  <si>
    <t>Outturn</t>
  </si>
  <si>
    <r>
      <t xml:space="preserve">Year </t>
    </r>
    <r>
      <rPr>
        <b/>
        <sz val="11"/>
        <color indexed="12"/>
        <rFont val="Calibri"/>
        <family val="2"/>
      </rPr>
      <t>↓</t>
    </r>
  </si>
  <si>
    <t>Forecast years are shaded red</t>
  </si>
  <si>
    <t>Projected years are shaded black</t>
  </si>
  <si>
    <t>Gross Domestic Product (GDP) measures</t>
  </si>
  <si>
    <t xml:space="preserve">Real GDP (production measure, in 2009/10 dollars) </t>
  </si>
  <si>
    <t>Annual percentage growth</t>
  </si>
  <si>
    <t>Nominal GDP (expenditure measure)</t>
  </si>
  <si>
    <t>Labour Force and Demographic measures</t>
  </si>
  <si>
    <t xml:space="preserve">Labour Force (LF) (millions) (aggregate) </t>
  </si>
  <si>
    <t>Working-Age Population (WAP) (millions) (aged 15 years &amp; over)</t>
  </si>
  <si>
    <t>Aggregate Labour Force Participation Rate (LFPR) (LF as percentage of WAP)</t>
  </si>
  <si>
    <t>Price measures</t>
  </si>
  <si>
    <t>Consumers Price Index (CPI) (June quarter index number)</t>
  </si>
  <si>
    <t>New Zealand Superannuation (NZS), main public pension</t>
  </si>
  <si>
    <t>New Zealand Superannuation &amp; Main working-age benefit projection parameters</t>
  </si>
  <si>
    <t>Gross ordinary time weekly earnings ($ per week)</t>
  </si>
  <si>
    <t>Explanation of the worksheets in the Fiscal Strategy Model (FSM) and how they link to one another</t>
  </si>
  <si>
    <t>Name of worksheet</t>
  </si>
  <si>
    <t>Purpose</t>
  </si>
  <si>
    <t>Provides inputs to these worksheets</t>
  </si>
  <si>
    <t>Uses outputs from these worksheets</t>
  </si>
  <si>
    <t>Display</t>
  </si>
  <si>
    <t>This is a hidden worksheet. It provides</t>
  </si>
  <si>
    <t>Each of the main modelling worksheets.</t>
  </si>
  <si>
    <t>None.</t>
  </si>
  <si>
    <t>offsets to allow the chosen fiscal variable</t>
  </si>
  <si>
    <t>These are the latest forecast round main</t>
  </si>
  <si>
    <t>track to be displayed at the top of each</t>
  </si>
  <si>
    <t>of the main modelling worksheets.</t>
  </si>
  <si>
    <t>and run off a different set of parameters</t>
  </si>
  <si>
    <r>
      <t xml:space="preserve">from the </t>
    </r>
    <r>
      <rPr>
        <i/>
        <sz val="10"/>
        <color indexed="8"/>
        <rFont val="Arial"/>
        <family val="2"/>
      </rPr>
      <t xml:space="preserve">Assumptions </t>
    </r>
    <r>
      <rPr>
        <sz val="10"/>
        <color indexed="8"/>
        <rFont val="Arial"/>
        <family val="2"/>
      </rPr>
      <t>worksheet.</t>
    </r>
  </si>
  <si>
    <t>Guide</t>
  </si>
  <si>
    <t>None. Purely for information purposes</t>
  </si>
  <si>
    <t>information to help users know how the</t>
  </si>
  <si>
    <t>and to help users of the model.</t>
  </si>
  <si>
    <t>various worksheets in the model interact.</t>
  </si>
  <si>
    <t>Sources</t>
  </si>
  <si>
    <t>This is also an information worksheet.</t>
  </si>
  <si>
    <t>It provides lists of data and exogenous</t>
  </si>
  <si>
    <t>tracks used in the model. Information is</t>
  </si>
  <si>
    <t>provided about the data, distribution or</t>
  </si>
  <si>
    <t>track, including from where it is sourced</t>
  </si>
  <si>
    <t>and when it was produced.</t>
  </si>
  <si>
    <t>Statistics NZ</t>
  </si>
  <si>
    <t>These are the most recent New Zealand</t>
  </si>
  <si>
    <t>Used extensively throughout the</t>
  </si>
  <si>
    <t>(NZ) resident population projections and</t>
  </si>
  <si>
    <r>
      <rPr>
        <i/>
        <sz val="10"/>
        <color theme="1"/>
        <rFont val="Arial"/>
        <family val="2"/>
      </rPr>
      <t xml:space="preserve">Population Treasury </t>
    </r>
    <r>
      <rPr>
        <sz val="10"/>
        <color theme="1"/>
        <rFont val="Arial"/>
        <family val="2"/>
      </rPr>
      <t xml:space="preserve">and </t>
    </r>
    <r>
      <rPr>
        <i/>
        <sz val="10"/>
        <color theme="1"/>
        <rFont val="Arial"/>
        <family val="2"/>
      </rPr>
      <t>Labour Force</t>
    </r>
  </si>
  <si>
    <t>Labour Force projections, by gender and</t>
  </si>
  <si>
    <r>
      <rPr>
        <i/>
        <sz val="10"/>
        <color theme="1"/>
        <rFont val="Arial"/>
        <family val="2"/>
      </rPr>
      <t>Treasury</t>
    </r>
    <r>
      <rPr>
        <sz val="10"/>
        <color theme="1"/>
        <rFont val="Arial"/>
        <family val="2"/>
      </rPr>
      <t xml:space="preserve"> worksheets in calculations to</t>
    </r>
  </si>
  <si>
    <t>single year of age. They are produced by</t>
  </si>
  <si>
    <t>produce the Population and Labour Force</t>
  </si>
  <si>
    <t>Statistics New Zealand and are updated</t>
  </si>
  <si>
    <t>age and gender distributions that match</t>
  </si>
  <si>
    <t>when a new version becomes available.</t>
  </si>
  <si>
    <t>the aggregate values in forecast years.</t>
  </si>
  <si>
    <t>As well as population and labour force</t>
  </si>
  <si>
    <t>numbers the worksheet has participation</t>
  </si>
  <si>
    <t>rates (numbers in labour force divided by</t>
  </si>
  <si>
    <t>numbers in demographic group).</t>
  </si>
  <si>
    <t>Population Treasury</t>
  </si>
  <si>
    <t>These are age and gender distributions</t>
  </si>
  <si>
    <t>Used in numerous places in the main</t>
  </si>
  <si>
    <t>of the NZ population that match the</t>
  </si>
  <si>
    <t>modelling worksheets, wherever</t>
  </si>
  <si>
    <t>Economic Forecasts</t>
  </si>
  <si>
    <t>aggregate forecasts in forecast years and</t>
  </si>
  <si>
    <t>demographic growth is required. Used</t>
  </si>
  <si>
    <t>are projected out into post-forecast years.</t>
  </si>
  <si>
    <t>in projecting some economic variables.</t>
  </si>
  <si>
    <t>They also adjust population projections</t>
  </si>
  <si>
    <t>Used as a driver of recipient numbers for</t>
  </si>
  <si>
    <t>for alternative net migration totals to the</t>
  </si>
  <si>
    <t>some expense types, especially New</t>
  </si>
  <si>
    <t>values used in Statistics NZ projections.</t>
  </si>
  <si>
    <t>Zealand Superannuation (NZS) and other</t>
  </si>
  <si>
    <t>welfare expenses. Used in projecting age</t>
  </si>
  <si>
    <t>and gender group Labour Force numbers</t>
  </si>
  <si>
    <r>
      <t xml:space="preserve">in the </t>
    </r>
    <r>
      <rPr>
        <i/>
        <sz val="10"/>
        <color theme="1"/>
        <rFont val="Arial"/>
        <family val="2"/>
      </rPr>
      <t xml:space="preserve">Labour Force Treasury </t>
    </r>
    <r>
      <rPr>
        <sz val="10"/>
        <color theme="1"/>
        <rFont val="Arial"/>
        <family val="2"/>
      </rPr>
      <t>worksheet.</t>
    </r>
  </si>
  <si>
    <t>Labour Force Treasury</t>
  </si>
  <si>
    <t>Used in the economic projections of the</t>
  </si>
  <si>
    <t>of the NZ labour force that match the</t>
  </si>
  <si>
    <t>main modelling worksheets to project the</t>
  </si>
  <si>
    <t>aggregate labour force. This variable is</t>
  </si>
  <si>
    <t>a key driver in the projections of both</t>
  </si>
  <si>
    <t>This worksheet uses labour force</t>
  </si>
  <si>
    <t>real and nominal GDP.</t>
  </si>
  <si>
    <t>participation rates, by single year of age</t>
  </si>
  <si>
    <t>and gender, multiplied by the equivalent</t>
  </si>
  <si>
    <r>
      <t xml:space="preserve">population group in </t>
    </r>
    <r>
      <rPr>
        <i/>
        <sz val="10"/>
        <color theme="1"/>
        <rFont val="Arial"/>
        <family val="2"/>
      </rPr>
      <t>Population Treasury</t>
    </r>
    <r>
      <rPr>
        <sz val="10"/>
        <color theme="1"/>
        <rFont val="Arial"/>
        <family val="2"/>
      </rPr>
      <t>,</t>
    </r>
  </si>
  <si>
    <t>to produce labour force numbers by</t>
  </si>
  <si>
    <t>single year of age and gender.</t>
  </si>
  <si>
    <t>Exogenous</t>
  </si>
  <si>
    <t>This worksheet contains a number of</t>
  </si>
  <si>
    <t>Used in many places throughout the main</t>
  </si>
  <si>
    <t xml:space="preserve">projected tracks and demographic </t>
  </si>
  <si>
    <t>modelling worksheets, often in regard to</t>
  </si>
  <si>
    <t>distributions. Some are produced by</t>
  </si>
  <si>
    <t>a particular asset, liability or expense</t>
  </si>
  <si>
    <t>Treasury, while others are sourced from</t>
  </si>
  <si>
    <t>type. Demographic distributions are used</t>
  </si>
  <si>
    <t>outside agencies. They all share the</t>
  </si>
  <si>
    <t>as inputs to the projected growth of</t>
  </si>
  <si>
    <t>characteristic of being produced outside</t>
  </si>
  <si>
    <t>recipient numbers in various welfare</t>
  </si>
  <si>
    <t>the model i.e. are exogenous inputs.</t>
  </si>
  <si>
    <t>expenses and Student Allowances.</t>
  </si>
  <si>
    <t>At the bottom of this worksheet are</t>
  </si>
  <si>
    <t>parameters related to the NZ personal</t>
  </si>
  <si>
    <t>tax regime that are used in fiscal drag</t>
  </si>
  <si>
    <t>modelling for both tax and NZS.</t>
  </si>
  <si>
    <t>NZSF Adjuster</t>
  </si>
  <si>
    <t>This worksheet contains alternative</t>
  </si>
  <si>
    <t>Makes use of forecast core Crown gross</t>
  </si>
  <si>
    <t>projections of the New Zealand</t>
  </si>
  <si>
    <t>is a label Adjust NZSF track. If the</t>
  </si>
  <si>
    <t>debt and debt financing costs from the</t>
  </si>
  <si>
    <t>Superannuation Fund (NZSF).</t>
  </si>
  <si>
    <t>word Yes is entered in cell C3 beside this</t>
  </si>
  <si>
    <r>
      <t xml:space="preserve">Fiscal Forecasts </t>
    </r>
    <r>
      <rPr>
        <sz val="10"/>
        <color indexed="8"/>
        <rFont val="Arial"/>
        <family val="2"/>
      </rPr>
      <t>worksheet to calculate</t>
    </r>
  </si>
  <si>
    <t>These can be produced by altering</t>
  </si>
  <si>
    <t>label it activates the modelling in this</t>
  </si>
  <si>
    <t>the effective interest rate applied to debt</t>
  </si>
  <si>
    <t>inputs or parameter choices in the</t>
  </si>
  <si>
    <t>worksheet to replace the NZSF track</t>
  </si>
  <si>
    <t>in each forecast year. These are applied</t>
  </si>
  <si>
    <t>NZSF model</t>
  </si>
  <si>
    <t>on the Treasury</t>
  </si>
  <si>
    <r>
      <t xml:space="preserve">in </t>
    </r>
    <r>
      <rPr>
        <i/>
        <sz val="10"/>
        <color indexed="8"/>
        <rFont val="Arial"/>
        <family val="2"/>
      </rPr>
      <t xml:space="preserve">Exogenous </t>
    </r>
    <r>
      <rPr>
        <sz val="10"/>
        <color indexed="8"/>
        <rFont val="Arial"/>
        <family val="2"/>
      </rPr>
      <t>with the alternative one</t>
    </r>
  </si>
  <si>
    <t>to the calculated gross debt changes to</t>
  </si>
  <si>
    <t>website. From that model an alternative</t>
  </si>
  <si>
    <r>
      <t xml:space="preserve">chosen in </t>
    </r>
    <r>
      <rPr>
        <i/>
        <sz val="10"/>
        <color theme="1"/>
        <rFont val="Arial"/>
        <family val="2"/>
      </rPr>
      <t>NZSF Adjuster</t>
    </r>
    <r>
      <rPr>
        <sz val="10"/>
        <color theme="1"/>
        <rFont val="Arial"/>
        <family val="2"/>
      </rPr>
      <t>. It also adjusts</t>
    </r>
  </si>
  <si>
    <t>calculate debt financing costs changes.</t>
  </si>
  <si>
    <t>NZSF track can then be pasted</t>
  </si>
  <si>
    <t>any variables in the forecast base that</t>
  </si>
  <si>
    <t>More generally, and as described in the</t>
  </si>
  <si>
    <t>into this worksheet.</t>
  </si>
  <si>
    <t>would be affected by changes to the</t>
  </si>
  <si>
    <r>
      <rPr>
        <i/>
        <sz val="10"/>
        <color indexed="8"/>
        <rFont val="Arial"/>
        <family val="2"/>
      </rPr>
      <t xml:space="preserve">Purpose </t>
    </r>
    <r>
      <rPr>
        <sz val="10"/>
        <color indexed="8"/>
        <rFont val="Arial"/>
        <family val="2"/>
      </rPr>
      <t>column, this worksheet uses</t>
    </r>
  </si>
  <si>
    <t>NZSF track in forecast years.</t>
  </si>
  <si>
    <t>outputs from another Treasury model.</t>
  </si>
  <si>
    <t>Note that, if the selected track number</t>
  </si>
  <si>
    <r>
      <t xml:space="preserve">in the </t>
    </r>
    <r>
      <rPr>
        <i/>
        <sz val="10"/>
        <color theme="1"/>
        <rFont val="Arial"/>
        <family val="2"/>
      </rPr>
      <t>NZSF Adjuster</t>
    </r>
    <r>
      <rPr>
        <sz val="10"/>
        <color theme="1"/>
        <rFont val="Arial"/>
        <family val="2"/>
      </rPr>
      <t xml:space="preserve"> worksheet does</t>
    </r>
  </si>
  <si>
    <t>not match one of the alternative NZSF</t>
  </si>
  <si>
    <t>tracks in the worksheet, the selection</t>
  </si>
  <si>
    <t>defaults to the parameters of the NZSF</t>
  </si>
  <si>
    <r>
      <t xml:space="preserve">track in </t>
    </r>
    <r>
      <rPr>
        <i/>
        <sz val="10"/>
        <color theme="1"/>
        <rFont val="Arial"/>
        <family val="2"/>
      </rPr>
      <t>Exogenous</t>
    </r>
    <r>
      <rPr>
        <sz val="10"/>
        <color theme="1"/>
        <rFont val="Arial"/>
        <family val="2"/>
      </rPr>
      <t>.</t>
    </r>
  </si>
  <si>
    <t>Fiscal Forecast Adjuster</t>
  </si>
  <si>
    <t>This worksheet allows changes to be</t>
  </si>
  <si>
    <t>made to forecast year values of major tax</t>
  </si>
  <si>
    <r>
      <t xml:space="preserve">is a label </t>
    </r>
    <r>
      <rPr>
        <i/>
        <sz val="10"/>
        <color indexed="8"/>
        <rFont val="Arial"/>
        <family val="2"/>
      </rPr>
      <t>Adjust fiscal forecasts</t>
    </r>
    <r>
      <rPr>
        <sz val="10"/>
        <color indexed="8"/>
        <rFont val="Arial"/>
        <family val="2"/>
      </rPr>
      <t>. If the</t>
    </r>
  </si>
  <si>
    <t>types, several welfare expense classes,</t>
  </si>
  <si>
    <t>word Yes is entered in cell C2 beside this</t>
  </si>
  <si>
    <t>and allowances for both new operating</t>
  </si>
  <si>
    <t>and new capital spending. It calculates</t>
  </si>
  <si>
    <t>worksheet to add the various adjustments</t>
  </si>
  <si>
    <t>how these changes impact on gross</t>
  </si>
  <si>
    <r>
      <rPr>
        <sz val="10"/>
        <color indexed="8"/>
        <rFont val="Arial"/>
        <family val="2"/>
      </rPr>
      <t xml:space="preserve">written into </t>
    </r>
    <r>
      <rPr>
        <i/>
        <sz val="10"/>
        <color indexed="8"/>
        <rFont val="Arial"/>
        <family val="2"/>
      </rPr>
      <t xml:space="preserve">Fiscal Forecast Adjuster </t>
    </r>
    <r>
      <rPr>
        <sz val="10"/>
        <color indexed="8"/>
        <rFont val="Arial"/>
        <family val="2"/>
      </rPr>
      <t>to</t>
    </r>
  </si>
  <si>
    <t>debt and debt financing costs in those</t>
  </si>
  <si>
    <t>the appropriate fiscal variables in forecast</t>
  </si>
  <si>
    <t>forecast years. This spreadsheet is the</t>
  </si>
  <si>
    <t>years. It also adjusts forecast debt and</t>
  </si>
  <si>
    <t>means of correctly altering the fiscal</t>
  </si>
  <si>
    <t>debt financing costs by the amounts</t>
  </si>
  <si>
    <r>
      <t xml:space="preserve">forecast base </t>
    </r>
    <r>
      <rPr>
        <sz val="10"/>
        <color indexed="8"/>
        <rFont val="Arial"/>
        <family val="2"/>
      </rPr>
      <t>for the forecast years.</t>
    </r>
  </si>
  <si>
    <r>
      <rPr>
        <sz val="10"/>
        <color indexed="8"/>
        <rFont val="Arial"/>
        <family val="2"/>
      </rPr>
      <t xml:space="preserve">calculated in </t>
    </r>
    <r>
      <rPr>
        <i/>
        <sz val="10"/>
        <color indexed="8"/>
        <rFont val="Arial"/>
        <family val="2"/>
      </rPr>
      <t xml:space="preserve">Fiscal Forecast Adjuster </t>
    </r>
    <r>
      <rPr>
        <sz val="10"/>
        <color indexed="8"/>
        <rFont val="Arial"/>
        <family val="2"/>
      </rPr>
      <t>to</t>
    </r>
  </si>
  <si>
    <t>reflect the combined impact of all</t>
  </si>
  <si>
    <t>the changes on these fiscal variables.</t>
  </si>
  <si>
    <t>Fiscal Outturns</t>
  </si>
  <si>
    <t>This worksheet contains historical data</t>
  </si>
  <si>
    <t>relating to the main fiscal indicators that</t>
  </si>
  <si>
    <t>can be selected in the pull-down box at</t>
  </si>
  <si>
    <t>the top of the main modelling worksheets.</t>
  </si>
  <si>
    <t>There is more explanation at the top of</t>
  </si>
  <si>
    <t>this worksheet about why data prior to</t>
  </si>
  <si>
    <t>2018/19 is given here and not in the main</t>
  </si>
  <si>
    <t>modelling worksheets themselves.</t>
  </si>
  <si>
    <t>The latest set of economic forecast</t>
  </si>
  <si>
    <t>Used as the base of economic projections</t>
  </si>
  <si>
    <t>variables, as well as historical outturns</t>
  </si>
  <si>
    <t>in the main modelling worksheets.</t>
  </si>
  <si>
    <t>of these variables, are stored in this</t>
  </si>
  <si>
    <t>Also used as the base of various inputs</t>
  </si>
  <si>
    <t>worksheet. It also contains parameters,</t>
  </si>
  <si>
    <t>into the projection of NZS and other</t>
  </si>
  <si>
    <t>derived from the economic forecasts by</t>
  </si>
  <si>
    <t>categories of welfare expenditure in the</t>
  </si>
  <si>
    <t>another Treasury model, that are used to</t>
  </si>
  <si>
    <t>main modelling worksheets.</t>
  </si>
  <si>
    <t>project New Zealand Superannuation</t>
  </si>
  <si>
    <t>(NZS) expenses. Historical outturns and</t>
  </si>
  <si>
    <t>forecasts of recipient numbers for NZS</t>
  </si>
  <si>
    <t>and the Jobseeker Support benefit are</t>
  </si>
  <si>
    <t>also provided in this worksheet.</t>
  </si>
  <si>
    <t>Fiscal Forecasts</t>
  </si>
  <si>
    <r>
      <t>The fiscal equivalent of the</t>
    </r>
    <r>
      <rPr>
        <i/>
        <sz val="10"/>
        <color indexed="8"/>
        <rFont val="Arial"/>
        <family val="2"/>
      </rPr>
      <t xml:space="preserve"> Economic </t>
    </r>
  </si>
  <si>
    <t>Used as the base of projections of asset,</t>
  </si>
  <si>
    <r>
      <rPr>
        <i/>
        <sz val="10"/>
        <color indexed="8"/>
        <rFont val="Arial"/>
        <family val="2"/>
      </rPr>
      <t xml:space="preserve">Forecasts </t>
    </r>
    <r>
      <rPr>
        <sz val="10"/>
        <color indexed="8"/>
        <rFont val="Arial"/>
        <family val="2"/>
      </rPr>
      <t>worksheet, this contains the</t>
    </r>
  </si>
  <si>
    <t>liability, revenue and expense categories</t>
  </si>
  <si>
    <t>most recent set of fiscal forecast</t>
  </si>
  <si>
    <t>variables. For reasons explained in the</t>
  </si>
  <si>
    <t>Covers core Crown and total Crown</t>
  </si>
  <si>
    <r>
      <rPr>
        <i/>
        <sz val="10"/>
        <color indexed="8"/>
        <rFont val="Arial"/>
        <family val="2"/>
      </rPr>
      <t xml:space="preserve">Fiscal Outturns </t>
    </r>
    <r>
      <rPr>
        <sz val="10"/>
        <color indexed="8"/>
        <rFont val="Arial"/>
        <family val="2"/>
      </rPr>
      <t>worksheet, there are only</t>
    </r>
  </si>
  <si>
    <t>variables, and in some cases extends to</t>
  </si>
  <si>
    <t>historical outturns dating from 2018/19</t>
  </si>
  <si>
    <t>Crown entity and State-owned enterprise</t>
  </si>
  <si>
    <t>in this worksheet. Because there is so</t>
  </si>
  <si>
    <t>(SOE) variables.</t>
  </si>
  <si>
    <t>much input data, this worksheet uses</t>
  </si>
  <si>
    <t>numerous check calculations to ensure</t>
  </si>
  <si>
    <t>various sections tally with each other.</t>
  </si>
  <si>
    <t>Assumptions</t>
  </si>
  <si>
    <t xml:space="preserve">All of the assumptions and parameters </t>
  </si>
  <si>
    <t>Any modelling worksheet that is set up.</t>
  </si>
  <si>
    <t>needed to run a scenario are entered by</t>
  </si>
  <si>
    <t>The easiest way to produce a whole new</t>
  </si>
  <si>
    <t>the model user in this worksheet.</t>
  </si>
  <si>
    <t>modelled scenario is to copy one of the</t>
  </si>
  <si>
    <t>Most selections relate to projection</t>
  </si>
  <si>
    <t>main modelling worksheets by right</t>
  </si>
  <si>
    <t>assumptions or parameters, but there are</t>
  </si>
  <si>
    <t>clicking the worksheet tab, ensuring to</t>
  </si>
  <si>
    <t>some that affect the forecast base.</t>
  </si>
  <si>
    <r>
      <t xml:space="preserve">tick the </t>
    </r>
    <r>
      <rPr>
        <i/>
        <sz val="10"/>
        <color indexed="8"/>
        <rFont val="Arial"/>
        <family val="2"/>
      </rPr>
      <t xml:space="preserve">Create a Copy </t>
    </r>
    <r>
      <rPr>
        <sz val="10"/>
        <color indexed="8"/>
        <rFont val="Arial"/>
        <family val="2"/>
      </rPr>
      <t>box (otherwise</t>
    </r>
  </si>
  <si>
    <t>There are standard sets of assumptions</t>
  </si>
  <si>
    <t>the worksheet just gets moved). Change</t>
  </si>
  <si>
    <t>and parameters used in the main</t>
  </si>
  <si>
    <t>the name of the new worksheet tab.</t>
  </si>
  <si>
    <t>modelling worksheet scenarios.</t>
  </si>
  <si>
    <t>In cell B1 at the top of the new modelling</t>
  </si>
  <si>
    <t>As most options will not be altered in</t>
  </si>
  <si>
    <t>worksheet, enter the name used at the</t>
  </si>
  <si>
    <t>setting up a scenario, the easiest way to</t>
  </si>
  <si>
    <r>
      <t xml:space="preserve">top of the column set up in </t>
    </r>
    <r>
      <rPr>
        <i/>
        <sz val="10"/>
        <color indexed="8"/>
        <rFont val="Arial"/>
        <family val="2"/>
      </rPr>
      <t>Assumptions</t>
    </r>
  </si>
  <si>
    <t>produce a new scenario is to copy one of</t>
  </si>
  <si>
    <t>with the chosen set of assumptions and</t>
  </si>
  <si>
    <t>these columns and paste it into a new</t>
  </si>
  <si>
    <r>
      <t>parameters</t>
    </r>
    <r>
      <rPr>
        <sz val="10"/>
        <color indexed="8"/>
        <rFont val="Arial"/>
        <family val="2"/>
      </rPr>
      <t>. In numerous places in this</t>
    </r>
  </si>
  <si>
    <t>column in this worksheet, changing its</t>
  </si>
  <si>
    <t>new modelling worksheet these</t>
  </si>
  <si>
    <t>name at the top of the column in the row</t>
  </si>
  <si>
    <t>assumptions and parameters will be</t>
  </si>
  <si>
    <r>
      <rPr>
        <sz val="10"/>
        <color indexed="8"/>
        <rFont val="Arial"/>
        <family val="2"/>
      </rPr>
      <t xml:space="preserve">labelled </t>
    </r>
    <r>
      <rPr>
        <i/>
        <sz val="10"/>
        <color indexed="8"/>
        <rFont val="Arial"/>
        <family val="2"/>
      </rPr>
      <t>SCENARIO NAME</t>
    </r>
    <r>
      <rPr>
        <sz val="10"/>
        <color indexed="8"/>
        <rFont val="Arial"/>
        <family val="2"/>
      </rPr>
      <t>.</t>
    </r>
  </si>
  <si>
    <t>used to produce the new scenario.</t>
  </si>
  <si>
    <t>The main modelling</t>
  </si>
  <si>
    <t>These worksheets provide the</t>
  </si>
  <si>
    <t>worksheets.</t>
  </si>
  <si>
    <t>fundamental outputs of the FSM, such as</t>
  </si>
  <si>
    <t>The standards are</t>
  </si>
  <si>
    <t>projections of net core Crown debt as a</t>
  </si>
  <si>
    <t>percentage of nominal GDP for a given</t>
  </si>
  <si>
    <t>set of assumptions and parameters.</t>
  </si>
  <si>
    <t>As explained in the</t>
  </si>
  <si>
    <t>description a user</t>
  </si>
  <si>
    <t>can create a new</t>
  </si>
  <si>
    <t>modelling worksheet</t>
  </si>
  <si>
    <t>This is this worksheet. It provides some</t>
  </si>
  <si>
    <t>Unless otherwise stated, forecasts and projections are produced by the New Zealand Treasury</t>
  </si>
  <si>
    <t>Unless otherwise stated, all post-forecast projections are produced by the FSM model</t>
  </si>
  <si>
    <t>The adjective "outturn", normally used before the word data, means it comes from a completed time period</t>
  </si>
  <si>
    <t>This version of the FSM uses:</t>
  </si>
  <si>
    <t>Economic Data</t>
  </si>
  <si>
    <t>History</t>
  </si>
  <si>
    <t>Outturn data from Treasury databases</t>
  </si>
  <si>
    <t>Mainly Statistics New Zealand (Stats NZ) measures</t>
  </si>
  <si>
    <t>Forecasts</t>
  </si>
  <si>
    <t>Fiscal Data</t>
  </si>
  <si>
    <t>Outturn data from Treasury publications</t>
  </si>
  <si>
    <t>Mainly from Financial Statements published in past Budget EFU reports</t>
  </si>
  <si>
    <t>Demographic Data</t>
  </si>
  <si>
    <t>Outturn data from Stats NZ</t>
  </si>
  <si>
    <t>Accessible from Stats NZ website</t>
  </si>
  <si>
    <t>(by gender and</t>
  </si>
  <si>
    <t>Treasury forecasts aggregate population</t>
  </si>
  <si>
    <t>single year of age)</t>
  </si>
  <si>
    <t>Projections</t>
  </si>
  <si>
    <t>Based on those of Stats NZ</t>
  </si>
  <si>
    <t>Census 2018 basis, produced in 2022</t>
  </si>
  <si>
    <t>Labour Force</t>
  </si>
  <si>
    <t>Based on Household Labour Force Survey (HLFS)</t>
  </si>
  <si>
    <t>Treasury forecasts aggregate labour force</t>
  </si>
  <si>
    <t>Census 2018 basis, produced in 2021</t>
  </si>
  <si>
    <t>Social welfare</t>
  </si>
  <si>
    <t>transfers</t>
  </si>
  <si>
    <t>Forecasts from Ministry of Social</t>
  </si>
  <si>
    <t>Development (MSD) and Inland Revenue</t>
  </si>
  <si>
    <t>Department (IRD) for Working for Families</t>
  </si>
  <si>
    <t>New Zealand</t>
  </si>
  <si>
    <t>Superannuation</t>
  </si>
  <si>
    <t>Forecasts from the NZSF</t>
  </si>
  <si>
    <t>Fund (NZSF)</t>
  </si>
  <si>
    <t>Projection produced by Treasury</t>
  </si>
  <si>
    <t>Source at</t>
  </si>
  <si>
    <t>NZS Fund model website</t>
  </si>
  <si>
    <t>Accident Compen-</t>
  </si>
  <si>
    <t>sation Corporation</t>
  </si>
  <si>
    <t>Forecasts from ACC</t>
  </si>
  <si>
    <t>(ACC) data</t>
  </si>
  <si>
    <t>Projection produced by ACC</t>
  </si>
  <si>
    <t>Student Loans</t>
  </si>
  <si>
    <t>track</t>
  </si>
  <si>
    <t>Forecasts from IRD and the</t>
  </si>
  <si>
    <t>Ministry of Education (MoE)</t>
  </si>
  <si>
    <t>KiwiSaver expenses</t>
  </si>
  <si>
    <t xml:space="preserve">Inland Revenue </t>
  </si>
  <si>
    <t>Forecasts from IRD</t>
  </si>
  <si>
    <t>Department (IRD)</t>
  </si>
  <si>
    <t>Projection from IRD</t>
  </si>
  <si>
    <t>Government</t>
  </si>
  <si>
    <t>Forecasts based on actuarial valuations</t>
  </si>
  <si>
    <t>Fund (GSF)</t>
  </si>
  <si>
    <t>Projection produced by actuaries for GSF</t>
  </si>
  <si>
    <t>2012 version</t>
  </si>
  <si>
    <t>Tax Receivable write-</t>
  </si>
  <si>
    <t>downs &amp; impairments</t>
  </si>
  <si>
    <t>Main benefit age &amp;</t>
  </si>
  <si>
    <t>Based on administrative data from MSD</t>
  </si>
  <si>
    <t>gender distribution</t>
  </si>
  <si>
    <t>2024 update</t>
  </si>
  <si>
    <t>The projections and/or data in this worksheet are either produced by other Treasury models or obtained from other public sector agencies. They are used in the main modelling worksheets of the Fiscal Strategy Model.</t>
  </si>
  <si>
    <t>EXOGENOUS INPUT PROJECTIONS AND DATA</t>
  </si>
  <si>
    <t>NEW ZEALAND SUPERANNUATION FUND (NZSF)</t>
  </si>
  <si>
    <t>Capital contribution/(withdrawal) from Government</t>
  </si>
  <si>
    <t>Other movements in reserves</t>
  </si>
  <si>
    <t>Closing Balance</t>
  </si>
  <si>
    <t>STUDENT LOANS</t>
  </si>
  <si>
    <t>Net new lending (including fees) in current year</t>
  </si>
  <si>
    <t>Unwind of administration costs</t>
  </si>
  <si>
    <t>Interest unwind</t>
  </si>
  <si>
    <t>Gains/(losses) and reversal of impairment/(impairment)</t>
  </si>
  <si>
    <t>ACCIDENT COMPENSATION CORPORATION (ACC)</t>
  </si>
  <si>
    <t>Levy income</t>
  </si>
  <si>
    <t>Non-Earners (NE) &amp; NE share of Treatment Injury levy income</t>
  </si>
  <si>
    <t>Claims and other expenses</t>
  </si>
  <si>
    <t>Investment income</t>
  </si>
  <si>
    <t>Closing assets</t>
  </si>
  <si>
    <t>Closing liabilities</t>
  </si>
  <si>
    <t>GOVERNMENT SUPERANNUATION FUND (GSF)</t>
  </si>
  <si>
    <t>Pension expenses</t>
  </si>
  <si>
    <t>KIWI SAVER EXPENSE TRACK</t>
  </si>
  <si>
    <t>TAX RECEIVABLE WRITE-DOWN AND IMPAIRMENTS</t>
  </si>
  <si>
    <t>WORKING-AGE MAIN BENEFIT AGE &amp; GENDER SHARES</t>
  </si>
  <si>
    <t>Jobseeker Support aged 16 to 19 years</t>
  </si>
  <si>
    <t>Jobseeker Support aged 20 to 24 years</t>
  </si>
  <si>
    <t>Jobseeker Support aged 25 to 29 years</t>
  </si>
  <si>
    <t>Jobseeker Support aged 30 to 34 years</t>
  </si>
  <si>
    <t>Jobseeker Support aged 35 to 39 years</t>
  </si>
  <si>
    <t>Jobseeker Support aged 40 to 44 years</t>
  </si>
  <si>
    <t>Jobseeker Support aged 45 to 49 years</t>
  </si>
  <si>
    <t>Jobseeker Support aged 50 to 54 years</t>
  </si>
  <si>
    <t>Jobseeker Support aged 55 to 59 years</t>
  </si>
  <si>
    <t>Jobseeker Support aged 60 to 64 years</t>
  </si>
  <si>
    <t>Jobseeker Support aged 65 years &amp; above</t>
  </si>
  <si>
    <t>TAX PARAMETERS</t>
  </si>
  <si>
    <t>Supported Living Payment aged 16 to 19 years</t>
  </si>
  <si>
    <t>Sole Parent Support aged 16 to 19 years</t>
  </si>
  <si>
    <t>Supported Living Payment aged 20 to 24 years</t>
  </si>
  <si>
    <t>Sole Parent Support aged 20 to 24 years</t>
  </si>
  <si>
    <t>Supported Living Payment aged 25 to 29 years</t>
  </si>
  <si>
    <t>Sole Parent Support aged 25 to 29 years</t>
  </si>
  <si>
    <t>Supported Living Payment aged 30 to 34 years</t>
  </si>
  <si>
    <t>Sole Parent Support aged 30 to 34 years</t>
  </si>
  <si>
    <t>Supported Living Payment aged 35 to 39 years</t>
  </si>
  <si>
    <t>Sole Parent Support aged 35 to 39 years</t>
  </si>
  <si>
    <t>Supported Living Payment aged 40 to 44 years</t>
  </si>
  <si>
    <t>Sole Parent Support aged 40 to 44 years</t>
  </si>
  <si>
    <t>Supported Living Payment aged 45 to 49 years</t>
  </si>
  <si>
    <t>Sole Parent Support aged 45 to 49 years</t>
  </si>
  <si>
    <t>Supported Living Payment aged 50 to 54 years</t>
  </si>
  <si>
    <t>Sole Parent Support aged 50 to 54 years</t>
  </si>
  <si>
    <t>Supported Living Payment aged 55 to 59 years</t>
  </si>
  <si>
    <t>Sole Parent Support aged 55 to 59 years</t>
  </si>
  <si>
    <t>Supported Living Payment aged 60 to 64 years</t>
  </si>
  <si>
    <t>Sole Parent Support aged 60 to 64 years</t>
  </si>
  <si>
    <t>Supported Living Payment aged 65 years &amp; above</t>
  </si>
  <si>
    <t>Sole Parent Support aged 65 years &amp; above</t>
  </si>
  <si>
    <t>(billions of $NZ)</t>
  </si>
  <si>
    <t>FISCAL HISTORICAL AND FORECAST DATA</t>
  </si>
  <si>
    <t>Historical data sourced from Treasury past publications of Financial Statements of the Government of New Zealand for the Year Ended 30 June</t>
  </si>
  <si>
    <t xml:space="preserve">Forecast data sourced from Treasury publication of latest Economic &amp; Fiscal Update </t>
  </si>
  <si>
    <t>STATEMENT OF FINANCIAL PERFORMANCE</t>
  </si>
  <si>
    <t>Taxation revenue</t>
  </si>
  <si>
    <t>NAC</t>
  </si>
  <si>
    <t>Other sovereign revenue</t>
  </si>
  <si>
    <t>UIM</t>
  </si>
  <si>
    <t>Sales of goods and services</t>
  </si>
  <si>
    <t>Interest revenue</t>
  </si>
  <si>
    <t>Other revenue</t>
  </si>
  <si>
    <t>Total revenue (excluding gains)</t>
  </si>
  <si>
    <t>Transfer payments and subsidies</t>
  </si>
  <si>
    <t>Personnel expenses</t>
  </si>
  <si>
    <t>Depreciation</t>
  </si>
  <si>
    <t>Other operating expenses</t>
  </si>
  <si>
    <t>Interest expenses</t>
  </si>
  <si>
    <t>Insurance expenses</t>
  </si>
  <si>
    <t>Forecast new operating spending</t>
  </si>
  <si>
    <t>Top-down expense adjustment</t>
  </si>
  <si>
    <t>Total expenses (excluding losses)</t>
  </si>
  <si>
    <t>Net gains/(losses) on financial instruments</t>
  </si>
  <si>
    <t>Net gains/(losses) on non-financial instruments</t>
  </si>
  <si>
    <t>Total gains/(losses)</t>
  </si>
  <si>
    <t>Net surplus/(deficit) from associates and joint ventures</t>
  </si>
  <si>
    <t>Less Minority share of operating balance</t>
  </si>
  <si>
    <t>Operating balance (excludes minority interests)</t>
  </si>
  <si>
    <t>CHECK: Oper Bal (ex MI) = Rev - Exps + Gains (ex MI) + Net surplus - MI share</t>
  </si>
  <si>
    <t>Operating balance (includes minority interests)</t>
  </si>
  <si>
    <t>Minority interest share of net gains/(losses)</t>
  </si>
  <si>
    <t>Operating balance before gains/(losses) [OBEGAL] (excludes minority interests)</t>
  </si>
  <si>
    <t>CHECK: OBEGAL (ex MI) = Op Bal (ex MI) - Tot gain/(loss) - Net surp + MI share gn/(ls)</t>
  </si>
  <si>
    <t>Total Crown Expenses - By functional classification</t>
  </si>
  <si>
    <t>Social security and welfare</t>
  </si>
  <si>
    <t>Health</t>
  </si>
  <si>
    <t>Education</t>
  </si>
  <si>
    <t>Core government services</t>
  </si>
  <si>
    <t>Law and order</t>
  </si>
  <si>
    <t>Transport and communication</t>
  </si>
  <si>
    <t>Economic and industrial services</t>
  </si>
  <si>
    <t>Defence</t>
  </si>
  <si>
    <t>Heritage, culture and recreation</t>
  </si>
  <si>
    <t>Primary services</t>
  </si>
  <si>
    <t>Housing and community development</t>
  </si>
  <si>
    <t>Environmental protection</t>
  </si>
  <si>
    <t>Government Superannuation Fund (GSF) pension expense</t>
  </si>
  <si>
    <t>Other</t>
  </si>
  <si>
    <t>Finance costs</t>
  </si>
  <si>
    <t>Total Crown expenses (includes Forecast new operating spend &amp; Top-down adjustment)</t>
  </si>
  <si>
    <t>Core Crown Expenses - By functional classification</t>
  </si>
  <si>
    <t>Core Crown expenses (includes Forecast new operating spend &amp; Top-down adjustment)</t>
  </si>
  <si>
    <t>STATEMENT OF CASH FLOWS</t>
  </si>
  <si>
    <t>Taxation receipts</t>
  </si>
  <si>
    <t>Other sovereign receipts</t>
  </si>
  <si>
    <t>Interest receipts</t>
  </si>
  <si>
    <t>Other operating receipts</t>
  </si>
  <si>
    <t>Total cash provided from operations</t>
  </si>
  <si>
    <t>Personnel and operating payments</t>
  </si>
  <si>
    <t>Interest payments</t>
  </si>
  <si>
    <t>Cash disbursed to ops (includes Forecast new operating spend &amp; Top-down adjustmt)</t>
  </si>
  <si>
    <t>Net cash flows from operations</t>
  </si>
  <si>
    <t>Net sales/(purchase) of physical assets</t>
  </si>
  <si>
    <t>Net sales/(purchase) of shares and other securities</t>
  </si>
  <si>
    <t>Net sales/(purchase) of intangible assets</t>
  </si>
  <si>
    <t xml:space="preserve">Net repayment/(issue) of advances </t>
  </si>
  <si>
    <t>Net divestment/(acquisition) of investments in associates</t>
  </si>
  <si>
    <t>Net cash flow from investing (incl annual Forecast new capital spend &amp; Top-down adj)</t>
  </si>
  <si>
    <t>Net cash flows from operating and investing activities</t>
  </si>
  <si>
    <t>Issues of circulating currency</t>
  </si>
  <si>
    <t xml:space="preserve">Net issue/(repayment) of government stock </t>
  </si>
  <si>
    <t xml:space="preserve">Net issue/(repayment) of foreign-currency borrowings </t>
  </si>
  <si>
    <t xml:space="preserve">Net issue/(repayment) of other New Zealand dollar borrowings </t>
  </si>
  <si>
    <t>Net issue/(purchase) of equity</t>
  </si>
  <si>
    <t>Dividends received from/(paid to) minority interests</t>
  </si>
  <si>
    <t>Net cash flows from financing activities</t>
  </si>
  <si>
    <t>Net movement in cash</t>
  </si>
  <si>
    <t>Foreign exchange gains/(losses) on opening cash balance</t>
  </si>
  <si>
    <t>CHECK: Annual change in Cash asset =Net movement in cash +Forex gains/(losses)</t>
  </si>
  <si>
    <t>Reconciliation: Between Net cash flows from operations and the Operating balance</t>
  </si>
  <si>
    <t>Net cash flows from operations plus Total gains/(losses) and Other interests</t>
  </si>
  <si>
    <t>Amortisation</t>
  </si>
  <si>
    <t>Cost of concessionary lending</t>
  </si>
  <si>
    <t>Impairment on financial assets (excludes receivables)</t>
  </si>
  <si>
    <t>Change in accumulating insurance expenses</t>
  </si>
  <si>
    <t>Change in New Zealand Emissions Tradings Scheme liability</t>
  </si>
  <si>
    <t>Change in accumulating pension expenses</t>
  </si>
  <si>
    <t>Total other non-cash items (includes Depreciation &amp; amortisation)</t>
  </si>
  <si>
    <t>Increase/(decrease) in receivables</t>
  </si>
  <si>
    <t>Increase/(decrease) in accrued interest</t>
  </si>
  <si>
    <t>Increase/(decrease) in inventories</t>
  </si>
  <si>
    <t>Increase/(decrease) in prepayments</t>
  </si>
  <si>
    <t>Decrease/(increase) in deferred revenue</t>
  </si>
  <si>
    <t>Decrease/(increase) in payables/provisions</t>
  </si>
  <si>
    <t>Total movements in working capital</t>
  </si>
  <si>
    <t>CHECK: Op Bal (excl Min Ints) = Op cash +Gains +Non-cash items +Movements in WC</t>
  </si>
  <si>
    <t>STATEMENT OF FINANCIAL POSITION</t>
  </si>
  <si>
    <t>Cash and cash equivalents</t>
  </si>
  <si>
    <t>Receivables</t>
  </si>
  <si>
    <t>Marketable securities, deposits and derivatives in gain</t>
  </si>
  <si>
    <t>Share investments</t>
  </si>
  <si>
    <t>Advances</t>
  </si>
  <si>
    <t>Investments in controlled enterprises</t>
  </si>
  <si>
    <t>Inventory</t>
  </si>
  <si>
    <t>Other assets</t>
  </si>
  <si>
    <t xml:space="preserve">Property, plant and equipment </t>
  </si>
  <si>
    <t>Equity accounted investments</t>
  </si>
  <si>
    <t>Intangible assets and goodwill</t>
  </si>
  <si>
    <t>Forecast for new capital spending</t>
  </si>
  <si>
    <t>Top-down capital adjustment</t>
  </si>
  <si>
    <t>Total assets</t>
  </si>
  <si>
    <t>Issued currency</t>
  </si>
  <si>
    <t>Payables</t>
  </si>
  <si>
    <t>Deferred revenue</t>
  </si>
  <si>
    <t>Borrowings</t>
  </si>
  <si>
    <t>New Zealand Emissions Tradings Scheme (ETS) liability</t>
  </si>
  <si>
    <t>Insurance liabilities</t>
  </si>
  <si>
    <t>Retirement plan liabilities</t>
  </si>
  <si>
    <t>Provisions</t>
  </si>
  <si>
    <t>Total liabilities</t>
  </si>
  <si>
    <t>Total net worth</t>
  </si>
  <si>
    <t>CHECK: Net worth =Total assets - Total liabilities</t>
  </si>
  <si>
    <t>Net worth attributable to minority interest</t>
  </si>
  <si>
    <t>STATEMENT OF BORROWINGS</t>
  </si>
  <si>
    <t>Core Crown borrowings</t>
  </si>
  <si>
    <t>Core Crown unsettled purchases of securities</t>
  </si>
  <si>
    <t>Less New Zealand Superannuation Fund (NZSF) borrowings</t>
  </si>
  <si>
    <t>Less Core Crown financial assets (excluding receivables)</t>
  </si>
  <si>
    <t>Less Core Crown unsettled sales of securities</t>
  </si>
  <si>
    <t>NZSF financial assets (excl. receivables) &amp; net unsettled sales/(purchases) of securities</t>
  </si>
  <si>
    <t>Core Crown advances (excluding NZSF advances)</t>
  </si>
  <si>
    <t>Net core Crown debt excluding NZSF &amp; advances</t>
  </si>
  <si>
    <t>Crown entity borrowings</t>
  </si>
  <si>
    <t>Less Kiwi Group Capital Ltd borrowings</t>
  </si>
  <si>
    <t>Net debt excluding NZSF</t>
  </si>
  <si>
    <t>Net debt</t>
  </si>
  <si>
    <t>CHECK: Net debt = Value calculated from components</t>
  </si>
  <si>
    <t>Reserve Bank (RB) settlement cash and bills</t>
  </si>
  <si>
    <t>Gross debt (core Crown)</t>
  </si>
  <si>
    <t>STATEMENT OF SEGMENTS - CORE CROWN SECTION</t>
  </si>
  <si>
    <t>Core Crown revenue</t>
  </si>
  <si>
    <t>CHECK: CC revenue =Tax +Other sovereign +Sales of g&amp;s +Interest +Other revenue</t>
  </si>
  <si>
    <t>Social assistance and official development assistance</t>
  </si>
  <si>
    <t xml:space="preserve">Personnel expenses </t>
  </si>
  <si>
    <t xml:space="preserve">Other operating expenses </t>
  </si>
  <si>
    <t>Core Crown expenses</t>
  </si>
  <si>
    <t>CHECK: CC exps =SA&amp;ODA +Persnl +Other op +Int +Insur +Fcst new op spend &amp;T-d adj</t>
  </si>
  <si>
    <t>Total gains/(losses) and other items</t>
  </si>
  <si>
    <t>Core Crown operating balance</t>
  </si>
  <si>
    <t>CHECK: CC op balance =Revenue -Expenses +Total gains/(losses) +Net surp/(def) A&amp;JV</t>
  </si>
  <si>
    <t>Inventory and other assets</t>
  </si>
  <si>
    <t>Core Crown assets</t>
  </si>
  <si>
    <t>CHECK: CC assets =Cash+Rec+MSD+SI+Adv+PPE+EAI+IG+IO+Fcst new cap sp &amp;T-d adj</t>
  </si>
  <si>
    <t>Core Crown liabilities</t>
  </si>
  <si>
    <t>CHECK: CC liabilities =Issued currency +Borrowings +Paybls +Def rev +IL +RPL +Provs</t>
  </si>
  <si>
    <t>Core Crown net worth</t>
  </si>
  <si>
    <t>STATEMENT OF SEGMENTS -CROWN ENTITY (CE) STATE-OWNED ENTERPRISE (SOE)</t>
  </si>
  <si>
    <t>CE insurance expenses</t>
  </si>
  <si>
    <t>SOE insurance expenses (includes any inter-segment eliminations)</t>
  </si>
  <si>
    <t>CHECK: Insurance expenses in Statement of Financial Performance =Sum of segments</t>
  </si>
  <si>
    <t>CE social security and welfare</t>
  </si>
  <si>
    <t>CE health expenses</t>
  </si>
  <si>
    <t>CE education expenses</t>
  </si>
  <si>
    <t>CE transport and communications expenses</t>
  </si>
  <si>
    <t>SOE transport and communications expenses</t>
  </si>
  <si>
    <t>CE other non-finance expenses (excluding welfare, health, education &amp; transport)</t>
  </si>
  <si>
    <t>SOE other non-finance expenses (excluding welfare, health, education &amp; transport)</t>
  </si>
  <si>
    <t>Inter-segment elimination for other non-finance exps (excl welfare, health, education &amp; transport)</t>
  </si>
  <si>
    <t>CE marketable securities, deposits and derivatives in gain</t>
  </si>
  <si>
    <t>SOE marketable securities, deposits and derivatives in gain</t>
  </si>
  <si>
    <t>CE share investments</t>
  </si>
  <si>
    <t>SOE share investments</t>
  </si>
  <si>
    <t>NOTES TO THE FINANCIAL STATEMENTS</t>
  </si>
  <si>
    <t>Taxation revenue (accrual)</t>
  </si>
  <si>
    <t>Source deductions</t>
  </si>
  <si>
    <t>Other personal income tax revenue</t>
  </si>
  <si>
    <t>Corporate tax</t>
  </si>
  <si>
    <t>Total goods and services tax (GST)</t>
  </si>
  <si>
    <t>Hypothecated transport taxes</t>
  </si>
  <si>
    <t>Remaining tax types</t>
  </si>
  <si>
    <t>CHECK: Tax revenue in Statement of Financial Performance =Sum of tax types</t>
  </si>
  <si>
    <t>Other sovereign revenue (accrual)</t>
  </si>
  <si>
    <t>Accident Compensation Corporation (ACC) levies</t>
  </si>
  <si>
    <t>Emissions Trading Scheme (ETS) revenue</t>
  </si>
  <si>
    <t>Remaining other sovereign revenue types</t>
  </si>
  <si>
    <t>CHECK: Other sovereign rev in Statement of Financial Performance =Sum of OSR types</t>
  </si>
  <si>
    <t>Crown entities</t>
  </si>
  <si>
    <t>State-owned Enterprises</t>
  </si>
  <si>
    <t>Inter-segment eliminations</t>
  </si>
  <si>
    <t>CHECK: Interest revenue in Statement of Financial Performance =Sum of segments</t>
  </si>
  <si>
    <t>Dividend revenue (Total Crown)</t>
  </si>
  <si>
    <t>Core Crown</t>
  </si>
  <si>
    <t>CHECK: Total Crown Dividend revenue from Note =Sum of segments</t>
  </si>
  <si>
    <t>New Zealand Superannuation</t>
  </si>
  <si>
    <t>Jobseeker support and Emergency benefit</t>
  </si>
  <si>
    <t>Supported living payment</t>
  </si>
  <si>
    <t>Sole parent support</t>
  </si>
  <si>
    <t>Working for Families tax credits</t>
  </si>
  <si>
    <t>Accommodation Assistance</t>
  </si>
  <si>
    <t>Supplementary benefits</t>
  </si>
  <si>
    <t>Student allowances</t>
  </si>
  <si>
    <t>KiwiSaver</t>
  </si>
  <si>
    <t>Official development assistance</t>
  </si>
  <si>
    <t>CHECK: Transfer pmts &amp; subsidies in Statement of Financial Performance =Sum of types</t>
  </si>
  <si>
    <t>CHECK: Personnel expenses in Statement of Financial Performance =Sum of segments</t>
  </si>
  <si>
    <t>CHECK: Depreciation in Statement of Financial Performance =Sum of segments</t>
  </si>
  <si>
    <t>Other Operating expenses (excludes Depreciation)</t>
  </si>
  <si>
    <t>CHECK: Other Oper expenses in Statement of Financial Performance =Sum of segments</t>
  </si>
  <si>
    <t>Finance costs (Interest expenses)</t>
  </si>
  <si>
    <t>CHECK: Interest expenses in Statement of Financial Performance =Sum of segments</t>
  </si>
  <si>
    <t>Accident Compensation Corporation (ACC)</t>
  </si>
  <si>
    <t>Earthquake Commission (EQC)</t>
  </si>
  <si>
    <t>Other (includes inter-segment eliminations)</t>
  </si>
  <si>
    <t>CHECK: Insurance expenses in Statement of Financial Performance =Sum of types</t>
  </si>
  <si>
    <t>Unallocated contingencies and other targetted new operating spending</t>
  </si>
  <si>
    <t>Forecast new operating spending for second forecast year</t>
  </si>
  <si>
    <t>Forecast new operating spending for third forecast year</t>
  </si>
  <si>
    <t>Forecast new operating spending for fourth forecast year</t>
  </si>
  <si>
    <t>Forecast new operating spending for fifth forecast year</t>
  </si>
  <si>
    <t>CHECK: Forecast new oper spend in Statement of Financial Performance =Sum of years</t>
  </si>
  <si>
    <t>Forecast new capital spending</t>
  </si>
  <si>
    <t>Unallocated contingencies</t>
  </si>
  <si>
    <t>CHECK: Forecast new capital spending in Statement of Financial Position =Sum of years</t>
  </si>
  <si>
    <t>Gains and losses on financial instruments</t>
  </si>
  <si>
    <t>State-owned enterprises</t>
  </si>
  <si>
    <t>CHECK: Gain/(loss) on fncl ins in Statement of Financial Performance =Sum of segments</t>
  </si>
  <si>
    <t>Gains and losses on non-financial instruments</t>
  </si>
  <si>
    <t>CHECK: Gain/(loss) on n-f ins in Statement of Financial Performance =Sum of segments</t>
  </si>
  <si>
    <t>Operating balance (excluding Minority interests)</t>
  </si>
  <si>
    <t>CHECK: Oper bal (excl Min ints) in Statement of Financial Performance=Sum of segments</t>
  </si>
  <si>
    <t>Receivables from Financial assets note</t>
  </si>
  <si>
    <t>Tax receivables</t>
  </si>
  <si>
    <t>Trade and other receivables</t>
  </si>
  <si>
    <t>CHECK: Receivables in Statement of Financial Position =Sum of Tax &amp; Trade versions</t>
  </si>
  <si>
    <t>Student Loans and Kiwibank mortgages from Financial assets note</t>
  </si>
  <si>
    <t>Kiwibank mortgages</t>
  </si>
  <si>
    <t>Less initial write-down to fair value</t>
  </si>
  <si>
    <t>Less Repayments made during the year</t>
  </si>
  <si>
    <t>Gains/(losses) and (Impairment)/reversal of impairment</t>
  </si>
  <si>
    <t>Closing book value</t>
  </si>
  <si>
    <t>CHECK: Student Loans in Financial assets note =Closing book value</t>
  </si>
  <si>
    <t>Property, plant and equipment (P,P&amp;E)</t>
  </si>
  <si>
    <t>CHECK: Property, plant &amp; equipmt in Statement of Financial Position =Sum of segments</t>
  </si>
  <si>
    <t>Schedule of movements</t>
  </si>
  <si>
    <t>Additions</t>
  </si>
  <si>
    <t>Disposals</t>
  </si>
  <si>
    <t>Net revaluations</t>
  </si>
  <si>
    <t>Other (mainly transfers to/from other asset categories)</t>
  </si>
  <si>
    <t>Closing balance of cost or valuation</t>
  </si>
  <si>
    <t>Eliminated on disposal</t>
  </si>
  <si>
    <t>Eliminated on revaluation</t>
  </si>
  <si>
    <t>Impairment losses charged to operating balance</t>
  </si>
  <si>
    <t>Depreciation expense</t>
  </si>
  <si>
    <t>Total accumulated depreciation and impairment</t>
  </si>
  <si>
    <t>CHECK: P,P&amp;E in Statement of Financial Position =Closing balance - Accum deprc &amp; impt</t>
  </si>
  <si>
    <t>CHECK: Intangible assets &amp;goodwill in Statement of Financial Position =Sum of segments</t>
  </si>
  <si>
    <t>New Zealand Superannuation Fund (NZSF)</t>
  </si>
  <si>
    <t>Revenue</t>
  </si>
  <si>
    <t>Less current tax expense</t>
  </si>
  <si>
    <t>Less other expenses</t>
  </si>
  <si>
    <t>Add gains/(losses)</t>
  </si>
  <si>
    <t>Gross capital contribution from the Crown</t>
  </si>
  <si>
    <t>Closing net worth</t>
  </si>
  <si>
    <t>Financial assets</t>
  </si>
  <si>
    <t>Financial liabilities</t>
  </si>
  <si>
    <t>Net other assets</t>
  </si>
  <si>
    <t>CHECK: Closing net worth =Sum of financial assets less liabilities and net other assets</t>
  </si>
  <si>
    <t>Accounts payable</t>
  </si>
  <si>
    <t>Taxes repayable</t>
  </si>
  <si>
    <t>CHECK: Payables in Statement of Financial Position =Sum of types</t>
  </si>
  <si>
    <t>Emissions Trading Scheme (ETS)</t>
  </si>
  <si>
    <t>ETS auction units</t>
  </si>
  <si>
    <t>ETS revenue</t>
  </si>
  <si>
    <t>ETS expenses</t>
  </si>
  <si>
    <t>ETS gains/(losses)</t>
  </si>
  <si>
    <t>ETS other movements</t>
  </si>
  <si>
    <t>CHECK: Closing provision = Opening + auction units - rev + exps - gains + oth mvts</t>
  </si>
  <si>
    <t>Other (includes inter-segment elimination)</t>
  </si>
  <si>
    <t>CHECK: Insurance liabilities in Statement of Financial Position =Sum of types</t>
  </si>
  <si>
    <t>Core Crown (excluding NZSF) residual cash</t>
  </si>
  <si>
    <t>Tax receipts</t>
  </si>
  <si>
    <t>Sales of goods and services and other receipts</t>
  </si>
  <si>
    <t>Less Transfer payments and subsidies</t>
  </si>
  <si>
    <t>Less Personnel and operating costs</t>
  </si>
  <si>
    <t>Less Finance costs</t>
  </si>
  <si>
    <t>Net core Crown operating cash flows  (incl Forecast new oper spend &amp; Top-down adjust)</t>
  </si>
  <si>
    <t>Net sale/(purchase) of physical assets</t>
  </si>
  <si>
    <t>Net repayment/(issue) of advances</t>
  </si>
  <si>
    <t>Net sale/(purchase) of investments</t>
  </si>
  <si>
    <t>Net CC capital cash flows (incl NZSF contrb, ann. Fcast new cap spend &amp; T-d adjust)</t>
  </si>
  <si>
    <t>Core Crown Residual cash surplus/(deficit)</t>
  </si>
  <si>
    <t>CHECK: Residual cash =Sum of Core Crown operating and capital cash flows</t>
  </si>
  <si>
    <t>Total borrowing cash flows</t>
  </si>
  <si>
    <t>Net sale/(purchase) of marketable securities and deposits</t>
  </si>
  <si>
    <t>Decrease/(increase) in cash</t>
  </si>
  <si>
    <t>Total investing cash flows (incl issues of circ currency from Statement of Cash Flows)</t>
  </si>
  <si>
    <t>Residual cash deficit/(surplus) funding or investing</t>
  </si>
  <si>
    <t>This worksheet is where the economic and fiscal modelling assumptions are entered. They are used in the main modelling worksheets of the Fiscal Strategy Model.</t>
  </si>
  <si>
    <t>Unless specifically stated otherwise, all references in this worksheet to GDP should be taken to mean the current price variable Nominal Gross Domestic Product (GDP).</t>
  </si>
  <si>
    <t>Zero marker (set to zero to avoid using any pasted in numbers in modelling worksheets)</t>
  </si>
  <si>
    <t>Number of years for effective interest rate to align with government 10-year bond rate</t>
  </si>
  <si>
    <t>FISCAL ASSUMPTIONS</t>
  </si>
  <si>
    <t>No</t>
  </si>
  <si>
    <t>Fiscal drag elasticity applied to nominal wage growth for source deductions and other personal income tax revenue</t>
  </si>
  <si>
    <t>ECONOMIC OUTTURNS, FORECASTS AND PROJECTIONS</t>
  </si>
  <si>
    <t>Fiscal Year (year from 1 July to the following 30 June)</t>
  </si>
  <si>
    <r>
      <t xml:space="preserve">Key fiscal variable selected from drop-down list box </t>
    </r>
    <r>
      <rPr>
        <b/>
        <sz val="12"/>
        <color indexed="8"/>
        <rFont val="Calibri"/>
        <family val="2"/>
      </rPr>
      <t>↓</t>
    </r>
  </si>
  <si>
    <t>Total Crown OBEGAL</t>
  </si>
  <si>
    <t>Net core Crown debt excl. NZSF &amp; advances (excludes Crown entity debt)</t>
  </si>
  <si>
    <t>Net debt excluding New Zealand Superannuation Fund</t>
  </si>
  <si>
    <t>Core Crown residual cash</t>
  </si>
  <si>
    <t>Core Crown primary balance</t>
  </si>
  <si>
    <t>Total Crown revenue</t>
  </si>
  <si>
    <t>Total Crown expenses</t>
  </si>
  <si>
    <t>Total Crown operating balance (excluding minority interests)</t>
  </si>
  <si>
    <t>Core Crown tax revenue</t>
  </si>
  <si>
    <t>Total Crown tax revenue</t>
  </si>
  <si>
    <t>Total Crown net worth</t>
  </si>
  <si>
    <t>Total Crown net worth attributable to the Crown</t>
  </si>
  <si>
    <t>Total Crown borrowings</t>
  </si>
  <si>
    <t>Key fiscal indicator displayed as percentage of nominal GDP</t>
  </si>
  <si>
    <t>FISCAL OUTTURNS, FORECASTS AND PROJECTIONS</t>
  </si>
  <si>
    <t>Statement of Financial Performance</t>
  </si>
  <si>
    <t>Total Crown revenue (excluding Gains)</t>
  </si>
  <si>
    <t>Total Crown total gains/(losses)</t>
  </si>
  <si>
    <t>From Fiscal Forecasts</t>
  </si>
  <si>
    <t>Notes to the Financial Statements</t>
  </si>
  <si>
    <t>Source deductions (mainly PAYE on salaries and wages and transfers)</t>
  </si>
  <si>
    <t>Other personal income tax types</t>
  </si>
  <si>
    <t>Number of years used to calculate average for stable percentage of GDP for each tax type</t>
  </si>
  <si>
    <t>Transition rate from end-of-forecast to stable percentage of GDP for tax types (percentage points per year)</t>
  </si>
  <si>
    <t>Total corporate tax (mainly company tax)</t>
  </si>
  <si>
    <t>Total goods and services tax (consolidated GST)</t>
  </si>
  <si>
    <t>Hypothecated transport taxes (petrol duties, road user charges &amp; vehicle registration fees)</t>
  </si>
  <si>
    <t>Inter-segment elimination of tax revenue</t>
  </si>
  <si>
    <t>Core Crown taxation revenue</t>
  </si>
  <si>
    <t>Emissions Trading Scheme (ETS) revenue to reduce ETS provision</t>
  </si>
  <si>
    <t>Other core Crown other sovereign revenue</t>
  </si>
  <si>
    <t>Core Crown other sovereign revenue</t>
  </si>
  <si>
    <t>Other non-core Crown other sovereign revenue</t>
  </si>
  <si>
    <t>Emissions Trading Scheme (ETS) cash receipts from auctioning units</t>
  </si>
  <si>
    <t>Core Crown sales of goods and services</t>
  </si>
  <si>
    <t>Student loans (interest unwind)</t>
  </si>
  <si>
    <t>Other core Crown interest revenue</t>
  </si>
  <si>
    <t>Core Crown interest revenue</t>
  </si>
  <si>
    <t>Inter-segment elimination</t>
  </si>
  <si>
    <t>New Zealand Superannuation Fund (NZSF) interest revenue</t>
  </si>
  <si>
    <t>Gains/(losses)</t>
  </si>
  <si>
    <t>Capital contribution from/(withdrawal to) the Crown</t>
  </si>
  <si>
    <t>Comprising:</t>
  </si>
  <si>
    <t>Less Financial liabilities</t>
  </si>
  <si>
    <t>Tax expense</t>
  </si>
  <si>
    <t>Non-tax expenses</t>
  </si>
  <si>
    <t>Operating balance of NZSF</t>
  </si>
  <si>
    <r>
      <t xml:space="preserve">less </t>
    </r>
    <r>
      <rPr>
        <sz val="11"/>
        <color indexed="8"/>
        <rFont val="Arial"/>
        <family val="2"/>
      </rPr>
      <t>Tax on earnings</t>
    </r>
  </si>
  <si>
    <r>
      <t xml:space="preserve">less </t>
    </r>
    <r>
      <rPr>
        <sz val="11"/>
        <color indexed="8"/>
        <rFont val="Arial"/>
        <family val="2"/>
      </rPr>
      <t>Initial write-down to fair value</t>
    </r>
  </si>
  <si>
    <r>
      <t xml:space="preserve">less </t>
    </r>
    <r>
      <rPr>
        <sz val="11"/>
        <color indexed="8"/>
        <rFont val="Arial"/>
        <family val="2"/>
      </rPr>
      <t>Repayments made during the year</t>
    </r>
  </si>
  <si>
    <t>Student loans</t>
  </si>
  <si>
    <t>Initial write-down to fair value</t>
  </si>
  <si>
    <t>Repayments made during the year</t>
  </si>
  <si>
    <t>New Zealand Superannuation Fund (NZSF) parameters to model interaction of</t>
  </si>
  <si>
    <t>Percentage of NZSF revenue received as interest</t>
  </si>
  <si>
    <t>Percentage of NZSF revenue received as dividends (non-interest/dividend received as other)</t>
  </si>
  <si>
    <t>Percentage of NZSF financial assets excluding receivables and advances as cash and cash equivalents</t>
  </si>
  <si>
    <t>Percentage of NZSF financial assets excluding receivables and advances as marketable securities etc.</t>
  </si>
  <si>
    <t>Percentage of NZSF financial assets excluding receivables and advances as share investrnents</t>
  </si>
  <si>
    <t>Percentage of NZSF financial liabilities as borrowings (debt)</t>
  </si>
  <si>
    <t>NZSF revenue, assets &amp; liabilities with those of the rest of the core Crown</t>
  </si>
  <si>
    <t>are used mainly to divide up the forecast and projected closing balance of the NZSF among various asset and liability classes.</t>
  </si>
  <si>
    <t>The following percentages are related to the New Zealand Superannuation Fund (NZSF). They are based on outturn data and</t>
  </si>
  <si>
    <t>Percentage of NZSF financial assets excluding receivables and advances as investments in controlled enterprises</t>
  </si>
  <si>
    <t>Effective interest rate on core Crown gross debt</t>
  </si>
  <si>
    <t>Interest expenses (also called Finance costs)</t>
  </si>
  <si>
    <t>Statement of Borrowings</t>
  </si>
  <si>
    <t>Total Crown Borrowings</t>
  </si>
  <si>
    <t>Net core Crown debt excluding NZSF and advances</t>
  </si>
  <si>
    <r>
      <t xml:space="preserve">CHECK: Net debt in </t>
    </r>
    <r>
      <rPr>
        <b/>
        <i/>
        <sz val="11"/>
        <rFont val="Arial"/>
        <family val="2"/>
      </rPr>
      <t>Fiscal Forecasts</t>
    </r>
    <r>
      <rPr>
        <b/>
        <sz val="11"/>
        <rFont val="Arial"/>
        <family val="2"/>
      </rPr>
      <t xml:space="preserve"> worksheet = Calculated value</t>
    </r>
  </si>
  <si>
    <t>Reserve Bank settlement cash and bills</t>
  </si>
  <si>
    <t>New Zealand Superannuation Fund (NZSF) dividend revenue</t>
  </si>
  <si>
    <t>Other core Crown dividend revenue</t>
  </si>
  <si>
    <t>Core Crown dividend revenue</t>
  </si>
  <si>
    <t>Dividend revenue</t>
  </si>
  <si>
    <t>Inter-segment elimination (includes any outturn or forecast SOEs' dividend income)</t>
  </si>
  <si>
    <t>State-owned enterprises (SOEs)</t>
  </si>
  <si>
    <t>New Zealand Superannuation Fund (NZSF) non-interest, non-dividend revenue</t>
  </si>
  <si>
    <t>Other core Crown non-interest, non-dividend revenue</t>
  </si>
  <si>
    <t>Core Crown other revenue</t>
  </si>
  <si>
    <t>Total Crown taxation revenue</t>
  </si>
  <si>
    <t>Total Crown other sovereign revenue</t>
  </si>
  <si>
    <t>Total Crown sales of goods and services (dominated by SOE sales)</t>
  </si>
  <si>
    <t>Total Crown interest revenue</t>
  </si>
  <si>
    <t>Total Crown dividend revenue</t>
  </si>
  <si>
    <t>Total Crown other revenue</t>
  </si>
  <si>
    <t>Total Crown expenses (excluding Losses)</t>
  </si>
  <si>
    <t>Minority interest (MI) share of operating balance</t>
  </si>
  <si>
    <r>
      <t xml:space="preserve">CHECK: Total Crown OBEGAL in </t>
    </r>
    <r>
      <rPr>
        <b/>
        <i/>
        <sz val="11"/>
        <rFont val="Arial"/>
        <family val="2"/>
      </rPr>
      <t>Fiscal Forecasts</t>
    </r>
    <r>
      <rPr>
        <b/>
        <sz val="11"/>
        <rFont val="Arial"/>
        <family val="2"/>
      </rPr>
      <t xml:space="preserve"> worksheet = Calculated value</t>
    </r>
  </si>
  <si>
    <t>CHECK: Total Crown expenses: Functional classes sum = Operational classes sum</t>
  </si>
  <si>
    <t>Core Crown revenue (excluding Gains)</t>
  </si>
  <si>
    <t>Core Crown expenses (excluding Losses)</t>
  </si>
  <si>
    <r>
      <t xml:space="preserve">CHECK: Core Crown op balance in </t>
    </r>
    <r>
      <rPr>
        <b/>
        <i/>
        <sz val="11"/>
        <rFont val="Arial"/>
        <family val="2"/>
      </rPr>
      <t>Fiscal Forecasts</t>
    </r>
    <r>
      <rPr>
        <b/>
        <sz val="11"/>
        <rFont val="Arial"/>
        <family val="2"/>
      </rPr>
      <t xml:space="preserve"> worksheet = Calculated value</t>
    </r>
  </si>
  <si>
    <t>CHECK: Core Crown expenses: Functional classes sum = Operational classes sum</t>
  </si>
  <si>
    <t>Total Crown operating balance before gains and losses (OBEGAL)</t>
  </si>
  <si>
    <t>Jobseeker support and emergency benefit</t>
  </si>
  <si>
    <r>
      <t xml:space="preserve">Age in years </t>
    </r>
    <r>
      <rPr>
        <b/>
        <sz val="11"/>
        <color indexed="8"/>
        <rFont val="Arial"/>
        <family val="2"/>
      </rPr>
      <t>↓</t>
    </r>
  </si>
  <si>
    <r>
      <t xml:space="preserve">Age in years </t>
    </r>
    <r>
      <rPr>
        <b/>
        <sz val="11"/>
        <color indexed="8"/>
        <rFont val="Calibri"/>
        <family val="2"/>
      </rPr>
      <t>↓</t>
    </r>
  </si>
  <si>
    <t>Female aged 16 to 19 years</t>
  </si>
  <si>
    <t>Female aged 20 to 24 years</t>
  </si>
  <si>
    <t>Female aged 25 to 29 years</t>
  </si>
  <si>
    <t>Female aged 30 to 34 years</t>
  </si>
  <si>
    <t>Female aged 35 to 39 years</t>
  </si>
  <si>
    <t>Female aged 40 to 44 years</t>
  </si>
  <si>
    <t>Female aged 45 to 49 years</t>
  </si>
  <si>
    <t>Female aged 50 to 54 years</t>
  </si>
  <si>
    <t>Female aged 55 to 59 years</t>
  </si>
  <si>
    <t>Female aged 60 to 64 years</t>
  </si>
  <si>
    <t>Female aged 65 years &amp; above</t>
  </si>
  <si>
    <t>Male aged 16 to 19 years</t>
  </si>
  <si>
    <t>Male aged 20 to 24 years</t>
  </si>
  <si>
    <t>Male aged 25 to 29 years</t>
  </si>
  <si>
    <t>Male aged 30 to 34 years</t>
  </si>
  <si>
    <t>Male aged 35 to 39 years</t>
  </si>
  <si>
    <t>Male aged 40 to 44 years</t>
  </si>
  <si>
    <t>Male aged 45 to 49 years</t>
  </si>
  <si>
    <t>Male aged 50 to 54 years</t>
  </si>
  <si>
    <t>Male aged 55 to 59 years</t>
  </si>
  <si>
    <t>Male aged 60 to 64 years</t>
  </si>
  <si>
    <t>Male aged 65 years &amp; above</t>
  </si>
  <si>
    <t>Aged 65 years and above</t>
  </si>
  <si>
    <t>Aged 18 years to 40 years</t>
  </si>
  <si>
    <t>Welfare benefits (approx. as Total social assist grants minus Student allowances)</t>
  </si>
  <si>
    <t>Total social assistance grants</t>
  </si>
  <si>
    <t>KiwiSaver subsidies</t>
  </si>
  <si>
    <t>Departmental and non-departmental social security and welfare expenses</t>
  </si>
  <si>
    <t>Core Crown social security and welfare expenses</t>
  </si>
  <si>
    <t>Crown entities social security and welfare expenses (dominated by ACC payments)</t>
  </si>
  <si>
    <t>Inter-segment elimination for social security &amp; welfare exps (Crown share of ACC paymts)</t>
  </si>
  <si>
    <t>Total Crown transfer payments and subsidies</t>
  </si>
  <si>
    <t>Total Crown social security and welfare expenses</t>
  </si>
  <si>
    <t>Total Crown personnel expenses</t>
  </si>
  <si>
    <t>Core Crown amortisation &amp; impairment of intangible assets expenses</t>
  </si>
  <si>
    <t>ACC</t>
  </si>
  <si>
    <t>Operating allowances</t>
  </si>
  <si>
    <t>Forecasting new operating spending</t>
  </si>
  <si>
    <t>Total Crown depreciation expenses</t>
  </si>
  <si>
    <t>Total Crown other operating expenses</t>
  </si>
  <si>
    <t>EQC and other insurance expenses</t>
  </si>
  <si>
    <t>Annual increment to forecast new operating spending</t>
  </si>
  <si>
    <t>The first projected year value and the ensuing annual growth rate for the annual increments to both operating and capital allowances are set here.</t>
  </si>
  <si>
    <t>Operating allowances control most non-welfare, non-interest core Crown expenses' growth. Capital allowances control much of core Crown asset growth.</t>
  </si>
  <si>
    <t>New operating spending annual increment in first projected year ($ billion)</t>
  </si>
  <si>
    <t>Annual growth rate of annual increment to new operating spending in later projected years</t>
  </si>
  <si>
    <t>New capital spending annual increment in first projected year ($ billion)</t>
  </si>
  <si>
    <t>Annual growth rate of annual increment to new capital spending in later projected years</t>
  </si>
  <si>
    <t>Government Superannuation Fund (GSF) pension expenses</t>
  </si>
  <si>
    <t>Core Crown GSF pension expenses</t>
  </si>
  <si>
    <t>Total GSF pension expenses</t>
  </si>
  <si>
    <t>Health expenses</t>
  </si>
  <si>
    <t>Total Crown health expenses</t>
  </si>
  <si>
    <t>Education expenses</t>
  </si>
  <si>
    <t>Student loans (initial write-down to fair value)</t>
  </si>
  <si>
    <t>Core Crown education expenses</t>
  </si>
  <si>
    <t>Total Crown education expenses</t>
  </si>
  <si>
    <t>Core government services expenses</t>
  </si>
  <si>
    <t>NZSF non-tax expenses</t>
  </si>
  <si>
    <t>Official development assistance (ODI)</t>
  </si>
  <si>
    <t>Tax receivable write-downs and impairments</t>
  </si>
  <si>
    <t>Core Crown core government services expenses</t>
  </si>
  <si>
    <t>Total Crown core government services expenses</t>
  </si>
  <si>
    <t>From Exogenous</t>
  </si>
  <si>
    <t>Law and order expenses</t>
  </si>
  <si>
    <t>Core Crown law and order expenses</t>
  </si>
  <si>
    <t>Total Crown law and order expenses</t>
  </si>
  <si>
    <t>Transport and communications expenses</t>
  </si>
  <si>
    <t>Total Crown transport and communications expenses</t>
  </si>
  <si>
    <t>Economic and industrial services expenses</t>
  </si>
  <si>
    <t>Core Crown insurance expenses</t>
  </si>
  <si>
    <t>Other core Crown core government services expenses</t>
  </si>
  <si>
    <t>Other core Crown economic and industrial services expenses</t>
  </si>
  <si>
    <t>Core Crown economic and industrial services expenses</t>
  </si>
  <si>
    <t>Total Crown economic and industrial services expenses</t>
  </si>
  <si>
    <t>Defence expenses</t>
  </si>
  <si>
    <t>Core Crown defence expenses</t>
  </si>
  <si>
    <t>Total Crown defence expenses</t>
  </si>
  <si>
    <t>Heritage, culture and recreation expenses</t>
  </si>
  <si>
    <t>Core Crown heritage, culture and recreation expenses</t>
  </si>
  <si>
    <t>Total Crown heritage, culture and recreation expenses</t>
  </si>
  <si>
    <t>Core Crown primary services expenses</t>
  </si>
  <si>
    <t>Total Crown primary services expenses</t>
  </si>
  <si>
    <t>Primary services expenses</t>
  </si>
  <si>
    <t>Core Crown housing and community development expenses</t>
  </si>
  <si>
    <t>Total Crown housing and community development expenses</t>
  </si>
  <si>
    <t>Housing and community development expenses</t>
  </si>
  <si>
    <t>Emissions Trading Scheme (ETS) expenses</t>
  </si>
  <si>
    <t>Environmental protection expenses</t>
  </si>
  <si>
    <t>Other core Crown environmental protection expenses</t>
  </si>
  <si>
    <t>Core Crown environmental protection expenses</t>
  </si>
  <si>
    <t>Total Crown environmental protection expenses</t>
  </si>
  <si>
    <t>Other expenses</t>
  </si>
  <si>
    <t>Core Crown other expenses</t>
  </si>
  <si>
    <t>Total Crown other expenses</t>
  </si>
  <si>
    <t>Parameters to align operational and functional expense classes</t>
  </si>
  <si>
    <t>Core Crown expenses that derive growth from a share of the Operating allowances</t>
  </si>
  <si>
    <t>Functional core Crown expenses allocated to Other operating expenses</t>
  </si>
  <si>
    <t>Non-core Crown expenses excluding welfare, health, education, transport &amp; interest</t>
  </si>
  <si>
    <t>Crown entities (projected as ratio of all category exps except Econ &amp; ind services)</t>
  </si>
  <si>
    <t>State-owned enterprises (projected as ratio of Economic &amp; industrial services)</t>
  </si>
  <si>
    <t>Inter-segment elimination (projected as Total less core Crown less CE &amp; SOE terms)</t>
  </si>
  <si>
    <t>Gains and losses on financial and non-financial instruments</t>
  </si>
  <si>
    <t>NZSF gains/(losses)</t>
  </si>
  <si>
    <t>Other core Crown gains/(losses)</t>
  </si>
  <si>
    <t>Core Crown gains/(losses)</t>
  </si>
  <si>
    <t>Total Crown gains/(losses)</t>
  </si>
  <si>
    <t>Core Crown net surplus/(deficit) from associates and joint ventures</t>
  </si>
  <si>
    <t>Total Crown net surplus/(deficit) from associates and joint ventures</t>
  </si>
  <si>
    <t>NZSF cash and cash equivalents</t>
  </si>
  <si>
    <t>NZSF advances</t>
  </si>
  <si>
    <t>Other core Crown cash and cash equivalents</t>
  </si>
  <si>
    <t>Core Crown cash and cash equivalents</t>
  </si>
  <si>
    <t>Total Crown cash and cash equivalents</t>
  </si>
  <si>
    <t>NZSF receivables</t>
  </si>
  <si>
    <t>Other core Crown receivables</t>
  </si>
  <si>
    <t>Core Crown receivables</t>
  </si>
  <si>
    <t>Total Crown receivables</t>
  </si>
  <si>
    <t>New Zealand Superannuation Fund (NZSF) borrowings</t>
  </si>
  <si>
    <t>Core Crown financial assets (excluding receivables)</t>
  </si>
  <si>
    <t>Core Crown unsettled sales of securities</t>
  </si>
  <si>
    <t>Outturn &amp; Forecast only</t>
  </si>
  <si>
    <t>Statement of Cash Flows</t>
  </si>
  <si>
    <t>NZSF marketable securities, deposits and derivatives in gain</t>
  </si>
  <si>
    <t>Other core Crown marketable securities, deposits and derivatives in gain</t>
  </si>
  <si>
    <t>Core Crown marketable securities, deposits and derivatives in gain</t>
  </si>
  <si>
    <t>Total Crown marketable securities, deposits and derivatives in gain</t>
  </si>
  <si>
    <t>NZSF share investments</t>
  </si>
  <si>
    <t>Other core Crown share investments</t>
  </si>
  <si>
    <t>Core Crown share investments</t>
  </si>
  <si>
    <t>Total Crown share investments</t>
  </si>
  <si>
    <t>Other core Crown advances</t>
  </si>
  <si>
    <t>Core Crown advances</t>
  </si>
  <si>
    <t>Kiwibank mortgages (Crown entity)</t>
  </si>
  <si>
    <t>Other non-core Crown advances, mainly inter-segment eliminations</t>
  </si>
  <si>
    <t>Total Crown advances</t>
  </si>
  <si>
    <t>Core Crown inventory (approximated)</t>
  </si>
  <si>
    <t>Total Crown inventory</t>
  </si>
  <si>
    <t xml:space="preserve">Other </t>
  </si>
  <si>
    <t>Property, plant and equipment</t>
  </si>
  <si>
    <t>Core Crown property, plant and equipment</t>
  </si>
  <si>
    <t>Net additions less reductions to core Crown property, plant &amp; equipment excl. depreciation</t>
  </si>
  <si>
    <t>Hypothecated transport taxes capital funding share</t>
  </si>
  <si>
    <t>State-owned enterprises PP&amp;E</t>
  </si>
  <si>
    <t>Total Crown property, plant and equipment</t>
  </si>
  <si>
    <t>Core Crown depreciation</t>
  </si>
  <si>
    <t>Crown entities &amp; State-owned enterprises depreciation</t>
  </si>
  <si>
    <t>Crown entities and State-owned enterprises (SOEs) property, plant and equipment</t>
  </si>
  <si>
    <t>Core Crown equity accounted investments</t>
  </si>
  <si>
    <t>Total Crown equity accounted investments</t>
  </si>
  <si>
    <t>State-owned enterprises (SOEs) (includes any historical or forecast inter-segment elims)</t>
  </si>
  <si>
    <t>Total Crown intangible assets and goodwill</t>
  </si>
  <si>
    <t>State-owned enterprises (SOEs) (Includes inter-segment elimination)</t>
  </si>
  <si>
    <t>Capital allowances</t>
  </si>
  <si>
    <t>Forecasting new capital spending</t>
  </si>
  <si>
    <t>Total addition to forecast new capital spending in year</t>
  </si>
  <si>
    <t>Total forecast new capital spending (cumulative)</t>
  </si>
  <si>
    <t>Top-down capital spending adjustment</t>
  </si>
  <si>
    <t>Core Crown (there are no Crown entities or SOEs issued currency liabilities)</t>
  </si>
  <si>
    <t>NZSF payables</t>
  </si>
  <si>
    <t>Other core Crown payables</t>
  </si>
  <si>
    <t>Core Crown payables</t>
  </si>
  <si>
    <t>Total Crown payables</t>
  </si>
  <si>
    <t>Core Crown deferred revenue</t>
  </si>
  <si>
    <t>Total Crown deferred revenue</t>
  </si>
  <si>
    <t>New Zealand Emissions Trading Scheme (ETS)</t>
  </si>
  <si>
    <t>Core Crown Emissions Trading Scheme</t>
  </si>
  <si>
    <t>Total Crown Emissions Trading Scheme</t>
  </si>
  <si>
    <t>Core Crown insurance liabilities</t>
  </si>
  <si>
    <t>Accident Compensation Corporation (ACC), a Crown entity</t>
  </si>
  <si>
    <t>Other non-core Crown insurance liabilities, including inter-segment eliminations</t>
  </si>
  <si>
    <t>Total Crown insurance liabilities</t>
  </si>
  <si>
    <t>Core Crown transfer payments and subsidies</t>
  </si>
  <si>
    <t>Core Crown personnel expenses</t>
  </si>
  <si>
    <t>Core Crown depreciation expenses</t>
  </si>
  <si>
    <t>Core Crown other operating expenses</t>
  </si>
  <si>
    <t>Core Crown interest expenses</t>
  </si>
  <si>
    <t>Total Crown interest expenses</t>
  </si>
  <si>
    <t>Total Crown insurance expenses</t>
  </si>
  <si>
    <t>Core Crown health expenses</t>
  </si>
  <si>
    <t>Core Crown transport and communications expenses</t>
  </si>
  <si>
    <t>Core Crown intangible assets and goodwill</t>
  </si>
  <si>
    <t>Investments in controlled enterprises (there are no Crown entities or SOEs ICEs)</t>
  </si>
  <si>
    <t>Retirement plan liabilities (dominated by Government Superannuation Fund, or GSF)</t>
  </si>
  <si>
    <t>Core Crown retirement plan liabilities</t>
  </si>
  <si>
    <t>Non-core Crown retirement plan liabilities</t>
  </si>
  <si>
    <t>Total Crown retirement plan liabilities</t>
  </si>
  <si>
    <t>NZSF Provisions</t>
  </si>
  <si>
    <t>Other core Crown Provisions</t>
  </si>
  <si>
    <t>Core Crown Provisions</t>
  </si>
  <si>
    <t>Total Crown Provisions</t>
  </si>
  <si>
    <t>Core Crown residual cash (excludes New Zealand Superannuation Fund)</t>
  </si>
  <si>
    <t>Net core Crown operating cash flows</t>
  </si>
  <si>
    <t>Net core Crown capital cash flows</t>
  </si>
  <si>
    <t>Residual cash surplus/(deficit)</t>
  </si>
  <si>
    <r>
      <t xml:space="preserve">CHECK: RC = Negative of annual </t>
    </r>
    <r>
      <rPr>
        <b/>
        <sz val="11"/>
        <color theme="1"/>
        <rFont val="Calibri"/>
        <family val="2"/>
      </rPr>
      <t xml:space="preserve">Δ </t>
    </r>
    <r>
      <rPr>
        <b/>
        <sz val="11"/>
        <color theme="1"/>
        <rFont val="Arial"/>
        <family val="2"/>
      </rPr>
      <t>core Crown net debt &amp; currency issued</t>
    </r>
  </si>
  <si>
    <t>Total investing cash flows</t>
  </si>
  <si>
    <t>CHECK: Residual cash s/(d) = Negative of sum of borrowing + investing cash flows</t>
  </si>
  <si>
    <t>Personnel and operating costs</t>
  </si>
  <si>
    <t>Forecast for future new operating spending and Top-down expense adjustment</t>
  </si>
  <si>
    <t>Net purchase/(sale) of physical assets</t>
  </si>
  <si>
    <t>Net issue/(repayment) of advances</t>
  </si>
  <si>
    <t>Net purchase/(sale) of investments</t>
  </si>
  <si>
    <t>Capital contribution/(withdrawal) to the NZS Fund</t>
  </si>
  <si>
    <t>Forecast for future new capital spending and Top-down capital expense adjustment</t>
  </si>
  <si>
    <t>Net purchase/(sale) of marketable securities and deposits (MSDs) and shares</t>
  </si>
  <si>
    <t>Statement of Financial Position</t>
  </si>
  <si>
    <t>Total Crown assets</t>
  </si>
  <si>
    <t>Total Crown liabilities</t>
  </si>
  <si>
    <t>Net worth attributable to minority interests</t>
  </si>
  <si>
    <r>
      <t xml:space="preserve">CHECK: Total Crown net worth in </t>
    </r>
    <r>
      <rPr>
        <b/>
        <i/>
        <sz val="11"/>
        <rFont val="Arial"/>
        <family val="2"/>
      </rPr>
      <t>Fiscal Forecasts</t>
    </r>
    <r>
      <rPr>
        <b/>
        <sz val="11"/>
        <rFont val="Arial"/>
        <family val="2"/>
      </rPr>
      <t xml:space="preserve"> worksheet = Calculated value</t>
    </r>
  </si>
  <si>
    <t>Net cash flow from operations (add back NZS Fund variables, subtract NZS Fund tax)</t>
  </si>
  <si>
    <t>Net cash flow from investing (capital cash + cash from MSDs &amp; shares &amp; NZS Fund cash)</t>
  </si>
  <si>
    <t>Net issue/(repayment) of borrowings = Ann. change in cash - Sum of components above</t>
  </si>
  <si>
    <t>Net movement in core Crown cash and cash equivalents</t>
  </si>
  <si>
    <t>Reconciliation between net cash flows from operations and operating balance</t>
  </si>
  <si>
    <t>Net cash flow from operations</t>
  </si>
  <si>
    <t>Total other non-cash items</t>
  </si>
  <si>
    <t>Operating Balance</t>
  </si>
  <si>
    <t>Core Crown Statement of Cash Flows (constructed from Residual Cash note)</t>
  </si>
  <si>
    <t>Projected Years only</t>
  </si>
  <si>
    <t>CHECK: Annual change in Total Crown net worth = Oper. Bal. (incl minority interests)</t>
  </si>
  <si>
    <t>Depreciation and amortisation</t>
  </si>
  <si>
    <t>Cost of concessionary lending and impairment on financial assets (excluding receivables)</t>
  </si>
  <si>
    <t>Increase/(decrease) in insurance liabilities</t>
  </si>
  <si>
    <t>Increase/(decrease) in deferred revenue</t>
  </si>
  <si>
    <t>Increase/(decrease) in payables/provisions</t>
  </si>
  <si>
    <t>Increase/(decrease) in defined benefit retirement plan liabilities</t>
  </si>
  <si>
    <t>CHECK: Core Crown Oper Bal = Net cash oper +Gains +Non-cash +Mvmts wk cap</t>
  </si>
  <si>
    <r>
      <t xml:space="preserve">CHECK: Core Crown net worth in </t>
    </r>
    <r>
      <rPr>
        <b/>
        <i/>
        <sz val="11"/>
        <rFont val="Arial"/>
        <family val="2"/>
      </rPr>
      <t>Fiscal Forecasts</t>
    </r>
    <r>
      <rPr>
        <b/>
        <sz val="11"/>
        <rFont val="Arial"/>
        <family val="2"/>
      </rPr>
      <t xml:space="preserve"> worksheet = Calculated value</t>
    </r>
  </si>
  <si>
    <t>CHECK: Annual change in core Crown net worth = Operating balance</t>
  </si>
  <si>
    <t>Total cash disbursed to operations</t>
  </si>
  <si>
    <t>Net cash flow from investing</t>
  </si>
  <si>
    <t>Net issue/(repayment) of borrowings</t>
  </si>
  <si>
    <t>Net cash flow from financing</t>
  </si>
  <si>
    <t>Total gains/(losses) &amp; Net surplus/(deficit) from assoc less MI share of op balance</t>
  </si>
  <si>
    <t>CHECK: Op Bal (ex MI) = Net cash op+Gains&amp;NS-MI share +Non-cash+Mvmt WC</t>
  </si>
  <si>
    <t>Net purchase/(sale) of shares and other securities</t>
  </si>
  <si>
    <t>Net purchase/(sale) of intangible assets</t>
  </si>
  <si>
    <t>Net issues/(repayment) of advances</t>
  </si>
  <si>
    <t>Net acquisition/(divestment) of investments in associates</t>
  </si>
  <si>
    <t>Dividends paid to/(received from) minority interests</t>
  </si>
  <si>
    <t xml:space="preserve"> Increase/(decrease) in deferred revenue</t>
  </si>
  <si>
    <t xml:space="preserve"> Increase/(decrease) in payables/provisions</t>
  </si>
  <si>
    <t>Kiwi Group Capital Ltd borrowings</t>
  </si>
  <si>
    <t>Impairment on financial assets (excluding receivables)</t>
  </si>
  <si>
    <t>FISCAL FORECAST ADJUSTER</t>
  </si>
  <si>
    <t>Enter additions or subtractions in units of $ million in each year. If a revenue or expense type or allowance amount is to remain unchanged in any year, enter a zero for it in that year.</t>
  </si>
  <si>
    <t>Tax revenue ($ millions)</t>
  </si>
  <si>
    <t>Other personal income tax</t>
  </si>
  <si>
    <t>Goods and services tax (GST</t>
  </si>
  <si>
    <t>Other taxes</t>
  </si>
  <si>
    <t>Total tax revenue</t>
  </si>
  <si>
    <t>Benefits and transfers ($ millions)</t>
  </si>
  <si>
    <t>New Zealand Superannuation (NZS)</t>
  </si>
  <si>
    <t>Total benefits and transfers</t>
  </si>
  <si>
    <t>Transport and communication expenses</t>
  </si>
  <si>
    <t>Forecast new operating and capital spending ($ millions)</t>
  </si>
  <si>
    <t>Forecast new operating spending (annual increment)</t>
  </si>
  <si>
    <t>Forecast new operating spending (total for year)</t>
  </si>
  <si>
    <t>Forecast new capital spending (annual increment)</t>
  </si>
  <si>
    <t>Forecast new capital spending (total for year)</t>
  </si>
  <si>
    <t>Calculated impacts on debt and finance costs</t>
  </si>
  <si>
    <r>
      <rPr>
        <sz val="11"/>
        <color indexed="8"/>
        <rFont val="Calibri"/>
        <family val="2"/>
      </rPr>
      <t>∆</t>
    </r>
    <r>
      <rPr>
        <sz val="11"/>
        <color indexed="8"/>
        <rFont val="Arial"/>
        <family val="2"/>
      </rPr>
      <t xml:space="preserve"> finance costs from non-finance cost impact on debt in year</t>
    </r>
  </si>
  <si>
    <r>
      <rPr>
        <sz val="11"/>
        <color indexed="8"/>
        <rFont val="Calibri"/>
        <family val="2"/>
      </rPr>
      <t>∆</t>
    </r>
    <r>
      <rPr>
        <sz val="11"/>
        <color indexed="8"/>
        <rFont val="Arial"/>
        <family val="2"/>
      </rPr>
      <t xml:space="preserve"> finance costs from finance cost impact on debt in year</t>
    </r>
  </si>
  <si>
    <r>
      <rPr>
        <sz val="11"/>
        <color indexed="8"/>
        <rFont val="Calibri"/>
        <family val="2"/>
      </rPr>
      <t>∆</t>
    </r>
    <r>
      <rPr>
        <sz val="11"/>
        <color indexed="8"/>
        <rFont val="Arial"/>
        <family val="2"/>
      </rPr>
      <t xml:space="preserve"> finance costs from earlier year debt impacts</t>
    </r>
  </si>
  <si>
    <t>Total change to debt-financing costs ($ millions)</t>
  </si>
  <si>
    <r>
      <t xml:space="preserve">Annual </t>
    </r>
    <r>
      <rPr>
        <sz val="11"/>
        <color indexed="8"/>
        <rFont val="Calibri"/>
        <family val="2"/>
      </rPr>
      <t>∆</t>
    </r>
    <r>
      <rPr>
        <sz val="11"/>
        <color indexed="8"/>
        <rFont val="Arial"/>
        <family val="2"/>
      </rPr>
      <t xml:space="preserve"> debt (excludes finance cost impacts)</t>
    </r>
  </si>
  <si>
    <r>
      <t xml:space="preserve">Annual </t>
    </r>
    <r>
      <rPr>
        <sz val="11"/>
        <color indexed="8"/>
        <rFont val="Calibri"/>
        <family val="2"/>
      </rPr>
      <t>∆</t>
    </r>
    <r>
      <rPr>
        <sz val="11"/>
        <color indexed="8"/>
        <rFont val="Arial"/>
        <family val="2"/>
      </rPr>
      <t xml:space="preserve"> debt (includes finance cost impacts)</t>
    </r>
  </si>
  <si>
    <t>Total change to gross debt ($ millions)</t>
  </si>
  <si>
    <t>Current forecast horizon</t>
  </si>
  <si>
    <r>
      <t xml:space="preserve">Adjust fiscal forecasts </t>
    </r>
    <r>
      <rPr>
        <i/>
        <sz val="11"/>
        <color theme="1"/>
        <rFont val="Calibri"/>
        <family val="2"/>
      </rPr>
      <t>→</t>
    </r>
  </si>
  <si>
    <r>
      <t xml:space="preserve">Adjust NZSF track </t>
    </r>
    <r>
      <rPr>
        <i/>
        <sz val="11"/>
        <color theme="1"/>
        <rFont val="Calibri"/>
        <family val="2"/>
      </rPr>
      <t>→</t>
    </r>
  </si>
  <si>
    <t>ALTERNATE NEW ZEALAND SUPERANNUATION FUND (NZSF) TRACKS PRODUCED BY TREASURY MODEL</t>
  </si>
  <si>
    <t xml:space="preserve">The NZSF projected tracks in this worksheet are produced by the Treasury NZSF model. </t>
  </si>
  <si>
    <r>
      <rPr>
        <i/>
        <sz val="11"/>
        <color indexed="8"/>
        <rFont val="Arial"/>
        <family val="2"/>
      </rPr>
      <t>less</t>
    </r>
    <r>
      <rPr>
        <sz val="11"/>
        <color indexed="8"/>
        <rFont val="Arial"/>
        <family val="2"/>
      </rPr>
      <t xml:space="preserve"> Tax expense</t>
    </r>
  </si>
  <si>
    <r>
      <rPr>
        <i/>
        <sz val="11"/>
        <color indexed="8"/>
        <rFont val="Arial"/>
        <family val="2"/>
      </rPr>
      <t>less</t>
    </r>
    <r>
      <rPr>
        <sz val="11"/>
        <color indexed="8"/>
        <rFont val="Arial"/>
        <family val="2"/>
      </rPr>
      <t xml:space="preserve"> Non-tax expenses</t>
    </r>
  </si>
  <si>
    <t>Closing NZSF balance</t>
  </si>
  <si>
    <t>Check components add up to closing balance</t>
  </si>
  <si>
    <r>
      <rPr>
        <sz val="11"/>
        <color indexed="8"/>
        <rFont val="Calibri"/>
        <family val="2"/>
      </rPr>
      <t>∆</t>
    </r>
    <r>
      <rPr>
        <sz val="11"/>
        <color indexed="8"/>
        <rFont val="Arial"/>
        <family val="2"/>
      </rPr>
      <t xml:space="preserve"> finance costs from current year impacts</t>
    </r>
  </si>
  <si>
    <t>Total change to debt-financing costs</t>
  </si>
  <si>
    <t>Total change to gross debt</t>
  </si>
  <si>
    <t>Latest forecast distribution of revenue, non-tax expenses and gains/(losses)</t>
  </si>
  <si>
    <t>Rev - N-t exp + G/(L)</t>
  </si>
  <si>
    <t>TRACK 1</t>
  </si>
  <si>
    <t>Capital contribution/(withdrawal)</t>
  </si>
  <si>
    <t>TRACK 2</t>
  </si>
  <si>
    <r>
      <t xml:space="preserve">Select track number to apply </t>
    </r>
    <r>
      <rPr>
        <b/>
        <sz val="11"/>
        <color indexed="8"/>
        <rFont val="Calibri"/>
        <family val="2"/>
      </rPr>
      <t>→</t>
    </r>
  </si>
  <si>
    <t>The Financial Statements of the Government of New Zealand are now prepared under the Public Sector Public Benefit Entities (PBE) accounting standard.</t>
  </si>
  <si>
    <t>However prior to the fiscal year (year ended 30 June) 2014/15  these accounts were prepared using an International Financial Reporting Standards (IFRS) standard.</t>
  </si>
  <si>
    <t>Further changes to the measurement and reporting of fiscal data in the New Zealand government accounts occurred in 2019/20.</t>
  </si>
  <si>
    <t>As all fiscal data has not been backdated to the PBE standard only the main fiscal indicators reported in the drop-down box at the top of the main modelling worksheet are given in this worksheet.</t>
  </si>
  <si>
    <t>The nominal GDP divisor used in the main modelling worksheet has also been provided in this worksheet for these historical years.</t>
  </si>
  <si>
    <t>NOMINAL GDP (expenditure measure)</t>
  </si>
  <si>
    <t>MAIN FISCAL INDICATOR  ACTUAL OUTTURNS ($ billions)</t>
  </si>
  <si>
    <t>As percentage of nominal GDP</t>
  </si>
  <si>
    <t>Net debt (excluding NZS Fund)</t>
  </si>
  <si>
    <t>Net core Crown debt (excl. NZS Fund financial assets &amp; advances)</t>
  </si>
  <si>
    <t>CORE CROWN EXPENSES ($ billions)</t>
  </si>
  <si>
    <t>Total core Crown expenses</t>
  </si>
  <si>
    <r>
      <t>less Fi</t>
    </r>
    <r>
      <rPr>
        <sz val="11"/>
        <color indexed="8"/>
        <rFont val="Arial"/>
        <family val="2"/>
      </rPr>
      <t>nal-year fee iree paymenls</t>
    </r>
  </si>
  <si>
    <t>ACTUAL FISCAL OUTTURNS FROM 2009/10 UNTIL 2023/24</t>
  </si>
  <si>
    <t>Amortisation and net impairment of non-financial assets</t>
  </si>
  <si>
    <t>Total Crown Amortisation</t>
  </si>
  <si>
    <t>Forecast new capital spending for second forecast year</t>
  </si>
  <si>
    <t>Forecast new capital spending for third forecast year</t>
  </si>
  <si>
    <t>Forecast new capital spending for fourth forecast year</t>
  </si>
  <si>
    <t>Forecast new capital spending for fifth forecast year</t>
  </si>
  <si>
    <t>Less Final-year fees free payment</t>
  </si>
  <si>
    <t>less Non-tax expenses</t>
  </si>
  <si>
    <t>ACC revenue</t>
  </si>
  <si>
    <t>ACC expenses</t>
  </si>
  <si>
    <t>Total Crown OBEGAL excluding the ACC</t>
  </si>
  <si>
    <t>CHECK: OBEGAL excl. ACC = OBEGAL - (ACC revenue - ACC expenses)</t>
  </si>
  <si>
    <t>Total Crown OBEGAL excluding ACC</t>
  </si>
  <si>
    <t>Final-year fees free payment</t>
  </si>
  <si>
    <t>Fiscal drag modelling can be applied to source deductions and other personal income tax types. For the number of years that it is selected to apply, these taxes have their</t>
  </si>
  <si>
    <t>nominal wage growth driver multiplied by the fiscal drag elasticity. In later years the fiscal drag elasticity will just be 1, meaning fiscal drag is effectively not applied then.</t>
  </si>
  <si>
    <t>Corporate taxes, consolidated GDT and hypothecated transport taxes transition to stable percentages of GDP based on their average percentages over</t>
  </si>
  <si>
    <t>the five forecast years and last five outturn years. The transition rate for these tax types can also be selected.</t>
  </si>
  <si>
    <t>In years where fiscal drag modelling is applied to net average ordinary time weekly earnings (AOTWE) that index NZS rates it slows its growth relative to that of gross AOTWE.</t>
  </si>
  <si>
    <t>Number of projected years to apply fiscal drag elasticity greater than 1.</t>
  </si>
  <si>
    <t>Number of projected years to apply fiscal drag modelling in calculating net AOTWE used in NZS rate indexation</t>
  </si>
  <si>
    <t>ALLOCATION OF OPERATING AND CAPITAL ALLOWANCES OVER FORECAST YEARS</t>
  </si>
  <si>
    <t>Forecast new operating spending (excludes multi-year decisions)</t>
  </si>
  <si>
    <t>Total unallocated new operating spending</t>
  </si>
  <si>
    <t>Allocation</t>
  </si>
  <si>
    <t>CORE CROWN EXPENSE CATEGORY</t>
  </si>
  <si>
    <t>Percentage</t>
  </si>
  <si>
    <t>Social security and welfare departmental and non-departmental</t>
  </si>
  <si>
    <t>Total core Crown expenditure allocation of operating allowances &amp; top-down adjustment</t>
  </si>
  <si>
    <t>Core Crown Education Expenditure Sub-groups</t>
  </si>
  <si>
    <t>Early childhood education</t>
  </si>
  <si>
    <t>Primary education</t>
  </si>
  <si>
    <t>Secondary education</t>
  </si>
  <si>
    <t>Tertiary funding excluding student allowances and student loans</t>
  </si>
  <si>
    <t>Departmental &amp; non-departmental expenses</t>
  </si>
  <si>
    <t>Total core Crown Education expenditure allocation</t>
  </si>
  <si>
    <t>LONG-TERM FISCAL PROJECTIONS</t>
  </si>
  <si>
    <t>Allocate operating allowances and bottom-up expense adjustments over forecast years</t>
  </si>
  <si>
    <t>Yes</t>
  </si>
  <si>
    <t>Multi-year health funding</t>
  </si>
  <si>
    <t>Total unallocated new operating spending (add back multi-year health package)</t>
  </si>
  <si>
    <t>Student Allowances</t>
  </si>
  <si>
    <t>Student Loans write-downs</t>
  </si>
  <si>
    <t>Departmental &amp; non-departmental expenses (includes temporary covid spending)</t>
  </si>
  <si>
    <t>CHECK: Total = Core Crown education</t>
  </si>
  <si>
    <t>New Zealand Transport Agency</t>
  </si>
  <si>
    <t>Number of years used to calculate average for stable percentage of GDP for each bottom-up expense type</t>
  </si>
  <si>
    <t>Transition rate from end-of-forecast to stable percentage of GDP for bottom-up expense types (percentage points per year)</t>
  </si>
  <si>
    <t>Apply bottom-up growth to various expense categories in projected years</t>
  </si>
  <si>
    <t>EDUCATION AGE AND GENDER DISTRIBUTION</t>
  </si>
  <si>
    <t>Early Childhood Education</t>
  </si>
  <si>
    <t>Under 1 year</t>
  </si>
  <si>
    <t>1 year to 2 years</t>
  </si>
  <si>
    <t>2 years to 3 years</t>
  </si>
  <si>
    <t>3 years to 4 years</t>
  </si>
  <si>
    <t>4 years to 5 years</t>
  </si>
  <si>
    <t>5 years to 6 years</t>
  </si>
  <si>
    <t>Primary school education</t>
  </si>
  <si>
    <t>Secondary school education</t>
  </si>
  <si>
    <t>Departmental and non-departmental education expenses</t>
  </si>
  <si>
    <t>Tertiary education excluding student allowances and loans</t>
  </si>
  <si>
    <t>Female aged under 1 year</t>
  </si>
  <si>
    <t>Female aged 1 year</t>
  </si>
  <si>
    <t>Female aged 2 years</t>
  </si>
  <si>
    <t>Female aged 3 years</t>
  </si>
  <si>
    <t>Female aged 4 years</t>
  </si>
  <si>
    <t>Female aged 5 years</t>
  </si>
  <si>
    <t>Female aged 6 years</t>
  </si>
  <si>
    <t>Female aged 7 years</t>
  </si>
  <si>
    <t>Female aged 8 years</t>
  </si>
  <si>
    <t>Female aged 9 years</t>
  </si>
  <si>
    <t>Female aged 10 years</t>
  </si>
  <si>
    <t>Female aged 11 years</t>
  </si>
  <si>
    <t>Female aged 12 years</t>
  </si>
  <si>
    <t>Female aged 13 years</t>
  </si>
  <si>
    <t>Female aged 14 years</t>
  </si>
  <si>
    <t>Female aged 15 years</t>
  </si>
  <si>
    <t>Female aged 16 years</t>
  </si>
  <si>
    <t>Female aged 17 years</t>
  </si>
  <si>
    <t>Female aged 18 years</t>
  </si>
  <si>
    <t>Female aged 19 years</t>
  </si>
  <si>
    <t>Male aged under 1 year</t>
  </si>
  <si>
    <t>Male aged 1 year</t>
  </si>
  <si>
    <t>Male aged 2 years</t>
  </si>
  <si>
    <t>Male aged 3 years</t>
  </si>
  <si>
    <t>Male aged 4 years</t>
  </si>
  <si>
    <t>Male aged 5 years</t>
  </si>
  <si>
    <t>Male aged 6 years</t>
  </si>
  <si>
    <t>Male aged 7 years</t>
  </si>
  <si>
    <t>Male aged 8 years</t>
  </si>
  <si>
    <t>Male aged 9 years</t>
  </si>
  <si>
    <t>Male aged 10 years</t>
  </si>
  <si>
    <t>Male aged 11 years</t>
  </si>
  <si>
    <t>Male aged 12 years</t>
  </si>
  <si>
    <t>Male aged 13 years</t>
  </si>
  <si>
    <t>Male aged 14 years</t>
  </si>
  <si>
    <t>Male aged 15 years</t>
  </si>
  <si>
    <t>Male aged 16 years</t>
  </si>
  <si>
    <t>Male aged 17 years</t>
  </si>
  <si>
    <t>Male aged 18 years</t>
  </si>
  <si>
    <t>Male aged 19 years</t>
  </si>
  <si>
    <t>Education productivity growth</t>
  </si>
  <si>
    <t>Primary School Education</t>
  </si>
  <si>
    <t>Aged 5 years</t>
  </si>
  <si>
    <t>Aged 6 years</t>
  </si>
  <si>
    <t>Aged 7 years</t>
  </si>
  <si>
    <t>Aged 8 years</t>
  </si>
  <si>
    <t>Aged 9 years</t>
  </si>
  <si>
    <t>Aged 10 years</t>
  </si>
  <si>
    <t>Aged 11 years</t>
  </si>
  <si>
    <t>Aged 12 years</t>
  </si>
  <si>
    <t>Aged 13 years</t>
  </si>
  <si>
    <t>Aged 14 years</t>
  </si>
  <si>
    <t>Aged 15 years</t>
  </si>
  <si>
    <t>Aged 16 years</t>
  </si>
  <si>
    <t>Aged 17 years</t>
  </si>
  <si>
    <t>Aged 18 years</t>
  </si>
  <si>
    <t>Aged 19 years</t>
  </si>
  <si>
    <t>Secondary School Education</t>
  </si>
  <si>
    <t>Tertiary Education</t>
  </si>
  <si>
    <t>Aged 18 to 19 years</t>
  </si>
  <si>
    <t>Aged 20 to 24 years</t>
  </si>
  <si>
    <t>Aged 25 to 39 years</t>
  </si>
  <si>
    <t>Aged 40 to 54 years</t>
  </si>
  <si>
    <t>Female aged 18 to 19 years</t>
  </si>
  <si>
    <t>Female aged 25 to 39 years</t>
  </si>
  <si>
    <t>Female aged 40 to 54 years</t>
  </si>
  <si>
    <t>Male aged 18 to 19 years</t>
  </si>
  <si>
    <t>Male aged 25 to 39 years</t>
  </si>
  <si>
    <t>Male aged 40 to 54 years</t>
  </si>
  <si>
    <t>HEALTH AGE AND GENDER DISTRIBUTION</t>
  </si>
  <si>
    <t xml:space="preserve">HEALTH EXPENDITURE COST SHARES </t>
  </si>
  <si>
    <t>PERSONAL HEALTH CARE</t>
  </si>
  <si>
    <t>HEALTH OF OLDER PEOPLE</t>
  </si>
  <si>
    <t>(2019 UPDATE OF MINISTRY OF HEALTH COST WEIGHTS)</t>
  </si>
  <si>
    <t>PRIMARY</t>
  </si>
  <si>
    <t>HOSPITAL, COMMUNITY SERVICES</t>
  </si>
  <si>
    <t>MENTAL HEALTH</t>
  </si>
  <si>
    <t>AGED RESIDENTIAL CARE</t>
  </si>
  <si>
    <t>OTHER</t>
  </si>
  <si>
    <t>UNMET NEED</t>
  </si>
  <si>
    <r>
      <t xml:space="preserve">SHARE OF TOTAL HEALTH COSTS </t>
    </r>
    <r>
      <rPr>
        <b/>
        <sz val="10"/>
        <color theme="1"/>
        <rFont val="Calibri"/>
        <family val="2"/>
      </rPr>
      <t>→</t>
    </r>
  </si>
  <si>
    <r>
      <t xml:space="preserve">SHARE BY AGE </t>
    </r>
    <r>
      <rPr>
        <b/>
        <sz val="10"/>
        <color theme="1"/>
        <rFont val="Calibri"/>
        <family val="2"/>
      </rPr>
      <t>↓</t>
    </r>
  </si>
  <si>
    <t>Aged 0 to 4 years</t>
  </si>
  <si>
    <t>Aged 5 to 9 years</t>
  </si>
  <si>
    <t>Aged 10 to 14 years</t>
  </si>
  <si>
    <t>Aged 15 to 19 years</t>
  </si>
  <si>
    <t>Aged 25 to 29 years</t>
  </si>
  <si>
    <t>Aged 30 to 34 years</t>
  </si>
  <si>
    <t>Aged 35 to 39 years</t>
  </si>
  <si>
    <t>Aged 40 to 44 years</t>
  </si>
  <si>
    <t>Aged 45 to 49 years</t>
  </si>
  <si>
    <t>Aged 50 to 54 years</t>
  </si>
  <si>
    <t>Aged 55 to 59 years</t>
  </si>
  <si>
    <t>Aged 60 to 64 years</t>
  </si>
  <si>
    <t>Aged 65 to 69 years</t>
  </si>
  <si>
    <t>Aged 70 to 74 years</t>
  </si>
  <si>
    <t>Aged 75 to 79 years</t>
  </si>
  <si>
    <t>Aged 80 to 84 years</t>
  </si>
  <si>
    <t>Aged 85 to 89 years</t>
  </si>
  <si>
    <t>Aged 90 years and above</t>
  </si>
  <si>
    <t>Personal Health Care - Primary</t>
  </si>
  <si>
    <t>Personal Health Care - Hospital, Community Services</t>
  </si>
  <si>
    <t>Mental Health</t>
  </si>
  <si>
    <t>Health of Older People - Aged Resiudential Care</t>
  </si>
  <si>
    <t>Health of Older People - Other</t>
  </si>
  <si>
    <t>Unmet Need</t>
  </si>
  <si>
    <t>Female aged 0 to 4 years</t>
  </si>
  <si>
    <t>Female aged 5 to 9 years</t>
  </si>
  <si>
    <t>Female aged 10 to 14 years</t>
  </si>
  <si>
    <t>Female aged 15 to 19 years</t>
  </si>
  <si>
    <t>Female aged 65 to 69 years</t>
  </si>
  <si>
    <t>Female aged 70 to 74 years</t>
  </si>
  <si>
    <t>Female aged 75 to 79 years</t>
  </si>
  <si>
    <t>Female aged 80 to 84 years</t>
  </si>
  <si>
    <t>Female aged 85 to 89 years</t>
  </si>
  <si>
    <t>Female aged 90 years and above</t>
  </si>
  <si>
    <t>Health productivity growth</t>
  </si>
  <si>
    <t>Male aged 0 to 4 years</t>
  </si>
  <si>
    <t>Male aged 5 to 9 years</t>
  </si>
  <si>
    <t>Male aged 10 to 14 years</t>
  </si>
  <si>
    <t>Male aged 15 to 19 years</t>
  </si>
  <si>
    <t>Male aged 65 to 69 years</t>
  </si>
  <si>
    <t>Male aged 70 to 74 years</t>
  </si>
  <si>
    <t>Male aged 75 to 79 years</t>
  </si>
  <si>
    <t>Male aged 80 to 84 years</t>
  </si>
  <si>
    <t>Male aged 85 to 89 years</t>
  </si>
  <si>
    <t>Male aged 90 years and above</t>
  </si>
  <si>
    <t>Female life expectancy at birth</t>
  </si>
  <si>
    <t>Female life expectancy at age 65</t>
  </si>
  <si>
    <t>Male life expectancy at birth</t>
  </si>
  <si>
    <t>Male life expectancy at age 65</t>
  </si>
  <si>
    <t>Allocate operating allowances and bottom-up expense adjustments over projected years</t>
  </si>
  <si>
    <t>Budget Economic and Fiscal Update (BEFU) 2025 forecast</t>
  </si>
  <si>
    <t>Overshoot number of years for annual labour productivity growth</t>
  </si>
  <si>
    <t>Overshoot margin above long-run annual labour productivity growth stable value</t>
  </si>
  <si>
    <t>BEFU 2025 forecast from 2024/25 onwards</t>
  </si>
  <si>
    <t>Budget Economic and Fiscal Update (BEFU) 2025 projection from 2029/30 onwards</t>
  </si>
  <si>
    <t>Scenario1</t>
  </si>
  <si>
    <t>Education residual growth factor</t>
  </si>
  <si>
    <t>Health residual growth factor</t>
  </si>
  <si>
    <t>Scenario2</t>
  </si>
  <si>
    <t>Scenario3</t>
  </si>
  <si>
    <t>Scenario4</t>
  </si>
  <si>
    <t xml:space="preserve">modelling worksheets labelled with </t>
  </si>
  <si>
    <t>Scenario numbers and Option worksheet.</t>
  </si>
  <si>
    <t>Other worksheets can be copied from these</t>
  </si>
  <si>
    <t>FISCAL STRATEGY MODEL (FSM) - BUDGET ECONOMIC &amp; FISCAL UPDATE (BEFU) 2025 VERSION</t>
  </si>
  <si>
    <t>Budget Economic and Fiscal Update (BEFU) 2025 data and forecasts</t>
  </si>
  <si>
    <t>BEFU 2025 version</t>
  </si>
  <si>
    <t>Asset/liability track, 2025 update</t>
  </si>
  <si>
    <t>Projection produced by the MoE</t>
  </si>
  <si>
    <t>BEFU 2025 track provided by the Ministry of Education</t>
  </si>
  <si>
    <t>Bottom-up modelling of health and</t>
  </si>
  <si>
    <t>education expenditure uses demographic</t>
  </si>
  <si>
    <t>distributions particular to these areas.</t>
  </si>
  <si>
    <r>
      <t xml:space="preserve">The </t>
    </r>
    <r>
      <rPr>
        <i/>
        <sz val="10"/>
        <color theme="1"/>
        <rFont val="Arial"/>
        <family val="2"/>
      </rPr>
      <t>Option</t>
    </r>
    <r>
      <rPr>
        <sz val="10"/>
        <color theme="1"/>
        <rFont val="Arial"/>
        <family val="2"/>
      </rPr>
      <t xml:space="preserve"> worksheet. In cell B3 there</t>
    </r>
  </si>
  <si>
    <r>
      <t xml:space="preserve">The </t>
    </r>
    <r>
      <rPr>
        <i/>
        <sz val="10"/>
        <color theme="1"/>
        <rFont val="Arial"/>
        <family val="2"/>
      </rPr>
      <t>Option</t>
    </r>
    <r>
      <rPr>
        <sz val="10"/>
        <color theme="1"/>
        <rFont val="Arial"/>
        <family val="2"/>
      </rPr>
      <t xml:space="preserve"> worksheet. In cell B2 there</t>
    </r>
  </si>
  <si>
    <t>Scenario numbers</t>
  </si>
  <si>
    <t>the ones labelled with</t>
  </si>
  <si>
    <r>
      <rPr>
        <sz val="10"/>
        <color rgb="FF000000"/>
        <rFont val="Arial"/>
        <family val="2"/>
      </rPr>
      <t>and</t>
    </r>
    <r>
      <rPr>
        <i/>
        <sz val="10"/>
        <color indexed="8"/>
        <rFont val="Arial"/>
        <family val="2"/>
      </rPr>
      <t xml:space="preserve"> Option</t>
    </r>
    <r>
      <rPr>
        <sz val="10"/>
        <color indexed="8"/>
        <rFont val="Arial"/>
        <family val="2"/>
      </rPr>
      <t xml:space="preserve"> worksheet</t>
    </r>
  </si>
  <si>
    <r>
      <t xml:space="preserve">NZSF Adjuster </t>
    </r>
    <r>
      <rPr>
        <sz val="10"/>
        <color theme="1"/>
        <rFont val="Arial"/>
        <family val="2"/>
      </rPr>
      <t>(</t>
    </r>
    <r>
      <rPr>
        <i/>
        <sz val="10"/>
        <color theme="1"/>
        <rFont val="Arial"/>
        <family val="2"/>
      </rPr>
      <t xml:space="preserve">Option </t>
    </r>
    <r>
      <rPr>
        <sz val="10"/>
        <color theme="1"/>
        <rFont val="Arial"/>
        <family val="2"/>
      </rPr>
      <t>only)</t>
    </r>
  </si>
  <si>
    <t>Fiscal Forecast Adjuster (Option only)</t>
  </si>
  <si>
    <r>
      <rPr>
        <i/>
        <sz val="10"/>
        <color theme="1"/>
        <rFont val="Arial"/>
        <family val="2"/>
      </rPr>
      <t>Allocation</t>
    </r>
    <r>
      <rPr>
        <sz val="10"/>
        <color theme="1"/>
        <rFont val="Arial"/>
        <family val="2"/>
      </rPr>
      <t xml:space="preserve"> (only if allocating operating allowances to various expense categories or producing bottom-up expenditure projections)</t>
    </r>
  </si>
  <si>
    <t>This worksheet cakculates the division of</t>
  </si>
  <si>
    <t>forecast year operating allowances and</t>
  </si>
  <si>
    <t>top-down expense adjustments into</t>
  </si>
  <si>
    <t>eleven different expense categories and</t>
  </si>
  <si>
    <t>five sub-categories of education expense.</t>
  </si>
  <si>
    <t>The percentages used in this worksheet</t>
  </si>
  <si>
    <t>should not be taken as definitive of</t>
  </si>
  <si>
    <t>future funding allocations. They are simply</t>
  </si>
  <si>
    <t>based on averages of growth in the past for</t>
  </si>
  <si>
    <t>these expense types that are expected</t>
  </si>
  <si>
    <t>to have their future funding come from the</t>
  </si>
  <si>
    <t xml:space="preserve">operating allowances. This is necessary to </t>
  </si>
  <si>
    <t>set correct bases for bottom-up projections.</t>
  </si>
  <si>
    <t>Any main modelling worksheet if it is</t>
  </si>
  <si>
    <t>desired to allocate the operating allowances</t>
  </si>
  <si>
    <t>and the top-down expense adjustments to</t>
  </si>
  <si>
    <t>individual expense categories that would be</t>
  </si>
  <si>
    <t>expected to derive their forecast year and</t>
  </si>
  <si>
    <t>projected year growth from these sources.</t>
  </si>
  <si>
    <t>They need to be used in any main</t>
  </si>
  <si>
    <t>produce bottom-up expenditure modelling.</t>
  </si>
  <si>
    <t>modelling worksheet that is desired to</t>
  </si>
  <si>
    <t>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</si>
</sst>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
    <numFmt numFmtId="165" formatCode="0.0%"/>
    <numFmt numFmtId="166" formatCode="0.000"/>
    <numFmt numFmtId="167" formatCode="0.0"/>
    <numFmt numFmtId="168" formatCode="&quot;$&quot;#,##0.00"/>
    <numFmt numFmtId="169" formatCode="&quot;$&quot;#,##0"/>
    <numFmt numFmtId="170" formatCode="#,##0.0"/>
    <numFmt numFmtId="171" formatCode="0.00000"/>
    <numFmt numFmtId="172" formatCode="#,##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i/>
      <sz val="10"/>
      <color theme="1"/>
      <name val="Arial"/>
      <family val="2"/>
    </font>
    <font>
      <u/>
      <sz val="11"/>
      <color theme="10"/>
      <name val="Calibri"/>
      <family val="2"/>
      <scheme val="minor"/>
    </font>
    <font>
      <u/>
      <sz val="11"/>
      <color theme="10"/>
      <name val="Calibri"/>
      <family val="2"/>
    </font>
    <font>
      <b/>
      <sz val="11"/>
      <color theme="1"/>
      <name val="Arial"/>
      <family val="2"/>
    </font>
    <font>
      <i/>
      <sz val="11"/>
      <color theme="1"/>
      <name val="Arial"/>
      <family val="2"/>
    </font>
    <font>
      <sz val="11"/>
      <color theme="1"/>
      <name val="Arial"/>
      <family val="2"/>
    </font>
    <font>
      <b/>
      <sz val="11"/>
      <color indexed="8"/>
      <name val="Calibri"/>
      <family val="2"/>
    </font>
    <font>
      <b/>
      <sz val="11"/>
      <color indexed="8"/>
      <name val="Arial"/>
      <family val="2"/>
    </font>
    <font>
      <b/>
      <i/>
      <sz val="11"/>
      <color theme="1"/>
      <name val="Arial"/>
      <family val="2"/>
    </font>
    <font>
      <b/>
      <sz val="11"/>
      <color rgb="FFFF0000"/>
      <name val="Arial"/>
      <family val="2"/>
    </font>
    <font>
      <sz val="8"/>
      <name val="Arial"/>
      <family val="2"/>
    </font>
    <font>
      <sz val="11"/>
      <color rgb="FFFF0000"/>
      <name val="Arial"/>
      <family val="2"/>
    </font>
    <font>
      <sz val="11"/>
      <color rgb="FF0000FF"/>
      <name val="Calibri"/>
      <family val="2"/>
      <scheme val="minor"/>
    </font>
    <font>
      <sz val="11"/>
      <color indexed="8"/>
      <name val="Arial"/>
      <family val="2"/>
    </font>
    <font>
      <b/>
      <i/>
      <sz val="11"/>
      <color indexed="8"/>
      <name val="Arial"/>
      <family val="2"/>
    </font>
    <font>
      <i/>
      <sz val="11"/>
      <color indexed="8"/>
      <name val="Calibri"/>
      <family val="2"/>
    </font>
    <font>
      <i/>
      <sz val="11"/>
      <color indexed="8"/>
      <name val="Arial"/>
      <family val="2"/>
    </font>
    <font>
      <b/>
      <sz val="11"/>
      <color rgb="FF0000FF"/>
      <name val="Arial"/>
      <family val="2"/>
    </font>
    <font>
      <b/>
      <sz val="11"/>
      <color indexed="12"/>
      <name val="Calibri"/>
      <family val="2"/>
    </font>
    <font>
      <sz val="11"/>
      <color rgb="FF0000FF"/>
      <name val="Arial"/>
      <family val="2"/>
    </font>
    <font>
      <b/>
      <sz val="13"/>
      <color theme="1"/>
      <name val="Arial"/>
      <family val="2"/>
    </font>
    <font>
      <b/>
      <sz val="12"/>
      <color theme="1"/>
      <name val="Arial"/>
      <family val="2"/>
    </font>
    <font>
      <b/>
      <i/>
      <sz val="10"/>
      <color theme="1"/>
      <name val="Arial"/>
      <family val="2"/>
    </font>
    <font>
      <sz val="10"/>
      <color indexed="8"/>
      <name val="Arial"/>
      <family val="2"/>
    </font>
    <font>
      <i/>
      <sz val="10"/>
      <color indexed="8"/>
      <name val="Arial"/>
      <family val="2"/>
    </font>
    <font>
      <sz val="9"/>
      <color indexed="81"/>
      <name val="Tahoma"/>
      <family val="2"/>
    </font>
    <font>
      <b/>
      <sz val="11"/>
      <name val="Arial"/>
      <family val="2"/>
    </font>
    <font>
      <b/>
      <i/>
      <sz val="12"/>
      <color theme="1"/>
      <name val="Arial"/>
      <family val="2"/>
    </font>
    <font>
      <b/>
      <sz val="12"/>
      <color indexed="8"/>
      <name val="Calibri"/>
      <family val="2"/>
    </font>
    <font>
      <b/>
      <i/>
      <sz val="11"/>
      <name val="Arial"/>
      <family val="2"/>
    </font>
    <font>
      <sz val="11"/>
      <name val="Arial"/>
      <family val="2"/>
    </font>
    <font>
      <b/>
      <sz val="11"/>
      <color theme="1"/>
      <name val="Calibri"/>
      <family val="2"/>
    </font>
    <font>
      <sz val="11"/>
      <color indexed="8"/>
      <name val="Calibri"/>
      <family val="2"/>
    </font>
    <font>
      <i/>
      <sz val="11"/>
      <color theme="1"/>
      <name val="Calibri"/>
      <family val="2"/>
    </font>
    <font>
      <sz val="8"/>
      <name val="Calibri"/>
      <family val="2"/>
      <scheme val="minor"/>
    </font>
    <font>
      <b/>
      <sz val="10"/>
      <color theme="1"/>
      <name val="Calibri"/>
      <family val="2"/>
    </font>
    <font>
      <sz val="10"/>
      <color rgb="FF00000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
    <border>
      <left/>
      <right/>
      <top/>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5" fillId="0" borderId="0"/>
    <xf numFmtId="9" fontId="15" fillId="0" borderId="0" applyFont="0" applyFill="0" applyBorder="0" applyAlignment="0" applyProtection="0"/>
  </cellStyleXfs>
  <cellXfs count="115">
    <xf numFmtId="0" fontId="0" fillId="0" borderId="0" xfId="0"/>
    <xf numFmtId="0" fontId="3" fillId="0" borderId="0" xfId="0" applyFont="1"/>
    <xf numFmtId="0" fontId="4" fillId="0" borderId="0" xfId="0" applyFont="1"/>
    <xf numFmtId="0" fontId="5" fillId="0" borderId="0" xfId="0" applyFont="1"/>
    <xf numFmtId="0" fontId="6" fillId="0" borderId="0" xfId="2" applyAlignment="1" applyProtection="1"/>
    <xf numFmtId="0" fontId="7" fillId="0" borderId="0" xfId="3" applyAlignment="1" applyProtection="1"/>
    <xf numFmtId="3" fontId="2" fillId="0" borderId="0" xfId="0" applyNumberFormat="1" applyFont="1"/>
    <xf numFmtId="164" fontId="2" fillId="0" borderId="0" xfId="0" applyNumberFormat="1" applyFont="1"/>
    <xf numFmtId="10" fontId="0" fillId="0" borderId="0" xfId="1" applyNumberFormat="1" applyFont="1"/>
    <xf numFmtId="0" fontId="8" fillId="0" borderId="0" xfId="0" applyFont="1"/>
    <xf numFmtId="0" fontId="9" fillId="0" borderId="0" xfId="0" applyFont="1"/>
    <xf numFmtId="0" fontId="10" fillId="0" borderId="0" xfId="0" applyFont="1"/>
    <xf numFmtId="0" fontId="13" fillId="0" borderId="0" xfId="0" applyFont="1"/>
    <xf numFmtId="0" fontId="8" fillId="0" borderId="0" xfId="0" applyFont="1" applyAlignment="1">
      <alignment horizontal="center"/>
    </xf>
    <xf numFmtId="0" fontId="14" fillId="0" borderId="0" xfId="0" applyFont="1" applyAlignment="1">
      <alignment horizontal="center"/>
    </xf>
    <xf numFmtId="0" fontId="14" fillId="0" borderId="0" xfId="0" applyFont="1"/>
    <xf numFmtId="166" fontId="10" fillId="0" borderId="0" xfId="0" applyNumberFormat="1" applyFont="1"/>
    <xf numFmtId="166" fontId="16" fillId="0" borderId="0" xfId="0" applyNumberFormat="1" applyFont="1"/>
    <xf numFmtId="10" fontId="10" fillId="0" borderId="0" xfId="1" applyNumberFormat="1" applyFont="1"/>
    <xf numFmtId="10" fontId="16" fillId="0" borderId="0" xfId="1" applyNumberFormat="1" applyFont="1"/>
    <xf numFmtId="2" fontId="10" fillId="0" borderId="0" xfId="0" applyNumberFormat="1" applyFont="1"/>
    <xf numFmtId="2" fontId="16" fillId="0" borderId="0" xfId="0" applyNumberFormat="1" applyFont="1"/>
    <xf numFmtId="1" fontId="10" fillId="0" borderId="0" xfId="0" applyNumberFormat="1" applyFont="1"/>
    <xf numFmtId="1" fontId="16" fillId="0" borderId="0" xfId="0" applyNumberFormat="1" applyFont="1"/>
    <xf numFmtId="167" fontId="10" fillId="0" borderId="0" xfId="0" applyNumberFormat="1" applyFont="1"/>
    <xf numFmtId="167" fontId="16" fillId="0" borderId="0" xfId="0" applyNumberFormat="1" applyFont="1"/>
    <xf numFmtId="168" fontId="10" fillId="0" borderId="0" xfId="0" applyNumberFormat="1" applyFont="1"/>
    <xf numFmtId="168" fontId="16" fillId="0" borderId="0" xfId="0" applyNumberFormat="1" applyFont="1"/>
    <xf numFmtId="165" fontId="2" fillId="0" borderId="0" xfId="0" applyNumberFormat="1" applyFont="1"/>
    <xf numFmtId="3" fontId="0" fillId="0" borderId="0" xfId="0" applyNumberFormat="1" applyFont="1"/>
    <xf numFmtId="0" fontId="9" fillId="0" borderId="0" xfId="0" applyFont="1" applyAlignment="1">
      <alignment horizontal="left"/>
    </xf>
    <xf numFmtId="165" fontId="10" fillId="0" borderId="0" xfId="1" applyNumberFormat="1" applyFont="1"/>
    <xf numFmtId="0" fontId="22" fillId="0" borderId="0" xfId="0" applyFont="1"/>
    <xf numFmtId="0" fontId="16" fillId="0" borderId="0" xfId="0" applyFont="1"/>
    <xf numFmtId="0" fontId="22" fillId="0" borderId="0" xfId="0" applyFont="1" applyAlignment="1">
      <alignment horizontal="center"/>
    </xf>
    <xf numFmtId="166" fontId="24" fillId="0" borderId="0" xfId="0" applyNumberFormat="1" applyFont="1"/>
    <xf numFmtId="10" fontId="24" fillId="0" borderId="0" xfId="1" applyNumberFormat="1" applyFont="1"/>
    <xf numFmtId="2" fontId="24" fillId="0" borderId="0" xfId="0" applyNumberFormat="1" applyFont="1"/>
    <xf numFmtId="1" fontId="24" fillId="0" borderId="0" xfId="0" applyNumberFormat="1" applyFont="1"/>
    <xf numFmtId="168" fontId="24" fillId="0" borderId="0" xfId="0" applyNumberFormat="1" applyFont="1"/>
    <xf numFmtId="0" fontId="17" fillId="0" borderId="0" xfId="0" applyFont="1"/>
    <xf numFmtId="0" fontId="25" fillId="0" borderId="0" xfId="0" applyFont="1"/>
    <xf numFmtId="166" fontId="22" fillId="0" borderId="0" xfId="0" applyNumberFormat="1" applyFont="1"/>
    <xf numFmtId="166" fontId="14" fillId="0" borderId="0" xfId="0" applyNumberFormat="1" applyFont="1"/>
    <xf numFmtId="3" fontId="24" fillId="0" borderId="0" xfId="0" applyNumberFormat="1" applyFont="1"/>
    <xf numFmtId="3" fontId="16" fillId="0" borderId="0" xfId="0" applyNumberFormat="1" applyFont="1"/>
    <xf numFmtId="3" fontId="10" fillId="0" borderId="0" xfId="0" applyNumberFormat="1" applyFont="1"/>
    <xf numFmtId="166" fontId="8" fillId="0" borderId="0" xfId="0" applyNumberFormat="1" applyFont="1"/>
    <xf numFmtId="0" fontId="26" fillId="0" borderId="0" xfId="0" applyFont="1"/>
    <xf numFmtId="0" fontId="27" fillId="0" borderId="0" xfId="0" applyFont="1"/>
    <xf numFmtId="0" fontId="28" fillId="0" borderId="0" xfId="0" applyFont="1"/>
    <xf numFmtId="0" fontId="29" fillId="0" borderId="0" xfId="0" applyFont="1"/>
    <xf numFmtId="0" fontId="4" fillId="0" borderId="0" xfId="0" quotePrefix="1" applyFont="1"/>
    <xf numFmtId="166" fontId="4" fillId="0" borderId="0" xfId="0" applyNumberFormat="1" applyFont="1"/>
    <xf numFmtId="171" fontId="0" fillId="0" borderId="0" xfId="0" applyNumberFormat="1"/>
    <xf numFmtId="0" fontId="31" fillId="0" borderId="0" xfId="0" applyFont="1"/>
    <xf numFmtId="166" fontId="22" fillId="0" borderId="1" xfId="0" applyNumberFormat="1" applyFont="1" applyBorder="1"/>
    <xf numFmtId="166" fontId="8" fillId="0" borderId="1" xfId="0" applyNumberFormat="1" applyFont="1" applyBorder="1" applyAlignment="1">
      <alignment horizontal="center"/>
    </xf>
    <xf numFmtId="0" fontId="10" fillId="3" borderId="0" xfId="0" applyFont="1" applyFill="1"/>
    <xf numFmtId="166" fontId="14" fillId="0" borderId="0" xfId="0" applyNumberFormat="1" applyFont="1" applyAlignment="1">
      <alignment horizontal="center"/>
    </xf>
    <xf numFmtId="166" fontId="8" fillId="2" borderId="1" xfId="0" applyNumberFormat="1" applyFont="1" applyFill="1" applyBorder="1" applyAlignment="1">
      <alignment horizontal="center"/>
    </xf>
    <xf numFmtId="0" fontId="10" fillId="0" borderId="0" xfId="0" applyFont="1" applyAlignment="1">
      <alignment horizontal="center"/>
    </xf>
    <xf numFmtId="0" fontId="32" fillId="0" borderId="0" xfId="0" applyFont="1"/>
    <xf numFmtId="0" fontId="8" fillId="0" borderId="0" xfId="0" applyFont="1" applyAlignment="1">
      <alignment horizontal="right"/>
    </xf>
    <xf numFmtId="10" fontId="8" fillId="0" borderId="0" xfId="1" applyNumberFormat="1" applyFont="1" applyAlignment="1">
      <alignment horizontal="center"/>
    </xf>
    <xf numFmtId="166" fontId="22" fillId="0" borderId="2" xfId="0" applyNumberFormat="1" applyFont="1" applyBorder="1"/>
    <xf numFmtId="166" fontId="14" fillId="0" borderId="2" xfId="0" applyNumberFormat="1" applyFont="1" applyBorder="1"/>
    <xf numFmtId="166" fontId="8" fillId="0" borderId="2" xfId="0" applyNumberFormat="1" applyFont="1" applyBorder="1"/>
    <xf numFmtId="166" fontId="22" fillId="0" borderId="0" xfId="0" applyNumberFormat="1" applyFont="1" applyBorder="1"/>
    <xf numFmtId="166" fontId="14" fillId="0" borderId="0" xfId="0" applyNumberFormat="1" applyFont="1" applyBorder="1"/>
    <xf numFmtId="166" fontId="8" fillId="0" borderId="0" xfId="0" applyNumberFormat="1" applyFont="1" applyBorder="1"/>
    <xf numFmtId="0" fontId="0" fillId="0" borderId="0" xfId="0" applyFont="1"/>
    <xf numFmtId="165" fontId="10" fillId="0" borderId="0" xfId="0" applyNumberFormat="1" applyFont="1"/>
    <xf numFmtId="165" fontId="8" fillId="0" borderId="0" xfId="0" applyNumberFormat="1" applyFont="1"/>
    <xf numFmtId="169" fontId="10" fillId="0" borderId="0" xfId="0" applyNumberFormat="1" applyFont="1"/>
    <xf numFmtId="10" fontId="10" fillId="0" borderId="0" xfId="0" applyNumberFormat="1" applyFont="1"/>
    <xf numFmtId="166" fontId="8" fillId="2" borderId="0" xfId="0" applyNumberFormat="1" applyFont="1" applyFill="1"/>
    <xf numFmtId="9" fontId="10" fillId="0" borderId="0" xfId="0" applyNumberFormat="1" applyFont="1"/>
    <xf numFmtId="10" fontId="35" fillId="0" borderId="0" xfId="1" applyNumberFormat="1" applyFont="1"/>
    <xf numFmtId="10" fontId="8" fillId="0" borderId="0" xfId="1" applyNumberFormat="1" applyFont="1"/>
    <xf numFmtId="3" fontId="22" fillId="0" borderId="0" xfId="0" applyNumberFormat="1" applyFont="1"/>
    <xf numFmtId="3" fontId="14" fillId="0" borderId="0" xfId="0" applyNumberFormat="1" applyFont="1"/>
    <xf numFmtId="3" fontId="8" fillId="0" borderId="0" xfId="0" applyNumberFormat="1" applyFont="1"/>
    <xf numFmtId="164" fontId="8" fillId="0" borderId="0" xfId="0" applyNumberFormat="1" applyFont="1"/>
    <xf numFmtId="170" fontId="8" fillId="0" borderId="0" xfId="0" applyNumberFormat="1" applyFont="1"/>
    <xf numFmtId="49" fontId="8" fillId="0" borderId="0" xfId="1" applyNumberFormat="1" applyFont="1" applyAlignment="1">
      <alignment horizontal="center"/>
    </xf>
    <xf numFmtId="0" fontId="6" fillId="0" borderId="0" xfId="2" applyFont="1"/>
    <xf numFmtId="0" fontId="6" fillId="0" borderId="0" xfId="2" applyFont="1" applyAlignment="1" applyProtection="1"/>
    <xf numFmtId="0" fontId="7" fillId="0" borderId="0" xfId="3" applyFont="1" applyAlignment="1" applyProtection="1"/>
    <xf numFmtId="167" fontId="14" fillId="0" borderId="0" xfId="0" applyNumberFormat="1" applyFont="1"/>
    <xf numFmtId="167" fontId="31" fillId="0" borderId="0" xfId="0" applyNumberFormat="1" applyFont="1"/>
    <xf numFmtId="10" fontId="31" fillId="0" borderId="0" xfId="1" applyNumberFormat="1" applyFont="1" applyAlignment="1">
      <alignment horizontal="center"/>
    </xf>
    <xf numFmtId="166" fontId="31" fillId="0" borderId="2" xfId="0" applyNumberFormat="1" applyFont="1" applyBorder="1"/>
    <xf numFmtId="165" fontId="22" fillId="0" borderId="0" xfId="1" applyNumberFormat="1" applyFont="1"/>
    <xf numFmtId="165" fontId="14" fillId="0" borderId="0" xfId="1" applyNumberFormat="1" applyFont="1"/>
    <xf numFmtId="165" fontId="8" fillId="0" borderId="0" xfId="1" applyNumberFormat="1" applyFont="1"/>
    <xf numFmtId="0" fontId="10" fillId="0" borderId="0" xfId="0" applyFont="1" applyFill="1"/>
    <xf numFmtId="0" fontId="31" fillId="0" borderId="0" xfId="0" applyFont="1" applyFill="1"/>
    <xf numFmtId="172" fontId="10" fillId="0" borderId="0" xfId="0" applyNumberFormat="1" applyFont="1"/>
    <xf numFmtId="1" fontId="8" fillId="0" borderId="0" xfId="0" applyNumberFormat="1" applyFont="1"/>
    <xf numFmtId="0" fontId="9" fillId="0" borderId="0" xfId="0" applyFont="1" applyAlignment="1">
      <alignment horizontal="center"/>
    </xf>
    <xf numFmtId="0" fontId="24" fillId="0" borderId="0" xfId="0" applyFont="1" applyAlignment="1">
      <alignment horizontal="center"/>
    </xf>
    <xf numFmtId="1" fontId="8" fillId="2" borderId="0" xfId="0" applyNumberFormat="1" applyFont="1" applyFill="1" applyAlignment="1">
      <alignment horizontal="center"/>
    </xf>
    <xf numFmtId="0" fontId="16" fillId="0" borderId="0" xfId="0" applyFont="1" applyAlignment="1">
      <alignment horizontal="center"/>
    </xf>
    <xf numFmtId="166" fontId="8" fillId="0" borderId="1" xfId="0" applyNumberFormat="1" applyFont="1" applyBorder="1"/>
    <xf numFmtId="1" fontId="0" fillId="0" borderId="0" xfId="0" applyNumberFormat="1"/>
    <xf numFmtId="164" fontId="10" fillId="0" borderId="0" xfId="0" applyNumberFormat="1" applyFont="1"/>
    <xf numFmtId="165" fontId="8" fillId="0" borderId="1" xfId="0" applyNumberFormat="1" applyFont="1" applyBorder="1"/>
    <xf numFmtId="0" fontId="3" fillId="0" borderId="0" xfId="0" applyFont="1" applyAlignment="1">
      <alignment horizontal="right"/>
    </xf>
    <xf numFmtId="165" fontId="3" fillId="0" borderId="0" xfId="0" applyNumberFormat="1" applyFont="1"/>
    <xf numFmtId="10" fontId="4" fillId="0" borderId="0" xfId="0" applyNumberFormat="1" applyFont="1"/>
    <xf numFmtId="165" fontId="4" fillId="0" borderId="0" xfId="0" applyNumberFormat="1" applyFont="1"/>
    <xf numFmtId="10" fontId="2" fillId="0" borderId="0" xfId="1" applyNumberFormat="1" applyFont="1"/>
    <xf numFmtId="166" fontId="0" fillId="0" borderId="0" xfId="0" applyNumberFormat="1"/>
    <xf numFmtId="9" fontId="22" fillId="0" borderId="0" xfId="1" applyFont="1"/>
  </cellXfs>
  <cellStyles count="6">
    <cellStyle name="Hyperlink" xfId="2" builtinId="8"/>
    <cellStyle name="Hyperlink 2" xfId="3" xr:uid="{145AC685-C0CD-4711-BA12-6AD7FC7AF712}"/>
    <cellStyle name="Normal" xfId="0" builtinId="0"/>
    <cellStyle name="Normal 2" xfId="4" xr:uid="{530584EE-58B0-4FF4-8190-7D67EC6B1113}"/>
    <cellStyle name="Percent" xfId="1" builtinId="5"/>
    <cellStyle name="Percent 2" xfId="5" xr:uid="{BC79158C-6083-4A77-B177-B35281B0B89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Drop" dropLines="19" dropStyle="combo" dx="22" fmlaLink="Display!$B$1" fmlaRange="Display!$A$2:$A$21" noThreeD="1" sel="2" val="0"/>
</file>

<file path=xl/ctrlProps/ctrlProp10.xml><?xml version="1.0" encoding="utf-8"?>
<formControlPr xmlns="http://schemas.microsoft.com/office/spreadsheetml/2009/9/main" objectType="Drop" dropLines="20" dropStyle="combo" dx="22" fmlaLink="Display!$B$1" fmlaRange="Display!$A$2:$A$21" noThreeD="1" sel="2" val="0"/>
</file>

<file path=xl/ctrlProps/ctrlProp2.xml><?xml version="1.0" encoding="utf-8"?>
<formControlPr xmlns="http://schemas.microsoft.com/office/spreadsheetml/2009/9/main" objectType="Drop" dropLines="20" dropStyle="combo" dx="22" fmlaLink="Display!$B$1" fmlaRange="Display!$A$2:$A$21" noThreeD="1" sel="2" val="0"/>
</file>

<file path=xl/ctrlProps/ctrlProp3.xml><?xml version="1.0" encoding="utf-8"?>
<formControlPr xmlns="http://schemas.microsoft.com/office/spreadsheetml/2009/9/main" objectType="Drop" dropLines="19" dropStyle="combo" dx="22" fmlaLink="Display!$B$1" fmlaRange="Display!$A$2:$A$21" noThreeD="1" sel="2" val="0"/>
</file>

<file path=xl/ctrlProps/ctrlProp4.xml><?xml version="1.0" encoding="utf-8"?>
<formControlPr xmlns="http://schemas.microsoft.com/office/spreadsheetml/2009/9/main" objectType="Drop" dropLines="20" dropStyle="combo" dx="22" fmlaLink="Display!$B$1" fmlaRange="Display!$A$2:$A$21" noThreeD="1" sel="2" val="0"/>
</file>

<file path=xl/ctrlProps/ctrlProp5.xml><?xml version="1.0" encoding="utf-8"?>
<formControlPr xmlns="http://schemas.microsoft.com/office/spreadsheetml/2009/9/main" objectType="Drop" dropLines="19" dropStyle="combo" dx="22" fmlaLink="Display!$B$1" fmlaRange="Display!$A$2:$A$21" noThreeD="1" sel="2" val="0"/>
</file>

<file path=xl/ctrlProps/ctrlProp6.xml><?xml version="1.0" encoding="utf-8"?>
<formControlPr xmlns="http://schemas.microsoft.com/office/spreadsheetml/2009/9/main" objectType="Drop" dropLines="20" dropStyle="combo" dx="22" fmlaLink="Display!$B$1" fmlaRange="Display!$A$2:$A$21" noThreeD="1" sel="2" val="0"/>
</file>

<file path=xl/ctrlProps/ctrlProp7.xml><?xml version="1.0" encoding="utf-8"?>
<formControlPr xmlns="http://schemas.microsoft.com/office/spreadsheetml/2009/9/main" objectType="Drop" dropLines="19" dropStyle="combo" dx="22" fmlaLink="Display!$B$1" fmlaRange="Display!$A$2:$A$21" noThreeD="1" sel="2" val="0"/>
</file>

<file path=xl/ctrlProps/ctrlProp8.xml><?xml version="1.0" encoding="utf-8"?>
<formControlPr xmlns="http://schemas.microsoft.com/office/spreadsheetml/2009/9/main" objectType="Drop" dropLines="20" dropStyle="combo" dx="22" fmlaLink="Display!$B$1" fmlaRange="Display!$A$2:$A$21" noThreeD="1" sel="2" val="0"/>
</file>

<file path=xl/ctrlProps/ctrlProp9.xml><?xml version="1.0" encoding="utf-8"?>
<formControlPr xmlns="http://schemas.microsoft.com/office/spreadsheetml/2009/9/main" objectType="Drop" dropLines="19" dropStyle="combo" dx="22" fmlaLink="Display!$B$1" fmlaRange="Display!$A$2:$A$21"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61793" name="Drop Down 1" hidden="1">
              <a:extLst>
                <a:ext uri="{63B3BB69-23CF-44E3-9099-C40C66FF867C}">
                  <a14:compatExt spid="_x0000_s161793"/>
                </a:ext>
                <a:ext uri="{FF2B5EF4-FFF2-40B4-BE49-F238E27FC236}">
                  <a16:creationId xmlns:a16="http://schemas.microsoft.com/office/drawing/2014/main" id="{00000000-0008-0000-0E00-000001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19050</xdr:colOff>
          <xdr:row>7</xdr:row>
          <xdr:rowOff>9525</xdr:rowOff>
        </xdr:to>
        <xdr:sp macro="" textlink="">
          <xdr:nvSpPr>
            <xdr:cNvPr id="161794" name="Drop Down 2" hidden="1">
              <a:extLst>
                <a:ext uri="{63B3BB69-23CF-44E3-9099-C40C66FF867C}">
                  <a14:compatExt spid="_x0000_s161794"/>
                </a:ext>
                <a:ext uri="{FF2B5EF4-FFF2-40B4-BE49-F238E27FC236}">
                  <a16:creationId xmlns:a16="http://schemas.microsoft.com/office/drawing/2014/main" id="{00000000-0008-0000-0E00-0000027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63841" name="Drop Down 1" hidden="1">
              <a:extLst>
                <a:ext uri="{63B3BB69-23CF-44E3-9099-C40C66FF867C}">
                  <a14:compatExt spid="_x0000_s163841"/>
                </a:ext>
                <a:ext uri="{FF2B5EF4-FFF2-40B4-BE49-F238E27FC236}">
                  <a16:creationId xmlns:a16="http://schemas.microsoft.com/office/drawing/2014/main" id="{00000000-0008-0000-0F00-000001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19050</xdr:colOff>
          <xdr:row>7</xdr:row>
          <xdr:rowOff>9525</xdr:rowOff>
        </xdr:to>
        <xdr:sp macro="" textlink="">
          <xdr:nvSpPr>
            <xdr:cNvPr id="163842" name="Drop Down 2" hidden="1">
              <a:extLst>
                <a:ext uri="{63B3BB69-23CF-44E3-9099-C40C66FF867C}">
                  <a14:compatExt spid="_x0000_s163842"/>
                </a:ext>
                <a:ext uri="{FF2B5EF4-FFF2-40B4-BE49-F238E27FC236}">
                  <a16:creationId xmlns:a16="http://schemas.microsoft.com/office/drawing/2014/main" id="{00000000-0008-0000-0F00-000002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64865" name="Drop Down 1" hidden="1">
              <a:extLst>
                <a:ext uri="{63B3BB69-23CF-44E3-9099-C40C66FF867C}">
                  <a14:compatExt spid="_x0000_s164865"/>
                </a:ext>
                <a:ext uri="{FF2B5EF4-FFF2-40B4-BE49-F238E27FC236}">
                  <a16:creationId xmlns:a16="http://schemas.microsoft.com/office/drawing/2014/main" id="{00000000-0008-0000-1000-00000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19050</xdr:colOff>
          <xdr:row>7</xdr:row>
          <xdr:rowOff>9525</xdr:rowOff>
        </xdr:to>
        <xdr:sp macro="" textlink="">
          <xdr:nvSpPr>
            <xdr:cNvPr id="164866" name="Drop Down 2" hidden="1">
              <a:extLst>
                <a:ext uri="{63B3BB69-23CF-44E3-9099-C40C66FF867C}">
                  <a14:compatExt spid="_x0000_s164866"/>
                </a:ext>
                <a:ext uri="{FF2B5EF4-FFF2-40B4-BE49-F238E27FC236}">
                  <a16:creationId xmlns:a16="http://schemas.microsoft.com/office/drawing/2014/main" id="{00000000-0008-0000-1000-00000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65889" name="Drop Down 1" hidden="1">
              <a:extLst>
                <a:ext uri="{63B3BB69-23CF-44E3-9099-C40C66FF867C}">
                  <a14:compatExt spid="_x0000_s165889"/>
                </a:ext>
                <a:ext uri="{FF2B5EF4-FFF2-40B4-BE49-F238E27FC236}">
                  <a16:creationId xmlns:a16="http://schemas.microsoft.com/office/drawing/2014/main" id="{00000000-0008-0000-1100-000001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19050</xdr:colOff>
          <xdr:row>7</xdr:row>
          <xdr:rowOff>9525</xdr:rowOff>
        </xdr:to>
        <xdr:sp macro="" textlink="">
          <xdr:nvSpPr>
            <xdr:cNvPr id="165890" name="Drop Down 2" hidden="1">
              <a:extLst>
                <a:ext uri="{63B3BB69-23CF-44E3-9099-C40C66FF867C}">
                  <a14:compatExt spid="_x0000_s165890"/>
                </a:ext>
                <a:ext uri="{FF2B5EF4-FFF2-40B4-BE49-F238E27FC236}">
                  <a16:creationId xmlns:a16="http://schemas.microsoft.com/office/drawing/2014/main" id="{00000000-0008-0000-1100-0000028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0</xdr:col>
          <xdr:colOff>5629275</xdr:colOff>
          <xdr:row>7</xdr:row>
          <xdr:rowOff>9525</xdr:rowOff>
        </xdr:to>
        <xdr:sp macro="" textlink="">
          <xdr:nvSpPr>
            <xdr:cNvPr id="166913" name="Drop Down 1" hidden="1">
              <a:extLst>
                <a:ext uri="{63B3BB69-23CF-44E3-9099-C40C66FF867C}">
                  <a14:compatExt spid="_x0000_s166913"/>
                </a:ext>
                <a:ext uri="{FF2B5EF4-FFF2-40B4-BE49-F238E27FC236}">
                  <a16:creationId xmlns:a16="http://schemas.microsoft.com/office/drawing/2014/main" id="{00000000-0008-0000-1200-000001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0</xdr:rowOff>
        </xdr:from>
        <xdr:to>
          <xdr:col>1</xdr:col>
          <xdr:colOff>19050</xdr:colOff>
          <xdr:row>7</xdr:row>
          <xdr:rowOff>9525</xdr:rowOff>
        </xdr:to>
        <xdr:sp macro="" textlink="">
          <xdr:nvSpPr>
            <xdr:cNvPr id="166914" name="Drop Down 2" hidden="1">
              <a:extLst>
                <a:ext uri="{63B3BB69-23CF-44E3-9099-C40C66FF867C}">
                  <a14:compatExt spid="_x0000_s166914"/>
                </a:ext>
                <a:ext uri="{FF2B5EF4-FFF2-40B4-BE49-F238E27FC236}">
                  <a16:creationId xmlns:a16="http://schemas.microsoft.com/office/drawing/2014/main" id="{00000000-0008-0000-1200-0000028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1" Type="http://schemas.openxmlformats.org/officeDocument/2006/relationships/hyperlink" Target="https://treasury.govt.nz/publications/information-release/archive-new-zealand-superannuation-nzs-fund-contribution-rate-model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treasury.govt.nz/publications/information-release/archive-new-zealand-superannuation-fund-nzsf-contribution-rate-model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stats.govt.nz/information-releases/national-labour-force-projections-2020base-2073" TargetMode="External"/><Relationship Id="rId2" Type="http://schemas.openxmlformats.org/officeDocument/2006/relationships/hyperlink" Target="https://www.stats.govt.nz/information-releases/national-population-projections-2022base2073/" TargetMode="External"/><Relationship Id="rId1" Type="http://schemas.openxmlformats.org/officeDocument/2006/relationships/hyperlink" Target="http://www.stats.govt.nz/infoshare/" TargetMode="Externa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hyperlink" Target="https://treasury.govt.nz/publications/information-release/archive-new-zealand-superannuation-nzs-fund-contribution-rate-mod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5164-A0F5-420A-A4B3-4F3B132A86D1}">
  <dimension ref="A1:C21"/>
  <sheetViews>
    <sheetView workbookViewId="0">
      <selection activeCell="I14" sqref="I14"/>
    </sheetView>
  </sheetViews>
  <sheetFormatPr defaultRowHeight="15" x14ac:dyDescent="0.25"/>
  <cols>
    <col min="1" max="1" width="80.7109375" customWidth="1"/>
  </cols>
  <sheetData>
    <row r="1" spans="1:3" ht="15.75" x14ac:dyDescent="0.25">
      <c r="A1" s="62" t="s">
        <v>827</v>
      </c>
      <c r="B1">
        <v>2</v>
      </c>
      <c r="C1">
        <f ca="1">OFFSET($A$1,$B$1,1)</f>
        <v>45</v>
      </c>
    </row>
    <row r="2" spans="1:3" ht="15.75" x14ac:dyDescent="0.25">
      <c r="A2" s="48" t="s">
        <v>828</v>
      </c>
      <c r="B2" s="46">
        <v>41</v>
      </c>
    </row>
    <row r="3" spans="1:3" ht="15.75" x14ac:dyDescent="0.25">
      <c r="A3" s="48" t="s">
        <v>1240</v>
      </c>
      <c r="B3" s="46">
        <v>45</v>
      </c>
    </row>
    <row r="4" spans="1:3" ht="15.75" x14ac:dyDescent="0.25">
      <c r="A4" s="48" t="s">
        <v>829</v>
      </c>
      <c r="B4" s="46">
        <v>78</v>
      </c>
    </row>
    <row r="5" spans="1:3" ht="15.75" x14ac:dyDescent="0.25">
      <c r="A5" s="48" t="s">
        <v>830</v>
      </c>
      <c r="B5" s="46">
        <v>81</v>
      </c>
    </row>
    <row r="6" spans="1:3" ht="15.75" x14ac:dyDescent="0.25">
      <c r="A6" s="48" t="s">
        <v>656</v>
      </c>
      <c r="B6" s="46">
        <v>82</v>
      </c>
    </row>
    <row r="7" spans="1:3" ht="15.75" x14ac:dyDescent="0.25">
      <c r="A7" s="48" t="s">
        <v>831</v>
      </c>
      <c r="B7" s="46">
        <v>51</v>
      </c>
    </row>
    <row r="8" spans="1:3" ht="15.75" x14ac:dyDescent="0.25">
      <c r="A8" s="48" t="s">
        <v>661</v>
      </c>
      <c r="B8" s="46">
        <v>47</v>
      </c>
    </row>
    <row r="9" spans="1:3" ht="15.75" x14ac:dyDescent="0.25">
      <c r="A9" s="48" t="s">
        <v>666</v>
      </c>
      <c r="B9" s="46">
        <v>48</v>
      </c>
    </row>
    <row r="10" spans="1:3" ht="15.75" x14ac:dyDescent="0.25">
      <c r="A10" s="48" t="s">
        <v>669</v>
      </c>
      <c r="B10" s="46">
        <v>49</v>
      </c>
    </row>
    <row r="11" spans="1:3" ht="15.75" x14ac:dyDescent="0.25">
      <c r="A11" s="48" t="s">
        <v>832</v>
      </c>
      <c r="B11" s="46">
        <v>50</v>
      </c>
    </row>
    <row r="12" spans="1:3" ht="15.75" x14ac:dyDescent="0.25">
      <c r="A12" s="48" t="s">
        <v>833</v>
      </c>
      <c r="B12" s="46">
        <v>34</v>
      </c>
    </row>
    <row r="13" spans="1:3" ht="15.75" x14ac:dyDescent="0.25">
      <c r="A13" s="48" t="s">
        <v>834</v>
      </c>
      <c r="B13" s="46">
        <v>35</v>
      </c>
    </row>
    <row r="14" spans="1:3" ht="15.75" x14ac:dyDescent="0.25">
      <c r="A14" s="48" t="s">
        <v>835</v>
      </c>
      <c r="B14" s="46">
        <v>39</v>
      </c>
    </row>
    <row r="15" spans="1:3" ht="15.75" x14ac:dyDescent="0.25">
      <c r="A15" s="48" t="s">
        <v>836</v>
      </c>
      <c r="B15" s="46">
        <v>142</v>
      </c>
    </row>
    <row r="16" spans="1:3" ht="15.75" x14ac:dyDescent="0.25">
      <c r="A16" s="48" t="s">
        <v>837</v>
      </c>
      <c r="B16" s="46">
        <v>140</v>
      </c>
    </row>
    <row r="17" spans="1:2" ht="15.75" x14ac:dyDescent="0.25">
      <c r="A17" s="48" t="s">
        <v>838</v>
      </c>
      <c r="B17" s="46">
        <v>58</v>
      </c>
    </row>
    <row r="18" spans="1:2" ht="15.75" x14ac:dyDescent="0.25">
      <c r="A18" s="48" t="s">
        <v>839</v>
      </c>
      <c r="B18" s="46">
        <v>60</v>
      </c>
    </row>
    <row r="19" spans="1:2" ht="15.75" x14ac:dyDescent="0.25">
      <c r="A19" s="48" t="s">
        <v>676</v>
      </c>
      <c r="B19" s="46">
        <v>65</v>
      </c>
    </row>
    <row r="20" spans="1:2" ht="15.75" x14ac:dyDescent="0.25">
      <c r="A20" s="48" t="s">
        <v>659</v>
      </c>
      <c r="B20" s="46">
        <v>85</v>
      </c>
    </row>
    <row r="21" spans="1:2" ht="15.75" x14ac:dyDescent="0.25">
      <c r="A21" s="48" t="s">
        <v>840</v>
      </c>
      <c r="B21" s="46">
        <v>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D4B0-A37D-4839-95F0-862584FB05F3}">
  <dimension ref="A1:G33"/>
  <sheetViews>
    <sheetView workbookViewId="0">
      <selection activeCell="C2" sqref="C2"/>
    </sheetView>
  </sheetViews>
  <sheetFormatPr defaultRowHeight="15" x14ac:dyDescent="0.25"/>
  <cols>
    <col min="1" max="1" width="90.7109375" style="11" customWidth="1"/>
    <col min="2" max="2" width="12.7109375" customWidth="1"/>
    <col min="3" max="7" width="10.7109375" customWidth="1"/>
  </cols>
  <sheetData>
    <row r="1" spans="1:7" x14ac:dyDescent="0.25">
      <c r="A1" s="9" t="s">
        <v>1249</v>
      </c>
    </row>
    <row r="2" spans="1:7" x14ac:dyDescent="0.25">
      <c r="A2" s="10" t="s">
        <v>143</v>
      </c>
    </row>
    <row r="3" spans="1:7" x14ac:dyDescent="0.25">
      <c r="A3" s="10"/>
      <c r="C3" s="9" t="s">
        <v>1196</v>
      </c>
    </row>
    <row r="4" spans="1:7" x14ac:dyDescent="0.25">
      <c r="A4" s="9" t="s">
        <v>3</v>
      </c>
      <c r="C4" s="13" t="s">
        <v>43</v>
      </c>
      <c r="D4" s="13" t="s">
        <v>44</v>
      </c>
      <c r="E4" s="13" t="s">
        <v>45</v>
      </c>
      <c r="F4" s="13" t="s">
        <v>46</v>
      </c>
      <c r="G4" s="13" t="s">
        <v>47</v>
      </c>
    </row>
    <row r="5" spans="1:7" x14ac:dyDescent="0.25">
      <c r="C5" s="9">
        <v>2025</v>
      </c>
      <c r="D5" s="9">
        <v>2026</v>
      </c>
      <c r="E5" s="9">
        <v>2027</v>
      </c>
      <c r="F5" s="9">
        <v>2028</v>
      </c>
      <c r="G5" s="9">
        <v>2029</v>
      </c>
    </row>
    <row r="6" spans="1:7" x14ac:dyDescent="0.25">
      <c r="A6" s="11" t="s">
        <v>1250</v>
      </c>
      <c r="C6" s="106">
        <v>0</v>
      </c>
      <c r="D6" s="106">
        <v>1.72</v>
      </c>
      <c r="E6" s="106">
        <v>2.7189999999999999</v>
      </c>
      <c r="F6" s="106">
        <v>5.3689999999999998</v>
      </c>
      <c r="G6" s="106">
        <v>7.9029999999999996</v>
      </c>
    </row>
    <row r="7" spans="1:7" x14ac:dyDescent="0.25">
      <c r="A7" s="11" t="s">
        <v>541</v>
      </c>
      <c r="C7" s="106">
        <v>-2.7</v>
      </c>
      <c r="D7" s="106">
        <v>-0.9</v>
      </c>
      <c r="E7" s="106">
        <v>-0.6</v>
      </c>
      <c r="F7" s="106">
        <v>-0.6</v>
      </c>
      <c r="G7" s="106">
        <v>-0.6</v>
      </c>
    </row>
    <row r="8" spans="1:7" x14ac:dyDescent="0.25">
      <c r="A8" s="9" t="s">
        <v>1251</v>
      </c>
      <c r="C8" s="104">
        <f>SUM(C$6:C$7)</f>
        <v>-2.7</v>
      </c>
      <c r="D8" s="104">
        <f t="shared" ref="D8:G8" si="0">SUM(D$6:D$7)</f>
        <v>0.82</v>
      </c>
      <c r="E8" s="104">
        <f t="shared" si="0"/>
        <v>2.1189999999999998</v>
      </c>
      <c r="F8" s="104">
        <f t="shared" si="0"/>
        <v>4.7690000000000001</v>
      </c>
      <c r="G8" s="104">
        <f t="shared" si="0"/>
        <v>7.3029999999999999</v>
      </c>
    </row>
    <row r="9" spans="1:7" x14ac:dyDescent="0.25">
      <c r="A9" s="9"/>
      <c r="C9" s="70"/>
      <c r="D9" s="70"/>
      <c r="E9" s="70"/>
      <c r="F9" s="70"/>
      <c r="G9" s="70"/>
    </row>
    <row r="10" spans="1:7" x14ac:dyDescent="0.25">
      <c r="A10" s="11" t="s">
        <v>1267</v>
      </c>
      <c r="C10" s="106">
        <v>0</v>
      </c>
      <c r="D10" s="106">
        <v>0</v>
      </c>
      <c r="E10" s="106">
        <v>1.37</v>
      </c>
      <c r="F10" s="106">
        <v>1.37</v>
      </c>
      <c r="G10" s="106">
        <v>1.37</v>
      </c>
    </row>
    <row r="11" spans="1:7" x14ac:dyDescent="0.25">
      <c r="A11" s="9" t="s">
        <v>1268</v>
      </c>
      <c r="C11" s="83">
        <f>C$8+C$10</f>
        <v>-2.7</v>
      </c>
      <c r="D11" s="83">
        <f t="shared" ref="D11:G11" si="1">D$8+D$10</f>
        <v>0.82</v>
      </c>
      <c r="E11" s="83">
        <f t="shared" si="1"/>
        <v>3.4889999999999999</v>
      </c>
      <c r="F11" s="83">
        <f t="shared" si="1"/>
        <v>6.1390000000000002</v>
      </c>
      <c r="G11" s="83">
        <f t="shared" si="1"/>
        <v>8.673</v>
      </c>
    </row>
    <row r="12" spans="1:7" x14ac:dyDescent="0.25">
      <c r="B12" s="9" t="s">
        <v>1252</v>
      </c>
    </row>
    <row r="13" spans="1:7" x14ac:dyDescent="0.25">
      <c r="A13" s="9" t="s">
        <v>1253</v>
      </c>
      <c r="B13" s="9" t="s">
        <v>1254</v>
      </c>
    </row>
    <row r="14" spans="1:7" x14ac:dyDescent="0.25">
      <c r="A14" s="11" t="s">
        <v>1255</v>
      </c>
      <c r="B14" s="73">
        <v>0.05</v>
      </c>
      <c r="C14" s="16">
        <f>ROUND($B$14*C$11,3)</f>
        <v>-0.13500000000000001</v>
      </c>
      <c r="D14" s="16">
        <f t="shared" ref="D14:G14" si="2">ROUND($B$14*D$11,3)</f>
        <v>4.1000000000000002E-2</v>
      </c>
      <c r="E14" s="16">
        <f t="shared" si="2"/>
        <v>0.17399999999999999</v>
      </c>
      <c r="F14" s="16">
        <f t="shared" si="2"/>
        <v>0.307</v>
      </c>
      <c r="G14" s="16">
        <f t="shared" si="2"/>
        <v>0.434</v>
      </c>
    </row>
    <row r="15" spans="1:7" x14ac:dyDescent="0.25">
      <c r="A15" s="11" t="s">
        <v>556</v>
      </c>
      <c r="B15" s="73">
        <v>0.36</v>
      </c>
      <c r="C15" s="16">
        <f>ROUND($B$15*C$11,3)-C$10+0.002</f>
        <v>-0.97</v>
      </c>
      <c r="D15" s="16">
        <f>ROUND($B$15*D$11,3)-D$10+0.001</f>
        <v>0.29599999999999999</v>
      </c>
      <c r="E15" s="16">
        <f>ROUND($B$15*E$11,3)-E$10</f>
        <v>-0.1140000000000001</v>
      </c>
      <c r="F15" s="16">
        <f>ROUND($B$15*F$11,3)-F$10-0.001</f>
        <v>0.83899999999999986</v>
      </c>
      <c r="G15" s="16">
        <f>ROUND($B$15*G$11,3)-G$10+0.001</f>
        <v>1.7529999999999997</v>
      </c>
    </row>
    <row r="16" spans="1:7" x14ac:dyDescent="0.25">
      <c r="A16" s="11" t="s">
        <v>557</v>
      </c>
      <c r="B16" s="73">
        <v>0.26500000000000001</v>
      </c>
      <c r="C16" s="16">
        <f>ROUND($B$16*C$11,3)</f>
        <v>-0.71599999999999997</v>
      </c>
      <c r="D16" s="16">
        <f t="shared" ref="D16:G16" si="3">ROUND($B$16*D$11,3)</f>
        <v>0.217</v>
      </c>
      <c r="E16" s="16">
        <f t="shared" si="3"/>
        <v>0.92500000000000004</v>
      </c>
      <c r="F16" s="16">
        <f t="shared" si="3"/>
        <v>1.627</v>
      </c>
      <c r="G16" s="16">
        <f t="shared" si="3"/>
        <v>2.298</v>
      </c>
    </row>
    <row r="17" spans="1:7" x14ac:dyDescent="0.25">
      <c r="A17" s="11" t="s">
        <v>558</v>
      </c>
      <c r="B17" s="73">
        <v>0.08</v>
      </c>
      <c r="C17" s="16">
        <f>ROUND($B$17*C$11,3)</f>
        <v>-0.216</v>
      </c>
      <c r="D17" s="16">
        <f t="shared" ref="D17:G17" si="4">ROUND($B$17*D$11,3)</f>
        <v>6.6000000000000003E-2</v>
      </c>
      <c r="E17" s="16">
        <f t="shared" si="4"/>
        <v>0.27900000000000003</v>
      </c>
      <c r="F17" s="16">
        <f t="shared" si="4"/>
        <v>0.49099999999999999</v>
      </c>
      <c r="G17" s="16">
        <f t="shared" si="4"/>
        <v>0.69399999999999995</v>
      </c>
    </row>
    <row r="18" spans="1:7" x14ac:dyDescent="0.25">
      <c r="A18" s="11" t="s">
        <v>559</v>
      </c>
      <c r="B18" s="73">
        <v>0.09</v>
      </c>
      <c r="C18" s="16">
        <f>ROUND($B$18*C$11,3)</f>
        <v>-0.24299999999999999</v>
      </c>
      <c r="D18" s="16">
        <f t="shared" ref="D18:G18" si="5">ROUND($B$18*D$11,3)</f>
        <v>7.3999999999999996E-2</v>
      </c>
      <c r="E18" s="16">
        <f t="shared" si="5"/>
        <v>0.314</v>
      </c>
      <c r="F18" s="16">
        <f t="shared" si="5"/>
        <v>0.55300000000000005</v>
      </c>
      <c r="G18" s="16">
        <f t="shared" si="5"/>
        <v>0.78100000000000003</v>
      </c>
    </row>
    <row r="19" spans="1:7" x14ac:dyDescent="0.25">
      <c r="A19" s="11" t="s">
        <v>561</v>
      </c>
      <c r="B19" s="73">
        <v>0.04</v>
      </c>
      <c r="C19" s="16">
        <f>ROUND($B$19*C$11,3)</f>
        <v>-0.108</v>
      </c>
      <c r="D19" s="16">
        <f t="shared" ref="D19:G19" si="6">ROUND($B$19*D$11,3)</f>
        <v>3.3000000000000002E-2</v>
      </c>
      <c r="E19" s="16">
        <f t="shared" si="6"/>
        <v>0.14000000000000001</v>
      </c>
      <c r="F19" s="16">
        <f t="shared" si="6"/>
        <v>0.246</v>
      </c>
      <c r="G19" s="16">
        <f t="shared" si="6"/>
        <v>0.34699999999999998</v>
      </c>
    </row>
    <row r="20" spans="1:7" x14ac:dyDescent="0.25">
      <c r="A20" s="11" t="s">
        <v>562</v>
      </c>
      <c r="B20" s="73">
        <v>4.4999999999999998E-2</v>
      </c>
      <c r="C20" s="16">
        <f>ROUND($B$20*C$11,3)</f>
        <v>-0.122</v>
      </c>
      <c r="D20" s="16">
        <f t="shared" ref="D20:G20" si="7">ROUND($B$20*D$11,3)</f>
        <v>3.6999999999999998E-2</v>
      </c>
      <c r="E20" s="16">
        <f t="shared" si="7"/>
        <v>0.157</v>
      </c>
      <c r="F20" s="16">
        <f t="shared" si="7"/>
        <v>0.27600000000000002</v>
      </c>
      <c r="G20" s="16">
        <f t="shared" si="7"/>
        <v>0.39</v>
      </c>
    </row>
    <row r="21" spans="1:7" x14ac:dyDescent="0.25">
      <c r="A21" s="11" t="s">
        <v>563</v>
      </c>
      <c r="B21" s="73">
        <v>0.02</v>
      </c>
      <c r="C21" s="16">
        <f>ROUND($B$21*C$11,3)</f>
        <v>-5.3999999999999999E-2</v>
      </c>
      <c r="D21" s="16">
        <f t="shared" ref="D21:G21" si="8">ROUND($B$21*D$11,3)</f>
        <v>1.6E-2</v>
      </c>
      <c r="E21" s="16">
        <f t="shared" si="8"/>
        <v>7.0000000000000007E-2</v>
      </c>
      <c r="F21" s="16">
        <f t="shared" si="8"/>
        <v>0.123</v>
      </c>
      <c r="G21" s="16">
        <f t="shared" si="8"/>
        <v>0.17299999999999999</v>
      </c>
    </row>
    <row r="22" spans="1:7" x14ac:dyDescent="0.25">
      <c r="A22" s="11" t="s">
        <v>564</v>
      </c>
      <c r="B22" s="73">
        <v>1.4999999999999999E-2</v>
      </c>
      <c r="C22" s="16">
        <f>ROUND($B$22*C$11,3)</f>
        <v>-4.1000000000000002E-2</v>
      </c>
      <c r="D22" s="16">
        <f t="shared" ref="D22:G22" si="9">ROUND($B$22*D$11,3)</f>
        <v>1.2E-2</v>
      </c>
      <c r="E22" s="16">
        <f t="shared" si="9"/>
        <v>5.1999999999999998E-2</v>
      </c>
      <c r="F22" s="16">
        <f t="shared" si="9"/>
        <v>9.1999999999999998E-2</v>
      </c>
      <c r="G22" s="16">
        <f t="shared" si="9"/>
        <v>0.13</v>
      </c>
    </row>
    <row r="23" spans="1:7" x14ac:dyDescent="0.25">
      <c r="A23" s="11" t="s">
        <v>565</v>
      </c>
      <c r="B23" s="73">
        <v>0.02</v>
      </c>
      <c r="C23" s="16">
        <f>ROUND($B$23*C$11,3)</f>
        <v>-5.3999999999999999E-2</v>
      </c>
      <c r="D23" s="16">
        <f t="shared" ref="D23:G23" si="10">ROUND($B$23*D$11,3)</f>
        <v>1.6E-2</v>
      </c>
      <c r="E23" s="16">
        <f t="shared" si="10"/>
        <v>7.0000000000000007E-2</v>
      </c>
      <c r="F23" s="16">
        <f t="shared" si="10"/>
        <v>0.123</v>
      </c>
      <c r="G23" s="16">
        <f t="shared" si="10"/>
        <v>0.17299999999999999</v>
      </c>
    </row>
    <row r="24" spans="1:7" x14ac:dyDescent="0.25">
      <c r="A24" s="11" t="s">
        <v>566</v>
      </c>
      <c r="B24" s="73">
        <v>1.4999999999999999E-2</v>
      </c>
      <c r="C24" s="16">
        <f>ROUND($B$24*C$11,3)</f>
        <v>-4.1000000000000002E-2</v>
      </c>
      <c r="D24" s="16">
        <f t="shared" ref="D24:G24" si="11">ROUND($B$24*D$11,3)</f>
        <v>1.2E-2</v>
      </c>
      <c r="E24" s="16">
        <f t="shared" si="11"/>
        <v>5.1999999999999998E-2</v>
      </c>
      <c r="F24" s="16">
        <f t="shared" si="11"/>
        <v>9.1999999999999998E-2</v>
      </c>
      <c r="G24" s="16">
        <f t="shared" si="11"/>
        <v>0.13</v>
      </c>
    </row>
    <row r="25" spans="1:7" x14ac:dyDescent="0.25">
      <c r="A25" s="55" t="s">
        <v>1256</v>
      </c>
      <c r="B25" s="107">
        <f>SUM(B$2:B$24)</f>
        <v>1</v>
      </c>
      <c r="C25" s="104">
        <f>SUM(C$14:C$24)</f>
        <v>-2.6999999999999993</v>
      </c>
      <c r="D25" s="104">
        <f t="shared" ref="D25:G25" si="12">SUM(D$14:D$24)</f>
        <v>0.82</v>
      </c>
      <c r="E25" s="104">
        <f t="shared" si="12"/>
        <v>2.1190000000000002</v>
      </c>
      <c r="F25" s="104">
        <f t="shared" si="12"/>
        <v>4.7689999999999992</v>
      </c>
      <c r="G25" s="104">
        <f t="shared" si="12"/>
        <v>7.3029999999999982</v>
      </c>
    </row>
    <row r="27" spans="1:7" x14ac:dyDescent="0.25">
      <c r="A27" s="55" t="s">
        <v>1257</v>
      </c>
    </row>
    <row r="28" spans="1:7" x14ac:dyDescent="0.25">
      <c r="A28" s="11" t="s">
        <v>1258</v>
      </c>
      <c r="B28" s="73">
        <v>0.13500000000000001</v>
      </c>
      <c r="C28" s="16">
        <f>ROUND($B$28*C$16,3)</f>
        <v>-9.7000000000000003E-2</v>
      </c>
      <c r="D28" s="16">
        <f t="shared" ref="D28:G28" si="13">ROUND($B$28*D$16,3)</f>
        <v>2.9000000000000001E-2</v>
      </c>
      <c r="E28" s="16">
        <f t="shared" si="13"/>
        <v>0.125</v>
      </c>
      <c r="F28" s="16">
        <f t="shared" si="13"/>
        <v>0.22</v>
      </c>
      <c r="G28" s="16">
        <f t="shared" si="13"/>
        <v>0.31</v>
      </c>
    </row>
    <row r="29" spans="1:7" x14ac:dyDescent="0.25">
      <c r="A29" s="11" t="s">
        <v>1259</v>
      </c>
      <c r="B29" s="73">
        <v>0.28000000000000003</v>
      </c>
      <c r="C29" s="16">
        <f>ROUND($B$29*C$16,3)+0.001</f>
        <v>-0.19900000000000001</v>
      </c>
      <c r="D29" s="16">
        <f t="shared" ref="D29:G29" si="14">ROUND($B$29*D$16,3)</f>
        <v>6.0999999999999999E-2</v>
      </c>
      <c r="E29" s="16">
        <f>ROUND($B$29*E$16,3)-0.001</f>
        <v>0.25800000000000001</v>
      </c>
      <c r="F29" s="16">
        <f>ROUND($B$29*F$16,3)-0.001</f>
        <v>0.45500000000000002</v>
      </c>
      <c r="G29" s="16">
        <f t="shared" si="14"/>
        <v>0.64300000000000002</v>
      </c>
    </row>
    <row r="30" spans="1:7" x14ac:dyDescent="0.25">
      <c r="A30" s="11" t="s">
        <v>1260</v>
      </c>
      <c r="B30" s="73">
        <v>0.22</v>
      </c>
      <c r="C30" s="16">
        <f>ROUND($B$30*C$16,3)</f>
        <v>-0.158</v>
      </c>
      <c r="D30" s="16">
        <f t="shared" ref="D30:G30" si="15">ROUND($B$30*D$16,3)</f>
        <v>4.8000000000000001E-2</v>
      </c>
      <c r="E30" s="16">
        <f t="shared" si="15"/>
        <v>0.20399999999999999</v>
      </c>
      <c r="F30" s="16">
        <f t="shared" si="15"/>
        <v>0.35799999999999998</v>
      </c>
      <c r="G30" s="16">
        <f t="shared" si="15"/>
        <v>0.50600000000000001</v>
      </c>
    </row>
    <row r="31" spans="1:7" x14ac:dyDescent="0.25">
      <c r="A31" s="11" t="s">
        <v>1261</v>
      </c>
      <c r="B31" s="73">
        <v>0.23</v>
      </c>
      <c r="C31" s="16">
        <f>ROUND($B$31*C$16,3)</f>
        <v>-0.16500000000000001</v>
      </c>
      <c r="D31" s="16">
        <f t="shared" ref="D31:G31" si="16">ROUND($B$31*D$16,3)</f>
        <v>0.05</v>
      </c>
      <c r="E31" s="16">
        <f t="shared" si="16"/>
        <v>0.21299999999999999</v>
      </c>
      <c r="F31" s="16">
        <f t="shared" si="16"/>
        <v>0.374</v>
      </c>
      <c r="G31" s="16">
        <f t="shared" si="16"/>
        <v>0.52900000000000003</v>
      </c>
    </row>
    <row r="32" spans="1:7" x14ac:dyDescent="0.25">
      <c r="A32" s="11" t="s">
        <v>1262</v>
      </c>
      <c r="B32" s="73">
        <v>0.13500000000000001</v>
      </c>
      <c r="C32" s="16">
        <f>ROUND($B$32*C$16,3)</f>
        <v>-9.7000000000000003E-2</v>
      </c>
      <c r="D32" s="16">
        <f t="shared" ref="D32:G32" si="17">ROUND($B$32*D$16,3)</f>
        <v>2.9000000000000001E-2</v>
      </c>
      <c r="E32" s="16">
        <f t="shared" si="17"/>
        <v>0.125</v>
      </c>
      <c r="F32" s="16">
        <f t="shared" si="17"/>
        <v>0.22</v>
      </c>
      <c r="G32" s="16">
        <f t="shared" si="17"/>
        <v>0.31</v>
      </c>
    </row>
    <row r="33" spans="1:7" x14ac:dyDescent="0.25">
      <c r="A33" s="55" t="s">
        <v>1263</v>
      </c>
      <c r="B33" s="107">
        <f>SUM(B$28:B$32)</f>
        <v>1</v>
      </c>
      <c r="C33" s="104">
        <f>SUM(C$28:C$32)</f>
        <v>-0.71600000000000008</v>
      </c>
      <c r="D33" s="104">
        <f t="shared" ref="D33:G33" si="18">SUM(D$28:D$32)</f>
        <v>0.217</v>
      </c>
      <c r="E33" s="104">
        <f t="shared" si="18"/>
        <v>0.92499999999999993</v>
      </c>
      <c r="F33" s="104">
        <f t="shared" si="18"/>
        <v>1.627</v>
      </c>
      <c r="G33" s="104">
        <f t="shared" si="18"/>
        <v>2.298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41516-F4B2-49DB-980D-E1C1C9DA7598}">
  <dimension ref="A1:P70"/>
  <sheetViews>
    <sheetView workbookViewId="0">
      <pane xSplit="1" ySplit="11" topLeftCell="B12" activePane="bottomRight" state="frozen"/>
      <selection pane="topRight" activeCell="B1" sqref="B1"/>
      <selection pane="bottomLeft" activeCell="A12" sqref="A12"/>
      <selection pane="bottomRight"/>
    </sheetView>
  </sheetViews>
  <sheetFormatPr defaultRowHeight="15" x14ac:dyDescent="0.25"/>
  <cols>
    <col min="1" max="1" width="85.7109375" customWidth="1"/>
    <col min="2" max="16" width="10.7109375" customWidth="1"/>
  </cols>
  <sheetData>
    <row r="1" spans="1:16" x14ac:dyDescent="0.25">
      <c r="A1" s="9" t="s">
        <v>1227</v>
      </c>
    </row>
    <row r="2" spans="1:16" x14ac:dyDescent="0.25">
      <c r="A2" s="10" t="s">
        <v>1214</v>
      </c>
    </row>
    <row r="3" spans="1:16" x14ac:dyDescent="0.25">
      <c r="A3" s="10" t="s">
        <v>1215</v>
      </c>
    </row>
    <row r="4" spans="1:16" x14ac:dyDescent="0.25">
      <c r="A4" s="10" t="s">
        <v>1216</v>
      </c>
    </row>
    <row r="5" spans="1:16" x14ac:dyDescent="0.25">
      <c r="A5" s="10" t="s">
        <v>1217</v>
      </c>
    </row>
    <row r="6" spans="1:16" x14ac:dyDescent="0.25">
      <c r="A6" s="10" t="s">
        <v>1218</v>
      </c>
    </row>
    <row r="7" spans="1:16" x14ac:dyDescent="0.25">
      <c r="A7" s="10" t="s">
        <v>143</v>
      </c>
    </row>
    <row r="8" spans="1:16" x14ac:dyDescent="0.25">
      <c r="A8" s="63" t="s">
        <v>826</v>
      </c>
      <c r="B8" s="13" t="s">
        <v>28</v>
      </c>
      <c r="C8" s="13" t="s">
        <v>29</v>
      </c>
      <c r="D8" s="13" t="s">
        <v>30</v>
      </c>
      <c r="E8" s="13" t="s">
        <v>31</v>
      </c>
      <c r="F8" s="13" t="s">
        <v>32</v>
      </c>
      <c r="G8" s="13" t="s">
        <v>33</v>
      </c>
      <c r="H8" s="13" t="s">
        <v>34</v>
      </c>
      <c r="I8" s="13" t="s">
        <v>35</v>
      </c>
      <c r="J8" s="13" t="s">
        <v>36</v>
      </c>
      <c r="K8" s="13" t="s">
        <v>37</v>
      </c>
      <c r="L8" s="13" t="s">
        <v>38</v>
      </c>
      <c r="M8" s="13" t="s">
        <v>39</v>
      </c>
      <c r="N8" s="13" t="s">
        <v>40</v>
      </c>
      <c r="O8" s="13" t="s">
        <v>41</v>
      </c>
      <c r="P8" s="13" t="s">
        <v>42</v>
      </c>
    </row>
    <row r="9" spans="1:16" x14ac:dyDescent="0.25">
      <c r="A9" s="63"/>
      <c r="B9" s="9">
        <v>2010</v>
      </c>
      <c r="C9" s="9">
        <v>2011</v>
      </c>
      <c r="D9" s="9">
        <v>2012</v>
      </c>
      <c r="E9" s="9">
        <v>2013</v>
      </c>
      <c r="F9" s="9">
        <v>2014</v>
      </c>
      <c r="G9" s="9">
        <v>2015</v>
      </c>
      <c r="H9" s="9">
        <v>2016</v>
      </c>
      <c r="I9" s="9">
        <v>2017</v>
      </c>
      <c r="J9" s="9">
        <v>2018</v>
      </c>
      <c r="K9" s="9">
        <v>2019</v>
      </c>
      <c r="L9" s="9">
        <v>2020</v>
      </c>
      <c r="M9" s="9">
        <v>2021</v>
      </c>
      <c r="N9" s="9">
        <v>2022</v>
      </c>
      <c r="O9" s="9">
        <v>2023</v>
      </c>
      <c r="P9" s="9">
        <v>2024</v>
      </c>
    </row>
    <row r="10" spans="1:16" x14ac:dyDescent="0.25">
      <c r="A10" s="9" t="s">
        <v>1219</v>
      </c>
      <c r="B10" s="47">
        <v>197.35300000000001</v>
      </c>
      <c r="C10" s="47">
        <v>206.09800000000001</v>
      </c>
      <c r="D10" s="47">
        <v>215.197</v>
      </c>
      <c r="E10" s="47">
        <v>219.18299999999999</v>
      </c>
      <c r="F10" s="47">
        <v>237.05099999999999</v>
      </c>
      <c r="G10" s="47">
        <v>245.87200000000001</v>
      </c>
      <c r="H10" s="47">
        <v>258.92899999999997</v>
      </c>
      <c r="I10" s="47">
        <v>275.87599999999998</v>
      </c>
      <c r="J10" s="47">
        <v>295.81700000000001</v>
      </c>
      <c r="K10" s="47">
        <v>310.512</v>
      </c>
      <c r="L10" s="47">
        <v>317.63099999999997</v>
      </c>
      <c r="M10" s="47">
        <v>343.39299999999997</v>
      </c>
      <c r="N10" s="47">
        <v>365.71600000000001</v>
      </c>
      <c r="O10" s="47">
        <v>401.54700000000003</v>
      </c>
      <c r="P10" s="47">
        <v>420.62200000000001</v>
      </c>
    </row>
    <row r="11" spans="1:16" x14ac:dyDescent="0.25">
      <c r="A11" s="10" t="s">
        <v>150</v>
      </c>
    </row>
    <row r="12" spans="1:16" x14ac:dyDescent="0.25">
      <c r="A12" s="9"/>
    </row>
    <row r="13" spans="1:16" ht="16.5" x14ac:dyDescent="0.25">
      <c r="A13" s="41" t="s">
        <v>1220</v>
      </c>
    </row>
    <row r="14" spans="1:16" x14ac:dyDescent="0.25">
      <c r="A14" s="9" t="s">
        <v>828</v>
      </c>
      <c r="B14" s="47">
        <v>-6.3149999999999977</v>
      </c>
      <c r="C14" s="47">
        <v>-18.396000000000001</v>
      </c>
      <c r="D14" s="47">
        <v>-9.24</v>
      </c>
      <c r="E14" s="47">
        <v>-4.4139999999999997</v>
      </c>
      <c r="F14" s="47">
        <v>-2.8020000000000005</v>
      </c>
      <c r="G14" s="47">
        <v>0.41399999999999998</v>
      </c>
      <c r="H14" s="47">
        <v>1.831</v>
      </c>
      <c r="I14" s="47">
        <v>4.069</v>
      </c>
      <c r="J14" s="47">
        <v>5.5339999999999998</v>
      </c>
      <c r="K14" s="47">
        <v>7.4290000000000003</v>
      </c>
      <c r="L14" s="47">
        <v>-23.056999999999999</v>
      </c>
      <c r="M14" s="47">
        <v>-4.5599999999999996</v>
      </c>
      <c r="N14" s="47">
        <v>-9.6910000000000007</v>
      </c>
      <c r="O14" s="47">
        <v>-9.4459999999999997</v>
      </c>
      <c r="P14" s="47">
        <v>-12.853999999999999</v>
      </c>
    </row>
    <row r="15" spans="1:16" x14ac:dyDescent="0.25">
      <c r="A15" s="10" t="s">
        <v>1221</v>
      </c>
      <c r="B15" s="72">
        <f>B14/B$10</f>
        <v>-3.1998500149478332E-2</v>
      </c>
      <c r="C15" s="72">
        <f t="shared" ref="C15:P17" si="0">C14/C$10</f>
        <v>-8.9258508088385133E-2</v>
      </c>
      <c r="D15" s="72">
        <f t="shared" si="0"/>
        <v>-4.293740154370182E-2</v>
      </c>
      <c r="E15" s="72">
        <f t="shared" si="0"/>
        <v>-2.0138423144130703E-2</v>
      </c>
      <c r="F15" s="72">
        <f t="shared" si="0"/>
        <v>-1.1820241213915995E-2</v>
      </c>
      <c r="G15" s="72">
        <f t="shared" si="0"/>
        <v>1.683802954382768E-3</v>
      </c>
      <c r="H15" s="72">
        <f t="shared" si="0"/>
        <v>7.0714365714153304E-3</v>
      </c>
      <c r="I15" s="72">
        <f t="shared" si="0"/>
        <v>1.4749380156302108E-2</v>
      </c>
      <c r="J15" s="72">
        <f t="shared" si="0"/>
        <v>1.8707511738676276E-2</v>
      </c>
      <c r="K15" s="72">
        <f t="shared" si="0"/>
        <v>2.3925001288194983E-2</v>
      </c>
      <c r="L15" s="72">
        <f t="shared" si="0"/>
        <v>-7.2590521706004774E-2</v>
      </c>
      <c r="M15" s="72">
        <f t="shared" si="0"/>
        <v>-1.3279245645659637E-2</v>
      </c>
      <c r="N15" s="72">
        <f t="shared" si="0"/>
        <v>-2.6498703912325412E-2</v>
      </c>
      <c r="O15" s="72">
        <f t="shared" si="0"/>
        <v>-2.3524020849365078E-2</v>
      </c>
      <c r="P15" s="72">
        <f t="shared" si="0"/>
        <v>-3.055950473346615E-2</v>
      </c>
    </row>
    <row r="16" spans="1:16" x14ac:dyDescent="0.25">
      <c r="A16" s="9" t="s">
        <v>1240</v>
      </c>
      <c r="B16" s="72"/>
      <c r="C16" s="72"/>
      <c r="D16" s="72"/>
      <c r="E16" s="72"/>
      <c r="F16" s="47">
        <v>-3.8330000000000002</v>
      </c>
      <c r="G16" s="47">
        <v>0.33300000000000002</v>
      </c>
      <c r="H16" s="47">
        <v>2.121</v>
      </c>
      <c r="I16" s="47">
        <v>4.6529999999999996</v>
      </c>
      <c r="J16" s="47">
        <v>5.9420000000000002</v>
      </c>
      <c r="K16" s="47">
        <v>8.5039999999999996</v>
      </c>
      <c r="L16" s="47">
        <v>-20.902000000000001</v>
      </c>
      <c r="M16" s="47">
        <v>-2.5590000000000002</v>
      </c>
      <c r="N16" s="47">
        <v>-8.6639999999999997</v>
      </c>
      <c r="O16" s="47">
        <v>-7.1989999999999998</v>
      </c>
      <c r="P16" s="47">
        <v>-8.7710000000000008</v>
      </c>
    </row>
    <row r="17" spans="1:16" x14ac:dyDescent="0.25">
      <c r="A17" s="10" t="str">
        <f>$A$15</f>
        <v>As percentage of nominal GDP</v>
      </c>
      <c r="B17" s="72"/>
      <c r="C17" s="72"/>
      <c r="D17" s="72"/>
      <c r="E17" s="72"/>
      <c r="F17" s="72">
        <f t="shared" si="0"/>
        <v>-1.6169516264432551E-2</v>
      </c>
      <c r="G17" s="72">
        <f t="shared" si="0"/>
        <v>1.3543632459165746E-3</v>
      </c>
      <c r="H17" s="72">
        <f t="shared" si="0"/>
        <v>8.1914347176252952E-3</v>
      </c>
      <c r="I17" s="72">
        <f t="shared" si="0"/>
        <v>1.6866273253200715E-2</v>
      </c>
      <c r="J17" s="72">
        <f t="shared" si="0"/>
        <v>2.0086742817349915E-2</v>
      </c>
      <c r="K17" s="72">
        <f t="shared" si="0"/>
        <v>2.7387025300149428E-2</v>
      </c>
      <c r="L17" s="72">
        <f t="shared" si="0"/>
        <v>-6.5805919447409114E-2</v>
      </c>
      <c r="M17" s="72">
        <f t="shared" si="0"/>
        <v>-7.4521029840445216E-3</v>
      </c>
      <c r="N17" s="72">
        <f t="shared" si="0"/>
        <v>-2.3690513950715853E-2</v>
      </c>
      <c r="O17" s="72">
        <f t="shared" si="0"/>
        <v>-1.7928162830253992E-2</v>
      </c>
      <c r="P17" s="72">
        <f t="shared" si="0"/>
        <v>-2.0852451845124603E-2</v>
      </c>
    </row>
    <row r="18" spans="1:16" x14ac:dyDescent="0.25">
      <c r="A18" s="9" t="s">
        <v>656</v>
      </c>
      <c r="B18" s="47">
        <v>5.125</v>
      </c>
      <c r="C18" s="47">
        <v>14.554</v>
      </c>
      <c r="D18" s="47">
        <v>23.893000000000001</v>
      </c>
      <c r="E18" s="47">
        <v>25.297999999999998</v>
      </c>
      <c r="F18" s="47">
        <v>25.207999999999998</v>
      </c>
      <c r="G18" s="47">
        <v>22.824999999999999</v>
      </c>
      <c r="H18" s="47">
        <v>23.193000000000001</v>
      </c>
      <c r="I18" s="47">
        <v>16.248999999999999</v>
      </c>
      <c r="J18" s="47">
        <v>11.218999999999999</v>
      </c>
      <c r="K18" s="47">
        <v>5.4320000000000004</v>
      </c>
      <c r="L18" s="47">
        <v>35.71</v>
      </c>
      <c r="M18" s="47">
        <v>35.920999999999999</v>
      </c>
      <c r="N18" s="47">
        <v>61.85</v>
      </c>
      <c r="O18" s="47">
        <v>71.367000000000004</v>
      </c>
      <c r="P18" s="47">
        <v>82.197000000000003</v>
      </c>
    </row>
    <row r="19" spans="1:16" x14ac:dyDescent="0.25">
      <c r="A19" s="10" t="str">
        <f>$A$15</f>
        <v>As percentage of nominal GDP</v>
      </c>
      <c r="B19" s="72">
        <f t="shared" ref="B19:N19" si="1">B$18/B$10</f>
        <v>2.5968695687423042E-2</v>
      </c>
      <c r="C19" s="72">
        <f t="shared" si="1"/>
        <v>7.0616890993604978E-2</v>
      </c>
      <c r="D19" s="72">
        <f t="shared" si="1"/>
        <v>0.11102849946792939</v>
      </c>
      <c r="E19" s="72">
        <f t="shared" si="1"/>
        <v>0.11541953527417728</v>
      </c>
      <c r="F19" s="72">
        <f t="shared" si="1"/>
        <v>0.10633998591020498</v>
      </c>
      <c r="G19" s="72">
        <f t="shared" si="1"/>
        <v>9.2832856120257684E-2</v>
      </c>
      <c r="H19" s="72">
        <f t="shared" si="1"/>
        <v>8.9572817258785242E-2</v>
      </c>
      <c r="I19" s="72">
        <f t="shared" si="1"/>
        <v>5.8899650567646337E-2</v>
      </c>
      <c r="J19" s="72">
        <f t="shared" si="1"/>
        <v>3.7925474195195E-2</v>
      </c>
      <c r="K19" s="72">
        <f t="shared" si="1"/>
        <v>1.7493687844592157E-2</v>
      </c>
      <c r="L19" s="72">
        <f t="shared" si="1"/>
        <v>0.11242605413199594</v>
      </c>
      <c r="M19" s="72">
        <f t="shared" si="1"/>
        <v>0.10460609272757454</v>
      </c>
      <c r="N19" s="72">
        <f t="shared" si="1"/>
        <v>0.16912030099858907</v>
      </c>
      <c r="O19" s="72">
        <f>O$18/O$10</f>
        <v>0.17773012872714775</v>
      </c>
      <c r="P19" s="72">
        <f>P$18/P$10</f>
        <v>0.19541773849204275</v>
      </c>
    </row>
    <row r="20" spans="1:16" x14ac:dyDescent="0.25">
      <c r="A20" s="9" t="s">
        <v>1222</v>
      </c>
      <c r="B20" s="47">
        <v>20.706</v>
      </c>
      <c r="C20" s="47">
        <v>33.171999999999997</v>
      </c>
      <c r="D20" s="47">
        <v>42.503</v>
      </c>
      <c r="E20" s="47">
        <v>47.96</v>
      </c>
      <c r="F20" s="47">
        <v>51.332999999999998</v>
      </c>
      <c r="G20" s="47">
        <v>52.131</v>
      </c>
      <c r="H20" s="47">
        <v>53.228999999999999</v>
      </c>
      <c r="I20" s="47">
        <v>51.548000000000002</v>
      </c>
      <c r="J20" s="47">
        <v>50.762999999999998</v>
      </c>
      <c r="K20" s="47">
        <v>50.822000000000003</v>
      </c>
      <c r="L20" s="47">
        <v>79.930000000000007</v>
      </c>
      <c r="M20" s="47">
        <v>95.188000000000002</v>
      </c>
      <c r="N20" s="47">
        <v>117.11499999999999</v>
      </c>
      <c r="O20" s="47">
        <v>136.268</v>
      </c>
      <c r="P20" s="47">
        <v>158.255</v>
      </c>
    </row>
    <row r="21" spans="1:16" x14ac:dyDescent="0.25">
      <c r="A21" s="10" t="str">
        <f>$A$15</f>
        <v>As percentage of nominal GDP</v>
      </c>
      <c r="B21" s="72">
        <f>B$20/B$10</f>
        <v>0.10491859763976225</v>
      </c>
      <c r="C21" s="72">
        <f t="shared" ref="C21:P21" si="2">C$20/C$10</f>
        <v>0.1609525565507671</v>
      </c>
      <c r="D21" s="72">
        <f t="shared" si="2"/>
        <v>0.19750740019609939</v>
      </c>
      <c r="E21" s="72">
        <f t="shared" si="2"/>
        <v>0.21881259039250309</v>
      </c>
      <c r="F21" s="72">
        <f t="shared" si="2"/>
        <v>0.2165483376994824</v>
      </c>
      <c r="G21" s="72">
        <f t="shared" si="2"/>
        <v>0.21202495607470553</v>
      </c>
      <c r="H21" s="72">
        <f t="shared" si="2"/>
        <v>0.20557372870555252</v>
      </c>
      <c r="I21" s="72">
        <f t="shared" si="2"/>
        <v>0.18685206397076951</v>
      </c>
      <c r="J21" s="72">
        <f t="shared" si="2"/>
        <v>0.17160271383997538</v>
      </c>
      <c r="K21" s="72">
        <f t="shared" si="2"/>
        <v>0.16367161333539446</v>
      </c>
      <c r="L21" s="72">
        <f t="shared" si="2"/>
        <v>0.25164420349399153</v>
      </c>
      <c r="M21" s="72">
        <f t="shared" si="2"/>
        <v>0.27719842862259864</v>
      </c>
      <c r="N21" s="72">
        <f t="shared" si="2"/>
        <v>0.32023482702424833</v>
      </c>
      <c r="O21" s="72">
        <f t="shared" si="2"/>
        <v>0.33935753473441466</v>
      </c>
      <c r="P21" s="72">
        <f t="shared" si="2"/>
        <v>0.37624042489456089</v>
      </c>
    </row>
    <row r="22" spans="1:16" x14ac:dyDescent="0.25">
      <c r="A22" s="9" t="s">
        <v>1223</v>
      </c>
      <c r="B22" s="47">
        <v>26.737999999999996</v>
      </c>
      <c r="C22" s="47">
        <v>40.128</v>
      </c>
      <c r="D22" s="47">
        <v>50.671000000000006</v>
      </c>
      <c r="E22" s="47">
        <v>55.835000000000001</v>
      </c>
      <c r="F22" s="47">
        <v>59.930999999999997</v>
      </c>
      <c r="G22" s="47">
        <v>60.631</v>
      </c>
      <c r="H22" s="47">
        <v>61.88</v>
      </c>
      <c r="I22" s="47">
        <v>59.48</v>
      </c>
      <c r="J22" s="47">
        <v>57.494999999999997</v>
      </c>
      <c r="K22" s="47">
        <v>57.735999999999997</v>
      </c>
      <c r="L22" s="47">
        <v>83.375</v>
      </c>
      <c r="M22" s="47">
        <v>102.08</v>
      </c>
      <c r="N22" s="47">
        <v>128.87299999999999</v>
      </c>
      <c r="O22" s="47">
        <v>155.273</v>
      </c>
      <c r="P22" s="47">
        <v>175.464</v>
      </c>
    </row>
    <row r="23" spans="1:16" x14ac:dyDescent="0.25">
      <c r="A23" s="10" t="str">
        <f>$A$15</f>
        <v>As percentage of nominal GDP</v>
      </c>
      <c r="B23" s="72">
        <f t="shared" ref="B23:N23" si="3">B$22/B$10</f>
        <v>0.1354831190810375</v>
      </c>
      <c r="C23" s="72">
        <f t="shared" si="3"/>
        <v>0.1947034905724461</v>
      </c>
      <c r="D23" s="72">
        <f t="shared" si="3"/>
        <v>0.23546331965594319</v>
      </c>
      <c r="E23" s="72">
        <f t="shared" si="3"/>
        <v>0.25474147173822786</v>
      </c>
      <c r="F23" s="72">
        <f t="shared" si="3"/>
        <v>0.25281901362997838</v>
      </c>
      <c r="G23" s="72">
        <f t="shared" si="3"/>
        <v>0.24659578967918266</v>
      </c>
      <c r="H23" s="72">
        <f t="shared" si="3"/>
        <v>0.23898443202576772</v>
      </c>
      <c r="I23" s="72">
        <f t="shared" si="3"/>
        <v>0.21560411199234439</v>
      </c>
      <c r="J23" s="72">
        <f t="shared" si="3"/>
        <v>0.19436002663809043</v>
      </c>
      <c r="K23" s="72">
        <f t="shared" si="3"/>
        <v>0.18593806358530426</v>
      </c>
      <c r="L23" s="72">
        <f t="shared" si="3"/>
        <v>0.26249012218580681</v>
      </c>
      <c r="M23" s="72">
        <f t="shared" si="3"/>
        <v>0.29726872708529295</v>
      </c>
      <c r="N23" s="72">
        <f t="shared" si="3"/>
        <v>0.35238545756816764</v>
      </c>
      <c r="O23" s="72">
        <f>O$22/O$10</f>
        <v>0.38668698807362523</v>
      </c>
      <c r="P23" s="72">
        <f>P$22/P$10</f>
        <v>0.41715364388928777</v>
      </c>
    </row>
    <row r="24" spans="1:16" x14ac:dyDescent="0.25">
      <c r="A24" s="9" t="s">
        <v>831</v>
      </c>
      <c r="B24" s="47">
        <v>-9</v>
      </c>
      <c r="C24" s="47">
        <v>-13.343</v>
      </c>
      <c r="D24" s="47">
        <v>-10.644</v>
      </c>
      <c r="E24" s="47">
        <v>-5.742</v>
      </c>
      <c r="F24" s="47">
        <v>-4.109</v>
      </c>
      <c r="G24" s="47">
        <v>-1.827</v>
      </c>
      <c r="H24" s="47">
        <v>-1.3220000000000001</v>
      </c>
      <c r="I24" s="47">
        <v>2.5739999999999998</v>
      </c>
      <c r="J24" s="47">
        <v>1.3460000000000001</v>
      </c>
      <c r="K24" s="47">
        <v>-0.71</v>
      </c>
      <c r="L24" s="47">
        <v>-23.692</v>
      </c>
      <c r="M24" s="47">
        <v>-13.766999999999999</v>
      </c>
      <c r="N24" s="47">
        <v>-27.042999999999999</v>
      </c>
      <c r="O24" s="47">
        <v>-25.648</v>
      </c>
      <c r="P24" s="47">
        <v>-19.302</v>
      </c>
    </row>
    <row r="25" spans="1:16" x14ac:dyDescent="0.25">
      <c r="A25" s="10" t="str">
        <f>$A$15</f>
        <v>As percentage of nominal GDP</v>
      </c>
      <c r="B25" s="72">
        <f>B$24/B$10</f>
        <v>-4.5603563158401444E-2</v>
      </c>
      <c r="C25" s="72">
        <f t="shared" ref="C25:P25" si="4">C$24/C$10</f>
        <v>-6.4741045522033205E-2</v>
      </c>
      <c r="D25" s="72">
        <f t="shared" si="4"/>
        <v>-4.9461656063978586E-2</v>
      </c>
      <c r="E25" s="72">
        <f t="shared" si="4"/>
        <v>-2.6197287198368488E-2</v>
      </c>
      <c r="F25" s="72">
        <f t="shared" si="4"/>
        <v>-1.7333822679507786E-2</v>
      </c>
      <c r="G25" s="72">
        <f t="shared" si="4"/>
        <v>-7.430695646515259E-3</v>
      </c>
      <c r="H25" s="72">
        <f t="shared" si="4"/>
        <v>-5.1056467216881859E-3</v>
      </c>
      <c r="I25" s="72">
        <f t="shared" si="4"/>
        <v>9.3302788209195433E-3</v>
      </c>
      <c r="J25" s="72">
        <f t="shared" si="4"/>
        <v>4.5501103722909771E-3</v>
      </c>
      <c r="K25" s="72">
        <f t="shared" si="4"/>
        <v>-2.2865460916164271E-3</v>
      </c>
      <c r="L25" s="72">
        <f t="shared" si="4"/>
        <v>-7.4589696849488879E-2</v>
      </c>
      <c r="M25" s="72">
        <f t="shared" si="4"/>
        <v>-4.0091090965744793E-2</v>
      </c>
      <c r="N25" s="72">
        <f t="shared" si="4"/>
        <v>-7.3945356506141369E-2</v>
      </c>
      <c r="O25" s="72">
        <f t="shared" si="4"/>
        <v>-6.3872971283560828E-2</v>
      </c>
      <c r="P25" s="72">
        <f t="shared" si="4"/>
        <v>-4.5889183162079017E-2</v>
      </c>
    </row>
    <row r="26" spans="1:16" x14ac:dyDescent="0.25">
      <c r="A26" s="9" t="s">
        <v>661</v>
      </c>
      <c r="B26" s="47">
        <v>55.756999999999998</v>
      </c>
      <c r="C26" s="47">
        <v>57.198999999999998</v>
      </c>
      <c r="D26" s="47">
        <v>60.427999999999997</v>
      </c>
      <c r="E26" s="47">
        <v>63.805</v>
      </c>
      <c r="F26" s="47">
        <v>67.093000000000004</v>
      </c>
      <c r="G26" s="47">
        <v>72.212999999999994</v>
      </c>
      <c r="H26" s="47">
        <v>76.120999999999995</v>
      </c>
      <c r="I26" s="47">
        <v>81.781999999999996</v>
      </c>
      <c r="J26" s="47">
        <v>86.778000000000006</v>
      </c>
      <c r="K26" s="47">
        <v>93.474000000000004</v>
      </c>
      <c r="L26" s="47">
        <v>91.923000000000002</v>
      </c>
      <c r="M26" s="47">
        <v>104.968</v>
      </c>
      <c r="N26" s="47">
        <v>117.515</v>
      </c>
      <c r="O26" s="47">
        <v>123.398</v>
      </c>
      <c r="P26" s="47">
        <v>133.22</v>
      </c>
    </row>
    <row r="27" spans="1:16" x14ac:dyDescent="0.25">
      <c r="A27" s="10" t="str">
        <f>$A$15</f>
        <v>As percentage of nominal GDP</v>
      </c>
      <c r="B27" s="72">
        <f t="shared" ref="B27:N27" si="5">B$26/B$10</f>
        <v>0.28252420789144322</v>
      </c>
      <c r="C27" s="72">
        <f t="shared" si="5"/>
        <v>0.27753301827286048</v>
      </c>
      <c r="D27" s="72">
        <f t="shared" si="5"/>
        <v>0.28080317104792352</v>
      </c>
      <c r="E27" s="72">
        <f t="shared" si="5"/>
        <v>0.29110378085891697</v>
      </c>
      <c r="F27" s="72">
        <f t="shared" si="5"/>
        <v>0.28303192140088002</v>
      </c>
      <c r="G27" s="72">
        <f t="shared" si="5"/>
        <v>0.29370160083295371</v>
      </c>
      <c r="H27" s="72">
        <f t="shared" si="5"/>
        <v>0.29398406512982322</v>
      </c>
      <c r="I27" s="72">
        <f t="shared" si="5"/>
        <v>0.2964447795386333</v>
      </c>
      <c r="J27" s="72">
        <f t="shared" si="5"/>
        <v>0.29335028074789482</v>
      </c>
      <c r="K27" s="72">
        <f t="shared" si="5"/>
        <v>0.30103184417993506</v>
      </c>
      <c r="L27" s="72">
        <f t="shared" si="5"/>
        <v>0.28940185309368421</v>
      </c>
      <c r="M27" s="72">
        <f t="shared" si="5"/>
        <v>0.30567891599421076</v>
      </c>
      <c r="N27" s="72">
        <f t="shared" si="5"/>
        <v>0.32132857189731923</v>
      </c>
      <c r="O27" s="72">
        <f>O$26/O$10</f>
        <v>0.30730649214164218</v>
      </c>
      <c r="P27" s="72">
        <f>P$26/P$10</f>
        <v>0.31672142683929988</v>
      </c>
    </row>
    <row r="28" spans="1:16" x14ac:dyDescent="0.25">
      <c r="A28" s="9" t="s">
        <v>666</v>
      </c>
      <c r="B28" s="47">
        <v>63.553999999999995</v>
      </c>
      <c r="C28" s="47">
        <v>70.099000000000004</v>
      </c>
      <c r="D28" s="47">
        <v>68.938999999999993</v>
      </c>
      <c r="E28" s="47">
        <v>69.962000000000003</v>
      </c>
      <c r="F28" s="47">
        <v>71.173999999999992</v>
      </c>
      <c r="G28" s="47">
        <v>72.362999999999985</v>
      </c>
      <c r="H28" s="47">
        <v>73.929000000000002</v>
      </c>
      <c r="I28" s="47">
        <v>76.338999999999999</v>
      </c>
      <c r="J28" s="47">
        <v>80.575999999999993</v>
      </c>
      <c r="K28" s="47">
        <v>86.959000000000003</v>
      </c>
      <c r="L28" s="47">
        <v>108.83199999999999</v>
      </c>
      <c r="M28" s="47">
        <v>107.764</v>
      </c>
      <c r="N28" s="47">
        <v>125.64100000000001</v>
      </c>
      <c r="O28" s="47">
        <v>127.574</v>
      </c>
      <c r="P28" s="47">
        <v>138.99799999999999</v>
      </c>
    </row>
    <row r="29" spans="1:16" x14ac:dyDescent="0.25">
      <c r="A29" s="10" t="str">
        <f>$A$15</f>
        <v>As percentage of nominal GDP</v>
      </c>
      <c r="B29" s="72">
        <f>B$28/B$10</f>
        <v>0.32203209477433831</v>
      </c>
      <c r="C29" s="72">
        <f t="shared" ref="C29:P29" si="6">C$28/C$10</f>
        <v>0.34012460091800989</v>
      </c>
      <c r="D29" s="72">
        <f t="shared" si="6"/>
        <v>0.32035297889840469</v>
      </c>
      <c r="E29" s="72">
        <f t="shared" si="6"/>
        <v>0.31919446307423482</v>
      </c>
      <c r="F29" s="72">
        <f t="shared" si="6"/>
        <v>0.30024762603827865</v>
      </c>
      <c r="G29" s="72">
        <f t="shared" si="6"/>
        <v>0.29431167436715033</v>
      </c>
      <c r="H29" s="72">
        <f t="shared" si="6"/>
        <v>0.28551842396950516</v>
      </c>
      <c r="I29" s="72">
        <f t="shared" si="6"/>
        <v>0.27671490089750467</v>
      </c>
      <c r="J29" s="72">
        <f t="shared" si="6"/>
        <v>0.27238461616472343</v>
      </c>
      <c r="K29" s="72">
        <f t="shared" si="6"/>
        <v>0.28005036842376463</v>
      </c>
      <c r="L29" s="72">
        <f t="shared" si="6"/>
        <v>0.34263658144198772</v>
      </c>
      <c r="M29" s="72">
        <f t="shared" si="6"/>
        <v>0.31382119029799677</v>
      </c>
      <c r="N29" s="72">
        <f t="shared" si="6"/>
        <v>0.34354799899375471</v>
      </c>
      <c r="O29" s="72">
        <f t="shared" si="6"/>
        <v>0.31770627099691939</v>
      </c>
      <c r="P29" s="72">
        <f t="shared" si="6"/>
        <v>0.33045822615079568</v>
      </c>
    </row>
    <row r="30" spans="1:16" x14ac:dyDescent="0.25">
      <c r="A30" s="9" t="s">
        <v>669</v>
      </c>
      <c r="B30" s="47">
        <v>-7</v>
      </c>
      <c r="C30" s="47">
        <v>-9.2669999999999995</v>
      </c>
      <c r="D30" s="47">
        <v>-11.670999999999999</v>
      </c>
      <c r="E30" s="47">
        <v>0.371</v>
      </c>
      <c r="F30" s="47">
        <v>0.29199999999999998</v>
      </c>
      <c r="G30" s="47">
        <v>3.879</v>
      </c>
      <c r="H30" s="47">
        <v>-0.91200000000000003</v>
      </c>
      <c r="I30" s="47">
        <v>12.064</v>
      </c>
      <c r="J30" s="47">
        <v>9.4429999999999996</v>
      </c>
      <c r="K30" s="47">
        <v>9.7070000000000007</v>
      </c>
      <c r="L30" s="47">
        <v>-20.882999999999999</v>
      </c>
      <c r="M30" s="47">
        <v>4.7039999999999997</v>
      </c>
      <c r="N30" s="47">
        <v>-19.532</v>
      </c>
      <c r="O30" s="47">
        <v>8.2929999999999993</v>
      </c>
      <c r="P30" s="47">
        <v>2.1059999999999999</v>
      </c>
    </row>
    <row r="31" spans="1:16" x14ac:dyDescent="0.25">
      <c r="A31" s="10" t="str">
        <f>$A$15</f>
        <v>As percentage of nominal GDP</v>
      </c>
      <c r="B31" s="72">
        <f t="shared" ref="B31:N31" si="7">B$30/B$10</f>
        <v>-3.5469438012090009E-2</v>
      </c>
      <c r="C31" s="72">
        <f t="shared" si="7"/>
        <v>-4.4964046230434061E-2</v>
      </c>
      <c r="D31" s="72">
        <f t="shared" si="7"/>
        <v>-5.4234027426032887E-2</v>
      </c>
      <c r="E31" s="72">
        <f t="shared" si="7"/>
        <v>1.6926495211763686E-3</v>
      </c>
      <c r="F31" s="72">
        <f t="shared" si="7"/>
        <v>1.2318024391375696E-3</v>
      </c>
      <c r="G31" s="72">
        <f t="shared" si="7"/>
        <v>1.57765015943255E-2</v>
      </c>
      <c r="H31" s="72">
        <f t="shared" si="7"/>
        <v>-3.5222010667016832E-3</v>
      </c>
      <c r="I31" s="72">
        <f t="shared" si="7"/>
        <v>4.3729791645521904E-2</v>
      </c>
      <c r="J31" s="72">
        <f t="shared" si="7"/>
        <v>3.1921762440968567E-2</v>
      </c>
      <c r="K31" s="72">
        <f t="shared" si="7"/>
        <v>3.1261271706085433E-2</v>
      </c>
      <c r="L31" s="72">
        <f t="shared" si="7"/>
        <v>-6.5746101608470206E-2</v>
      </c>
      <c r="M31" s="72">
        <f t="shared" si="7"/>
        <v>1.3698590244996258E-2</v>
      </c>
      <c r="N31" s="72">
        <f t="shared" si="7"/>
        <v>-5.3407562152052411E-2</v>
      </c>
      <c r="O31" s="72">
        <f>O$30/O$10</f>
        <v>2.0652625969064638E-2</v>
      </c>
      <c r="P31" s="72">
        <f>P$30/P$10</f>
        <v>5.0068707770872653E-3</v>
      </c>
    </row>
    <row r="32" spans="1:16" x14ac:dyDescent="0.25">
      <c r="A32" s="9" t="s">
        <v>833</v>
      </c>
      <c r="B32" s="47">
        <v>73.733000000000004</v>
      </c>
      <c r="C32" s="47">
        <v>80.647000000000006</v>
      </c>
      <c r="D32" s="47">
        <v>82.748999999999995</v>
      </c>
      <c r="E32" s="47">
        <v>85.677999999999997</v>
      </c>
      <c r="F32" s="47">
        <v>88.536000000000001</v>
      </c>
      <c r="G32" s="47">
        <v>93.805000000000007</v>
      </c>
      <c r="H32" s="47">
        <v>97.415999999999997</v>
      </c>
      <c r="I32" s="47">
        <v>103.422</v>
      </c>
      <c r="J32" s="47">
        <v>109.973</v>
      </c>
      <c r="K32" s="47">
        <v>119.142</v>
      </c>
      <c r="L32" s="47">
        <v>116.003</v>
      </c>
      <c r="M32" s="47">
        <v>129.33500000000001</v>
      </c>
      <c r="N32" s="47">
        <v>141.62700000000001</v>
      </c>
      <c r="O32" s="47">
        <v>153.011</v>
      </c>
      <c r="P32" s="47">
        <v>167.34700000000001</v>
      </c>
    </row>
    <row r="33" spans="1:16" x14ac:dyDescent="0.25">
      <c r="A33" s="10" t="str">
        <f>$A$15</f>
        <v>As percentage of nominal GDP</v>
      </c>
      <c r="B33" s="72">
        <f>B$32/B$10</f>
        <v>0.3736097247064904</v>
      </c>
      <c r="C33" s="72">
        <f t="shared" ref="C33:P33" si="8">C$32/C$10</f>
        <v>0.39130413686692739</v>
      </c>
      <c r="D33" s="72">
        <f t="shared" si="8"/>
        <v>0.3845267359675088</v>
      </c>
      <c r="E33" s="72">
        <f t="shared" si="8"/>
        <v>0.39089710424622348</v>
      </c>
      <c r="F33" s="72">
        <f t="shared" si="8"/>
        <v>0.37348924914891735</v>
      </c>
      <c r="G33" s="72">
        <f t="shared" si="8"/>
        <v>0.38151965250211495</v>
      </c>
      <c r="H33" s="72">
        <f t="shared" si="8"/>
        <v>0.37622668762479294</v>
      </c>
      <c r="I33" s="72">
        <f t="shared" si="8"/>
        <v>0.37488581826617756</v>
      </c>
      <c r="J33" s="72">
        <f t="shared" si="8"/>
        <v>0.37176024366415722</v>
      </c>
      <c r="K33" s="72">
        <f t="shared" si="8"/>
        <v>0.38369531612304836</v>
      </c>
      <c r="L33" s="72">
        <f t="shared" si="8"/>
        <v>0.36521309318045159</v>
      </c>
      <c r="M33" s="72">
        <f t="shared" si="8"/>
        <v>0.37663842885556786</v>
      </c>
      <c r="N33" s="72">
        <f t="shared" si="8"/>
        <v>0.38725951284603355</v>
      </c>
      <c r="O33" s="72">
        <f t="shared" si="8"/>
        <v>0.38105377452701672</v>
      </c>
      <c r="P33" s="72">
        <f t="shared" si="8"/>
        <v>0.39785603225699084</v>
      </c>
    </row>
    <row r="34" spans="1:16" x14ac:dyDescent="0.25">
      <c r="A34" s="9" t="s">
        <v>834</v>
      </c>
      <c r="B34" s="47">
        <v>80.048000000000002</v>
      </c>
      <c r="C34" s="47">
        <v>99.043000000000006</v>
      </c>
      <c r="D34" s="47">
        <v>91.989000000000004</v>
      </c>
      <c r="E34" s="47">
        <v>90.03</v>
      </c>
      <c r="F34" s="47">
        <v>91.179000000000002</v>
      </c>
      <c r="G34" s="47">
        <v>93.063999999999993</v>
      </c>
      <c r="H34" s="47">
        <v>95.137</v>
      </c>
      <c r="I34" s="47">
        <v>99.007000000000005</v>
      </c>
      <c r="J34" s="47">
        <v>104.014</v>
      </c>
      <c r="K34" s="47">
        <v>111.376</v>
      </c>
      <c r="L34" s="47">
        <v>138.916</v>
      </c>
      <c r="M34" s="47">
        <v>133.72200000000001</v>
      </c>
      <c r="N34" s="47">
        <v>150.95599999999999</v>
      </c>
      <c r="O34" s="47">
        <v>161.822</v>
      </c>
      <c r="P34" s="47">
        <v>180.06100000000001</v>
      </c>
    </row>
    <row r="35" spans="1:16" x14ac:dyDescent="0.25">
      <c r="A35" s="10" t="str">
        <f>$A$15</f>
        <v>As percentage of nominal GDP</v>
      </c>
      <c r="B35" s="72">
        <f t="shared" ref="B35:N35" si="9">B$34/B$10</f>
        <v>0.40560822485596876</v>
      </c>
      <c r="C35" s="72">
        <f t="shared" si="9"/>
        <v>0.48056264495531253</v>
      </c>
      <c r="D35" s="72">
        <f t="shared" si="9"/>
        <v>0.42746413751121065</v>
      </c>
      <c r="E35" s="72">
        <f t="shared" si="9"/>
        <v>0.41075265873721961</v>
      </c>
      <c r="F35" s="72">
        <f t="shared" si="9"/>
        <v>0.38463874862371389</v>
      </c>
      <c r="G35" s="72">
        <f t="shared" si="9"/>
        <v>0.3785058892431834</v>
      </c>
      <c r="H35" s="72">
        <f t="shared" si="9"/>
        <v>0.36742504702061185</v>
      </c>
      <c r="I35" s="72">
        <f t="shared" si="9"/>
        <v>0.35888225144630204</v>
      </c>
      <c r="J35" s="72">
        <f t="shared" si="9"/>
        <v>0.35161603288519588</v>
      </c>
      <c r="K35" s="72">
        <f t="shared" si="9"/>
        <v>0.35868501056319885</v>
      </c>
      <c r="L35" s="72">
        <f t="shared" si="9"/>
        <v>0.43735025863344573</v>
      </c>
      <c r="M35" s="72">
        <f t="shared" si="9"/>
        <v>0.38941387855896892</v>
      </c>
      <c r="N35" s="72">
        <f t="shared" si="9"/>
        <v>0.41276837764822971</v>
      </c>
      <c r="O35" s="72">
        <f>O$34/O$10</f>
        <v>0.40299641137899173</v>
      </c>
      <c r="P35" s="72">
        <f>P$34/P$10</f>
        <v>0.42808269657792508</v>
      </c>
    </row>
    <row r="36" spans="1:16" x14ac:dyDescent="0.25">
      <c r="A36" s="9" t="s">
        <v>835</v>
      </c>
      <c r="B36" s="47">
        <v>-4.5090000000000003</v>
      </c>
      <c r="C36" s="47">
        <v>-13.36</v>
      </c>
      <c r="D36" s="47">
        <v>-14.897</v>
      </c>
      <c r="E36" s="47">
        <v>6.9249999999999998</v>
      </c>
      <c r="F36" s="47">
        <v>2.9390000000000001</v>
      </c>
      <c r="G36" s="47">
        <v>5.7709999999999999</v>
      </c>
      <c r="H36" s="47">
        <v>-5.3689999999999998</v>
      </c>
      <c r="I36" s="47">
        <v>12.317</v>
      </c>
      <c r="J36" s="47">
        <v>8.3960000000000008</v>
      </c>
      <c r="K36" s="47">
        <v>0.38900000000000001</v>
      </c>
      <c r="L36" s="47">
        <v>-30.04</v>
      </c>
      <c r="M36" s="47">
        <v>16.158999999999999</v>
      </c>
      <c r="N36" s="47">
        <v>-16.931999999999999</v>
      </c>
      <c r="O36" s="47">
        <v>5.3209999999999997</v>
      </c>
      <c r="P36" s="47">
        <v>-8.3650000000000002</v>
      </c>
    </row>
    <row r="37" spans="1:16" x14ac:dyDescent="0.25">
      <c r="A37" s="10" t="str">
        <f>$A$15</f>
        <v>As percentage of nominal GDP</v>
      </c>
      <c r="B37" s="72">
        <f>B$36/B$10</f>
        <v>-2.2847385142359122E-2</v>
      </c>
      <c r="C37" s="72">
        <f t="shared" ref="C37:P37" si="10">C$36/C$10</f>
        <v>-6.4823530553426031E-2</v>
      </c>
      <c r="D37" s="72">
        <f t="shared" si="10"/>
        <v>-6.9224942726896749E-2</v>
      </c>
      <c r="E37" s="72">
        <f t="shared" si="10"/>
        <v>3.1594603596081815E-2</v>
      </c>
      <c r="F37" s="72">
        <f t="shared" si="10"/>
        <v>1.2398175919949716E-2</v>
      </c>
      <c r="G37" s="72">
        <f t="shared" si="10"/>
        <v>2.3471562438992646E-2</v>
      </c>
      <c r="H37" s="72">
        <f t="shared" si="10"/>
        <v>-2.0735413955176904E-2</v>
      </c>
      <c r="I37" s="72">
        <f t="shared" si="10"/>
        <v>4.4646870333048184E-2</v>
      </c>
      <c r="J37" s="72">
        <f t="shared" si="10"/>
        <v>2.8382412099372249E-2</v>
      </c>
      <c r="K37" s="72">
        <f t="shared" si="10"/>
        <v>1.2527696192095635E-3</v>
      </c>
      <c r="L37" s="72">
        <f t="shared" si="10"/>
        <v>-9.4575151669704788E-2</v>
      </c>
      <c r="M37" s="72">
        <f t="shared" si="10"/>
        <v>4.7056870699169757E-2</v>
      </c>
      <c r="N37" s="72">
        <f t="shared" si="10"/>
        <v>-4.6298220477091506E-2</v>
      </c>
      <c r="O37" s="72">
        <f t="shared" si="10"/>
        <v>1.3251250787579036E-2</v>
      </c>
      <c r="P37" s="72">
        <f t="shared" si="10"/>
        <v>-1.9887214648782042E-2</v>
      </c>
    </row>
    <row r="38" spans="1:16" x14ac:dyDescent="0.25">
      <c r="A38" s="9" t="s">
        <v>659</v>
      </c>
      <c r="B38" s="47">
        <v>53.591000000000001</v>
      </c>
      <c r="C38" s="47">
        <v>72.42</v>
      </c>
      <c r="D38" s="47">
        <v>79.635000000000005</v>
      </c>
      <c r="E38" s="47">
        <v>77.983999999999995</v>
      </c>
      <c r="F38" s="47">
        <v>81.956000000000003</v>
      </c>
      <c r="G38" s="47">
        <v>86.125</v>
      </c>
      <c r="H38" s="47">
        <v>86.927999999999997</v>
      </c>
      <c r="I38" s="47">
        <v>87.141000000000005</v>
      </c>
      <c r="J38" s="47">
        <v>88.052999999999997</v>
      </c>
      <c r="K38" s="47">
        <v>84.448999999999998</v>
      </c>
      <c r="L38" s="47">
        <v>102.25700000000001</v>
      </c>
      <c r="M38" s="47">
        <v>100.83499999999999</v>
      </c>
      <c r="N38" s="47">
        <v>118.95</v>
      </c>
      <c r="O38" s="47">
        <v>135.78899999999999</v>
      </c>
      <c r="P38" s="47">
        <v>175.96600000000001</v>
      </c>
    </row>
    <row r="39" spans="1:16" x14ac:dyDescent="0.25">
      <c r="A39" s="10" t="str">
        <f>$A$15</f>
        <v>As percentage of nominal GDP</v>
      </c>
      <c r="B39" s="72">
        <f>B$38/B$10</f>
        <v>0.27154895035798798</v>
      </c>
      <c r="C39" s="72">
        <f t="shared" ref="C39:P39" si="11">C$38/C$10</f>
        <v>0.35138623373346661</v>
      </c>
      <c r="D39" s="72">
        <f t="shared" si="11"/>
        <v>0.37005627401868985</v>
      </c>
      <c r="E39" s="72">
        <f t="shared" si="11"/>
        <v>0.35579401687174644</v>
      </c>
      <c r="F39" s="72">
        <f t="shared" si="11"/>
        <v>0.34573150925328305</v>
      </c>
      <c r="G39" s="72">
        <f t="shared" si="11"/>
        <v>0.35028388755124618</v>
      </c>
      <c r="H39" s="72">
        <f t="shared" si="11"/>
        <v>0.33572137535772356</v>
      </c>
      <c r="I39" s="72">
        <f t="shared" si="11"/>
        <v>0.31587017355623548</v>
      </c>
      <c r="J39" s="72">
        <f t="shared" si="11"/>
        <v>0.29766037786874994</v>
      </c>
      <c r="K39" s="72">
        <f t="shared" si="11"/>
        <v>0.27196694491678258</v>
      </c>
      <c r="L39" s="72">
        <f t="shared" si="11"/>
        <v>0.32193646086181771</v>
      </c>
      <c r="M39" s="72">
        <f t="shared" si="11"/>
        <v>0.29364314357019511</v>
      </c>
      <c r="N39" s="72">
        <f t="shared" si="11"/>
        <v>0.32525238162946113</v>
      </c>
      <c r="O39" s="72">
        <f t="shared" si="11"/>
        <v>0.33816464822299752</v>
      </c>
      <c r="P39" s="72">
        <f t="shared" si="11"/>
        <v>0.41834711451136652</v>
      </c>
    </row>
    <row r="40" spans="1:16" x14ac:dyDescent="0.25">
      <c r="A40" s="9" t="s">
        <v>836</v>
      </c>
      <c r="B40" s="47">
        <v>50.744</v>
      </c>
      <c r="C40" s="47">
        <v>51.557000000000002</v>
      </c>
      <c r="D40" s="47">
        <v>55.081000000000003</v>
      </c>
      <c r="E40" s="47">
        <v>58.651000000000003</v>
      </c>
      <c r="F40" s="47">
        <v>61.563000000000002</v>
      </c>
      <c r="G40" s="47">
        <v>66.635999999999996</v>
      </c>
      <c r="H40" s="47">
        <v>70.444999999999993</v>
      </c>
      <c r="I40" s="47">
        <v>75.644000000000005</v>
      </c>
      <c r="J40" s="47">
        <v>80.224000000000004</v>
      </c>
      <c r="K40" s="47">
        <v>86.468000000000004</v>
      </c>
      <c r="L40" s="47">
        <v>85.102000000000004</v>
      </c>
      <c r="M40" s="47">
        <v>97.983000000000004</v>
      </c>
      <c r="N40" s="47">
        <v>108.458</v>
      </c>
      <c r="O40" s="47">
        <v>112.358</v>
      </c>
      <c r="P40" s="47">
        <v>120.566</v>
      </c>
    </row>
    <row r="41" spans="1:16" x14ac:dyDescent="0.25">
      <c r="A41" s="10" t="str">
        <f>$A$15</f>
        <v>As percentage of nominal GDP</v>
      </c>
      <c r="B41" s="72">
        <f t="shared" ref="B41:N41" si="12">B$40/B$10</f>
        <v>0.25712302321221364</v>
      </c>
      <c r="C41" s="72">
        <f t="shared" si="12"/>
        <v>0.25015769197178039</v>
      </c>
      <c r="D41" s="72">
        <f t="shared" si="12"/>
        <v>0.25595617039270996</v>
      </c>
      <c r="E41" s="72">
        <f t="shared" si="12"/>
        <v>0.26758918346769595</v>
      </c>
      <c r="F41" s="72">
        <f t="shared" si="12"/>
        <v>0.25970360808433629</v>
      </c>
      <c r="G41" s="72">
        <f t="shared" si="12"/>
        <v>0.27101906683152205</v>
      </c>
      <c r="H41" s="72">
        <f t="shared" si="12"/>
        <v>0.27206299796469302</v>
      </c>
      <c r="I41" s="72">
        <f t="shared" si="12"/>
        <v>0.27419565311951749</v>
      </c>
      <c r="J41" s="72">
        <f t="shared" si="12"/>
        <v>0.27119469131253443</v>
      </c>
      <c r="K41" s="72">
        <f t="shared" si="12"/>
        <v>0.27846910908435102</v>
      </c>
      <c r="L41" s="72">
        <f t="shared" si="12"/>
        <v>0.26792724891462111</v>
      </c>
      <c r="M41" s="72">
        <f t="shared" si="12"/>
        <v>0.28533779081111149</v>
      </c>
      <c r="N41" s="72">
        <f t="shared" si="12"/>
        <v>0.2965634536088112</v>
      </c>
      <c r="O41" s="72">
        <f>O$40/O$10</f>
        <v>0.279812823903553</v>
      </c>
      <c r="P41" s="72">
        <f>P$40/P$10</f>
        <v>0.28663740840945079</v>
      </c>
    </row>
    <row r="42" spans="1:16" x14ac:dyDescent="0.25">
      <c r="A42" s="9" t="s">
        <v>837</v>
      </c>
      <c r="B42" s="47">
        <v>50.347000000000001</v>
      </c>
      <c r="C42" s="47">
        <v>51.128</v>
      </c>
      <c r="D42" s="47">
        <v>54.664999999999999</v>
      </c>
      <c r="E42" s="47">
        <v>58.134</v>
      </c>
      <c r="F42" s="47">
        <v>60.968000000000004</v>
      </c>
      <c r="G42" s="47">
        <v>66.055000000000007</v>
      </c>
      <c r="H42" s="47">
        <v>69.668000000000006</v>
      </c>
      <c r="I42" s="47">
        <v>74.972999999999999</v>
      </c>
      <c r="J42" s="47">
        <v>79.596000000000004</v>
      </c>
      <c r="K42" s="47">
        <v>85.722999999999999</v>
      </c>
      <c r="L42" s="47">
        <v>84.521000000000001</v>
      </c>
      <c r="M42" s="47">
        <v>97.361999999999995</v>
      </c>
      <c r="N42" s="47">
        <v>107.873</v>
      </c>
      <c r="O42" s="47">
        <v>111.712</v>
      </c>
      <c r="P42" s="47">
        <v>119.9</v>
      </c>
    </row>
    <row r="43" spans="1:16" x14ac:dyDescent="0.25">
      <c r="A43" s="10" t="str">
        <f>$A$15</f>
        <v>As percentage of nominal GDP</v>
      </c>
      <c r="B43" s="72">
        <f>B$42/B$10</f>
        <v>0.25511139937067084</v>
      </c>
      <c r="C43" s="72">
        <f t="shared" ref="C43:P43" si="13">C$42/C$10</f>
        <v>0.24807615794427892</v>
      </c>
      <c r="D43" s="72">
        <f t="shared" si="13"/>
        <v>0.25402305794225755</v>
      </c>
      <c r="E43" s="72">
        <f t="shared" si="13"/>
        <v>0.2652304238923639</v>
      </c>
      <c r="F43" s="72">
        <f t="shared" si="13"/>
        <v>0.25719359968951833</v>
      </c>
      <c r="G43" s="72">
        <f t="shared" si="13"/>
        <v>0.26865604867573373</v>
      </c>
      <c r="H43" s="72">
        <f t="shared" si="13"/>
        <v>0.26906217534536497</v>
      </c>
      <c r="I43" s="72">
        <f t="shared" si="13"/>
        <v>0.27176340094825213</v>
      </c>
      <c r="J43" s="72">
        <f t="shared" si="13"/>
        <v>0.26907175720124266</v>
      </c>
      <c r="K43" s="72">
        <f t="shared" si="13"/>
        <v>0.27606984593188022</v>
      </c>
      <c r="L43" s="72">
        <f t="shared" si="13"/>
        <v>0.26609808236601595</v>
      </c>
      <c r="M43" s="72">
        <f t="shared" si="13"/>
        <v>0.28352936722647232</v>
      </c>
      <c r="N43" s="72">
        <f t="shared" si="13"/>
        <v>0.294963851731945</v>
      </c>
      <c r="O43" s="72">
        <f t="shared" si="13"/>
        <v>0.27820404585266478</v>
      </c>
      <c r="P43" s="72">
        <f t="shared" si="13"/>
        <v>0.28505403901840609</v>
      </c>
    </row>
    <row r="44" spans="1:16" x14ac:dyDescent="0.25">
      <c r="A44" s="9" t="s">
        <v>838</v>
      </c>
      <c r="B44" s="47">
        <v>94.988</v>
      </c>
      <c r="C44" s="47">
        <v>80.887</v>
      </c>
      <c r="D44" s="47">
        <v>59.78</v>
      </c>
      <c r="E44" s="47">
        <v>70.010999999999996</v>
      </c>
      <c r="F44" s="47">
        <v>80.697000000000003</v>
      </c>
      <c r="G44" s="47">
        <v>92.236000000000004</v>
      </c>
      <c r="H44" s="47">
        <v>95.521000000000001</v>
      </c>
      <c r="I44" s="47">
        <v>116.47199999999999</v>
      </c>
      <c r="J44" s="47">
        <v>135.637</v>
      </c>
      <c r="K44" s="47">
        <v>143.339</v>
      </c>
      <c r="L44" s="47">
        <v>115.943</v>
      </c>
      <c r="M44" s="47">
        <v>157.19300000000001</v>
      </c>
      <c r="N44" s="47">
        <v>174.31899999999999</v>
      </c>
      <c r="O44" s="47">
        <v>191.47200000000001</v>
      </c>
      <c r="P44" s="47">
        <v>191.04900000000001</v>
      </c>
    </row>
    <row r="45" spans="1:16" x14ac:dyDescent="0.25">
      <c r="A45" s="10" t="str">
        <f>$A$15</f>
        <v>As percentage of nominal GDP</v>
      </c>
      <c r="B45" s="72">
        <f t="shared" ref="B45:N45" si="14">B$44/B$10</f>
        <v>0.48131013969891512</v>
      </c>
      <c r="C45" s="72">
        <f t="shared" si="14"/>
        <v>0.39246863142776733</v>
      </c>
      <c r="D45" s="72">
        <f t="shared" si="14"/>
        <v>0.27779197665394961</v>
      </c>
      <c r="E45" s="72">
        <f t="shared" si="14"/>
        <v>0.31941802055816371</v>
      </c>
      <c r="F45" s="72">
        <f t="shared" si="14"/>
        <v>0.34042041585987826</v>
      </c>
      <c r="G45" s="72">
        <f t="shared" si="14"/>
        <v>0.3751382833344179</v>
      </c>
      <c r="H45" s="72">
        <f t="shared" si="14"/>
        <v>0.36890807904869677</v>
      </c>
      <c r="I45" s="72">
        <f t="shared" si="14"/>
        <v>0.42218967942118923</v>
      </c>
      <c r="J45" s="72">
        <f t="shared" si="14"/>
        <v>0.45851658288739322</v>
      </c>
      <c r="K45" s="72">
        <f t="shared" si="14"/>
        <v>0.46162145102282681</v>
      </c>
      <c r="L45" s="72">
        <f t="shared" si="14"/>
        <v>0.36502419474169717</v>
      </c>
      <c r="M45" s="72">
        <f t="shared" si="14"/>
        <v>0.45776413613556488</v>
      </c>
      <c r="N45" s="72">
        <f t="shared" si="14"/>
        <v>0.47665128132211876</v>
      </c>
      <c r="O45" s="72">
        <f>O$44/O$10</f>
        <v>0.47683583739885987</v>
      </c>
      <c r="P45" s="72">
        <f>P$44/P$10</f>
        <v>0.45420591409864441</v>
      </c>
    </row>
    <row r="46" spans="1:16" x14ac:dyDescent="0.25">
      <c r="A46" s="9" t="s">
        <v>839</v>
      </c>
      <c r="B46" s="47">
        <v>94.585999999999999</v>
      </c>
      <c r="C46" s="47">
        <v>80.578999999999994</v>
      </c>
      <c r="D46" s="47">
        <v>59.347999999999999</v>
      </c>
      <c r="E46" s="47">
        <v>68.070999999999998</v>
      </c>
      <c r="F46" s="47">
        <v>75.486000000000004</v>
      </c>
      <c r="G46" s="47">
        <v>86.454000000000008</v>
      </c>
      <c r="H46" s="47">
        <v>89.366</v>
      </c>
      <c r="I46" s="47">
        <v>110.532</v>
      </c>
      <c r="J46" s="47">
        <v>129.64400000000001</v>
      </c>
      <c r="K46" s="47">
        <v>136.94900000000001</v>
      </c>
      <c r="L46" s="47">
        <v>110.32</v>
      </c>
      <c r="M46" s="47">
        <v>151.46899999999999</v>
      </c>
      <c r="N46" s="47">
        <v>167.036</v>
      </c>
      <c r="O46" s="47">
        <v>183.51400000000001</v>
      </c>
      <c r="P46" s="47">
        <v>181.81800000000001</v>
      </c>
    </row>
    <row r="47" spans="1:16" x14ac:dyDescent="0.25">
      <c r="A47" s="10" t="str">
        <f>$A$15</f>
        <v>As percentage of nominal GDP</v>
      </c>
      <c r="B47" s="72">
        <f>B$46/B$10</f>
        <v>0.47927318054450652</v>
      </c>
      <c r="C47" s="72">
        <f t="shared" ref="C47:P47" si="15">C$46/C$10</f>
        <v>0.39097419674135597</v>
      </c>
      <c r="D47" s="72">
        <f t="shared" si="15"/>
        <v>0.2757845137246337</v>
      </c>
      <c r="E47" s="72">
        <f t="shared" si="15"/>
        <v>0.31056696915362964</v>
      </c>
      <c r="F47" s="72">
        <f t="shared" si="15"/>
        <v>0.31843780452307735</v>
      </c>
      <c r="G47" s="72">
        <f t="shared" si="15"/>
        <v>0.35162198216958418</v>
      </c>
      <c r="H47" s="72">
        <f t="shared" si="15"/>
        <v>0.34513708391103354</v>
      </c>
      <c r="I47" s="72">
        <f t="shared" si="15"/>
        <v>0.40065826675752875</v>
      </c>
      <c r="J47" s="72">
        <f t="shared" si="15"/>
        <v>0.43825743618520913</v>
      </c>
      <c r="K47" s="72">
        <f t="shared" si="15"/>
        <v>0.44104253619827899</v>
      </c>
      <c r="L47" s="72">
        <f t="shared" si="15"/>
        <v>0.34732126272309694</v>
      </c>
      <c r="M47" s="72">
        <f t="shared" si="15"/>
        <v>0.44109518831193417</v>
      </c>
      <c r="N47" s="72">
        <f t="shared" si="15"/>
        <v>0.45673692154568024</v>
      </c>
      <c r="O47" s="72">
        <f t="shared" si="15"/>
        <v>0.45701748487723726</v>
      </c>
      <c r="P47" s="72">
        <f t="shared" si="15"/>
        <v>0.43225984375520066</v>
      </c>
    </row>
    <row r="48" spans="1:16" x14ac:dyDescent="0.25">
      <c r="A48" s="9" t="s">
        <v>676</v>
      </c>
      <c r="B48" s="47">
        <v>44.668999999999997</v>
      </c>
      <c r="C48" s="47">
        <v>34.930999999999997</v>
      </c>
      <c r="D48" s="47">
        <v>23.370999999999999</v>
      </c>
      <c r="E48" s="47">
        <v>25.613</v>
      </c>
      <c r="F48" s="47">
        <v>28.675999999999998</v>
      </c>
      <c r="G48" s="47">
        <v>33.402000000000001</v>
      </c>
      <c r="H48" s="47">
        <v>36.619</v>
      </c>
      <c r="I48" s="47">
        <v>51.747999999999998</v>
      </c>
      <c r="J48" s="47">
        <v>62.521000000000001</v>
      </c>
      <c r="K48" s="47">
        <v>68.543999999999997</v>
      </c>
      <c r="L48" s="47">
        <v>47.116</v>
      </c>
      <c r="M48" s="47">
        <v>60.537999999999997</v>
      </c>
      <c r="N48" s="47">
        <v>45.283999999999999</v>
      </c>
      <c r="O48" s="47">
        <v>59.341000000000001</v>
      </c>
      <c r="P48" s="47">
        <v>65.040000000000006</v>
      </c>
    </row>
    <row r="49" spans="1:16" x14ac:dyDescent="0.25">
      <c r="A49" s="10" t="str">
        <f>$A$15</f>
        <v>As percentage of nominal GDP</v>
      </c>
      <c r="B49" s="72">
        <f t="shared" ref="B49:N49" si="16">B$48/B$10</f>
        <v>0.22634061808029265</v>
      </c>
      <c r="C49" s="72">
        <f t="shared" si="16"/>
        <v>0.16948733126959017</v>
      </c>
      <c r="D49" s="72">
        <f t="shared" si="16"/>
        <v>0.10860281509500597</v>
      </c>
      <c r="E49" s="72">
        <f t="shared" si="16"/>
        <v>0.11685669052800628</v>
      </c>
      <c r="F49" s="72">
        <f t="shared" si="16"/>
        <v>0.12096974912571556</v>
      </c>
      <c r="G49" s="72">
        <f t="shared" si="16"/>
        <v>0.13585117459491117</v>
      </c>
      <c r="H49" s="72">
        <f t="shared" si="16"/>
        <v>0.14142486936573348</v>
      </c>
      <c r="I49" s="72">
        <f t="shared" si="16"/>
        <v>0.18757702736011833</v>
      </c>
      <c r="J49" s="72">
        <f t="shared" si="16"/>
        <v>0.21135026046508484</v>
      </c>
      <c r="K49" s="72">
        <f t="shared" si="16"/>
        <v>0.22074509197712164</v>
      </c>
      <c r="L49" s="72">
        <f t="shared" si="16"/>
        <v>0.14833564733920809</v>
      </c>
      <c r="M49" s="72">
        <f t="shared" si="16"/>
        <v>0.17629363440722437</v>
      </c>
      <c r="N49" s="72">
        <f t="shared" si="16"/>
        <v>0.12382285708035742</v>
      </c>
      <c r="O49" s="72">
        <f>O$48/O$10</f>
        <v>0.14778095714822923</v>
      </c>
      <c r="P49" s="72">
        <f>P$48/P$10</f>
        <v>0.15462814593625632</v>
      </c>
    </row>
    <row r="50" spans="1:16" x14ac:dyDescent="0.25">
      <c r="A50" s="9" t="s">
        <v>840</v>
      </c>
      <c r="B50" s="47">
        <v>69.733000000000004</v>
      </c>
      <c r="C50" s="47">
        <v>90.245000000000005</v>
      </c>
      <c r="D50" s="47">
        <v>100.53400000000001</v>
      </c>
      <c r="E50" s="47">
        <v>100.087</v>
      </c>
      <c r="F50" s="47">
        <v>103.419</v>
      </c>
      <c r="G50" s="47">
        <v>112.58</v>
      </c>
      <c r="H50" s="47">
        <v>113.956</v>
      </c>
      <c r="I50" s="47">
        <v>111.806</v>
      </c>
      <c r="J50" s="47">
        <v>115.652</v>
      </c>
      <c r="K50" s="47">
        <v>110.248</v>
      </c>
      <c r="L50" s="47">
        <v>152.71700000000001</v>
      </c>
      <c r="M50" s="47">
        <v>162.56</v>
      </c>
      <c r="N50" s="47">
        <v>203.965</v>
      </c>
      <c r="O50" s="47">
        <v>226.755</v>
      </c>
      <c r="P50" s="47">
        <v>250.94300000000001</v>
      </c>
    </row>
    <row r="51" spans="1:16" x14ac:dyDescent="0.25">
      <c r="A51" s="10" t="str">
        <f>$A$15</f>
        <v>As percentage of nominal GDP</v>
      </c>
      <c r="B51" s="72">
        <f>B$50/B$10</f>
        <v>0.35334147441386754</v>
      </c>
      <c r="C51" s="72">
        <f t="shared" ref="C51:P51" si="17">C$50/C$10</f>
        <v>0.43787421517918662</v>
      </c>
      <c r="D51" s="72">
        <f t="shared" si="17"/>
        <v>0.46717194012927693</v>
      </c>
      <c r="E51" s="72">
        <f t="shared" si="17"/>
        <v>0.45663669171422971</v>
      </c>
      <c r="F51" s="72">
        <f t="shared" si="17"/>
        <v>0.43627320703139832</v>
      </c>
      <c r="G51" s="72">
        <f t="shared" si="17"/>
        <v>0.45788052319906292</v>
      </c>
      <c r="H51" s="72">
        <f t="shared" si="17"/>
        <v>0.44010520258449232</v>
      </c>
      <c r="I51" s="72">
        <f t="shared" si="17"/>
        <v>0.40527628354768086</v>
      </c>
      <c r="J51" s="72">
        <f t="shared" si="17"/>
        <v>0.39095792331069545</v>
      </c>
      <c r="K51" s="72">
        <f t="shared" si="17"/>
        <v>0.35505230071623645</v>
      </c>
      <c r="L51" s="72">
        <f t="shared" si="17"/>
        <v>0.48080004785427122</v>
      </c>
      <c r="M51" s="72">
        <f t="shared" si="17"/>
        <v>0.47339345880667344</v>
      </c>
      <c r="N51" s="72">
        <f t="shared" si="17"/>
        <v>0.55771418258976913</v>
      </c>
      <c r="O51" s="72">
        <f t="shared" si="17"/>
        <v>0.56470350917825307</v>
      </c>
      <c r="P51" s="72">
        <f t="shared" si="17"/>
        <v>0.59659979744283465</v>
      </c>
    </row>
    <row r="52" spans="1:16" x14ac:dyDescent="0.25">
      <c r="A52" s="11"/>
    </row>
    <row r="53" spans="1:16" ht="16.5" x14ac:dyDescent="0.25">
      <c r="A53" s="41" t="s">
        <v>1224</v>
      </c>
      <c r="B53" s="11"/>
      <c r="C53" s="11"/>
      <c r="D53" s="11"/>
      <c r="E53" s="11"/>
      <c r="F53" s="11"/>
      <c r="G53" s="11"/>
      <c r="H53" s="11"/>
      <c r="I53" s="11"/>
      <c r="J53" s="11"/>
      <c r="K53" s="11"/>
      <c r="L53" s="11"/>
      <c r="M53" s="11"/>
      <c r="N53" s="11"/>
      <c r="O53" s="11"/>
      <c r="P53" s="11"/>
    </row>
    <row r="54" spans="1:16" x14ac:dyDescent="0.25">
      <c r="A54" s="11" t="s">
        <v>555</v>
      </c>
      <c r="B54" s="16">
        <v>20.814</v>
      </c>
      <c r="C54" s="16">
        <v>21.724</v>
      </c>
      <c r="D54" s="16">
        <v>21.956</v>
      </c>
      <c r="E54" s="16">
        <v>22.459</v>
      </c>
      <c r="F54" s="16">
        <v>23.026</v>
      </c>
      <c r="G54" s="16">
        <v>23.523</v>
      </c>
      <c r="H54" s="16">
        <v>24.081</v>
      </c>
      <c r="I54" s="16">
        <v>25.294</v>
      </c>
      <c r="J54" s="16">
        <v>25.998999999999999</v>
      </c>
      <c r="K54" s="16">
        <v>28.74</v>
      </c>
      <c r="L54" s="16">
        <v>44.027999999999999</v>
      </c>
      <c r="M54" s="16">
        <v>36.759</v>
      </c>
      <c r="N54" s="16">
        <v>42.86</v>
      </c>
      <c r="O54" s="16">
        <v>41.514000000000003</v>
      </c>
      <c r="P54" s="16">
        <v>44.588999999999999</v>
      </c>
    </row>
    <row r="55" spans="1:16" x14ac:dyDescent="0.25">
      <c r="A55" s="11" t="s">
        <v>556</v>
      </c>
      <c r="B55" s="16">
        <v>13.128</v>
      </c>
      <c r="C55" s="16">
        <v>13.753</v>
      </c>
      <c r="D55" s="16">
        <v>14.16</v>
      </c>
      <c r="E55" s="16">
        <v>14.497999999999999</v>
      </c>
      <c r="F55" s="16">
        <v>14.898</v>
      </c>
      <c r="G55" s="16">
        <v>15.058</v>
      </c>
      <c r="H55" s="16">
        <v>15.625999999999999</v>
      </c>
      <c r="I55" s="16">
        <v>16.222999999999999</v>
      </c>
      <c r="J55" s="16">
        <v>17.158999999999999</v>
      </c>
      <c r="K55" s="16">
        <v>18.268000000000001</v>
      </c>
      <c r="L55" s="16">
        <v>19.890999999999998</v>
      </c>
      <c r="M55" s="16">
        <v>22.783999999999999</v>
      </c>
      <c r="N55" s="16">
        <v>27.780999999999999</v>
      </c>
      <c r="O55" s="16">
        <v>28.489000000000001</v>
      </c>
      <c r="P55" s="16">
        <v>29.998999999999999</v>
      </c>
    </row>
    <row r="56" spans="1:16" x14ac:dyDescent="0.25">
      <c r="A56" s="11" t="s">
        <v>557</v>
      </c>
      <c r="B56" s="16">
        <v>11.724</v>
      </c>
      <c r="C56" s="16">
        <v>11.65</v>
      </c>
      <c r="D56" s="16">
        <v>11.654</v>
      </c>
      <c r="E56" s="16">
        <v>12.504</v>
      </c>
      <c r="F56" s="16">
        <v>12.3</v>
      </c>
      <c r="G56" s="16">
        <v>12.879</v>
      </c>
      <c r="H56" s="16">
        <v>13.157999999999999</v>
      </c>
      <c r="I56" s="16">
        <v>13.281000000000001</v>
      </c>
      <c r="J56" s="16">
        <v>13.629</v>
      </c>
      <c r="K56" s="16">
        <v>14.292999999999999</v>
      </c>
      <c r="L56" s="16">
        <v>16.321999999999999</v>
      </c>
      <c r="M56" s="16">
        <v>16.039000000000001</v>
      </c>
      <c r="N56" s="16">
        <v>18.023</v>
      </c>
      <c r="O56" s="16">
        <v>18.402999999999999</v>
      </c>
      <c r="P56" s="16">
        <v>20.222999999999999</v>
      </c>
    </row>
    <row r="57" spans="1:16" x14ac:dyDescent="0.25">
      <c r="A57" s="11" t="s">
        <v>558</v>
      </c>
      <c r="B57" s="16">
        <v>2.9740000000000002</v>
      </c>
      <c r="C57" s="16">
        <v>5.5629999999999997</v>
      </c>
      <c r="D57" s="16">
        <v>5.4279999999999999</v>
      </c>
      <c r="E57" s="16">
        <v>4.2939999999999996</v>
      </c>
      <c r="F57" s="16">
        <v>4.5019999999999998</v>
      </c>
      <c r="G57" s="16">
        <v>4.1340000000000003</v>
      </c>
      <c r="H57" s="16">
        <v>4.1020000000000003</v>
      </c>
      <c r="I57" s="16">
        <v>3.9569999999999999</v>
      </c>
      <c r="J57" s="16">
        <v>4.67</v>
      </c>
      <c r="K57" s="16">
        <v>5.1660000000000004</v>
      </c>
      <c r="L57" s="16">
        <v>6.0830000000000002</v>
      </c>
      <c r="M57" s="16">
        <v>5.7539999999999996</v>
      </c>
      <c r="N57" s="16">
        <v>5.72</v>
      </c>
      <c r="O57" s="16">
        <v>6.806</v>
      </c>
      <c r="P57" s="16">
        <v>8.468</v>
      </c>
    </row>
    <row r="58" spans="1:16" x14ac:dyDescent="0.25">
      <c r="A58" s="11" t="s">
        <v>559</v>
      </c>
      <c r="B58" s="16">
        <v>3.1030000000000002</v>
      </c>
      <c r="C58" s="16">
        <v>3.3119999999999998</v>
      </c>
      <c r="D58" s="16">
        <v>3.3380000000000001</v>
      </c>
      <c r="E58" s="16">
        <v>3.3940000000000001</v>
      </c>
      <c r="F58" s="16">
        <v>3.4630000000000001</v>
      </c>
      <c r="G58" s="16">
        <v>3.5150000000000001</v>
      </c>
      <c r="H58" s="16">
        <v>3.6480000000000001</v>
      </c>
      <c r="I58" s="16">
        <v>3.8820000000000001</v>
      </c>
      <c r="J58" s="16">
        <v>4.1840000000000002</v>
      </c>
      <c r="K58" s="16">
        <v>4.625</v>
      </c>
      <c r="L58" s="16">
        <v>4.9109999999999996</v>
      </c>
      <c r="M58" s="16">
        <v>5.202</v>
      </c>
      <c r="N58" s="16">
        <v>5.444</v>
      </c>
      <c r="O58" s="16">
        <v>6.165</v>
      </c>
      <c r="P58" s="16">
        <v>6.5270000000000001</v>
      </c>
    </row>
    <row r="59" spans="1:16" x14ac:dyDescent="0.25">
      <c r="A59" s="11" t="s">
        <v>560</v>
      </c>
      <c r="B59" s="16">
        <v>2.3450000000000002</v>
      </c>
      <c r="C59" s="16">
        <v>2.2810000000000001</v>
      </c>
      <c r="D59" s="16">
        <v>2.2320000000000002</v>
      </c>
      <c r="E59" s="16">
        <v>2.2549999999999999</v>
      </c>
      <c r="F59" s="16">
        <v>2.2370000000000001</v>
      </c>
      <c r="G59" s="16">
        <v>2.2909999999999999</v>
      </c>
      <c r="H59" s="16">
        <v>2.1779999999999999</v>
      </c>
      <c r="I59" s="16">
        <v>2.1760000000000002</v>
      </c>
      <c r="J59" s="16">
        <v>2.5590000000000002</v>
      </c>
      <c r="K59" s="16">
        <v>2.8889999999999998</v>
      </c>
      <c r="L59" s="16">
        <v>3.1789999999999998</v>
      </c>
      <c r="M59" s="16">
        <v>5.6559999999999997</v>
      </c>
      <c r="N59" s="16">
        <v>4.657</v>
      </c>
      <c r="O59" s="16">
        <v>5.4720000000000004</v>
      </c>
      <c r="P59" s="16">
        <v>5.4870000000000001</v>
      </c>
    </row>
    <row r="60" spans="1:16" x14ac:dyDescent="0.25">
      <c r="A60" s="11" t="s">
        <v>561</v>
      </c>
      <c r="B60" s="16">
        <v>2.806</v>
      </c>
      <c r="C60" s="16">
        <v>2.5419999999999998</v>
      </c>
      <c r="D60" s="16">
        <v>2.073</v>
      </c>
      <c r="E60" s="16">
        <v>1.978</v>
      </c>
      <c r="F60" s="16">
        <v>2.0579999999999998</v>
      </c>
      <c r="G60" s="16">
        <v>2.2280000000000002</v>
      </c>
      <c r="H60" s="16">
        <v>2.1070000000000002</v>
      </c>
      <c r="I60" s="16">
        <v>2.544</v>
      </c>
      <c r="J60" s="16">
        <v>2.7320000000000002</v>
      </c>
      <c r="K60" s="16">
        <v>3.0059999999999998</v>
      </c>
      <c r="L60" s="16">
        <v>3.988</v>
      </c>
      <c r="M60" s="16">
        <v>4.4809999999999999</v>
      </c>
      <c r="N60" s="16">
        <v>8.0779999999999994</v>
      </c>
      <c r="O60" s="16">
        <v>3.69</v>
      </c>
      <c r="P60" s="16">
        <v>4.01</v>
      </c>
    </row>
    <row r="61" spans="1:16" x14ac:dyDescent="0.25">
      <c r="A61" s="11" t="s">
        <v>562</v>
      </c>
      <c r="B61" s="16">
        <v>1.8140000000000001</v>
      </c>
      <c r="C61" s="16">
        <v>1.8089999999999999</v>
      </c>
      <c r="D61" s="16">
        <v>1.736</v>
      </c>
      <c r="E61" s="16">
        <v>1.804</v>
      </c>
      <c r="F61" s="16">
        <v>1.8109999999999999</v>
      </c>
      <c r="G61" s="16">
        <v>1.9610000000000001</v>
      </c>
      <c r="H61" s="16">
        <v>2.0259999999999998</v>
      </c>
      <c r="I61" s="16">
        <v>2.1459999999999999</v>
      </c>
      <c r="J61" s="16">
        <v>2.2509999999999999</v>
      </c>
      <c r="K61" s="16">
        <v>2.395</v>
      </c>
      <c r="L61" s="16">
        <v>2.4990000000000001</v>
      </c>
      <c r="M61" s="16">
        <v>2.6640000000000001</v>
      </c>
      <c r="N61" s="16">
        <v>2.8319999999999999</v>
      </c>
      <c r="O61" s="16">
        <v>2.8860000000000001</v>
      </c>
      <c r="P61" s="16">
        <v>3.1629999999999998</v>
      </c>
    </row>
    <row r="62" spans="1:16" x14ac:dyDescent="0.25">
      <c r="A62" s="11" t="s">
        <v>563</v>
      </c>
      <c r="B62" s="16">
        <v>0.63</v>
      </c>
      <c r="C62" s="16">
        <v>0.74099999999999999</v>
      </c>
      <c r="D62" s="16">
        <v>0.86299999999999999</v>
      </c>
      <c r="E62" s="16">
        <v>0.80400000000000005</v>
      </c>
      <c r="F62" s="16">
        <v>0.84199999999999997</v>
      </c>
      <c r="G62" s="16">
        <v>0.77800000000000002</v>
      </c>
      <c r="H62" s="16">
        <v>0.78700000000000003</v>
      </c>
      <c r="I62" s="16">
        <v>0.85</v>
      </c>
      <c r="J62" s="16">
        <v>0.85</v>
      </c>
      <c r="K62" s="16">
        <v>0.91800000000000004</v>
      </c>
      <c r="L62" s="16">
        <v>1.1060000000000001</v>
      </c>
      <c r="M62" s="16">
        <v>1.42</v>
      </c>
      <c r="N62" s="16">
        <v>1.468</v>
      </c>
      <c r="O62" s="16">
        <v>1.5369999999999999</v>
      </c>
      <c r="P62" s="16">
        <v>1.504</v>
      </c>
    </row>
    <row r="63" spans="1:16" x14ac:dyDescent="0.25">
      <c r="A63" s="11" t="s">
        <v>564</v>
      </c>
      <c r="B63" s="16">
        <v>0.50700000000000001</v>
      </c>
      <c r="C63" s="16">
        <v>0.70599999999999996</v>
      </c>
      <c r="D63" s="16">
        <v>0.64800000000000002</v>
      </c>
      <c r="E63" s="16">
        <v>0.65900000000000003</v>
      </c>
      <c r="F63" s="16">
        <v>0.67600000000000005</v>
      </c>
      <c r="G63" s="16">
        <v>0.66700000000000004</v>
      </c>
      <c r="H63" s="16">
        <v>0.749</v>
      </c>
      <c r="I63" s="16">
        <v>0.64400000000000002</v>
      </c>
      <c r="J63" s="16">
        <v>0.80700000000000005</v>
      </c>
      <c r="K63" s="16">
        <v>0.96</v>
      </c>
      <c r="L63" s="16">
        <v>0.96099999999999997</v>
      </c>
      <c r="M63" s="16">
        <v>1.0149999999999999</v>
      </c>
      <c r="N63" s="16">
        <v>0.94899999999999995</v>
      </c>
      <c r="O63" s="16">
        <v>1.1559999999999999</v>
      </c>
      <c r="P63" s="16">
        <v>1.0620000000000001</v>
      </c>
    </row>
    <row r="64" spans="1:16" x14ac:dyDescent="0.25">
      <c r="A64" s="11" t="s">
        <v>565</v>
      </c>
      <c r="B64" s="16">
        <v>0.33900000000000002</v>
      </c>
      <c r="C64" s="16">
        <v>0.94299999999999995</v>
      </c>
      <c r="D64" s="16">
        <v>-4.5999999999999999E-2</v>
      </c>
      <c r="E64" s="16">
        <v>0.28299999999999997</v>
      </c>
      <c r="F64" s="16">
        <v>0.34699999999999998</v>
      </c>
      <c r="G64" s="16">
        <v>0.32</v>
      </c>
      <c r="H64" s="16">
        <v>0.55800000000000005</v>
      </c>
      <c r="I64" s="16">
        <v>0.53900000000000003</v>
      </c>
      <c r="J64" s="16">
        <v>0.55200000000000005</v>
      </c>
      <c r="K64" s="16">
        <v>0.72699999999999998</v>
      </c>
      <c r="L64" s="16">
        <v>1.0149999999999999</v>
      </c>
      <c r="M64" s="16">
        <v>1.8129999999999999</v>
      </c>
      <c r="N64" s="16">
        <v>2.0329999999999999</v>
      </c>
      <c r="O64" s="16">
        <v>2.3119999999999998</v>
      </c>
      <c r="P64" s="16">
        <v>2.512</v>
      </c>
    </row>
    <row r="65" spans="1:16" x14ac:dyDescent="0.25">
      <c r="A65" s="11" t="s">
        <v>566</v>
      </c>
      <c r="B65" s="16">
        <v>0.65100000000000002</v>
      </c>
      <c r="C65" s="16">
        <v>1.2250000000000001</v>
      </c>
      <c r="D65" s="16">
        <v>0.76900000000000002</v>
      </c>
      <c r="E65" s="16">
        <v>0.53</v>
      </c>
      <c r="F65" s="16">
        <v>0.53300000000000003</v>
      </c>
      <c r="G65" s="16">
        <v>0.72299999999999998</v>
      </c>
      <c r="H65" s="16">
        <v>0.58699999999999997</v>
      </c>
      <c r="I65" s="16">
        <v>0.871</v>
      </c>
      <c r="J65" s="16">
        <v>1.238</v>
      </c>
      <c r="K65" s="16">
        <v>1.119</v>
      </c>
      <c r="L65" s="16">
        <v>1.4850000000000001</v>
      </c>
      <c r="M65" s="16">
        <v>1.9059999999999999</v>
      </c>
      <c r="N65" s="16">
        <v>2.5489999999999999</v>
      </c>
      <c r="O65" s="16">
        <v>2.3809999999999998</v>
      </c>
      <c r="P65" s="16">
        <v>2.2970000000000002</v>
      </c>
    </row>
    <row r="66" spans="1:16" x14ac:dyDescent="0.25">
      <c r="A66" s="11" t="s">
        <v>567</v>
      </c>
      <c r="B66" s="16">
        <v>0.32800000000000001</v>
      </c>
      <c r="C66" s="16">
        <v>0.30499999999999999</v>
      </c>
      <c r="D66" s="16">
        <v>0.192</v>
      </c>
      <c r="E66" s="16">
        <v>0.27800000000000002</v>
      </c>
      <c r="F66" s="16">
        <v>0.28199999999999997</v>
      </c>
      <c r="G66" s="16">
        <v>0.35799999999999998</v>
      </c>
      <c r="H66" s="16">
        <v>0.27100000000000002</v>
      </c>
      <c r="I66" s="16">
        <v>0.217</v>
      </c>
      <c r="J66" s="16">
        <v>0.15</v>
      </c>
      <c r="K66" s="16">
        <v>6.6000000000000003E-2</v>
      </c>
      <c r="L66" s="16">
        <v>7.2999999999999995E-2</v>
      </c>
      <c r="M66" s="16">
        <v>9.9000000000000005E-2</v>
      </c>
      <c r="N66" s="16">
        <v>9.4E-2</v>
      </c>
      <c r="O66" s="16">
        <v>6.0999999999999999E-2</v>
      </c>
      <c r="P66" s="16">
        <v>6.9000000000000006E-2</v>
      </c>
    </row>
    <row r="67" spans="1:16" x14ac:dyDescent="0.25">
      <c r="A67" s="11" t="s">
        <v>568</v>
      </c>
      <c r="B67" s="16">
        <v>0.08</v>
      </c>
      <c r="C67" s="16">
        <v>0.47899999999999998</v>
      </c>
      <c r="D67" s="16">
        <v>0.42499999999999999</v>
      </c>
      <c r="E67" s="16">
        <v>0.60299999999999998</v>
      </c>
      <c r="F67" s="16">
        <v>0.57899999999999996</v>
      </c>
      <c r="G67" s="16">
        <v>0.14499999999999999</v>
      </c>
      <c r="H67" s="16">
        <v>0.46100000000000002</v>
      </c>
      <c r="I67" s="16">
        <v>0.18099999999999999</v>
      </c>
      <c r="J67" s="16">
        <v>0.29899999999999999</v>
      </c>
      <c r="K67" s="16">
        <v>9.6000000000000002E-2</v>
      </c>
      <c r="L67" s="16">
        <v>6.3E-2</v>
      </c>
      <c r="M67" s="16">
        <v>0.254</v>
      </c>
      <c r="N67" s="16">
        <v>0.26900000000000002</v>
      </c>
      <c r="O67" s="16">
        <v>0.13300000000000001</v>
      </c>
      <c r="P67" s="16">
        <v>0.14499999999999999</v>
      </c>
    </row>
    <row r="68" spans="1:16" x14ac:dyDescent="0.25">
      <c r="A68" s="11" t="s">
        <v>569</v>
      </c>
      <c r="B68" s="16">
        <v>2.3109999999999999</v>
      </c>
      <c r="C68" s="16">
        <v>3.0659999999999998</v>
      </c>
      <c r="D68" s="16">
        <v>3.5110000000000001</v>
      </c>
      <c r="E68" s="16">
        <v>3.6190000000000002</v>
      </c>
      <c r="F68" s="16">
        <v>3.62</v>
      </c>
      <c r="G68" s="16">
        <v>3.7829999999999999</v>
      </c>
      <c r="H68" s="16">
        <v>3.59</v>
      </c>
      <c r="I68" s="16">
        <v>3.5339999999999998</v>
      </c>
      <c r="J68" s="16">
        <v>3.4969999999999999</v>
      </c>
      <c r="K68" s="16">
        <v>3.6909999999999998</v>
      </c>
      <c r="L68" s="16">
        <v>3.2280000000000002</v>
      </c>
      <c r="M68" s="16">
        <v>1.9179999999999999</v>
      </c>
      <c r="N68" s="16">
        <v>2.8839999999999999</v>
      </c>
      <c r="O68" s="16">
        <v>6.569</v>
      </c>
      <c r="P68" s="16">
        <v>8.9429999999999996</v>
      </c>
    </row>
    <row r="69" spans="1:16" x14ac:dyDescent="0.25">
      <c r="A69" s="9" t="s">
        <v>1225</v>
      </c>
      <c r="B69" s="104">
        <v>63.554000000000002</v>
      </c>
      <c r="C69" s="104">
        <v>70.099000000000004</v>
      </c>
      <c r="D69" s="104">
        <v>68.938999999999979</v>
      </c>
      <c r="E69" s="104">
        <v>69.962000000000003</v>
      </c>
      <c r="F69" s="104">
        <v>71.174000000000007</v>
      </c>
      <c r="G69" s="104">
        <v>72.363</v>
      </c>
      <c r="H69" s="104">
        <v>73.929000000000016</v>
      </c>
      <c r="I69" s="104">
        <v>76.338999999999984</v>
      </c>
      <c r="J69" s="104">
        <v>80.576000000000022</v>
      </c>
      <c r="K69" s="104">
        <v>86.959000000000003</v>
      </c>
      <c r="L69" s="104">
        <v>108.83199999999998</v>
      </c>
      <c r="M69" s="104">
        <v>107.76400000000002</v>
      </c>
      <c r="N69" s="104">
        <v>125.64099999999999</v>
      </c>
      <c r="O69" s="104">
        <v>127.57400000000001</v>
      </c>
      <c r="P69" s="104">
        <v>138.99799999999999</v>
      </c>
    </row>
    <row r="70" spans="1:16" x14ac:dyDescent="0.25">
      <c r="A70" s="10" t="str">
        <f>$A$15</f>
        <v>As percentage of nominal GDP</v>
      </c>
      <c r="B70" s="72">
        <f>B$69/B$10</f>
        <v>0.32203209477433836</v>
      </c>
      <c r="C70" s="72">
        <f t="shared" ref="C70:P70" si="18">C$69/C$10</f>
        <v>0.34012460091800989</v>
      </c>
      <c r="D70" s="72">
        <f t="shared" si="18"/>
        <v>0.32035297889840464</v>
      </c>
      <c r="E70" s="72">
        <f t="shared" si="18"/>
        <v>0.31919446307423482</v>
      </c>
      <c r="F70" s="72">
        <f t="shared" si="18"/>
        <v>0.3002476260382787</v>
      </c>
      <c r="G70" s="72">
        <f t="shared" si="18"/>
        <v>0.29431167436715039</v>
      </c>
      <c r="H70" s="72">
        <f t="shared" si="18"/>
        <v>0.28551842396950522</v>
      </c>
      <c r="I70" s="72">
        <f t="shared" si="18"/>
        <v>0.27671490089750467</v>
      </c>
      <c r="J70" s="72">
        <f t="shared" si="18"/>
        <v>0.27238461616472354</v>
      </c>
      <c r="K70" s="72">
        <f t="shared" si="18"/>
        <v>0.28005036842376463</v>
      </c>
      <c r="L70" s="72">
        <f t="shared" si="18"/>
        <v>0.34263658144198766</v>
      </c>
      <c r="M70" s="72">
        <f t="shared" si="18"/>
        <v>0.31382119029799688</v>
      </c>
      <c r="N70" s="72">
        <f t="shared" si="18"/>
        <v>0.34354799899375471</v>
      </c>
      <c r="O70" s="72">
        <f t="shared" si="18"/>
        <v>0.31770627099691945</v>
      </c>
      <c r="P70" s="72">
        <f t="shared" si="18"/>
        <v>0.33045822615079568</v>
      </c>
    </row>
  </sheetData>
  <phoneticPr fontId="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B4E26-0628-46C8-BFD2-FE5B5AB69E5C}">
  <dimension ref="A1:AA21"/>
  <sheetViews>
    <sheetView zoomScaleNormal="100" workbookViewId="0">
      <pane xSplit="2" ySplit="5" topLeftCell="L6" activePane="bottomRight" state="frozen"/>
      <selection pane="topRight" activeCell="C1" sqref="C1"/>
      <selection pane="bottomLeft" activeCell="A6" sqref="A6"/>
      <selection pane="bottomRight"/>
    </sheetView>
  </sheetViews>
  <sheetFormatPr defaultRowHeight="15" x14ac:dyDescent="0.25"/>
  <cols>
    <col min="1" max="1" width="85.7109375" customWidth="1"/>
    <col min="2" max="2" width="5.7109375" customWidth="1"/>
    <col min="3" max="27" width="10.7109375" customWidth="1"/>
  </cols>
  <sheetData>
    <row r="1" spans="1:27" x14ac:dyDescent="0.25">
      <c r="A1" s="9" t="s">
        <v>58</v>
      </c>
      <c r="B1" s="9"/>
    </row>
    <row r="2" spans="1:27" x14ac:dyDescent="0.25">
      <c r="A2" s="10" t="s">
        <v>59</v>
      </c>
      <c r="B2" s="10"/>
    </row>
    <row r="3" spans="1:27" x14ac:dyDescent="0.25">
      <c r="A3" s="11"/>
      <c r="B3" s="11"/>
      <c r="W3" s="15" t="s">
        <v>1421</v>
      </c>
    </row>
    <row r="4" spans="1:27" x14ac:dyDescent="0.25">
      <c r="A4" s="9" t="s">
        <v>3</v>
      </c>
      <c r="B4" s="9"/>
      <c r="C4" s="13" t="s">
        <v>82</v>
      </c>
      <c r="D4" s="13" t="s">
        <v>24</v>
      </c>
      <c r="E4" s="13" t="s">
        <v>25</v>
      </c>
      <c r="F4" s="13" t="s">
        <v>26</v>
      </c>
      <c r="G4" s="13" t="s">
        <v>27</v>
      </c>
      <c r="H4" s="13" t="s">
        <v>28</v>
      </c>
      <c r="I4" s="13" t="s">
        <v>29</v>
      </c>
      <c r="J4" s="13" t="s">
        <v>30</v>
      </c>
      <c r="K4" s="13" t="s">
        <v>31</v>
      </c>
      <c r="L4" s="13" t="s">
        <v>32</v>
      </c>
      <c r="M4" s="13" t="s">
        <v>33</v>
      </c>
      <c r="N4" s="13" t="s">
        <v>34</v>
      </c>
      <c r="O4" s="13" t="s">
        <v>35</v>
      </c>
      <c r="P4" s="13" t="s">
        <v>36</v>
      </c>
      <c r="Q4" s="13" t="s">
        <v>37</v>
      </c>
      <c r="R4" s="13" t="s">
        <v>38</v>
      </c>
      <c r="S4" s="13" t="s">
        <v>39</v>
      </c>
      <c r="T4" s="13" t="s">
        <v>40</v>
      </c>
      <c r="U4" s="13" t="s">
        <v>41</v>
      </c>
      <c r="V4" s="13" t="s">
        <v>42</v>
      </c>
      <c r="W4" s="14" t="s">
        <v>43</v>
      </c>
      <c r="X4" s="14" t="s">
        <v>44</v>
      </c>
      <c r="Y4" s="14" t="s">
        <v>45</v>
      </c>
      <c r="Z4" s="14" t="s">
        <v>46</v>
      </c>
      <c r="AA4" s="14" t="s">
        <v>47</v>
      </c>
    </row>
    <row r="5" spans="1:27" x14ac:dyDescent="0.25">
      <c r="A5" s="11"/>
      <c r="B5" s="11"/>
      <c r="C5" s="9">
        <v>2005</v>
      </c>
      <c r="D5" s="9">
        <v>2006</v>
      </c>
      <c r="E5" s="9">
        <v>2007</v>
      </c>
      <c r="F5" s="9">
        <v>2008</v>
      </c>
      <c r="G5" s="9">
        <v>2009</v>
      </c>
      <c r="H5" s="9">
        <v>2010</v>
      </c>
      <c r="I5" s="9">
        <v>2011</v>
      </c>
      <c r="J5" s="9">
        <v>2012</v>
      </c>
      <c r="K5" s="9">
        <v>2013</v>
      </c>
      <c r="L5" s="9">
        <v>2014</v>
      </c>
      <c r="M5" s="9">
        <v>2015</v>
      </c>
      <c r="N5" s="9">
        <v>2016</v>
      </c>
      <c r="O5" s="9">
        <v>2017</v>
      </c>
      <c r="P5" s="9">
        <v>2018</v>
      </c>
      <c r="Q5" s="9">
        <v>2019</v>
      </c>
      <c r="R5" s="9">
        <v>2020</v>
      </c>
      <c r="S5" s="9">
        <v>2021</v>
      </c>
      <c r="T5" s="9">
        <v>2022</v>
      </c>
      <c r="U5" s="9">
        <v>2023</v>
      </c>
      <c r="V5" s="9">
        <v>2024</v>
      </c>
      <c r="W5" s="15">
        <v>2025</v>
      </c>
      <c r="X5" s="15">
        <v>2026</v>
      </c>
      <c r="Y5" s="15">
        <v>2027</v>
      </c>
      <c r="Z5" s="15">
        <v>2028</v>
      </c>
      <c r="AA5" s="15">
        <v>2029</v>
      </c>
    </row>
    <row r="6" spans="1:27" x14ac:dyDescent="0.25">
      <c r="A6" s="9" t="s">
        <v>60</v>
      </c>
      <c r="B6" s="9"/>
      <c r="C6" s="16">
        <v>181.39699999999999</v>
      </c>
      <c r="D6" s="16">
        <v>186.864</v>
      </c>
      <c r="E6" s="16">
        <v>192.75800000000001</v>
      </c>
      <c r="F6" s="16">
        <v>197.018</v>
      </c>
      <c r="G6" s="16">
        <v>193.922</v>
      </c>
      <c r="H6" s="16">
        <v>196.09</v>
      </c>
      <c r="I6" s="16">
        <v>197.91200000000001</v>
      </c>
      <c r="J6" s="16">
        <v>203.14500000000001</v>
      </c>
      <c r="K6" s="16">
        <v>207.68899999999999</v>
      </c>
      <c r="L6" s="16">
        <v>213.39699999999999</v>
      </c>
      <c r="M6" s="16">
        <v>222.11199999999999</v>
      </c>
      <c r="N6" s="16">
        <v>230.43600000000001</v>
      </c>
      <c r="O6" s="16">
        <v>238.66</v>
      </c>
      <c r="P6" s="16">
        <v>246.99100000000001</v>
      </c>
      <c r="Q6" s="16">
        <v>254.887</v>
      </c>
      <c r="R6" s="16">
        <v>252.81299999999999</v>
      </c>
      <c r="S6" s="16">
        <v>268.59800000000001</v>
      </c>
      <c r="T6" s="16">
        <v>270.51100000000002</v>
      </c>
      <c r="U6" s="16">
        <v>281.255</v>
      </c>
      <c r="V6" s="16">
        <v>283.03100000000001</v>
      </c>
      <c r="W6" s="17">
        <v>280.76</v>
      </c>
      <c r="X6" s="17">
        <v>288.976</v>
      </c>
      <c r="Y6" s="17">
        <v>297.50799999999998</v>
      </c>
      <c r="Z6" s="17">
        <v>306.02300000000002</v>
      </c>
      <c r="AA6" s="17">
        <v>313.94099999999997</v>
      </c>
    </row>
    <row r="7" spans="1:27" x14ac:dyDescent="0.25">
      <c r="A7" s="9" t="s">
        <v>61</v>
      </c>
      <c r="B7" s="9"/>
      <c r="C7" s="16">
        <v>156.81</v>
      </c>
      <c r="D7" s="16">
        <v>164.458</v>
      </c>
      <c r="E7" s="16">
        <v>175.363</v>
      </c>
      <c r="F7" s="16">
        <v>188.89500000000001</v>
      </c>
      <c r="G7" s="16">
        <v>189.834</v>
      </c>
      <c r="H7" s="16">
        <v>197.35300000000001</v>
      </c>
      <c r="I7" s="16">
        <v>206.09800000000001</v>
      </c>
      <c r="J7" s="16">
        <v>215.197</v>
      </c>
      <c r="K7" s="16">
        <v>219.18299999999999</v>
      </c>
      <c r="L7" s="16">
        <v>237.05099999999999</v>
      </c>
      <c r="M7" s="16">
        <v>245.87200000000001</v>
      </c>
      <c r="N7" s="16">
        <v>258.92899999999997</v>
      </c>
      <c r="O7" s="16">
        <v>275.87599999999998</v>
      </c>
      <c r="P7" s="16">
        <v>295.81700000000001</v>
      </c>
      <c r="Q7" s="16">
        <v>310.512</v>
      </c>
      <c r="R7" s="16">
        <v>317.63099999999997</v>
      </c>
      <c r="S7" s="16">
        <v>343.39299999999997</v>
      </c>
      <c r="T7" s="16">
        <v>365.71600000000001</v>
      </c>
      <c r="U7" s="16">
        <v>401.54700000000003</v>
      </c>
      <c r="V7" s="16">
        <v>420.62200000000001</v>
      </c>
      <c r="W7" s="17">
        <v>435.14800000000002</v>
      </c>
      <c r="X7" s="17">
        <v>456.464</v>
      </c>
      <c r="Y7" s="17">
        <v>477.77</v>
      </c>
      <c r="Z7" s="17">
        <v>500.86599999999999</v>
      </c>
      <c r="AA7" s="17">
        <v>524.12199999999996</v>
      </c>
    </row>
    <row r="8" spans="1:27" x14ac:dyDescent="0.25">
      <c r="A8" s="9" t="s">
        <v>62</v>
      </c>
      <c r="B8" s="9"/>
      <c r="C8" s="16">
        <v>2.1385000000000001</v>
      </c>
      <c r="D8" s="16">
        <v>2.1983000000000001</v>
      </c>
      <c r="E8" s="16">
        <v>2.2328000000000001</v>
      </c>
      <c r="F8" s="16">
        <v>2.2585000000000002</v>
      </c>
      <c r="G8" s="16">
        <v>2.2808000000000002</v>
      </c>
      <c r="H8" s="16">
        <v>2.2854999999999999</v>
      </c>
      <c r="I8" s="16">
        <v>2.3130000000000002</v>
      </c>
      <c r="J8" s="16">
        <v>2.3353000000000002</v>
      </c>
      <c r="K8" s="16">
        <v>2.3384999999999998</v>
      </c>
      <c r="L8" s="16">
        <v>2.4015</v>
      </c>
      <c r="M8" s="16">
        <v>2.484</v>
      </c>
      <c r="N8" s="16">
        <v>2.5438000000000001</v>
      </c>
      <c r="O8" s="16">
        <v>2.6718000000000002</v>
      </c>
      <c r="P8" s="16">
        <v>2.7538</v>
      </c>
      <c r="Q8" s="16">
        <v>2.7963</v>
      </c>
      <c r="R8" s="16">
        <v>2.8405</v>
      </c>
      <c r="S8" s="16">
        <v>2.875</v>
      </c>
      <c r="T8" s="16">
        <v>2.9104999999999999</v>
      </c>
      <c r="U8" s="16">
        <v>2.9918</v>
      </c>
      <c r="V8" s="16">
        <v>3.0680000000000001</v>
      </c>
      <c r="W8" s="17">
        <v>3.0784000000000002</v>
      </c>
      <c r="X8" s="17">
        <v>3.1261000000000001</v>
      </c>
      <c r="Y8" s="17">
        <v>3.1818</v>
      </c>
      <c r="Z8" s="17">
        <v>3.2342</v>
      </c>
      <c r="AA8" s="17">
        <v>3.2824</v>
      </c>
    </row>
    <row r="9" spans="1:27" x14ac:dyDescent="0.25">
      <c r="A9" s="9" t="s">
        <v>63</v>
      </c>
      <c r="B9" s="9"/>
      <c r="C9" s="16">
        <v>3.1745999999999999</v>
      </c>
      <c r="D9" s="16">
        <v>3.2250999999999999</v>
      </c>
      <c r="E9" s="16">
        <v>3.2725999999999997</v>
      </c>
      <c r="F9" s="16">
        <v>3.3045999999999998</v>
      </c>
      <c r="G9" s="16">
        <v>3.3358000000000003</v>
      </c>
      <c r="H9" s="16">
        <v>3.3767</v>
      </c>
      <c r="I9" s="16">
        <v>3.4116</v>
      </c>
      <c r="J9" s="16">
        <v>3.4369999999999998</v>
      </c>
      <c r="K9" s="16">
        <v>3.4639000000000002</v>
      </c>
      <c r="L9" s="16">
        <v>3.5153000000000003</v>
      </c>
      <c r="M9" s="16">
        <v>3.5958000000000001</v>
      </c>
      <c r="N9" s="16">
        <v>3.6896999999999998</v>
      </c>
      <c r="O9" s="16">
        <v>3.7873999999999999</v>
      </c>
      <c r="P9" s="16">
        <v>3.8691</v>
      </c>
      <c r="Q9" s="16">
        <v>3.9466000000000001</v>
      </c>
      <c r="R9" s="16">
        <v>4.0335999999999999</v>
      </c>
      <c r="S9" s="16">
        <v>4.0891999999999999</v>
      </c>
      <c r="T9" s="16">
        <v>4.1008000000000004</v>
      </c>
      <c r="U9" s="16">
        <v>4.1555</v>
      </c>
      <c r="V9" s="16">
        <v>4.2751000000000001</v>
      </c>
      <c r="W9" s="17">
        <v>4.3324999999999996</v>
      </c>
      <c r="X9" s="17">
        <v>4.3881999999999994</v>
      </c>
      <c r="Y9" s="17">
        <v>4.4468000000000005</v>
      </c>
      <c r="Z9" s="17">
        <v>4.5060000000000002</v>
      </c>
      <c r="AA9" s="17">
        <v>4.5653000000000006</v>
      </c>
    </row>
    <row r="10" spans="1:27" x14ac:dyDescent="0.25">
      <c r="A10" s="9" t="s">
        <v>64</v>
      </c>
      <c r="B10" s="9"/>
      <c r="C10" s="16">
        <v>4.1189</v>
      </c>
      <c r="D10" s="16">
        <v>4.1669</v>
      </c>
      <c r="E10" s="16">
        <v>4.2119999999999997</v>
      </c>
      <c r="F10" s="16">
        <v>4.2488999999999999</v>
      </c>
      <c r="G10" s="16">
        <v>4.2865000000000002</v>
      </c>
      <c r="H10" s="16">
        <v>4.3365</v>
      </c>
      <c r="I10" s="16">
        <v>4.3757999999999999</v>
      </c>
      <c r="J10" s="16">
        <v>4.4015000000000004</v>
      </c>
      <c r="K10" s="16">
        <v>4.4298999999999999</v>
      </c>
      <c r="L10" s="16">
        <v>4.4882</v>
      </c>
      <c r="M10" s="16">
        <v>4.5765000000000002</v>
      </c>
      <c r="N10" s="16">
        <v>4.6772</v>
      </c>
      <c r="O10" s="16">
        <v>4.7797000000000001</v>
      </c>
      <c r="P10" s="16">
        <v>4.8706000000000005</v>
      </c>
      <c r="Q10" s="16">
        <v>4.9516999999999998</v>
      </c>
      <c r="R10" s="16">
        <v>5.0551000000000004</v>
      </c>
      <c r="S10" s="16">
        <v>5.1053999999999995</v>
      </c>
      <c r="T10" s="16">
        <v>5.1158999999999999</v>
      </c>
      <c r="U10" s="16">
        <v>5.1861000000000006</v>
      </c>
      <c r="V10" s="16">
        <v>5.3128000000000002</v>
      </c>
      <c r="W10" s="17">
        <v>5.3654999999999999</v>
      </c>
      <c r="X10" s="17">
        <v>5.4257</v>
      </c>
      <c r="Y10" s="17">
        <v>5.4906999999999995</v>
      </c>
      <c r="Z10" s="17">
        <v>5.5564</v>
      </c>
      <c r="AA10" s="17">
        <v>5.6223999999999998</v>
      </c>
    </row>
    <row r="11" spans="1:27" x14ac:dyDescent="0.25">
      <c r="A11" s="9" t="s">
        <v>65</v>
      </c>
      <c r="B11" s="9"/>
      <c r="C11" s="18">
        <v>3.8300000000000001E-2</v>
      </c>
      <c r="D11" s="18">
        <v>3.8300000000000001E-2</v>
      </c>
      <c r="E11" s="18">
        <v>3.7999999999999999E-2</v>
      </c>
      <c r="F11" s="18">
        <v>3.6499999999999998E-2</v>
      </c>
      <c r="G11" s="18">
        <v>4.8300000000000003E-2</v>
      </c>
      <c r="H11" s="18">
        <v>6.3299999999999995E-2</v>
      </c>
      <c r="I11" s="18">
        <v>6.0999999999999999E-2</v>
      </c>
      <c r="J11" s="18">
        <v>6.2300000000000001E-2</v>
      </c>
      <c r="K11" s="18">
        <v>6.2E-2</v>
      </c>
      <c r="L11" s="18">
        <v>5.5999999999999994E-2</v>
      </c>
      <c r="M11" s="18">
        <v>5.45E-2</v>
      </c>
      <c r="N11" s="18">
        <v>5.28E-2</v>
      </c>
      <c r="O11" s="18">
        <v>5.0300000000000004E-2</v>
      </c>
      <c r="P11" s="18">
        <v>4.5499999999999999E-2</v>
      </c>
      <c r="Q11" s="18">
        <v>4.1299999999999996E-2</v>
      </c>
      <c r="R11" s="18">
        <v>4.1299999999999996E-2</v>
      </c>
      <c r="S11" s="18">
        <v>4.6799999999999994E-2</v>
      </c>
      <c r="T11" s="18">
        <v>3.2500000000000001E-2</v>
      </c>
      <c r="U11" s="18">
        <v>3.4300000000000004E-2</v>
      </c>
      <c r="V11" s="18">
        <v>4.2300000000000004E-2</v>
      </c>
      <c r="W11" s="19">
        <v>5.16E-2</v>
      </c>
      <c r="X11" s="19">
        <v>5.1900000000000002E-2</v>
      </c>
      <c r="Y11" s="19">
        <v>4.8799999999999996E-2</v>
      </c>
      <c r="Z11" s="19">
        <v>4.5599999999999995E-2</v>
      </c>
      <c r="AA11" s="19">
        <v>4.3799999999999999E-2</v>
      </c>
    </row>
    <row r="12" spans="1:27" x14ac:dyDescent="0.25">
      <c r="A12" s="9" t="s">
        <v>66</v>
      </c>
      <c r="B12" s="9"/>
      <c r="C12" s="20">
        <v>34.799999999999997</v>
      </c>
      <c r="D12" s="20">
        <v>34.520000000000003</v>
      </c>
      <c r="E12" s="20">
        <v>34.33</v>
      </c>
      <c r="F12" s="20">
        <v>33.94</v>
      </c>
      <c r="G12" s="20">
        <v>33.58</v>
      </c>
      <c r="H12" s="20">
        <v>33.450000000000003</v>
      </c>
      <c r="I12" s="20">
        <v>33.54</v>
      </c>
      <c r="J12" s="20">
        <v>33.409999999999997</v>
      </c>
      <c r="K12" s="20">
        <v>33.67</v>
      </c>
      <c r="L12" s="20">
        <v>33.68</v>
      </c>
      <c r="M12" s="20">
        <v>33.520000000000003</v>
      </c>
      <c r="N12" s="20">
        <v>33.74</v>
      </c>
      <c r="O12" s="20">
        <v>33.700000000000003</v>
      </c>
      <c r="P12" s="20">
        <v>33.93</v>
      </c>
      <c r="Q12" s="20">
        <v>34.119999999999997</v>
      </c>
      <c r="R12" s="20">
        <v>33.18</v>
      </c>
      <c r="S12" s="20">
        <v>34.119999999999997</v>
      </c>
      <c r="T12" s="20">
        <v>32.94</v>
      </c>
      <c r="U12" s="20">
        <v>33.729999999999997</v>
      </c>
      <c r="V12" s="20">
        <v>33.549999999999997</v>
      </c>
      <c r="W12" s="21">
        <v>33.29</v>
      </c>
      <c r="X12" s="21">
        <v>33.380000000000003</v>
      </c>
      <c r="Y12" s="21">
        <v>33.409999999999997</v>
      </c>
      <c r="Z12" s="21">
        <v>33.44</v>
      </c>
      <c r="AA12" s="21">
        <v>33.44</v>
      </c>
    </row>
    <row r="13" spans="1:27" x14ac:dyDescent="0.25">
      <c r="A13" s="9" t="s">
        <v>67</v>
      </c>
      <c r="B13" s="9"/>
      <c r="C13" s="18">
        <v>7.1000000000000004E-3</v>
      </c>
      <c r="D13" s="18">
        <v>1.0200000000000001E-2</v>
      </c>
      <c r="E13" s="18">
        <v>2.0899999999999998E-2</v>
      </c>
      <c r="F13" s="18">
        <v>2.0299999999999999E-2</v>
      </c>
      <c r="G13" s="18">
        <v>-2.5000000000000001E-3</v>
      </c>
      <c r="H13" s="18">
        <v>2.93E-2</v>
      </c>
      <c r="I13" s="18">
        <v>-7.6E-3</v>
      </c>
      <c r="J13" s="18">
        <v>2.1499999999999998E-2</v>
      </c>
      <c r="K13" s="18">
        <v>1.35E-2</v>
      </c>
      <c r="L13" s="18">
        <v>-6.4000000000000003E-3</v>
      </c>
      <c r="M13" s="18">
        <v>9.7999999999999997E-3</v>
      </c>
      <c r="N13" s="18">
        <v>4.1000000000000003E-3</v>
      </c>
      <c r="O13" s="18">
        <v>-1.55E-2</v>
      </c>
      <c r="P13" s="18">
        <v>-7.6E-3</v>
      </c>
      <c r="Q13" s="18">
        <v>6.7000000000000002E-3</v>
      </c>
      <c r="R13" s="18">
        <v>3.7000000000000002E-3</v>
      </c>
      <c r="S13" s="18">
        <v>2.6800000000000001E-2</v>
      </c>
      <c r="T13" s="18">
        <v>1.54E-2</v>
      </c>
      <c r="U13" s="18">
        <v>-1.0500000000000001E-2</v>
      </c>
      <c r="V13" s="18">
        <v>-5.4000000000000003E-3</v>
      </c>
      <c r="W13" s="19">
        <v>6.3E-3</v>
      </c>
      <c r="X13" s="19">
        <v>1.0999999999999999E-2</v>
      </c>
      <c r="Y13" s="19">
        <v>7.3000000000000001E-3</v>
      </c>
      <c r="Z13" s="19">
        <v>8.0000000000000002E-3</v>
      </c>
      <c r="AA13" s="19">
        <v>8.6999999999999994E-3</v>
      </c>
    </row>
    <row r="14" spans="1:27" x14ac:dyDescent="0.25">
      <c r="A14" s="9" t="s">
        <v>68</v>
      </c>
      <c r="B14" s="9"/>
      <c r="C14" s="22">
        <v>784.4</v>
      </c>
      <c r="D14" s="22">
        <v>815.7</v>
      </c>
      <c r="E14" s="22">
        <v>832</v>
      </c>
      <c r="F14" s="22">
        <v>865.4</v>
      </c>
      <c r="G14" s="22">
        <v>881.7</v>
      </c>
      <c r="H14" s="22">
        <v>896.4</v>
      </c>
      <c r="I14" s="22">
        <v>943.7</v>
      </c>
      <c r="J14" s="22">
        <v>952.7</v>
      </c>
      <c r="K14" s="22">
        <v>959.2</v>
      </c>
      <c r="L14" s="22">
        <v>974.7</v>
      </c>
      <c r="M14" s="22">
        <v>978.8</v>
      </c>
      <c r="N14" s="22">
        <v>982.9</v>
      </c>
      <c r="O14" s="22">
        <v>1000</v>
      </c>
      <c r="P14" s="22">
        <v>1015</v>
      </c>
      <c r="Q14" s="22">
        <v>1032</v>
      </c>
      <c r="R14" s="22">
        <v>1047</v>
      </c>
      <c r="S14" s="22">
        <v>1082</v>
      </c>
      <c r="T14" s="22">
        <v>1161</v>
      </c>
      <c r="U14" s="22">
        <v>1231</v>
      </c>
      <c r="V14" s="22">
        <v>1272</v>
      </c>
      <c r="W14" s="23">
        <v>1299.5999999999999</v>
      </c>
      <c r="X14" s="23">
        <v>1326.7</v>
      </c>
      <c r="Y14" s="23">
        <v>1352.9</v>
      </c>
      <c r="Z14" s="23">
        <v>1379.7</v>
      </c>
      <c r="AA14" s="23">
        <v>1407.3</v>
      </c>
    </row>
    <row r="15" spans="1:27" x14ac:dyDescent="0.25">
      <c r="A15" s="9" t="s">
        <v>69</v>
      </c>
      <c r="B15" s="9"/>
      <c r="C15" s="18">
        <v>3.2099999999999997E-2</v>
      </c>
      <c r="D15" s="18">
        <v>4.9799999999999997E-2</v>
      </c>
      <c r="E15" s="18">
        <v>4.8099999999999997E-2</v>
      </c>
      <c r="F15" s="18">
        <v>4.58E-2</v>
      </c>
      <c r="G15" s="18">
        <v>5.2999999999999999E-2</v>
      </c>
      <c r="H15" s="18">
        <v>2.18E-2</v>
      </c>
      <c r="I15" s="18">
        <v>2.47E-2</v>
      </c>
      <c r="J15" s="18">
        <v>2.9700000000000001E-2</v>
      </c>
      <c r="K15" s="18">
        <v>2.6100000000000002E-2</v>
      </c>
      <c r="L15" s="18">
        <v>2.5999999999999999E-2</v>
      </c>
      <c r="M15" s="18">
        <v>2.64E-2</v>
      </c>
      <c r="N15" s="18">
        <v>2.23E-2</v>
      </c>
      <c r="O15" s="18">
        <v>2.24E-2</v>
      </c>
      <c r="P15" s="18">
        <v>2.76E-2</v>
      </c>
      <c r="Q15" s="18">
        <v>3.3700000000000001E-2</v>
      </c>
      <c r="R15" s="18">
        <v>3.3300000000000003E-2</v>
      </c>
      <c r="S15" s="18">
        <v>4.1200000000000001E-2</v>
      </c>
      <c r="T15" s="18">
        <v>4.6100000000000002E-2</v>
      </c>
      <c r="U15" s="18">
        <v>7.2900000000000006E-2</v>
      </c>
      <c r="V15" s="18">
        <v>5.96E-2</v>
      </c>
      <c r="W15" s="19">
        <v>4.1200000000000001E-2</v>
      </c>
      <c r="X15" s="19">
        <v>3.0099999999999998E-2</v>
      </c>
      <c r="Y15" s="19">
        <v>2.6499999999999999E-2</v>
      </c>
      <c r="Z15" s="19">
        <v>2.6800000000000001E-2</v>
      </c>
      <c r="AA15" s="19">
        <v>2.7199999999999998E-2</v>
      </c>
    </row>
    <row r="16" spans="1:27" x14ac:dyDescent="0.25">
      <c r="A16" s="9" t="s">
        <v>70</v>
      </c>
      <c r="B16" s="9"/>
      <c r="C16" s="18">
        <v>6.0199999999999997E-2</v>
      </c>
      <c r="D16" s="18">
        <v>5.79E-2</v>
      </c>
      <c r="E16" s="18">
        <v>5.96E-2</v>
      </c>
      <c r="F16" s="18">
        <v>6.4100000000000004E-2</v>
      </c>
      <c r="G16" s="18">
        <v>5.4299999999999994E-2</v>
      </c>
      <c r="H16" s="18">
        <v>5.8200000000000002E-2</v>
      </c>
      <c r="I16" s="18">
        <v>5.4199999999999998E-2</v>
      </c>
      <c r="J16" s="18">
        <v>4.1399999999999999E-2</v>
      </c>
      <c r="K16" s="18">
        <v>3.5699999999999996E-2</v>
      </c>
      <c r="L16" s="18">
        <v>4.5499999999999999E-2</v>
      </c>
      <c r="M16" s="18">
        <v>3.7699999999999997E-2</v>
      </c>
      <c r="N16" s="18">
        <v>3.1600000000000003E-2</v>
      </c>
      <c r="O16" s="18">
        <v>2.86E-2</v>
      </c>
      <c r="P16" s="18">
        <v>2.8799999999999999E-2</v>
      </c>
      <c r="Q16" s="18">
        <v>2.3099999999999999E-2</v>
      </c>
      <c r="R16" s="18">
        <v>1.18E-2</v>
      </c>
      <c r="S16" s="18">
        <v>1.1599999999999999E-2</v>
      </c>
      <c r="T16" s="18">
        <v>2.6499999999999999E-2</v>
      </c>
      <c r="U16" s="18">
        <v>4.1500000000000002E-2</v>
      </c>
      <c r="V16" s="18">
        <v>4.8499999999999995E-2</v>
      </c>
      <c r="W16" s="19">
        <v>4.4400000000000002E-2</v>
      </c>
      <c r="X16" s="19">
        <v>4.2999999999999997E-2</v>
      </c>
      <c r="Y16" s="19">
        <v>4.2900000000000001E-2</v>
      </c>
      <c r="Z16" s="19">
        <v>4.24E-2</v>
      </c>
      <c r="AA16" s="19">
        <v>4.2599999999999999E-2</v>
      </c>
    </row>
    <row r="17" spans="1:27" x14ac:dyDescent="0.25">
      <c r="A17" s="9" t="s">
        <v>71</v>
      </c>
      <c r="B17" s="9"/>
      <c r="C17" s="24">
        <v>11.3</v>
      </c>
      <c r="D17" s="24">
        <v>13.6</v>
      </c>
      <c r="E17" s="24">
        <v>14.7</v>
      </c>
      <c r="F17" s="24">
        <v>12.5</v>
      </c>
      <c r="G17" s="24">
        <v>16</v>
      </c>
      <c r="H17" s="24">
        <v>8.9</v>
      </c>
      <c r="I17" s="24">
        <v>-9.4</v>
      </c>
      <c r="J17" s="24">
        <v>-15</v>
      </c>
      <c r="K17" s="24">
        <v>1.2</v>
      </c>
      <c r="L17" s="24">
        <v>33.9</v>
      </c>
      <c r="M17" s="24">
        <v>53.6</v>
      </c>
      <c r="N17" s="24">
        <v>64.8</v>
      </c>
      <c r="O17" s="24">
        <v>59.6</v>
      </c>
      <c r="P17" s="24">
        <v>49</v>
      </c>
      <c r="Q17" s="24">
        <v>52.8</v>
      </c>
      <c r="R17" s="24">
        <v>75.5</v>
      </c>
      <c r="S17" s="24">
        <v>-6.6</v>
      </c>
      <c r="T17" s="24">
        <v>-17.7</v>
      </c>
      <c r="U17" s="24">
        <v>112.8</v>
      </c>
      <c r="V17" s="24">
        <v>70.3</v>
      </c>
      <c r="W17" s="25">
        <v>32.9</v>
      </c>
      <c r="X17" s="25">
        <v>38.200000000000003</v>
      </c>
      <c r="Y17" s="25">
        <v>39.5</v>
      </c>
      <c r="Z17" s="25">
        <v>39.9</v>
      </c>
      <c r="AA17" s="25">
        <v>40</v>
      </c>
    </row>
    <row r="18" spans="1:27" x14ac:dyDescent="0.25">
      <c r="A18" s="9" t="s">
        <v>72</v>
      </c>
      <c r="B18" s="9"/>
      <c r="C18" s="26">
        <v>752.5</v>
      </c>
      <c r="D18" s="26">
        <v>778.67</v>
      </c>
      <c r="E18" s="26">
        <v>826.88</v>
      </c>
      <c r="F18" s="26">
        <v>855.43</v>
      </c>
      <c r="G18" s="26">
        <v>899.3</v>
      </c>
      <c r="H18" s="26">
        <v>932.25</v>
      </c>
      <c r="I18" s="26">
        <v>963.99</v>
      </c>
      <c r="J18" s="26">
        <v>995.36</v>
      </c>
      <c r="K18" s="26">
        <v>1021.57</v>
      </c>
      <c r="L18" s="26">
        <v>1048.06</v>
      </c>
      <c r="M18" s="26">
        <v>1079.03</v>
      </c>
      <c r="N18" s="26">
        <v>1113.2</v>
      </c>
      <c r="O18" s="26">
        <v>1137.1099999999999</v>
      </c>
      <c r="P18" s="26">
        <v>1172.6300000000001</v>
      </c>
      <c r="Q18" s="26">
        <v>1205.79</v>
      </c>
      <c r="R18" s="26">
        <v>1241.4100000000001</v>
      </c>
      <c r="S18" s="26">
        <v>1287.81</v>
      </c>
      <c r="T18" s="26">
        <v>1360.1</v>
      </c>
      <c r="U18" s="26">
        <v>1462.81</v>
      </c>
      <c r="V18" s="26">
        <v>1556.16</v>
      </c>
      <c r="W18" s="27">
        <v>1622.73</v>
      </c>
      <c r="X18" s="27">
        <v>1651.37</v>
      </c>
      <c r="Y18" s="27">
        <v>1688.46</v>
      </c>
      <c r="Z18" s="27">
        <v>1731.59</v>
      </c>
      <c r="AA18" s="27">
        <v>1778.16</v>
      </c>
    </row>
    <row r="19" spans="1:27" x14ac:dyDescent="0.25">
      <c r="A19" s="9" t="s">
        <v>75</v>
      </c>
      <c r="B19" s="9"/>
      <c r="C19" s="26">
        <v>597.66999999999996</v>
      </c>
      <c r="D19" s="26">
        <v>614.05999999999995</v>
      </c>
      <c r="E19" s="26">
        <v>645.82000000000005</v>
      </c>
      <c r="F19" s="26">
        <v>664.02</v>
      </c>
      <c r="G19" s="26">
        <v>723.19</v>
      </c>
      <c r="H19" s="26">
        <v>741.53</v>
      </c>
      <c r="I19" s="26">
        <v>792.36</v>
      </c>
      <c r="J19" s="26">
        <v>813.32</v>
      </c>
      <c r="K19" s="26">
        <v>833.14</v>
      </c>
      <c r="L19" s="26">
        <v>855.33</v>
      </c>
      <c r="M19" s="26">
        <v>873.01</v>
      </c>
      <c r="N19" s="26">
        <v>896.89</v>
      </c>
      <c r="O19" s="26">
        <v>909.56</v>
      </c>
      <c r="P19" s="26">
        <v>934.42</v>
      </c>
      <c r="Q19" s="26">
        <v>958.37</v>
      </c>
      <c r="R19" s="26">
        <v>987.95</v>
      </c>
      <c r="S19" s="26">
        <v>1018.53</v>
      </c>
      <c r="T19" s="26">
        <v>1066.06</v>
      </c>
      <c r="U19" s="26">
        <v>1132.5999999999999</v>
      </c>
      <c r="V19" s="26">
        <v>1192.4000000000001</v>
      </c>
      <c r="W19" s="27">
        <v>1255.05</v>
      </c>
      <c r="X19" s="27">
        <v>1272.31</v>
      </c>
      <c r="Y19" s="27">
        <v>1295.19</v>
      </c>
      <c r="Z19" s="27">
        <v>1323.35</v>
      </c>
      <c r="AA19" s="27">
        <v>1353.55</v>
      </c>
    </row>
    <row r="20" spans="1:27" x14ac:dyDescent="0.25">
      <c r="A20" s="9" t="s">
        <v>74</v>
      </c>
      <c r="B20" s="9"/>
      <c r="C20" s="26">
        <v>235.16</v>
      </c>
      <c r="D20" s="26">
        <v>243.06</v>
      </c>
      <c r="E20" s="26">
        <v>255.7</v>
      </c>
      <c r="F20" s="26">
        <v>264.37</v>
      </c>
      <c r="G20" s="26">
        <v>273.63</v>
      </c>
      <c r="H20" s="26">
        <v>280.62</v>
      </c>
      <c r="I20" s="26">
        <v>294.08000000000004</v>
      </c>
      <c r="J20" s="26">
        <v>302.39999999999998</v>
      </c>
      <c r="K20" s="26">
        <v>310.33999999999997</v>
      </c>
      <c r="L20" s="26">
        <v>319.23</v>
      </c>
      <c r="M20" s="26">
        <v>326.3</v>
      </c>
      <c r="N20" s="26">
        <v>335.74</v>
      </c>
      <c r="O20" s="26">
        <v>340.8</v>
      </c>
      <c r="P20" s="26">
        <v>350.76</v>
      </c>
      <c r="Q20" s="26">
        <v>360.42</v>
      </c>
      <c r="R20" s="26">
        <v>372.27</v>
      </c>
      <c r="S20" s="26">
        <v>384.46</v>
      </c>
      <c r="T20" s="26">
        <v>408.66</v>
      </c>
      <c r="U20" s="26">
        <v>439.79</v>
      </c>
      <c r="V20" s="26">
        <v>461.41</v>
      </c>
      <c r="W20" s="27">
        <v>476.47</v>
      </c>
      <c r="X20" s="27">
        <v>488.1</v>
      </c>
      <c r="Y20" s="27">
        <v>498.32</v>
      </c>
      <c r="Z20" s="27">
        <v>508.71</v>
      </c>
      <c r="AA20" s="27">
        <v>519.45000000000005</v>
      </c>
    </row>
    <row r="21" spans="1:27" x14ac:dyDescent="0.25">
      <c r="A21" s="9" t="s">
        <v>73</v>
      </c>
      <c r="B21" s="9"/>
      <c r="C21" s="26">
        <v>196.78</v>
      </c>
      <c r="D21" s="26">
        <v>203</v>
      </c>
      <c r="E21" s="26">
        <v>213.12</v>
      </c>
      <c r="F21" s="26">
        <v>219.9</v>
      </c>
      <c r="G21" s="26">
        <v>239.19</v>
      </c>
      <c r="H21" s="26">
        <v>244.71</v>
      </c>
      <c r="I21" s="26">
        <v>261.48</v>
      </c>
      <c r="J21" s="26">
        <v>268.39999999999998</v>
      </c>
      <c r="K21" s="26">
        <v>274.94</v>
      </c>
      <c r="L21" s="26">
        <v>282.26</v>
      </c>
      <c r="M21" s="26">
        <v>288.10000000000002</v>
      </c>
      <c r="N21" s="26">
        <v>295.97000000000003</v>
      </c>
      <c r="O21" s="26">
        <v>300.14999999999998</v>
      </c>
      <c r="P21" s="26">
        <v>308.36</v>
      </c>
      <c r="Q21" s="26">
        <v>316.27</v>
      </c>
      <c r="R21" s="26">
        <v>326.02</v>
      </c>
      <c r="S21" s="26">
        <v>336.11</v>
      </c>
      <c r="T21" s="26">
        <v>356.11</v>
      </c>
      <c r="U21" s="26">
        <v>381.82</v>
      </c>
      <c r="V21" s="26">
        <v>399.59</v>
      </c>
      <c r="W21" s="27">
        <v>414.17</v>
      </c>
      <c r="X21" s="27">
        <v>423.7</v>
      </c>
      <c r="Y21" s="27">
        <v>432.17</v>
      </c>
      <c r="Z21" s="27">
        <v>440.81</v>
      </c>
      <c r="AA21" s="27">
        <v>449.63</v>
      </c>
    </row>
  </sheetData>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F3318-8634-46E0-B437-4B6BB12B6A48}">
  <dimension ref="A1:O420"/>
  <sheetViews>
    <sheetView workbookViewId="0"/>
  </sheetViews>
  <sheetFormatPr defaultRowHeight="15" x14ac:dyDescent="0.25"/>
  <cols>
    <col min="1" max="1" width="90.7109375" customWidth="1"/>
    <col min="2" max="2" width="7.7109375" customWidth="1"/>
    <col min="3" max="14" width="10.7109375" customWidth="1"/>
  </cols>
  <sheetData>
    <row r="1" spans="1:14" x14ac:dyDescent="0.25">
      <c r="A1" s="9" t="s">
        <v>522</v>
      </c>
      <c r="B1" s="9"/>
      <c r="C1" s="11"/>
      <c r="D1" s="11"/>
      <c r="E1" s="11"/>
      <c r="F1" s="11"/>
      <c r="G1" s="11"/>
      <c r="H1" s="11"/>
      <c r="I1" s="11"/>
      <c r="J1" s="11"/>
      <c r="K1" s="11"/>
      <c r="L1" s="11"/>
      <c r="M1" s="11"/>
      <c r="N1" s="11"/>
    </row>
    <row r="2" spans="1:14" x14ac:dyDescent="0.25">
      <c r="A2" s="10" t="s">
        <v>59</v>
      </c>
      <c r="B2" s="11"/>
      <c r="C2" s="11"/>
      <c r="D2" s="11"/>
      <c r="E2" s="11"/>
      <c r="F2" s="11"/>
      <c r="G2" s="11"/>
      <c r="H2" s="11"/>
      <c r="I2" s="11"/>
      <c r="J2" s="11"/>
      <c r="K2" s="11"/>
      <c r="L2" s="11"/>
      <c r="M2" s="11"/>
      <c r="N2" s="11"/>
    </row>
    <row r="3" spans="1:14" x14ac:dyDescent="0.25">
      <c r="A3" s="10" t="s">
        <v>523</v>
      </c>
      <c r="B3" s="11"/>
      <c r="C3" s="11"/>
      <c r="D3" s="11"/>
      <c r="E3" s="11"/>
      <c r="F3" s="11"/>
      <c r="G3" s="11"/>
      <c r="H3" s="11"/>
      <c r="I3" s="11"/>
      <c r="J3" s="11"/>
      <c r="K3" s="11"/>
      <c r="L3" s="11"/>
      <c r="M3" s="11"/>
      <c r="N3" s="11"/>
    </row>
    <row r="4" spans="1:14" x14ac:dyDescent="0.25">
      <c r="A4" s="10" t="s">
        <v>524</v>
      </c>
      <c r="B4" s="11"/>
      <c r="C4" s="11"/>
      <c r="D4" s="11"/>
      <c r="E4" s="11"/>
      <c r="F4" s="11"/>
      <c r="G4" s="11"/>
      <c r="H4" s="11"/>
      <c r="I4" s="11"/>
      <c r="J4" s="11"/>
      <c r="K4" s="11"/>
      <c r="L4" s="11"/>
      <c r="M4" s="11"/>
      <c r="N4" s="11"/>
    </row>
    <row r="5" spans="1:14" x14ac:dyDescent="0.25">
      <c r="A5" s="10" t="s">
        <v>143</v>
      </c>
      <c r="B5" s="11"/>
      <c r="C5" s="11"/>
      <c r="D5" s="15"/>
      <c r="E5" s="15"/>
      <c r="F5" s="15"/>
      <c r="G5" s="15"/>
      <c r="H5" s="15"/>
      <c r="I5" s="15"/>
      <c r="J5" s="15" t="s">
        <v>1421</v>
      </c>
      <c r="K5" s="11"/>
      <c r="L5" s="11"/>
      <c r="M5" s="11"/>
      <c r="N5" s="11"/>
    </row>
    <row r="6" spans="1:14" x14ac:dyDescent="0.25">
      <c r="A6" s="9" t="s">
        <v>3</v>
      </c>
      <c r="B6" s="9"/>
      <c r="C6" s="11"/>
      <c r="D6" s="13" t="s">
        <v>37</v>
      </c>
      <c r="E6" s="13" t="s">
        <v>38</v>
      </c>
      <c r="F6" s="13" t="s">
        <v>39</v>
      </c>
      <c r="G6" s="13" t="s">
        <v>40</v>
      </c>
      <c r="H6" s="13" t="s">
        <v>41</v>
      </c>
      <c r="I6" s="13" t="s">
        <v>42</v>
      </c>
      <c r="J6" s="14" t="s">
        <v>43</v>
      </c>
      <c r="K6" s="14" t="s">
        <v>44</v>
      </c>
      <c r="L6" s="14" t="s">
        <v>45</v>
      </c>
      <c r="M6" s="14" t="s">
        <v>46</v>
      </c>
      <c r="N6" s="14" t="s">
        <v>47</v>
      </c>
    </row>
    <row r="7" spans="1:14" x14ac:dyDescent="0.25">
      <c r="A7" s="11"/>
      <c r="B7" s="11"/>
      <c r="C7" s="11"/>
      <c r="D7" s="9">
        <v>2019</v>
      </c>
      <c r="E7" s="9">
        <v>2020</v>
      </c>
      <c r="F7" s="9">
        <v>2021</v>
      </c>
      <c r="G7" s="9">
        <v>2022</v>
      </c>
      <c r="H7" s="9">
        <v>2023</v>
      </c>
      <c r="I7" s="9">
        <v>2024</v>
      </c>
      <c r="J7" s="15">
        <v>2025</v>
      </c>
      <c r="K7" s="15">
        <v>2026</v>
      </c>
      <c r="L7" s="15">
        <v>2027</v>
      </c>
      <c r="M7" s="15">
        <v>2028</v>
      </c>
      <c r="N7" s="15">
        <v>2029</v>
      </c>
    </row>
    <row r="8" spans="1:14" x14ac:dyDescent="0.25">
      <c r="A8" s="9" t="s">
        <v>525</v>
      </c>
      <c r="B8" s="9"/>
      <c r="C8" s="9"/>
      <c r="D8" s="15"/>
      <c r="E8" s="15"/>
      <c r="F8" s="15"/>
      <c r="G8" s="15"/>
      <c r="H8" s="15"/>
      <c r="I8" s="15"/>
      <c r="J8" s="15"/>
      <c r="K8" s="15"/>
      <c r="L8" s="15"/>
      <c r="M8" s="15"/>
      <c r="N8" s="15"/>
    </row>
    <row r="9" spans="1:14" x14ac:dyDescent="0.25">
      <c r="A9" s="11" t="s">
        <v>526</v>
      </c>
      <c r="B9" s="96" t="s">
        <v>527</v>
      </c>
      <c r="C9" s="16"/>
      <c r="D9" s="16">
        <v>85.722999999999999</v>
      </c>
      <c r="E9" s="16">
        <v>84.521000000000001</v>
      </c>
      <c r="F9" s="16">
        <v>97.361999999999995</v>
      </c>
      <c r="G9" s="16">
        <v>107.873</v>
      </c>
      <c r="H9" s="16">
        <v>111.712</v>
      </c>
      <c r="I9" s="16">
        <v>119.9</v>
      </c>
      <c r="J9" s="17">
        <v>120.16</v>
      </c>
      <c r="K9" s="17">
        <v>124.21</v>
      </c>
      <c r="L9" s="17">
        <v>132.09700000000001</v>
      </c>
      <c r="M9" s="17">
        <v>139.47999999999999</v>
      </c>
      <c r="N9" s="17">
        <v>147.054</v>
      </c>
    </row>
    <row r="10" spans="1:14" x14ac:dyDescent="0.25">
      <c r="A10" s="11" t="s">
        <v>528</v>
      </c>
      <c r="B10" s="96" t="s">
        <v>529</v>
      </c>
      <c r="C10" s="16"/>
      <c r="D10" s="16">
        <v>6.0279999999999996</v>
      </c>
      <c r="E10" s="16">
        <v>6.2690000000000001</v>
      </c>
      <c r="F10" s="16">
        <v>7.0380000000000003</v>
      </c>
      <c r="G10" s="16">
        <v>8.8940000000000001</v>
      </c>
      <c r="H10" s="16">
        <v>8.407</v>
      </c>
      <c r="I10" s="16">
        <v>9.4260000000000002</v>
      </c>
      <c r="J10" s="17">
        <v>10.456</v>
      </c>
      <c r="K10" s="17">
        <v>11.006</v>
      </c>
      <c r="L10" s="17">
        <v>11.57</v>
      </c>
      <c r="M10" s="17">
        <v>12.173999999999999</v>
      </c>
      <c r="N10" s="17">
        <v>12.81</v>
      </c>
    </row>
    <row r="11" spans="1:14" x14ac:dyDescent="0.25">
      <c r="A11" s="11" t="s">
        <v>530</v>
      </c>
      <c r="B11" s="96" t="str">
        <f>$B$10</f>
        <v>UIM</v>
      </c>
      <c r="C11" s="16"/>
      <c r="D11" s="16">
        <v>19.795999999999999</v>
      </c>
      <c r="E11" s="16">
        <v>18.437000000000001</v>
      </c>
      <c r="F11" s="16">
        <v>18.5</v>
      </c>
      <c r="G11" s="16">
        <v>17.442</v>
      </c>
      <c r="H11" s="16">
        <v>21.954000000000001</v>
      </c>
      <c r="I11" s="16">
        <v>25.135000000000002</v>
      </c>
      <c r="J11" s="17">
        <v>26.361999999999998</v>
      </c>
      <c r="K11" s="17">
        <v>27.553999999999998</v>
      </c>
      <c r="L11" s="17">
        <v>28.504000000000001</v>
      </c>
      <c r="M11" s="17">
        <v>29.87</v>
      </c>
      <c r="N11" s="17">
        <v>30.238</v>
      </c>
    </row>
    <row r="12" spans="1:14" x14ac:dyDescent="0.25">
      <c r="A12" s="11" t="s">
        <v>531</v>
      </c>
      <c r="B12" s="96" t="str">
        <f>$B$9</f>
        <v>NAC</v>
      </c>
      <c r="C12" s="16"/>
      <c r="D12" s="16">
        <v>2.6459999999999999</v>
      </c>
      <c r="E12" s="16">
        <v>2.2999999999999998</v>
      </c>
      <c r="F12" s="16">
        <v>1.9430000000000001</v>
      </c>
      <c r="G12" s="16">
        <v>2.2919999999999998</v>
      </c>
      <c r="H12" s="16">
        <v>5.0119999999999996</v>
      </c>
      <c r="I12" s="16">
        <v>7.12</v>
      </c>
      <c r="J12" s="17">
        <v>6.87</v>
      </c>
      <c r="K12" s="17">
        <v>6.4080000000000004</v>
      </c>
      <c r="L12" s="17">
        <v>6.4589999999999996</v>
      </c>
      <c r="M12" s="17">
        <v>6.7549999999999999</v>
      </c>
      <c r="N12" s="17">
        <v>7.1559999999999997</v>
      </c>
    </row>
    <row r="13" spans="1:14" x14ac:dyDescent="0.25">
      <c r="A13" s="11" t="s">
        <v>532</v>
      </c>
      <c r="B13" s="96" t="str">
        <f>$B$10</f>
        <v>UIM</v>
      </c>
      <c r="C13" s="16"/>
      <c r="D13" s="16">
        <v>4.9489999999999998</v>
      </c>
      <c r="E13" s="16">
        <v>4.476</v>
      </c>
      <c r="F13" s="16">
        <v>4.492</v>
      </c>
      <c r="G13" s="16">
        <v>5.1260000000000003</v>
      </c>
      <c r="H13" s="16">
        <v>5.9260000000000002</v>
      </c>
      <c r="I13" s="16">
        <v>5.766</v>
      </c>
      <c r="J13" s="17">
        <v>5.8029999999999999</v>
      </c>
      <c r="K13" s="17">
        <v>6.6859999999999999</v>
      </c>
      <c r="L13" s="17">
        <v>5.3929999999999998</v>
      </c>
      <c r="M13" s="17">
        <v>5.5110000000000001</v>
      </c>
      <c r="N13" s="17">
        <v>5.7530000000000001</v>
      </c>
    </row>
    <row r="14" spans="1:14" x14ac:dyDescent="0.25">
      <c r="A14" s="55" t="s">
        <v>533</v>
      </c>
      <c r="B14" s="96" t="str">
        <f>$B$9</f>
        <v>NAC</v>
      </c>
      <c r="C14" s="16"/>
      <c r="D14" s="56">
        <f t="shared" ref="D14:N14" si="0">SUM(D$9:D$13)</f>
        <v>119.142</v>
      </c>
      <c r="E14" s="56">
        <f t="shared" si="0"/>
        <v>116.003</v>
      </c>
      <c r="F14" s="56">
        <f t="shared" si="0"/>
        <v>129.33499999999998</v>
      </c>
      <c r="G14" s="56">
        <f t="shared" si="0"/>
        <v>141.62700000000001</v>
      </c>
      <c r="H14" s="56">
        <f t="shared" si="0"/>
        <v>153.011</v>
      </c>
      <c r="I14" s="56">
        <f t="shared" si="0"/>
        <v>167.34699999999998</v>
      </c>
      <c r="J14" s="56">
        <f t="shared" si="0"/>
        <v>169.65099999999998</v>
      </c>
      <c r="K14" s="56">
        <f t="shared" si="0"/>
        <v>175.864</v>
      </c>
      <c r="L14" s="56">
        <f t="shared" si="0"/>
        <v>184.023</v>
      </c>
      <c r="M14" s="56">
        <f t="shared" si="0"/>
        <v>193.79</v>
      </c>
      <c r="N14" s="56">
        <f t="shared" si="0"/>
        <v>203.01100000000002</v>
      </c>
    </row>
    <row r="15" spans="1:14" x14ac:dyDescent="0.25">
      <c r="A15" s="11" t="s">
        <v>534</v>
      </c>
      <c r="B15" s="96" t="str">
        <f t="shared" ref="B15:B23" si="1">$B$9</f>
        <v>NAC</v>
      </c>
      <c r="C15" s="16"/>
      <c r="D15" s="16">
        <v>28.085999999999999</v>
      </c>
      <c r="E15" s="16">
        <v>42.606999999999999</v>
      </c>
      <c r="F15" s="16">
        <v>35.427</v>
      </c>
      <c r="G15" s="16">
        <v>44.087000000000003</v>
      </c>
      <c r="H15" s="16">
        <v>38.802999999999997</v>
      </c>
      <c r="I15" s="16">
        <v>41.936999999999998</v>
      </c>
      <c r="J15" s="17">
        <v>44.863999999999997</v>
      </c>
      <c r="K15" s="17">
        <v>46.523000000000003</v>
      </c>
      <c r="L15" s="17">
        <v>47.962000000000003</v>
      </c>
      <c r="M15" s="17">
        <v>49.622</v>
      </c>
      <c r="N15" s="17">
        <v>50.691000000000003</v>
      </c>
    </row>
    <row r="16" spans="1:14" x14ac:dyDescent="0.25">
      <c r="A16" s="11" t="s">
        <v>535</v>
      </c>
      <c r="B16" s="96" t="str">
        <f t="shared" si="1"/>
        <v>NAC</v>
      </c>
      <c r="C16" s="16"/>
      <c r="D16" s="16">
        <v>25.933</v>
      </c>
      <c r="E16" s="16">
        <v>27.774999999999999</v>
      </c>
      <c r="F16" s="16">
        <v>29.817</v>
      </c>
      <c r="G16" s="16">
        <v>32.648000000000003</v>
      </c>
      <c r="H16" s="16">
        <v>36.052</v>
      </c>
      <c r="I16" s="16">
        <v>39.082999999999998</v>
      </c>
      <c r="J16" s="17">
        <v>39.61</v>
      </c>
      <c r="K16" s="17">
        <v>40.758000000000003</v>
      </c>
      <c r="L16" s="17">
        <v>41.475000000000001</v>
      </c>
      <c r="M16" s="17">
        <v>41.884</v>
      </c>
      <c r="N16" s="17">
        <v>42.311</v>
      </c>
    </row>
    <row r="17" spans="1:14" x14ac:dyDescent="0.25">
      <c r="A17" s="11" t="s">
        <v>536</v>
      </c>
      <c r="B17" s="96" t="str">
        <f t="shared" si="1"/>
        <v>NAC</v>
      </c>
      <c r="C17" s="16"/>
      <c r="D17" s="16">
        <v>4.5540000000000003</v>
      </c>
      <c r="E17" s="16">
        <v>5.2939999999999996</v>
      </c>
      <c r="F17" s="16">
        <v>5.5659999999999998</v>
      </c>
      <c r="G17" s="16">
        <v>6.1520000000000001</v>
      </c>
      <c r="H17" s="16">
        <v>6.601</v>
      </c>
      <c r="I17" s="16">
        <v>7.6210000000000004</v>
      </c>
      <c r="J17" s="17">
        <v>8.06</v>
      </c>
      <c r="K17" s="17">
        <v>8.4239999999999995</v>
      </c>
      <c r="L17" s="17">
        <v>8.7170000000000005</v>
      </c>
      <c r="M17" s="17">
        <v>9.0640000000000001</v>
      </c>
      <c r="N17" s="17">
        <v>9.2050000000000001</v>
      </c>
    </row>
    <row r="18" spans="1:14" x14ac:dyDescent="0.25">
      <c r="A18" s="11" t="s">
        <v>537</v>
      </c>
      <c r="B18" s="96" t="str">
        <f t="shared" si="1"/>
        <v>NAC</v>
      </c>
      <c r="C18" s="16"/>
      <c r="D18" s="16">
        <v>42.692999999999998</v>
      </c>
      <c r="E18" s="16">
        <v>52.582999999999998</v>
      </c>
      <c r="F18" s="16">
        <v>53.802</v>
      </c>
      <c r="G18" s="16">
        <v>58.273000000000003</v>
      </c>
      <c r="H18" s="16">
        <v>64.134</v>
      </c>
      <c r="I18" s="16">
        <v>70.62</v>
      </c>
      <c r="J18" s="17">
        <v>72.674000000000007</v>
      </c>
      <c r="K18" s="17">
        <v>72.900999999999996</v>
      </c>
      <c r="L18" s="17">
        <v>71.614999999999995</v>
      </c>
      <c r="M18" s="17">
        <v>69.317999999999998</v>
      </c>
      <c r="N18" s="17">
        <v>69.343000000000004</v>
      </c>
    </row>
    <row r="19" spans="1:14" x14ac:dyDescent="0.25">
      <c r="A19" s="11" t="s">
        <v>538</v>
      </c>
      <c r="B19" s="96" t="str">
        <f t="shared" si="1"/>
        <v>NAC</v>
      </c>
      <c r="C19" s="16"/>
      <c r="D19" s="16">
        <v>4.298</v>
      </c>
      <c r="E19" s="16">
        <v>3.754</v>
      </c>
      <c r="F19" s="16">
        <v>2.2719999999999998</v>
      </c>
      <c r="G19" s="16">
        <v>3.3490000000000002</v>
      </c>
      <c r="H19" s="16">
        <v>7.4480000000000004</v>
      </c>
      <c r="I19" s="16">
        <v>10.374000000000001</v>
      </c>
      <c r="J19" s="17">
        <v>10.311999999999999</v>
      </c>
      <c r="K19" s="17">
        <v>11.073</v>
      </c>
      <c r="L19" s="17">
        <v>12.122</v>
      </c>
      <c r="M19" s="17">
        <v>13.342000000000001</v>
      </c>
      <c r="N19" s="17">
        <v>14.398999999999999</v>
      </c>
    </row>
    <row r="20" spans="1:14" x14ac:dyDescent="0.25">
      <c r="A20" s="11" t="s">
        <v>539</v>
      </c>
      <c r="B20" s="96" t="str">
        <f t="shared" si="1"/>
        <v>NAC</v>
      </c>
      <c r="C20" s="16"/>
      <c r="D20" s="16">
        <v>5.8120000000000003</v>
      </c>
      <c r="E20" s="16">
        <v>6.9029999999999996</v>
      </c>
      <c r="F20" s="16">
        <v>6.8380000000000001</v>
      </c>
      <c r="G20" s="16">
        <v>6.4470000000000001</v>
      </c>
      <c r="H20" s="16">
        <v>8.7840000000000007</v>
      </c>
      <c r="I20" s="16">
        <v>10.426</v>
      </c>
      <c r="J20" s="17">
        <v>11.292</v>
      </c>
      <c r="K20" s="17">
        <v>10.659000000000001</v>
      </c>
      <c r="L20" s="17">
        <v>11.323</v>
      </c>
      <c r="M20" s="17">
        <v>11.895</v>
      </c>
      <c r="N20" s="17">
        <v>12.323</v>
      </c>
    </row>
    <row r="21" spans="1:14" x14ac:dyDescent="0.25">
      <c r="A21" s="11" t="s">
        <v>540</v>
      </c>
      <c r="B21" s="96" t="str">
        <f t="shared" si="1"/>
        <v>NAC</v>
      </c>
      <c r="C21" s="16"/>
      <c r="D21" s="16">
        <v>0</v>
      </c>
      <c r="E21" s="16">
        <v>0</v>
      </c>
      <c r="F21" s="16">
        <v>0</v>
      </c>
      <c r="G21" s="16">
        <v>0</v>
      </c>
      <c r="H21" s="16">
        <v>0</v>
      </c>
      <c r="I21" s="16">
        <v>0</v>
      </c>
      <c r="J21" s="17">
        <v>0</v>
      </c>
      <c r="K21" s="17">
        <v>1.72</v>
      </c>
      <c r="L21" s="17">
        <v>2.7189999999999999</v>
      </c>
      <c r="M21" s="17">
        <v>5.3689999999999998</v>
      </c>
      <c r="N21" s="17">
        <v>7.9029999999999996</v>
      </c>
    </row>
    <row r="22" spans="1:14" x14ac:dyDescent="0.25">
      <c r="A22" s="11" t="s">
        <v>541</v>
      </c>
      <c r="B22" s="96" t="str">
        <f>$B$10</f>
        <v>UIM</v>
      </c>
      <c r="C22" s="16"/>
      <c r="D22" s="16">
        <v>0</v>
      </c>
      <c r="E22" s="16">
        <v>0</v>
      </c>
      <c r="F22" s="16">
        <v>0</v>
      </c>
      <c r="G22" s="16">
        <v>0</v>
      </c>
      <c r="H22" s="16">
        <v>0</v>
      </c>
      <c r="I22" s="16">
        <v>0</v>
      </c>
      <c r="J22" s="17">
        <v>-2.7</v>
      </c>
      <c r="K22" s="17">
        <v>-0.9</v>
      </c>
      <c r="L22" s="17">
        <v>-0.6</v>
      </c>
      <c r="M22" s="17">
        <v>-0.6</v>
      </c>
      <c r="N22" s="17">
        <v>-0.6</v>
      </c>
    </row>
    <row r="23" spans="1:14" x14ac:dyDescent="0.25">
      <c r="A23" s="55" t="s">
        <v>542</v>
      </c>
      <c r="B23" s="96" t="str">
        <f t="shared" si="1"/>
        <v>NAC</v>
      </c>
      <c r="C23" s="16"/>
      <c r="D23" s="56">
        <f t="shared" ref="D23:N23" si="2">SUM(D$15:D$22)</f>
        <v>111.37599999999999</v>
      </c>
      <c r="E23" s="56">
        <f t="shared" si="2"/>
        <v>138.916</v>
      </c>
      <c r="F23" s="56">
        <f t="shared" si="2"/>
        <v>133.72200000000001</v>
      </c>
      <c r="G23" s="56">
        <f t="shared" si="2"/>
        <v>150.95600000000002</v>
      </c>
      <c r="H23" s="56">
        <f t="shared" si="2"/>
        <v>161.82199999999997</v>
      </c>
      <c r="I23" s="56">
        <f t="shared" si="2"/>
        <v>180.06099999999998</v>
      </c>
      <c r="J23" s="56">
        <f t="shared" si="2"/>
        <v>184.11200000000002</v>
      </c>
      <c r="K23" s="56">
        <f t="shared" si="2"/>
        <v>191.15799999999999</v>
      </c>
      <c r="L23" s="56">
        <f t="shared" si="2"/>
        <v>195.33300000000003</v>
      </c>
      <c r="M23" s="56">
        <f t="shared" si="2"/>
        <v>199.89400000000001</v>
      </c>
      <c r="N23" s="56">
        <f t="shared" si="2"/>
        <v>205.57500000000002</v>
      </c>
    </row>
    <row r="24" spans="1:14" x14ac:dyDescent="0.25">
      <c r="A24" s="11" t="s">
        <v>543</v>
      </c>
      <c r="B24" s="96" t="str">
        <f t="shared" ref="B24:B28" si="3">$B$10</f>
        <v>UIM</v>
      </c>
      <c r="C24" s="16"/>
      <c r="D24" s="16">
        <v>4.444</v>
      </c>
      <c r="E24" s="16">
        <v>-1.35</v>
      </c>
      <c r="F24" s="16">
        <v>14.154</v>
      </c>
      <c r="G24" s="16">
        <v>-9.6869999999999994</v>
      </c>
      <c r="H24" s="16">
        <v>7.7110000000000003</v>
      </c>
      <c r="I24" s="16">
        <v>11.41</v>
      </c>
      <c r="J24" s="17">
        <v>9.2870000000000008</v>
      </c>
      <c r="K24" s="17">
        <v>5.6920000000000002</v>
      </c>
      <c r="L24" s="17">
        <v>6.0170000000000003</v>
      </c>
      <c r="M24" s="17">
        <v>6.4740000000000002</v>
      </c>
      <c r="N24" s="17">
        <v>6.9139999999999997</v>
      </c>
    </row>
    <row r="25" spans="1:14" x14ac:dyDescent="0.25">
      <c r="A25" s="11" t="s">
        <v>544</v>
      </c>
      <c r="B25" s="96" t="str">
        <f t="shared" si="3"/>
        <v>UIM</v>
      </c>
      <c r="C25" s="16"/>
      <c r="D25" s="16">
        <v>-11.574999999999999</v>
      </c>
      <c r="E25" s="16">
        <v>-7.3719999999999999</v>
      </c>
      <c r="F25" s="16">
        <v>6.8689999999999998</v>
      </c>
      <c r="G25" s="16">
        <v>2.9649999999999999</v>
      </c>
      <c r="H25" s="16">
        <v>6.9470000000000001</v>
      </c>
      <c r="I25" s="16">
        <v>-6.7430000000000003</v>
      </c>
      <c r="J25" s="17">
        <v>-0.20599999999999999</v>
      </c>
      <c r="K25" s="17">
        <v>0</v>
      </c>
      <c r="L25" s="17">
        <v>0</v>
      </c>
      <c r="M25" s="17">
        <v>0</v>
      </c>
      <c r="N25" s="17">
        <v>0</v>
      </c>
    </row>
    <row r="26" spans="1:14" x14ac:dyDescent="0.25">
      <c r="A26" s="55" t="s">
        <v>545</v>
      </c>
      <c r="B26" s="96" t="str">
        <f t="shared" ref="B26" si="4">$B$9</f>
        <v>NAC</v>
      </c>
      <c r="C26" s="16"/>
      <c r="D26" s="56">
        <f>SUM(D$24:D$25)</f>
        <v>-7.1309999999999993</v>
      </c>
      <c r="E26" s="56">
        <f t="shared" ref="E26:N26" si="5">SUM(E$24:E$25)</f>
        <v>-8.7219999999999995</v>
      </c>
      <c r="F26" s="56">
        <f t="shared" si="5"/>
        <v>21.023</v>
      </c>
      <c r="G26" s="56">
        <f t="shared" si="5"/>
        <v>-6.7219999999999995</v>
      </c>
      <c r="H26" s="56">
        <f t="shared" si="5"/>
        <v>14.658000000000001</v>
      </c>
      <c r="I26" s="56">
        <f t="shared" si="5"/>
        <v>4.6669999999999998</v>
      </c>
      <c r="J26" s="56">
        <f t="shared" si="5"/>
        <v>9.0810000000000013</v>
      </c>
      <c r="K26" s="56">
        <f t="shared" si="5"/>
        <v>5.6920000000000002</v>
      </c>
      <c r="L26" s="56">
        <f t="shared" si="5"/>
        <v>6.0170000000000003</v>
      </c>
      <c r="M26" s="56">
        <f t="shared" si="5"/>
        <v>6.4740000000000002</v>
      </c>
      <c r="N26" s="56">
        <f t="shared" si="5"/>
        <v>6.9139999999999997</v>
      </c>
    </row>
    <row r="27" spans="1:14" x14ac:dyDescent="0.25">
      <c r="A27" s="11" t="s">
        <v>546</v>
      </c>
      <c r="B27" s="96" t="str">
        <f t="shared" si="3"/>
        <v>UIM</v>
      </c>
      <c r="C27" s="16"/>
      <c r="D27" s="16">
        <v>0.20599999999999999</v>
      </c>
      <c r="E27" s="16">
        <v>1.1930000000000001</v>
      </c>
      <c r="F27" s="16">
        <v>-0.36</v>
      </c>
      <c r="G27" s="16">
        <v>-0.126</v>
      </c>
      <c r="H27" s="16">
        <v>2.9000000000000001E-2</v>
      </c>
      <c r="I27" s="16">
        <v>0.12</v>
      </c>
      <c r="J27" s="17">
        <v>0.192</v>
      </c>
      <c r="K27" s="17">
        <v>7.0999999999999994E-2</v>
      </c>
      <c r="L27" s="17">
        <v>0.114</v>
      </c>
      <c r="M27" s="17">
        <v>0.14799999999999999</v>
      </c>
      <c r="N27" s="17">
        <v>0.21099999999999999</v>
      </c>
    </row>
    <row r="28" spans="1:14" x14ac:dyDescent="0.25">
      <c r="A28" s="11" t="s">
        <v>547</v>
      </c>
      <c r="B28" s="96" t="str">
        <f t="shared" si="3"/>
        <v>UIM</v>
      </c>
      <c r="C28" s="16"/>
      <c r="D28" s="16">
        <v>0.45200000000000001</v>
      </c>
      <c r="E28" s="16">
        <v>-0.40200000000000002</v>
      </c>
      <c r="F28" s="16">
        <v>0.11700000000000001</v>
      </c>
      <c r="G28" s="16">
        <v>0.755</v>
      </c>
      <c r="H28" s="16">
        <v>0.55500000000000005</v>
      </c>
      <c r="I28" s="16">
        <v>0.438</v>
      </c>
      <c r="J28" s="17">
        <v>0.30499999999999999</v>
      </c>
      <c r="K28" s="17">
        <v>0.35299999999999998</v>
      </c>
      <c r="L28" s="17">
        <v>0.48599999999999999</v>
      </c>
      <c r="M28" s="17">
        <v>0.55700000000000005</v>
      </c>
      <c r="N28" s="17">
        <v>0.49</v>
      </c>
    </row>
    <row r="29" spans="1:14" x14ac:dyDescent="0.25">
      <c r="A29" s="55" t="s">
        <v>548</v>
      </c>
      <c r="B29" s="96" t="str">
        <f>$B$9</f>
        <v>NAC</v>
      </c>
      <c r="C29" s="16"/>
      <c r="D29" s="47">
        <v>0.38900000000000001</v>
      </c>
      <c r="E29" s="47">
        <v>-30.04</v>
      </c>
      <c r="F29" s="47">
        <v>16.158999999999999</v>
      </c>
      <c r="G29" s="47">
        <v>-16.931999999999999</v>
      </c>
      <c r="H29" s="47">
        <v>5.3209999999999997</v>
      </c>
      <c r="I29" s="47">
        <v>-8.3650000000000002</v>
      </c>
      <c r="J29" s="43">
        <v>-5.4930000000000003</v>
      </c>
      <c r="K29" s="43">
        <v>-9.8840000000000003</v>
      </c>
      <c r="L29" s="43">
        <v>-5.665</v>
      </c>
      <c r="M29" s="43">
        <v>-3.9E-2</v>
      </c>
      <c r="N29" s="43">
        <v>4.0709999999999997</v>
      </c>
    </row>
    <row r="30" spans="1:14" x14ac:dyDescent="0.25">
      <c r="A30" s="55" t="s">
        <v>549</v>
      </c>
      <c r="B30" s="11"/>
      <c r="C30" s="16"/>
      <c r="D30" s="57" t="str">
        <f t="shared" ref="D30:N30" si="6">IF(ROUND(D$29-(D$14-D$23+D$26+D$27-D$28),3)=0,"OK","ERROR")</f>
        <v>OK</v>
      </c>
      <c r="E30" s="57" t="str">
        <f t="shared" si="6"/>
        <v>OK</v>
      </c>
      <c r="F30" s="57" t="str">
        <f t="shared" si="6"/>
        <v>OK</v>
      </c>
      <c r="G30" s="57" t="str">
        <f t="shared" si="6"/>
        <v>OK</v>
      </c>
      <c r="H30" s="57" t="str">
        <f t="shared" si="6"/>
        <v>OK</v>
      </c>
      <c r="I30" s="57" t="str">
        <f t="shared" si="6"/>
        <v>OK</v>
      </c>
      <c r="J30" s="57" t="str">
        <f t="shared" si="6"/>
        <v>OK</v>
      </c>
      <c r="K30" s="57" t="str">
        <f t="shared" si="6"/>
        <v>OK</v>
      </c>
      <c r="L30" s="57" t="str">
        <f t="shared" si="6"/>
        <v>OK</v>
      </c>
      <c r="M30" s="57" t="str">
        <f t="shared" si="6"/>
        <v>OK</v>
      </c>
      <c r="N30" s="57" t="str">
        <f t="shared" si="6"/>
        <v>OK</v>
      </c>
    </row>
    <row r="31" spans="1:14" x14ac:dyDescent="0.25">
      <c r="A31" s="55" t="s">
        <v>550</v>
      </c>
      <c r="B31" s="16"/>
      <c r="C31" s="16"/>
      <c r="D31" s="56">
        <f t="shared" ref="D31:N31" si="7">SUM(D$14,-D$23,D$26,D$27)</f>
        <v>0.84100000000000597</v>
      </c>
      <c r="E31" s="56">
        <f t="shared" si="7"/>
        <v>-30.441999999999997</v>
      </c>
      <c r="F31" s="56">
        <f t="shared" si="7"/>
        <v>16.275999999999971</v>
      </c>
      <c r="G31" s="56">
        <f t="shared" si="7"/>
        <v>-16.17700000000001</v>
      </c>
      <c r="H31" s="56">
        <f t="shared" si="7"/>
        <v>5.8760000000000225</v>
      </c>
      <c r="I31" s="56">
        <f t="shared" si="7"/>
        <v>-7.9269999999999987</v>
      </c>
      <c r="J31" s="56">
        <f t="shared" si="7"/>
        <v>-5.1880000000000397</v>
      </c>
      <c r="K31" s="56">
        <f t="shared" si="7"/>
        <v>-9.5309999999999828</v>
      </c>
      <c r="L31" s="56">
        <f t="shared" si="7"/>
        <v>-5.1790000000000305</v>
      </c>
      <c r="M31" s="56">
        <f t="shared" si="7"/>
        <v>0.5179999999999868</v>
      </c>
      <c r="N31" s="56">
        <f t="shared" si="7"/>
        <v>4.561000000000007</v>
      </c>
    </row>
    <row r="32" spans="1:14" x14ac:dyDescent="0.25">
      <c r="A32" s="11" t="s">
        <v>551</v>
      </c>
      <c r="B32" s="96" t="str">
        <f>$B$10</f>
        <v>UIM</v>
      </c>
      <c r="C32" s="16"/>
      <c r="D32" s="16">
        <v>0.115</v>
      </c>
      <c r="E32" s="16">
        <v>-0.54600000000000004</v>
      </c>
      <c r="F32" s="16">
        <v>-5.6000000000000001E-2</v>
      </c>
      <c r="G32" s="16">
        <v>0.39300000000000002</v>
      </c>
      <c r="H32" s="16">
        <v>-0.08</v>
      </c>
      <c r="I32" s="16">
        <v>0.29799999999999999</v>
      </c>
      <c r="J32" s="17">
        <v>2.5999999999999999E-2</v>
      </c>
      <c r="K32" s="17">
        <v>4.4999999999999998E-2</v>
      </c>
      <c r="L32" s="17">
        <v>4.1000000000000002E-2</v>
      </c>
      <c r="M32" s="17">
        <v>4.2000000000000003E-2</v>
      </c>
      <c r="N32" s="17">
        <v>4.3999999999999997E-2</v>
      </c>
    </row>
    <row r="33" spans="1:14" x14ac:dyDescent="0.25">
      <c r="A33" s="55" t="s">
        <v>552</v>
      </c>
      <c r="B33" s="96" t="str">
        <f>$B$9</f>
        <v>NAC</v>
      </c>
      <c r="C33" s="16"/>
      <c r="D33" s="47">
        <v>7.4290000000000003</v>
      </c>
      <c r="E33" s="47">
        <v>-23.056999999999999</v>
      </c>
      <c r="F33" s="47">
        <v>-4.5599999999999996</v>
      </c>
      <c r="G33" s="47">
        <v>-9.6910000000000007</v>
      </c>
      <c r="H33" s="47">
        <v>-9.4459999999999997</v>
      </c>
      <c r="I33" s="47">
        <v>-12.853999999999999</v>
      </c>
      <c r="J33" s="43">
        <v>-14.74</v>
      </c>
      <c r="K33" s="43">
        <v>-15.602</v>
      </c>
      <c r="L33" s="43">
        <v>-11.755000000000001</v>
      </c>
      <c r="M33" s="43">
        <v>-6.6189999999999998</v>
      </c>
      <c r="N33" s="43">
        <v>-3.01</v>
      </c>
    </row>
    <row r="34" spans="1:14" x14ac:dyDescent="0.25">
      <c r="A34" s="55" t="s">
        <v>553</v>
      </c>
      <c r="B34" s="96"/>
      <c r="C34" s="16"/>
      <c r="D34" s="57" t="str">
        <f>IF(ROUND(D$33-(D$29-D$26-D$27+D$32),3)=0,"OK","ERROR")</f>
        <v>OK</v>
      </c>
      <c r="E34" s="57" t="str">
        <f t="shared" ref="E34:N34" si="8">IF(ROUND(E$33-(E$29-E$26-E$27+E$32),3)=0,"OK","ERROR")</f>
        <v>OK</v>
      </c>
      <c r="F34" s="57" t="str">
        <f t="shared" si="8"/>
        <v>OK</v>
      </c>
      <c r="G34" s="57" t="str">
        <f t="shared" si="8"/>
        <v>OK</v>
      </c>
      <c r="H34" s="57" t="str">
        <f t="shared" si="8"/>
        <v>OK</v>
      </c>
      <c r="I34" s="57" t="str">
        <f t="shared" si="8"/>
        <v>OK</v>
      </c>
      <c r="J34" s="57" t="str">
        <f t="shared" si="8"/>
        <v>OK</v>
      </c>
      <c r="K34" s="57" t="str">
        <f t="shared" si="8"/>
        <v>OK</v>
      </c>
      <c r="L34" s="57" t="str">
        <f t="shared" si="8"/>
        <v>OK</v>
      </c>
      <c r="M34" s="57" t="str">
        <f t="shared" si="8"/>
        <v>OK</v>
      </c>
      <c r="N34" s="57" t="str">
        <f t="shared" si="8"/>
        <v>OK</v>
      </c>
    </row>
    <row r="35" spans="1:14" x14ac:dyDescent="0.25">
      <c r="A35" s="11" t="s">
        <v>1236</v>
      </c>
      <c r="B35" s="96" t="str">
        <f t="shared" ref="B35:B36" si="9">$B$10</f>
        <v>UIM</v>
      </c>
      <c r="C35" s="16"/>
      <c r="D35" s="16">
        <v>5.827</v>
      </c>
      <c r="E35" s="16">
        <v>5.73</v>
      </c>
      <c r="F35" s="16">
        <v>6.1950000000000003</v>
      </c>
      <c r="G35" s="16">
        <v>6.625</v>
      </c>
      <c r="H35" s="16">
        <v>7.39</v>
      </c>
      <c r="I35" s="16">
        <v>7.9290000000000003</v>
      </c>
      <c r="J35" s="17">
        <v>8.5640000000000001</v>
      </c>
      <c r="K35" s="17">
        <v>9.0779999999999994</v>
      </c>
      <c r="L35" s="17">
        <v>9.76</v>
      </c>
      <c r="M35" s="17">
        <v>10.48</v>
      </c>
      <c r="N35" s="17">
        <v>11.268000000000001</v>
      </c>
    </row>
    <row r="36" spans="1:14" x14ac:dyDescent="0.25">
      <c r="A36" s="11" t="s">
        <v>1237</v>
      </c>
      <c r="B36" s="96" t="str">
        <f t="shared" si="9"/>
        <v>UIM</v>
      </c>
      <c r="C36" s="16"/>
      <c r="D36" s="16">
        <v>6.9020000000000001</v>
      </c>
      <c r="E36" s="16">
        <v>7.8849999999999998</v>
      </c>
      <c r="F36" s="16">
        <v>8.1959999999999997</v>
      </c>
      <c r="G36" s="16">
        <v>7.6520000000000001</v>
      </c>
      <c r="H36" s="16">
        <v>9.6370000000000005</v>
      </c>
      <c r="I36" s="16">
        <v>12.01</v>
      </c>
      <c r="J36" s="17">
        <v>13.129</v>
      </c>
      <c r="K36" s="17">
        <v>12.605</v>
      </c>
      <c r="L36" s="17">
        <v>13.37</v>
      </c>
      <c r="M36" s="17">
        <v>14.006</v>
      </c>
      <c r="N36" s="17">
        <v>14.492000000000001</v>
      </c>
    </row>
    <row r="37" spans="1:14" x14ac:dyDescent="0.25">
      <c r="A37" s="9" t="s">
        <v>1238</v>
      </c>
      <c r="B37" s="96" t="str">
        <f>$B$9</f>
        <v>NAC</v>
      </c>
      <c r="C37" s="16"/>
      <c r="D37" s="47">
        <v>8.5039999999999996</v>
      </c>
      <c r="E37" s="47">
        <v>-20.902000000000001</v>
      </c>
      <c r="F37" s="47">
        <v>-2.5590000000000002</v>
      </c>
      <c r="G37" s="47">
        <v>-8.6639999999999997</v>
      </c>
      <c r="H37" s="47">
        <v>-7.1989999999999998</v>
      </c>
      <c r="I37" s="47">
        <v>-8.7729999999999997</v>
      </c>
      <c r="J37" s="43">
        <v>-10.175000000000001</v>
      </c>
      <c r="K37" s="43">
        <v>-12.074999999999999</v>
      </c>
      <c r="L37" s="43">
        <v>-8.1449999999999996</v>
      </c>
      <c r="M37" s="43">
        <v>-3.093</v>
      </c>
      <c r="N37" s="43">
        <v>0.214</v>
      </c>
    </row>
    <row r="38" spans="1:14" x14ac:dyDescent="0.25">
      <c r="A38" s="55" t="s">
        <v>1239</v>
      </c>
      <c r="B38" s="96"/>
      <c r="C38" s="16"/>
      <c r="D38" s="57" t="str">
        <f>IF(ROUND(D$37-(D$33-(D$35-D$36)),3)=0,"OK","ERROR")</f>
        <v>OK</v>
      </c>
      <c r="E38" s="57" t="str">
        <f t="shared" ref="E38:N38" si="10">IF(ROUND(E$37-(E$33-(E$35-E$36)),3)=0,"OK","ERROR")</f>
        <v>OK</v>
      </c>
      <c r="F38" s="57" t="str">
        <f t="shared" si="10"/>
        <v>OK</v>
      </c>
      <c r="G38" s="57" t="str">
        <f t="shared" si="10"/>
        <v>OK</v>
      </c>
      <c r="H38" s="57" t="str">
        <f t="shared" si="10"/>
        <v>OK</v>
      </c>
      <c r="I38" s="57" t="str">
        <f t="shared" si="10"/>
        <v>OK</v>
      </c>
      <c r="J38" s="57" t="str">
        <f t="shared" si="10"/>
        <v>OK</v>
      </c>
      <c r="K38" s="57" t="str">
        <f t="shared" si="10"/>
        <v>OK</v>
      </c>
      <c r="L38" s="57" t="str">
        <f t="shared" si="10"/>
        <v>OK</v>
      </c>
      <c r="M38" s="57" t="str">
        <f t="shared" si="10"/>
        <v>OK</v>
      </c>
      <c r="N38" s="57" t="str">
        <f t="shared" si="10"/>
        <v>OK</v>
      </c>
    </row>
    <row r="39" spans="1:14" x14ac:dyDescent="0.25">
      <c r="A39" s="55" t="s">
        <v>554</v>
      </c>
      <c r="B39" s="96"/>
      <c r="C39" s="16"/>
      <c r="D39" s="16"/>
      <c r="E39" s="16"/>
      <c r="F39" s="16"/>
      <c r="G39" s="16"/>
      <c r="H39" s="16"/>
      <c r="I39" s="16"/>
      <c r="J39" s="16"/>
      <c r="K39" s="16"/>
      <c r="L39" s="16"/>
      <c r="M39" s="16"/>
      <c r="N39" s="16"/>
    </row>
    <row r="40" spans="1:14" x14ac:dyDescent="0.25">
      <c r="A40" s="11" t="s">
        <v>555</v>
      </c>
      <c r="B40" s="96" t="str">
        <f>$B$10</f>
        <v>UIM</v>
      </c>
      <c r="C40" s="16"/>
      <c r="D40" s="16">
        <v>33.902000000000001</v>
      </c>
      <c r="E40" s="16">
        <v>49.9</v>
      </c>
      <c r="F40" s="16">
        <v>42.892000000000003</v>
      </c>
      <c r="G40" s="16">
        <v>48.302999999999997</v>
      </c>
      <c r="H40" s="16">
        <v>48.844999999999999</v>
      </c>
      <c r="I40" s="16">
        <v>53.996000000000002</v>
      </c>
      <c r="J40" s="17">
        <v>57.838999999999999</v>
      </c>
      <c r="K40" s="17">
        <v>59.475000000000001</v>
      </c>
      <c r="L40" s="17">
        <v>61.591000000000001</v>
      </c>
      <c r="M40" s="17">
        <v>63.673000000000002</v>
      </c>
      <c r="N40" s="17">
        <v>65.144000000000005</v>
      </c>
    </row>
    <row r="41" spans="1:14" x14ac:dyDescent="0.25">
      <c r="A41" s="11" t="s">
        <v>556</v>
      </c>
      <c r="B41" s="96" t="str">
        <f t="shared" ref="B41:B53" si="11">$B$10</f>
        <v>UIM</v>
      </c>
      <c r="C41" s="16"/>
      <c r="D41" s="16">
        <v>18.66</v>
      </c>
      <c r="E41" s="16">
        <v>20.469000000000001</v>
      </c>
      <c r="F41" s="16">
        <v>22.597999999999999</v>
      </c>
      <c r="G41" s="16">
        <v>27.658000000000001</v>
      </c>
      <c r="H41" s="16">
        <v>29.824000000000002</v>
      </c>
      <c r="I41" s="16">
        <v>29.84</v>
      </c>
      <c r="J41" s="17">
        <v>30.713000000000001</v>
      </c>
      <c r="K41" s="17">
        <v>31.224</v>
      </c>
      <c r="L41" s="17">
        <v>32.524999999999999</v>
      </c>
      <c r="M41" s="17">
        <v>32.313000000000002</v>
      </c>
      <c r="N41" s="17">
        <v>32.295999999999999</v>
      </c>
    </row>
    <row r="42" spans="1:14" x14ac:dyDescent="0.25">
      <c r="A42" s="11" t="s">
        <v>557</v>
      </c>
      <c r="B42" s="96" t="str">
        <f t="shared" si="11"/>
        <v>UIM</v>
      </c>
      <c r="C42" s="16"/>
      <c r="D42" s="16">
        <v>15.28</v>
      </c>
      <c r="E42" s="16">
        <v>17.581</v>
      </c>
      <c r="F42" s="16">
        <v>17.384</v>
      </c>
      <c r="G42" s="16">
        <v>18.911000000000001</v>
      </c>
      <c r="H42" s="16">
        <v>19.609000000000002</v>
      </c>
      <c r="I42" s="16">
        <v>21.186</v>
      </c>
      <c r="J42" s="17">
        <v>22.324000000000002</v>
      </c>
      <c r="K42" s="17">
        <v>22.949000000000002</v>
      </c>
      <c r="L42" s="17">
        <v>22.936</v>
      </c>
      <c r="M42" s="17">
        <v>22.811</v>
      </c>
      <c r="N42" s="17">
        <v>22.882000000000001</v>
      </c>
    </row>
    <row r="43" spans="1:14" x14ac:dyDescent="0.25">
      <c r="A43" s="11" t="s">
        <v>558</v>
      </c>
      <c r="B43" s="96" t="str">
        <f t="shared" si="11"/>
        <v>UIM</v>
      </c>
      <c r="C43" s="16"/>
      <c r="D43" s="16">
        <v>4.7320000000000002</v>
      </c>
      <c r="E43" s="16">
        <v>5.8689999999999998</v>
      </c>
      <c r="F43" s="16">
        <v>5.6020000000000003</v>
      </c>
      <c r="G43" s="16">
        <v>5.4260000000000002</v>
      </c>
      <c r="H43" s="16">
        <v>6.6630000000000003</v>
      </c>
      <c r="I43" s="16">
        <v>8.1780000000000008</v>
      </c>
      <c r="J43" s="17">
        <v>7.9550000000000001</v>
      </c>
      <c r="K43" s="17">
        <v>6.5519999999999996</v>
      </c>
      <c r="L43" s="17">
        <v>6.702</v>
      </c>
      <c r="M43" s="17">
        <v>6.0140000000000002</v>
      </c>
      <c r="N43" s="17">
        <v>6.1180000000000003</v>
      </c>
    </row>
    <row r="44" spans="1:14" x14ac:dyDescent="0.25">
      <c r="A44" s="11" t="s">
        <v>559</v>
      </c>
      <c r="B44" s="96" t="str">
        <f t="shared" si="11"/>
        <v>UIM</v>
      </c>
      <c r="C44" s="16"/>
      <c r="D44" s="16">
        <v>5.05</v>
      </c>
      <c r="E44" s="16">
        <v>5.3040000000000003</v>
      </c>
      <c r="F44" s="16">
        <v>5.5330000000000004</v>
      </c>
      <c r="G44" s="16">
        <v>5.9210000000000003</v>
      </c>
      <c r="H44" s="16">
        <v>6.6660000000000004</v>
      </c>
      <c r="I44" s="16">
        <v>7.0720000000000001</v>
      </c>
      <c r="J44" s="17">
        <v>7.55</v>
      </c>
      <c r="K44" s="17">
        <v>7.9459999999999997</v>
      </c>
      <c r="L44" s="17">
        <v>7.7690000000000001</v>
      </c>
      <c r="M44" s="17">
        <v>7.7460000000000004</v>
      </c>
      <c r="N44" s="17">
        <v>7.6929999999999996</v>
      </c>
    </row>
    <row r="45" spans="1:14" x14ac:dyDescent="0.25">
      <c r="A45" s="11" t="s">
        <v>560</v>
      </c>
      <c r="B45" s="96" t="str">
        <f t="shared" si="11"/>
        <v>UIM</v>
      </c>
      <c r="C45" s="16"/>
      <c r="D45" s="16">
        <v>8.4290000000000003</v>
      </c>
      <c r="E45" s="16">
        <v>12.962</v>
      </c>
      <c r="F45" s="16">
        <v>10.335000000000001</v>
      </c>
      <c r="G45" s="16">
        <v>9.5280000000000005</v>
      </c>
      <c r="H45" s="16">
        <v>14.428000000000001</v>
      </c>
      <c r="I45" s="16">
        <v>16.733000000000001</v>
      </c>
      <c r="J45" s="17">
        <v>16.224</v>
      </c>
      <c r="K45" s="17">
        <v>18.323</v>
      </c>
      <c r="L45" s="17">
        <v>16.518999999999998</v>
      </c>
      <c r="M45" s="17">
        <v>16.111999999999998</v>
      </c>
      <c r="N45" s="17">
        <v>16.712</v>
      </c>
    </row>
    <row r="46" spans="1:14" x14ac:dyDescent="0.25">
      <c r="A46" s="11" t="s">
        <v>561</v>
      </c>
      <c r="B46" s="96" t="str">
        <f t="shared" si="11"/>
        <v>UIM</v>
      </c>
      <c r="C46" s="16"/>
      <c r="D46" s="16">
        <v>10.433</v>
      </c>
      <c r="E46" s="16">
        <v>11.246</v>
      </c>
      <c r="F46" s="16">
        <v>13.429</v>
      </c>
      <c r="G46" s="16">
        <v>16.672999999999998</v>
      </c>
      <c r="H46" s="16">
        <v>12.384</v>
      </c>
      <c r="I46" s="16">
        <v>16.007999999999999</v>
      </c>
      <c r="J46" s="17">
        <v>16.617000000000001</v>
      </c>
      <c r="K46" s="17">
        <v>15.885999999999999</v>
      </c>
      <c r="L46" s="17">
        <v>15.853</v>
      </c>
      <c r="M46" s="17">
        <v>16.274000000000001</v>
      </c>
      <c r="N46" s="17">
        <v>16.192</v>
      </c>
    </row>
    <row r="47" spans="1:14" x14ac:dyDescent="0.25">
      <c r="A47" s="11" t="s">
        <v>562</v>
      </c>
      <c r="B47" s="96" t="str">
        <f t="shared" si="11"/>
        <v>UIM</v>
      </c>
      <c r="C47" s="16"/>
      <c r="D47" s="16">
        <v>2.39</v>
      </c>
      <c r="E47" s="16">
        <v>2.4820000000000002</v>
      </c>
      <c r="F47" s="16">
        <v>2.6480000000000001</v>
      </c>
      <c r="G47" s="16">
        <v>2.8029999999999999</v>
      </c>
      <c r="H47" s="16">
        <v>2.8380000000000001</v>
      </c>
      <c r="I47" s="16">
        <v>3.125</v>
      </c>
      <c r="J47" s="17">
        <v>3.2730000000000001</v>
      </c>
      <c r="K47" s="17">
        <v>3.5070000000000001</v>
      </c>
      <c r="L47" s="17">
        <v>3.5289999999999999</v>
      </c>
      <c r="M47" s="17">
        <v>3.5470000000000002</v>
      </c>
      <c r="N47" s="17">
        <v>3.5350000000000001</v>
      </c>
    </row>
    <row r="48" spans="1:14" x14ac:dyDescent="0.25">
      <c r="A48" s="11" t="s">
        <v>563</v>
      </c>
      <c r="B48" s="96" t="str">
        <f t="shared" si="11"/>
        <v>UIM</v>
      </c>
      <c r="C48" s="16"/>
      <c r="D48" s="16">
        <v>2.5030000000000001</v>
      </c>
      <c r="E48" s="16">
        <v>2.9039999999999999</v>
      </c>
      <c r="F48" s="16">
        <v>3.0230000000000001</v>
      </c>
      <c r="G48" s="16">
        <v>3.26</v>
      </c>
      <c r="H48" s="16">
        <v>3.4169999999999998</v>
      </c>
      <c r="I48" s="16">
        <v>3.6080000000000001</v>
      </c>
      <c r="J48" s="17">
        <v>3.2730000000000001</v>
      </c>
      <c r="K48" s="17">
        <v>3.3679999999999999</v>
      </c>
      <c r="L48" s="17">
        <v>3.4129999999999998</v>
      </c>
      <c r="M48" s="17">
        <v>3.4409999999999998</v>
      </c>
      <c r="N48" s="17">
        <v>3.4740000000000002</v>
      </c>
    </row>
    <row r="49" spans="1:14" x14ac:dyDescent="0.25">
      <c r="A49" s="11" t="s">
        <v>564</v>
      </c>
      <c r="B49" s="96" t="str">
        <f t="shared" si="11"/>
        <v>UIM</v>
      </c>
      <c r="C49" s="16"/>
      <c r="D49" s="16">
        <v>2.395</v>
      </c>
      <c r="E49" s="16">
        <v>2.4300000000000002</v>
      </c>
      <c r="F49" s="16">
        <v>2.3980000000000001</v>
      </c>
      <c r="G49" s="16">
        <v>2.302</v>
      </c>
      <c r="H49" s="16">
        <v>2.74</v>
      </c>
      <c r="I49" s="16">
        <v>2.6360000000000001</v>
      </c>
      <c r="J49" s="17">
        <v>2.8730000000000002</v>
      </c>
      <c r="K49" s="17">
        <v>2.5169999999999999</v>
      </c>
      <c r="L49" s="17">
        <v>2.4580000000000002</v>
      </c>
      <c r="M49" s="17">
        <v>2.4089999999999998</v>
      </c>
      <c r="N49" s="17">
        <v>2.3610000000000002</v>
      </c>
    </row>
    <row r="50" spans="1:14" x14ac:dyDescent="0.25">
      <c r="A50" s="11" t="s">
        <v>565</v>
      </c>
      <c r="B50" s="96" t="str">
        <f t="shared" si="11"/>
        <v>UIM</v>
      </c>
      <c r="C50" s="16"/>
      <c r="D50" s="16">
        <v>2.02</v>
      </c>
      <c r="E50" s="16">
        <v>2.3929999999999998</v>
      </c>
      <c r="F50" s="16">
        <v>3.351</v>
      </c>
      <c r="G50" s="16">
        <v>3.9350000000000001</v>
      </c>
      <c r="H50" s="16">
        <v>4.3959999999999999</v>
      </c>
      <c r="I50" s="16">
        <v>4.7889999999999997</v>
      </c>
      <c r="J50" s="17">
        <v>4.8079999999999998</v>
      </c>
      <c r="K50" s="17">
        <v>4.7279999999999998</v>
      </c>
      <c r="L50" s="17">
        <v>4.7789999999999999</v>
      </c>
      <c r="M50" s="17">
        <v>4.4660000000000002</v>
      </c>
      <c r="N50" s="17">
        <v>4.4660000000000002</v>
      </c>
    </row>
    <row r="51" spans="1:14" x14ac:dyDescent="0.25">
      <c r="A51" s="11" t="s">
        <v>566</v>
      </c>
      <c r="B51" s="96" t="str">
        <f t="shared" si="11"/>
        <v>UIM</v>
      </c>
      <c r="C51" s="16"/>
      <c r="D51" s="16">
        <v>1.1080000000000001</v>
      </c>
      <c r="E51" s="16">
        <v>1.472</v>
      </c>
      <c r="F51" s="16">
        <v>1.889</v>
      </c>
      <c r="G51" s="16">
        <v>2.5350000000000001</v>
      </c>
      <c r="H51" s="16">
        <v>2.3530000000000002</v>
      </c>
      <c r="I51" s="16">
        <v>2.2770000000000001</v>
      </c>
      <c r="J51" s="17">
        <v>2.71</v>
      </c>
      <c r="K51" s="17">
        <v>2.6110000000000002</v>
      </c>
      <c r="L51" s="17">
        <v>2.617</v>
      </c>
      <c r="M51" s="17">
        <v>2.577</v>
      </c>
      <c r="N51" s="17">
        <v>2.601</v>
      </c>
    </row>
    <row r="52" spans="1:14" x14ac:dyDescent="0.25">
      <c r="A52" s="11" t="s">
        <v>567</v>
      </c>
      <c r="B52" s="96" t="str">
        <f t="shared" si="11"/>
        <v>UIM</v>
      </c>
      <c r="C52" s="16"/>
      <c r="D52" s="16">
        <v>0.08</v>
      </c>
      <c r="E52" s="16">
        <v>8.6999999999999994E-2</v>
      </c>
      <c r="F52" s="16">
        <v>0.114</v>
      </c>
      <c r="G52" s="16">
        <v>0.11</v>
      </c>
      <c r="H52" s="16">
        <v>7.8E-2</v>
      </c>
      <c r="I52" s="16">
        <v>9.4E-2</v>
      </c>
      <c r="J52" s="17">
        <v>8.5999999999999993E-2</v>
      </c>
      <c r="K52" s="17">
        <v>8.5999999999999993E-2</v>
      </c>
      <c r="L52" s="17">
        <v>8.5000000000000006E-2</v>
      </c>
      <c r="M52" s="17">
        <v>8.4000000000000005E-2</v>
      </c>
      <c r="N52" s="17">
        <v>8.3000000000000004E-2</v>
      </c>
    </row>
    <row r="53" spans="1:14" x14ac:dyDescent="0.25">
      <c r="A53" s="11" t="s">
        <v>568</v>
      </c>
      <c r="B53" s="96" t="str">
        <f t="shared" si="11"/>
        <v>UIM</v>
      </c>
      <c r="C53" s="16"/>
      <c r="D53" s="16">
        <v>9.6000000000000002E-2</v>
      </c>
      <c r="E53" s="16">
        <v>6.3E-2</v>
      </c>
      <c r="F53" s="16">
        <v>0.254</v>
      </c>
      <c r="G53" s="16">
        <v>0.24199999999999999</v>
      </c>
      <c r="H53" s="16">
        <v>0.13300000000000001</v>
      </c>
      <c r="I53" s="16">
        <v>0.14499999999999999</v>
      </c>
      <c r="J53" s="17">
        <v>0.255</v>
      </c>
      <c r="K53" s="17">
        <v>9.2999999999999999E-2</v>
      </c>
      <c r="L53" s="17">
        <v>0.316</v>
      </c>
      <c r="M53" s="17">
        <v>0.316</v>
      </c>
      <c r="N53" s="17">
        <v>0.316</v>
      </c>
    </row>
    <row r="54" spans="1:14" x14ac:dyDescent="0.25">
      <c r="A54" s="11" t="s">
        <v>569</v>
      </c>
      <c r="B54" s="96" t="str">
        <f>$B$9</f>
        <v>NAC</v>
      </c>
      <c r="C54" s="16"/>
      <c r="D54" s="16">
        <v>4.298</v>
      </c>
      <c r="E54" s="16">
        <v>3.754</v>
      </c>
      <c r="F54" s="16">
        <v>2.2719999999999998</v>
      </c>
      <c r="G54" s="16">
        <v>3.3490000000000002</v>
      </c>
      <c r="H54" s="16">
        <v>7.4480000000000004</v>
      </c>
      <c r="I54" s="16">
        <v>10.374000000000001</v>
      </c>
      <c r="J54" s="17">
        <v>10.311999999999999</v>
      </c>
      <c r="K54" s="17">
        <v>11.073</v>
      </c>
      <c r="L54" s="17">
        <v>12.122</v>
      </c>
      <c r="M54" s="17">
        <v>13.342000000000001</v>
      </c>
      <c r="N54" s="17">
        <v>14.398999999999999</v>
      </c>
    </row>
    <row r="55" spans="1:14" x14ac:dyDescent="0.25">
      <c r="A55" s="55" t="s">
        <v>570</v>
      </c>
      <c r="B55" s="16"/>
      <c r="C55" s="16"/>
      <c r="D55" s="56">
        <f t="shared" ref="D55:N55" si="12">SUM(D$21:D$22,D$40:D$54)</f>
        <v>111.37599999999999</v>
      </c>
      <c r="E55" s="56">
        <f t="shared" si="12"/>
        <v>138.916</v>
      </c>
      <c r="F55" s="56">
        <f t="shared" si="12"/>
        <v>133.72200000000001</v>
      </c>
      <c r="G55" s="56">
        <f t="shared" si="12"/>
        <v>150.95599999999999</v>
      </c>
      <c r="H55" s="56">
        <f t="shared" si="12"/>
        <v>161.822</v>
      </c>
      <c r="I55" s="56">
        <f t="shared" si="12"/>
        <v>180.06099999999998</v>
      </c>
      <c r="J55" s="56">
        <f t="shared" si="12"/>
        <v>184.11199999999999</v>
      </c>
      <c r="K55" s="56">
        <f t="shared" si="12"/>
        <v>191.15800000000002</v>
      </c>
      <c r="L55" s="56">
        <f t="shared" si="12"/>
        <v>195.33300000000003</v>
      </c>
      <c r="M55" s="56">
        <f t="shared" si="12"/>
        <v>199.89400000000003</v>
      </c>
      <c r="N55" s="56">
        <f t="shared" si="12"/>
        <v>205.57499999999999</v>
      </c>
    </row>
    <row r="56" spans="1:14" x14ac:dyDescent="0.25">
      <c r="A56" s="55" t="s">
        <v>571</v>
      </c>
      <c r="B56" s="11"/>
      <c r="C56" s="16"/>
      <c r="D56" s="16"/>
      <c r="E56" s="16"/>
      <c r="F56" s="16"/>
      <c r="G56" s="16"/>
      <c r="H56" s="16"/>
      <c r="I56" s="16"/>
      <c r="J56" s="16"/>
      <c r="K56" s="16"/>
      <c r="L56" s="16"/>
      <c r="M56" s="16"/>
      <c r="N56" s="16"/>
    </row>
    <row r="57" spans="1:14" x14ac:dyDescent="0.25">
      <c r="A57" s="11" t="s">
        <v>555</v>
      </c>
      <c r="B57" s="96" t="str">
        <f t="shared" ref="B57:B70" si="13">$B$10</f>
        <v>UIM</v>
      </c>
      <c r="C57" s="16"/>
      <c r="D57" s="16">
        <v>28.74</v>
      </c>
      <c r="E57" s="16">
        <v>44.027999999999999</v>
      </c>
      <c r="F57" s="16">
        <v>36.759</v>
      </c>
      <c r="G57" s="16">
        <v>42.86</v>
      </c>
      <c r="H57" s="16">
        <v>41.514000000000003</v>
      </c>
      <c r="I57" s="16">
        <v>44.588999999999999</v>
      </c>
      <c r="J57" s="17">
        <v>47.671999999999997</v>
      </c>
      <c r="K57" s="17">
        <v>50.161000000000001</v>
      </c>
      <c r="L57" s="17">
        <v>51.673000000000002</v>
      </c>
      <c r="M57" s="17">
        <v>53.234999999999999</v>
      </c>
      <c r="N57" s="17">
        <v>54.317999999999998</v>
      </c>
    </row>
    <row r="58" spans="1:14" x14ac:dyDescent="0.25">
      <c r="A58" s="11" t="s">
        <v>556</v>
      </c>
      <c r="B58" s="96" t="str">
        <f t="shared" si="13"/>
        <v>UIM</v>
      </c>
      <c r="C58" s="16"/>
      <c r="D58" s="16">
        <v>18.268000000000001</v>
      </c>
      <c r="E58" s="16">
        <v>19.890999999999998</v>
      </c>
      <c r="F58" s="16">
        <v>22.783999999999999</v>
      </c>
      <c r="G58" s="16">
        <v>27.780999999999999</v>
      </c>
      <c r="H58" s="16">
        <v>28.489000000000001</v>
      </c>
      <c r="I58" s="16">
        <v>29.998999999999999</v>
      </c>
      <c r="J58" s="17">
        <v>30.934999999999999</v>
      </c>
      <c r="K58" s="17">
        <v>32.709000000000003</v>
      </c>
      <c r="L58" s="17">
        <v>34.055</v>
      </c>
      <c r="M58" s="17">
        <v>34.194000000000003</v>
      </c>
      <c r="N58" s="17">
        <v>34.340000000000003</v>
      </c>
    </row>
    <row r="59" spans="1:14" x14ac:dyDescent="0.25">
      <c r="A59" s="11" t="s">
        <v>557</v>
      </c>
      <c r="B59" s="96" t="str">
        <f t="shared" si="13"/>
        <v>UIM</v>
      </c>
      <c r="C59" s="16"/>
      <c r="D59" s="16">
        <v>14.292999999999999</v>
      </c>
      <c r="E59" s="16">
        <v>16.321999999999999</v>
      </c>
      <c r="F59" s="16">
        <v>16.039000000000001</v>
      </c>
      <c r="G59" s="16">
        <v>18.023</v>
      </c>
      <c r="H59" s="16">
        <v>18.402999999999999</v>
      </c>
      <c r="I59" s="16">
        <v>20.222999999999999</v>
      </c>
      <c r="J59" s="17">
        <v>20.922000000000001</v>
      </c>
      <c r="K59" s="17">
        <v>21.454000000000001</v>
      </c>
      <c r="L59" s="17">
        <v>21.38</v>
      </c>
      <c r="M59" s="17">
        <v>21.178999999999998</v>
      </c>
      <c r="N59" s="17">
        <v>21.196999999999999</v>
      </c>
    </row>
    <row r="60" spans="1:14" x14ac:dyDescent="0.25">
      <c r="A60" s="11" t="s">
        <v>558</v>
      </c>
      <c r="B60" s="96" t="str">
        <f t="shared" si="13"/>
        <v>UIM</v>
      </c>
      <c r="C60" s="16"/>
      <c r="D60" s="16">
        <v>5.1660000000000004</v>
      </c>
      <c r="E60" s="16">
        <v>6.0830000000000002</v>
      </c>
      <c r="F60" s="16">
        <v>5.7539999999999996</v>
      </c>
      <c r="G60" s="16">
        <v>5.72</v>
      </c>
      <c r="H60" s="16">
        <v>6.806</v>
      </c>
      <c r="I60" s="16">
        <v>8.468</v>
      </c>
      <c r="J60" s="17">
        <v>8.2829999999999995</v>
      </c>
      <c r="K60" s="17">
        <v>6.7229999999999999</v>
      </c>
      <c r="L60" s="17">
        <v>6.7919999999999998</v>
      </c>
      <c r="M60" s="17">
        <v>6.1539999999999999</v>
      </c>
      <c r="N60" s="17">
        <v>6.2140000000000004</v>
      </c>
    </row>
    <row r="61" spans="1:14" x14ac:dyDescent="0.25">
      <c r="A61" s="11" t="s">
        <v>559</v>
      </c>
      <c r="B61" s="96" t="str">
        <f t="shared" si="13"/>
        <v>UIM</v>
      </c>
      <c r="C61" s="16"/>
      <c r="D61" s="16">
        <v>4.625</v>
      </c>
      <c r="E61" s="16">
        <v>4.9109999999999996</v>
      </c>
      <c r="F61" s="16">
        <v>5.202</v>
      </c>
      <c r="G61" s="16">
        <v>5.444</v>
      </c>
      <c r="H61" s="16">
        <v>6.165</v>
      </c>
      <c r="I61" s="16">
        <v>6.5270000000000001</v>
      </c>
      <c r="J61" s="17">
        <v>6.9779999999999998</v>
      </c>
      <c r="K61" s="17">
        <v>7.3419999999999996</v>
      </c>
      <c r="L61" s="17">
        <v>7.2629999999999999</v>
      </c>
      <c r="M61" s="17">
        <v>7.1130000000000004</v>
      </c>
      <c r="N61" s="17">
        <v>7.0720000000000001</v>
      </c>
    </row>
    <row r="62" spans="1:14" x14ac:dyDescent="0.25">
      <c r="A62" s="11" t="s">
        <v>560</v>
      </c>
      <c r="B62" s="96" t="str">
        <f t="shared" si="13"/>
        <v>UIM</v>
      </c>
      <c r="C62" s="16"/>
      <c r="D62" s="16">
        <v>2.8889999999999998</v>
      </c>
      <c r="E62" s="16">
        <v>3.1789999999999998</v>
      </c>
      <c r="F62" s="16">
        <v>5.6559999999999997</v>
      </c>
      <c r="G62" s="16">
        <v>4.657</v>
      </c>
      <c r="H62" s="16">
        <v>5.4720000000000004</v>
      </c>
      <c r="I62" s="16">
        <v>5.4870000000000001</v>
      </c>
      <c r="J62" s="17">
        <v>5.9160000000000004</v>
      </c>
      <c r="K62" s="17">
        <v>7.226</v>
      </c>
      <c r="L62" s="17">
        <v>5.0199999999999996</v>
      </c>
      <c r="M62" s="17">
        <v>4.7279999999999998</v>
      </c>
      <c r="N62" s="17">
        <v>5.1059999999999999</v>
      </c>
    </row>
    <row r="63" spans="1:14" x14ac:dyDescent="0.25">
      <c r="A63" s="11" t="s">
        <v>561</v>
      </c>
      <c r="B63" s="96" t="str">
        <f t="shared" si="13"/>
        <v>UIM</v>
      </c>
      <c r="C63" s="16"/>
      <c r="D63" s="16">
        <v>3.0059999999999998</v>
      </c>
      <c r="E63" s="16">
        <v>3.988</v>
      </c>
      <c r="F63" s="16">
        <v>4.4809999999999999</v>
      </c>
      <c r="G63" s="16">
        <v>8.0779999999999994</v>
      </c>
      <c r="H63" s="16">
        <v>3.69</v>
      </c>
      <c r="I63" s="16">
        <v>4.01</v>
      </c>
      <c r="J63" s="17">
        <v>3.903</v>
      </c>
      <c r="K63" s="17">
        <v>3.2349999999999999</v>
      </c>
      <c r="L63" s="17">
        <v>3.1219999999999999</v>
      </c>
      <c r="M63" s="17">
        <v>2.9279999999999999</v>
      </c>
      <c r="N63" s="17">
        <v>2.895</v>
      </c>
    </row>
    <row r="64" spans="1:14" x14ac:dyDescent="0.25">
      <c r="A64" s="11" t="s">
        <v>562</v>
      </c>
      <c r="B64" s="96" t="str">
        <f t="shared" si="13"/>
        <v>UIM</v>
      </c>
      <c r="C64" s="16"/>
      <c r="D64" s="16">
        <v>2.395</v>
      </c>
      <c r="E64" s="16">
        <v>2.4990000000000001</v>
      </c>
      <c r="F64" s="16">
        <v>2.6640000000000001</v>
      </c>
      <c r="G64" s="16">
        <v>2.8319999999999999</v>
      </c>
      <c r="H64" s="16">
        <v>2.8860000000000001</v>
      </c>
      <c r="I64" s="16">
        <v>3.1629999999999998</v>
      </c>
      <c r="J64" s="17">
        <v>3.3180000000000001</v>
      </c>
      <c r="K64" s="17">
        <v>3.552</v>
      </c>
      <c r="L64" s="17">
        <v>3.5750000000000002</v>
      </c>
      <c r="M64" s="17">
        <v>3.593</v>
      </c>
      <c r="N64" s="17">
        <v>3.581</v>
      </c>
    </row>
    <row r="65" spans="1:14" x14ac:dyDescent="0.25">
      <c r="A65" s="11" t="s">
        <v>563</v>
      </c>
      <c r="B65" s="96" t="str">
        <f t="shared" si="13"/>
        <v>UIM</v>
      </c>
      <c r="C65" s="16"/>
      <c r="D65" s="16">
        <v>0.91800000000000004</v>
      </c>
      <c r="E65" s="16">
        <v>1.1060000000000001</v>
      </c>
      <c r="F65" s="16">
        <v>1.42</v>
      </c>
      <c r="G65" s="16">
        <v>1.468</v>
      </c>
      <c r="H65" s="16">
        <v>1.5369999999999999</v>
      </c>
      <c r="I65" s="16">
        <v>1.504</v>
      </c>
      <c r="J65" s="17">
        <v>1.4570000000000001</v>
      </c>
      <c r="K65" s="17">
        <v>1.4159999999999999</v>
      </c>
      <c r="L65" s="17">
        <v>1.36</v>
      </c>
      <c r="M65" s="17">
        <v>1.3360000000000001</v>
      </c>
      <c r="N65" s="17">
        <v>1.3069999999999999</v>
      </c>
    </row>
    <row r="66" spans="1:14" x14ac:dyDescent="0.25">
      <c r="A66" s="11" t="s">
        <v>564</v>
      </c>
      <c r="B66" s="96" t="str">
        <f t="shared" si="13"/>
        <v>UIM</v>
      </c>
      <c r="C66" s="16"/>
      <c r="D66" s="16">
        <v>0.96</v>
      </c>
      <c r="E66" s="16">
        <v>0.96099999999999997</v>
      </c>
      <c r="F66" s="16">
        <v>1.0149999999999999</v>
      </c>
      <c r="G66" s="16">
        <v>0.94899999999999995</v>
      </c>
      <c r="H66" s="16">
        <v>1.1559999999999999</v>
      </c>
      <c r="I66" s="16">
        <v>1.0620000000000001</v>
      </c>
      <c r="J66" s="17">
        <v>1.2569999999999999</v>
      </c>
      <c r="K66" s="17">
        <v>1.0449999999999999</v>
      </c>
      <c r="L66" s="17">
        <v>0.97799999999999998</v>
      </c>
      <c r="M66" s="17">
        <v>0.95899999999999996</v>
      </c>
      <c r="N66" s="17">
        <v>0.95499999999999996</v>
      </c>
    </row>
    <row r="67" spans="1:14" x14ac:dyDescent="0.25">
      <c r="A67" s="11" t="s">
        <v>565</v>
      </c>
      <c r="B67" s="96" t="str">
        <f t="shared" si="13"/>
        <v>UIM</v>
      </c>
      <c r="C67" s="16"/>
      <c r="D67" s="16">
        <v>0.72699999999999998</v>
      </c>
      <c r="E67" s="16">
        <v>1.0149999999999999</v>
      </c>
      <c r="F67" s="16">
        <v>1.8129999999999999</v>
      </c>
      <c r="G67" s="16">
        <v>2.0329999999999999</v>
      </c>
      <c r="H67" s="16">
        <v>2.3119999999999998</v>
      </c>
      <c r="I67" s="16">
        <v>2.512</v>
      </c>
      <c r="J67" s="17">
        <v>2.411</v>
      </c>
      <c r="K67" s="17">
        <v>2.3959999999999999</v>
      </c>
      <c r="L67" s="17">
        <v>2.2610000000000001</v>
      </c>
      <c r="M67" s="17">
        <v>1.927</v>
      </c>
      <c r="N67" s="17">
        <v>2.0310000000000001</v>
      </c>
    </row>
    <row r="68" spans="1:14" x14ac:dyDescent="0.25">
      <c r="A68" s="11" t="s">
        <v>566</v>
      </c>
      <c r="B68" s="96" t="str">
        <f t="shared" si="13"/>
        <v>UIM</v>
      </c>
      <c r="C68" s="16"/>
      <c r="D68" s="16">
        <v>1.119</v>
      </c>
      <c r="E68" s="16">
        <v>1.4850000000000001</v>
      </c>
      <c r="F68" s="16">
        <v>1.9059999999999999</v>
      </c>
      <c r="G68" s="16">
        <v>2.5489999999999999</v>
      </c>
      <c r="H68" s="16">
        <v>2.3809999999999998</v>
      </c>
      <c r="I68" s="16">
        <v>2.2970000000000002</v>
      </c>
      <c r="J68" s="17">
        <v>2.7109999999999999</v>
      </c>
      <c r="K68" s="17">
        <v>2.6150000000000002</v>
      </c>
      <c r="L68" s="17">
        <v>2.621</v>
      </c>
      <c r="M68" s="17">
        <v>2.581</v>
      </c>
      <c r="N68" s="17">
        <v>2.605</v>
      </c>
    </row>
    <row r="69" spans="1:14" x14ac:dyDescent="0.25">
      <c r="A69" s="11" t="s">
        <v>567</v>
      </c>
      <c r="B69" s="96" t="str">
        <f t="shared" si="13"/>
        <v>UIM</v>
      </c>
      <c r="C69" s="16"/>
      <c r="D69" s="16">
        <v>6.6000000000000003E-2</v>
      </c>
      <c r="E69" s="16">
        <v>7.2999999999999995E-2</v>
      </c>
      <c r="F69" s="16">
        <v>9.9000000000000005E-2</v>
      </c>
      <c r="G69" s="16">
        <v>9.4E-2</v>
      </c>
      <c r="H69" s="16">
        <v>6.0999999999999999E-2</v>
      </c>
      <c r="I69" s="16">
        <v>6.9000000000000006E-2</v>
      </c>
      <c r="J69" s="17">
        <v>0.05</v>
      </c>
      <c r="K69" s="17">
        <v>4.9000000000000002E-2</v>
      </c>
      <c r="L69" s="17">
        <v>4.8000000000000001E-2</v>
      </c>
      <c r="M69" s="17">
        <v>4.5999999999999999E-2</v>
      </c>
      <c r="N69" s="17">
        <v>4.4999999999999998E-2</v>
      </c>
    </row>
    <row r="70" spans="1:14" x14ac:dyDescent="0.25">
      <c r="A70" s="11" t="s">
        <v>568</v>
      </c>
      <c r="B70" s="96" t="str">
        <f t="shared" si="13"/>
        <v>UIM</v>
      </c>
      <c r="C70" s="16"/>
      <c r="D70" s="16">
        <v>9.6000000000000002E-2</v>
      </c>
      <c r="E70" s="16">
        <v>6.3E-2</v>
      </c>
      <c r="F70" s="16">
        <v>0.254</v>
      </c>
      <c r="G70" s="16">
        <v>0.26900000000000002</v>
      </c>
      <c r="H70" s="16">
        <v>0.13300000000000001</v>
      </c>
      <c r="I70" s="16">
        <v>0.14499999999999999</v>
      </c>
      <c r="J70" s="17">
        <v>0.255</v>
      </c>
      <c r="K70" s="17">
        <v>9.2999999999999999E-2</v>
      </c>
      <c r="L70" s="17">
        <v>0.316</v>
      </c>
      <c r="M70" s="17">
        <v>0.316</v>
      </c>
      <c r="N70" s="17">
        <v>0.316</v>
      </c>
    </row>
    <row r="71" spans="1:14" x14ac:dyDescent="0.25">
      <c r="A71" s="11" t="s">
        <v>569</v>
      </c>
      <c r="B71" s="96" t="str">
        <f>$B$9</f>
        <v>NAC</v>
      </c>
      <c r="C71" s="16"/>
      <c r="D71" s="16">
        <v>3.6909999999999998</v>
      </c>
      <c r="E71" s="16">
        <v>3.2280000000000002</v>
      </c>
      <c r="F71" s="16">
        <v>1.9179999999999999</v>
      </c>
      <c r="G71" s="16">
        <v>2.8839999999999999</v>
      </c>
      <c r="H71" s="16">
        <v>6.569</v>
      </c>
      <c r="I71" s="16">
        <v>8.9429999999999996</v>
      </c>
      <c r="J71" s="17">
        <v>8.8390000000000004</v>
      </c>
      <c r="K71" s="17">
        <v>9.5129999999999999</v>
      </c>
      <c r="L71" s="17">
        <v>10.558999999999999</v>
      </c>
      <c r="M71" s="17">
        <v>11.769</v>
      </c>
      <c r="N71" s="17">
        <v>12.673999999999999</v>
      </c>
    </row>
    <row r="72" spans="1:14" x14ac:dyDescent="0.25">
      <c r="A72" s="55" t="s">
        <v>572</v>
      </c>
      <c r="B72" s="16"/>
      <c r="C72" s="16"/>
      <c r="D72" s="56">
        <f t="shared" ref="D72:N72" si="14">SUM(D$21:D$22,D$57:D$71)</f>
        <v>86.959000000000003</v>
      </c>
      <c r="E72" s="56">
        <f t="shared" si="14"/>
        <v>108.83199999999998</v>
      </c>
      <c r="F72" s="56">
        <f t="shared" si="14"/>
        <v>107.76400000000002</v>
      </c>
      <c r="G72" s="56">
        <f t="shared" si="14"/>
        <v>125.64099999999999</v>
      </c>
      <c r="H72" s="56">
        <f t="shared" si="14"/>
        <v>127.57400000000001</v>
      </c>
      <c r="I72" s="56">
        <f t="shared" si="14"/>
        <v>138.99800000000002</v>
      </c>
      <c r="J72" s="56">
        <f t="shared" si="14"/>
        <v>142.20699999999999</v>
      </c>
      <c r="K72" s="56">
        <f t="shared" si="14"/>
        <v>150.34899999999999</v>
      </c>
      <c r="L72" s="56">
        <f t="shared" si="14"/>
        <v>153.14200000000005</v>
      </c>
      <c r="M72" s="56">
        <f t="shared" si="14"/>
        <v>156.827</v>
      </c>
      <c r="N72" s="56">
        <f t="shared" si="14"/>
        <v>161.95899999999997</v>
      </c>
    </row>
    <row r="73" spans="1:14" x14ac:dyDescent="0.25">
      <c r="A73" s="9" t="s">
        <v>573</v>
      </c>
      <c r="B73" s="11"/>
      <c r="C73" s="16"/>
      <c r="D73" s="22"/>
      <c r="E73" s="22"/>
      <c r="F73" s="22"/>
      <c r="G73" s="22"/>
      <c r="H73" s="22"/>
      <c r="I73" s="22"/>
      <c r="J73" s="22"/>
      <c r="K73" s="22"/>
      <c r="L73" s="22"/>
      <c r="M73" s="22"/>
      <c r="N73" s="22"/>
    </row>
    <row r="74" spans="1:14" x14ac:dyDescent="0.25">
      <c r="A74" s="11" t="s">
        <v>574</v>
      </c>
      <c r="B74" s="96" t="str">
        <f>$B$10</f>
        <v>UIM</v>
      </c>
      <c r="C74" s="16"/>
      <c r="D74" s="16">
        <v>83.016999999999996</v>
      </c>
      <c r="E74" s="16">
        <v>83.156000000000006</v>
      </c>
      <c r="F74" s="16">
        <v>95.382000000000005</v>
      </c>
      <c r="G74" s="16">
        <v>102.712</v>
      </c>
      <c r="H74" s="16">
        <v>110.78700000000001</v>
      </c>
      <c r="I74" s="16">
        <v>116.042</v>
      </c>
      <c r="J74" s="17">
        <v>121.328</v>
      </c>
      <c r="K74" s="17">
        <v>122.887</v>
      </c>
      <c r="L74" s="17">
        <v>131.096</v>
      </c>
      <c r="M74" s="17">
        <v>138.239</v>
      </c>
      <c r="N74" s="17">
        <v>145.541</v>
      </c>
    </row>
    <row r="75" spans="1:14" x14ac:dyDescent="0.25">
      <c r="A75" s="11" t="s">
        <v>575</v>
      </c>
      <c r="B75" s="96" t="str">
        <f>$B$10</f>
        <v>UIM</v>
      </c>
      <c r="C75" s="16"/>
      <c r="D75" s="16">
        <v>5.1870000000000003</v>
      </c>
      <c r="E75" s="16">
        <v>5.2939999999999996</v>
      </c>
      <c r="F75" s="16">
        <v>6.4240000000000004</v>
      </c>
      <c r="G75" s="16">
        <v>7.8029999999999999</v>
      </c>
      <c r="H75" s="16">
        <v>7.6310000000000002</v>
      </c>
      <c r="I75" s="16">
        <v>7.484</v>
      </c>
      <c r="J75" s="17">
        <v>7.9989999999999997</v>
      </c>
      <c r="K75" s="17">
        <v>8.6050000000000004</v>
      </c>
      <c r="L75" s="17">
        <v>9.2100000000000009</v>
      </c>
      <c r="M75" s="17">
        <v>9.8490000000000002</v>
      </c>
      <c r="N75" s="17">
        <v>10.413</v>
      </c>
    </row>
    <row r="76" spans="1:14" x14ac:dyDescent="0.25">
      <c r="A76" s="11" t="s">
        <v>530</v>
      </c>
      <c r="B76" s="96" t="str">
        <f>$B$10</f>
        <v>UIM</v>
      </c>
      <c r="C76" s="16"/>
      <c r="D76" s="16">
        <v>19.763999999999999</v>
      </c>
      <c r="E76" s="16">
        <v>18.289000000000001</v>
      </c>
      <c r="F76" s="16">
        <v>17.731999999999999</v>
      </c>
      <c r="G76" s="16">
        <v>17.834</v>
      </c>
      <c r="H76" s="16">
        <v>22.283999999999999</v>
      </c>
      <c r="I76" s="16">
        <v>24.359000000000002</v>
      </c>
      <c r="J76" s="17">
        <v>27.206</v>
      </c>
      <c r="K76" s="17">
        <v>27.605</v>
      </c>
      <c r="L76" s="17">
        <v>28.786999999999999</v>
      </c>
      <c r="M76" s="17">
        <v>29.917000000000002</v>
      </c>
      <c r="N76" s="17">
        <v>30.298999999999999</v>
      </c>
    </row>
    <row r="77" spans="1:14" x14ac:dyDescent="0.25">
      <c r="A77" s="11" t="s">
        <v>576</v>
      </c>
      <c r="B77" s="96" t="str">
        <f>$B$10</f>
        <v>UIM</v>
      </c>
      <c r="C77" s="16"/>
      <c r="D77" s="16">
        <v>2.528</v>
      </c>
      <c r="E77" s="16">
        <v>2.3069999999999999</v>
      </c>
      <c r="F77" s="16">
        <v>1.67</v>
      </c>
      <c r="G77" s="16">
        <v>1.9610000000000001</v>
      </c>
      <c r="H77" s="16">
        <v>3.6110000000000002</v>
      </c>
      <c r="I77" s="16">
        <v>5.2830000000000004</v>
      </c>
      <c r="J77" s="17">
        <v>6.0940000000000003</v>
      </c>
      <c r="K77" s="17">
        <v>5.6040000000000001</v>
      </c>
      <c r="L77" s="17">
        <v>4.6559999999999997</v>
      </c>
      <c r="M77" s="17">
        <v>4.6390000000000002</v>
      </c>
      <c r="N77" s="17">
        <v>4.9080000000000004</v>
      </c>
    </row>
    <row r="78" spans="1:14" x14ac:dyDescent="0.25">
      <c r="A78" s="11" t="s">
        <v>577</v>
      </c>
      <c r="B78" s="96" t="str">
        <f>$B$10</f>
        <v>UIM</v>
      </c>
      <c r="C78" s="16"/>
      <c r="D78" s="16">
        <v>4.5629999999999997</v>
      </c>
      <c r="E78" s="16">
        <v>4.5439999999999996</v>
      </c>
      <c r="F78" s="16">
        <v>4.8140000000000001</v>
      </c>
      <c r="G78" s="16">
        <v>4.8019999999999996</v>
      </c>
      <c r="H78" s="16">
        <v>4.9219999999999997</v>
      </c>
      <c r="I78" s="16">
        <v>6.5350000000000001</v>
      </c>
      <c r="J78" s="17">
        <v>6.6260000000000003</v>
      </c>
      <c r="K78" s="17">
        <v>6.0540000000000003</v>
      </c>
      <c r="L78" s="17">
        <v>6.3639999999999999</v>
      </c>
      <c r="M78" s="17">
        <v>6.4029999999999996</v>
      </c>
      <c r="N78" s="17">
        <v>6.6180000000000003</v>
      </c>
    </row>
    <row r="79" spans="1:14" x14ac:dyDescent="0.25">
      <c r="A79" s="55" t="s">
        <v>578</v>
      </c>
      <c r="B79" s="96" t="str">
        <f>$B$9</f>
        <v>NAC</v>
      </c>
      <c r="C79" s="16"/>
      <c r="D79" s="56">
        <f t="shared" ref="D79:N79" si="15">SUM(D$74:D$78)</f>
        <v>115.059</v>
      </c>
      <c r="E79" s="56">
        <f t="shared" si="15"/>
        <v>113.59</v>
      </c>
      <c r="F79" s="56">
        <f t="shared" si="15"/>
        <v>126.02200000000002</v>
      </c>
      <c r="G79" s="56">
        <f t="shared" si="15"/>
        <v>135.11199999999999</v>
      </c>
      <c r="H79" s="56">
        <f t="shared" si="15"/>
        <v>149.23499999999999</v>
      </c>
      <c r="I79" s="56">
        <f t="shared" si="15"/>
        <v>159.70299999999997</v>
      </c>
      <c r="J79" s="56">
        <f t="shared" si="15"/>
        <v>169.25299999999999</v>
      </c>
      <c r="K79" s="56">
        <f t="shared" si="15"/>
        <v>170.755</v>
      </c>
      <c r="L79" s="56">
        <f t="shared" si="15"/>
        <v>180.11300000000003</v>
      </c>
      <c r="M79" s="56">
        <f t="shared" si="15"/>
        <v>189.047</v>
      </c>
      <c r="N79" s="56">
        <f t="shared" si="15"/>
        <v>197.779</v>
      </c>
    </row>
    <row r="80" spans="1:14" x14ac:dyDescent="0.25">
      <c r="A80" s="11" t="s">
        <v>534</v>
      </c>
      <c r="B80" s="96" t="str">
        <f>$B$10</f>
        <v>UIM</v>
      </c>
      <c r="C80" s="16"/>
      <c r="D80" s="16">
        <v>27.981999999999999</v>
      </c>
      <c r="E80" s="16">
        <v>42.945</v>
      </c>
      <c r="F80" s="16">
        <v>35.515000000000001</v>
      </c>
      <c r="G80" s="16">
        <v>44.273000000000003</v>
      </c>
      <c r="H80" s="16">
        <v>39.17</v>
      </c>
      <c r="I80" s="16">
        <v>42.335000000000001</v>
      </c>
      <c r="J80" s="17">
        <v>46.25</v>
      </c>
      <c r="K80" s="17">
        <v>47.412999999999997</v>
      </c>
      <c r="L80" s="17">
        <v>48.414999999999999</v>
      </c>
      <c r="M80" s="17">
        <v>49.828000000000003</v>
      </c>
      <c r="N80" s="17">
        <v>51.317</v>
      </c>
    </row>
    <row r="81" spans="1:14" x14ac:dyDescent="0.25">
      <c r="A81" s="11" t="s">
        <v>579</v>
      </c>
      <c r="B81" s="96" t="str">
        <f>$B$10</f>
        <v>UIM</v>
      </c>
      <c r="C81" s="16"/>
      <c r="D81" s="16">
        <v>72.078999999999994</v>
      </c>
      <c r="E81" s="16">
        <v>77.191999999999993</v>
      </c>
      <c r="F81" s="16">
        <v>84.256</v>
      </c>
      <c r="G81" s="16">
        <v>92.965000000000003</v>
      </c>
      <c r="H81" s="16">
        <v>99.414000000000001</v>
      </c>
      <c r="I81" s="16">
        <v>111.095</v>
      </c>
      <c r="J81" s="17">
        <v>120.33</v>
      </c>
      <c r="K81" s="17">
        <v>116.934</v>
      </c>
      <c r="L81" s="17">
        <v>118.45699999999999</v>
      </c>
      <c r="M81" s="17">
        <v>117.18600000000001</v>
      </c>
      <c r="N81" s="17">
        <v>116.807</v>
      </c>
    </row>
    <row r="82" spans="1:14" x14ac:dyDescent="0.25">
      <c r="A82" s="11" t="s">
        <v>580</v>
      </c>
      <c r="B82" s="96" t="str">
        <f>$B$10</f>
        <v>UIM</v>
      </c>
      <c r="C82" s="16"/>
      <c r="D82" s="16">
        <v>4.0250000000000004</v>
      </c>
      <c r="E82" s="16">
        <v>3.8490000000000002</v>
      </c>
      <c r="F82" s="16">
        <v>3.1469999999999998</v>
      </c>
      <c r="G82" s="16">
        <v>3.2509999999999999</v>
      </c>
      <c r="H82" s="16">
        <v>6.1260000000000003</v>
      </c>
      <c r="I82" s="16">
        <v>8.5790000000000006</v>
      </c>
      <c r="J82" s="17">
        <v>8.5350000000000001</v>
      </c>
      <c r="K82" s="17">
        <v>9.2810000000000006</v>
      </c>
      <c r="L82" s="17">
        <v>10.356999999999999</v>
      </c>
      <c r="M82" s="17">
        <v>10.997</v>
      </c>
      <c r="N82" s="17">
        <v>12.266999999999999</v>
      </c>
    </row>
    <row r="83" spans="1:14" x14ac:dyDescent="0.25">
      <c r="A83" s="55" t="s">
        <v>581</v>
      </c>
      <c r="B83" s="96" t="str">
        <f>$B$9</f>
        <v>NAC</v>
      </c>
      <c r="C83" s="16"/>
      <c r="D83" s="56">
        <f t="shared" ref="D83:N83" si="16">SUM(D$21:D$22,D$80:D$82)</f>
        <v>104.086</v>
      </c>
      <c r="E83" s="56">
        <f t="shared" si="16"/>
        <v>123.986</v>
      </c>
      <c r="F83" s="56">
        <f t="shared" si="16"/>
        <v>122.91800000000001</v>
      </c>
      <c r="G83" s="56">
        <f t="shared" si="16"/>
        <v>140.489</v>
      </c>
      <c r="H83" s="56">
        <f t="shared" si="16"/>
        <v>144.71</v>
      </c>
      <c r="I83" s="56">
        <f t="shared" si="16"/>
        <v>162.00900000000001</v>
      </c>
      <c r="J83" s="56">
        <f t="shared" si="16"/>
        <v>172.41499999999999</v>
      </c>
      <c r="K83" s="56">
        <f t="shared" si="16"/>
        <v>174.44800000000001</v>
      </c>
      <c r="L83" s="56">
        <f t="shared" si="16"/>
        <v>179.34799999999998</v>
      </c>
      <c r="M83" s="56">
        <f t="shared" si="16"/>
        <v>182.78000000000003</v>
      </c>
      <c r="N83" s="56">
        <f t="shared" si="16"/>
        <v>187.69399999999999</v>
      </c>
    </row>
    <row r="84" spans="1:14" x14ac:dyDescent="0.25">
      <c r="A84" s="55" t="s">
        <v>582</v>
      </c>
      <c r="B84" s="96" t="str">
        <f>$B$9</f>
        <v>NAC</v>
      </c>
      <c r="C84" s="16"/>
      <c r="D84" s="56">
        <f t="shared" ref="D84:N84" si="17">SUM(D$79,-D$83)</f>
        <v>10.972999999999999</v>
      </c>
      <c r="E84" s="56">
        <f t="shared" si="17"/>
        <v>-10.396000000000001</v>
      </c>
      <c r="F84" s="56">
        <f t="shared" si="17"/>
        <v>3.1040000000000134</v>
      </c>
      <c r="G84" s="56">
        <f t="shared" si="17"/>
        <v>-5.3770000000000095</v>
      </c>
      <c r="H84" s="56">
        <f t="shared" si="17"/>
        <v>4.5249999999999773</v>
      </c>
      <c r="I84" s="56">
        <f t="shared" si="17"/>
        <v>-2.30600000000004</v>
      </c>
      <c r="J84" s="56">
        <f t="shared" si="17"/>
        <v>-3.1620000000000061</v>
      </c>
      <c r="K84" s="56">
        <f t="shared" si="17"/>
        <v>-3.6930000000000121</v>
      </c>
      <c r="L84" s="56">
        <f t="shared" si="17"/>
        <v>0.7650000000000432</v>
      </c>
      <c r="M84" s="56">
        <f t="shared" si="17"/>
        <v>6.2669999999999675</v>
      </c>
      <c r="N84" s="56">
        <f t="shared" si="17"/>
        <v>10.085000000000008</v>
      </c>
    </row>
    <row r="85" spans="1:14" x14ac:dyDescent="0.25">
      <c r="A85" s="11" t="s">
        <v>583</v>
      </c>
      <c r="B85" s="96" t="str">
        <f>$B$10</f>
        <v>UIM</v>
      </c>
      <c r="C85" s="16"/>
      <c r="D85" s="16">
        <v>-8.4640000000000004</v>
      </c>
      <c r="E85" s="16">
        <v>-9.0709999999999997</v>
      </c>
      <c r="F85" s="16">
        <v>-9.3930000000000007</v>
      </c>
      <c r="G85" s="16">
        <v>-10.571999999999999</v>
      </c>
      <c r="H85" s="16">
        <v>-14.271000000000001</v>
      </c>
      <c r="I85" s="16">
        <v>-16.948</v>
      </c>
      <c r="J85" s="17">
        <v>-15.737</v>
      </c>
      <c r="K85" s="17">
        <v>-17.817</v>
      </c>
      <c r="L85" s="17">
        <v>-15.276999999999999</v>
      </c>
      <c r="M85" s="17">
        <v>-14.224</v>
      </c>
      <c r="N85" s="17">
        <v>-12.698</v>
      </c>
    </row>
    <row r="86" spans="1:14" x14ac:dyDescent="0.25">
      <c r="A86" s="11" t="s">
        <v>584</v>
      </c>
      <c r="B86" s="96" t="str">
        <f>$B$10</f>
        <v>UIM</v>
      </c>
      <c r="C86" s="16"/>
      <c r="D86" s="16">
        <v>3.8039999999999998</v>
      </c>
      <c r="E86" s="16">
        <v>-14.148999999999999</v>
      </c>
      <c r="F86" s="16">
        <v>4.1890000000000001</v>
      </c>
      <c r="G86" s="16">
        <v>-4.9859999999999998</v>
      </c>
      <c r="H86" s="16">
        <v>-4.9059999999999997</v>
      </c>
      <c r="I86" s="16">
        <v>-10.231999999999999</v>
      </c>
      <c r="J86" s="17">
        <v>-6.375</v>
      </c>
      <c r="K86" s="17">
        <v>-4.6929999999999996</v>
      </c>
      <c r="L86" s="17">
        <v>3.2610000000000001</v>
      </c>
      <c r="M86" s="17">
        <v>0.20200000000000001</v>
      </c>
      <c r="N86" s="17">
        <v>0.113</v>
      </c>
    </row>
    <row r="87" spans="1:14" x14ac:dyDescent="0.25">
      <c r="A87" s="11" t="s">
        <v>585</v>
      </c>
      <c r="B87" s="96" t="str">
        <f>$B$10</f>
        <v>UIM</v>
      </c>
      <c r="C87" s="16"/>
      <c r="D87" s="16">
        <v>-0.79100000000000004</v>
      </c>
      <c r="E87" s="16">
        <v>-0.85499999999999998</v>
      </c>
      <c r="F87" s="16">
        <v>-0.89800000000000002</v>
      </c>
      <c r="G87" s="16">
        <v>-0.71</v>
      </c>
      <c r="H87" s="16">
        <v>-0.86799999999999999</v>
      </c>
      <c r="I87" s="16">
        <v>-0.86</v>
      </c>
      <c r="J87" s="17">
        <v>-0.91400000000000003</v>
      </c>
      <c r="K87" s="17">
        <v>-0.74299999999999999</v>
      </c>
      <c r="L87" s="17">
        <v>-0.621</v>
      </c>
      <c r="M87" s="17">
        <v>-0.59199999999999997</v>
      </c>
      <c r="N87" s="17">
        <v>-0.622</v>
      </c>
    </row>
    <row r="88" spans="1:14" x14ac:dyDescent="0.25">
      <c r="A88" s="11" t="s">
        <v>586</v>
      </c>
      <c r="B88" s="96" t="str">
        <f>$B$10</f>
        <v>UIM</v>
      </c>
      <c r="C88" s="16"/>
      <c r="D88" s="16">
        <v>-1.9019999999999999</v>
      </c>
      <c r="E88" s="16">
        <v>-1.29</v>
      </c>
      <c r="F88" s="16">
        <v>-5.6630000000000003</v>
      </c>
      <c r="G88" s="16">
        <v>-12.958</v>
      </c>
      <c r="H88" s="16">
        <v>-8.2149999999999999</v>
      </c>
      <c r="I88" s="16">
        <v>0.151</v>
      </c>
      <c r="J88" s="17">
        <v>6.0140000000000002</v>
      </c>
      <c r="K88" s="17">
        <v>2.7429999999999999</v>
      </c>
      <c r="L88" s="17">
        <v>-3.83</v>
      </c>
      <c r="M88" s="17">
        <v>-4.2050000000000001</v>
      </c>
      <c r="N88" s="17">
        <v>-3.948</v>
      </c>
    </row>
    <row r="89" spans="1:14" x14ac:dyDescent="0.25">
      <c r="A89" s="11" t="s">
        <v>587</v>
      </c>
      <c r="B89" s="96" t="str">
        <f>$B$10</f>
        <v>UIM</v>
      </c>
      <c r="C89" s="16"/>
      <c r="D89" s="16">
        <v>0.13600000000000001</v>
      </c>
      <c r="E89" s="16">
        <v>-0.28599999999999998</v>
      </c>
      <c r="F89" s="16">
        <v>-0.39200000000000002</v>
      </c>
      <c r="G89" s="16">
        <v>-0.44800000000000001</v>
      </c>
      <c r="H89" s="16">
        <v>-0.20200000000000001</v>
      </c>
      <c r="I89" s="16">
        <v>-0.39700000000000002</v>
      </c>
      <c r="J89" s="17">
        <v>-0.45600000000000002</v>
      </c>
      <c r="K89" s="17">
        <v>-0.26600000000000001</v>
      </c>
      <c r="L89" s="17">
        <v>-0.193</v>
      </c>
      <c r="M89" s="17">
        <v>-0.26800000000000002</v>
      </c>
      <c r="N89" s="17">
        <v>-8.7999999999999995E-2</v>
      </c>
    </row>
    <row r="90" spans="1:14" x14ac:dyDescent="0.25">
      <c r="A90" s="55" t="s">
        <v>588</v>
      </c>
      <c r="B90" s="96" t="str">
        <f>$B$9</f>
        <v>NAC</v>
      </c>
      <c r="C90" s="16"/>
      <c r="D90" s="56">
        <f t="shared" ref="D90:N90" si="18">SUM(D$85:D$89)-SUM(D$131-C$131,D$132-C$132)</f>
        <v>-7.2170000000000005</v>
      </c>
      <c r="E90" s="56">
        <f t="shared" si="18"/>
        <v>-25.651</v>
      </c>
      <c r="F90" s="56">
        <f t="shared" si="18"/>
        <v>-12.157</v>
      </c>
      <c r="G90" s="56">
        <f t="shared" si="18"/>
        <v>-29.673999999999999</v>
      </c>
      <c r="H90" s="56">
        <f t="shared" si="18"/>
        <v>-28.462</v>
      </c>
      <c r="I90" s="56">
        <f t="shared" si="18"/>
        <v>-28.285999999999998</v>
      </c>
      <c r="J90" s="56">
        <f t="shared" si="18"/>
        <v>-15.968000000000004</v>
      </c>
      <c r="K90" s="56">
        <f t="shared" si="18"/>
        <v>-22.435999999999996</v>
      </c>
      <c r="L90" s="56">
        <f t="shared" si="18"/>
        <v>-19.701999999999998</v>
      </c>
      <c r="M90" s="56">
        <f t="shared" si="18"/>
        <v>-22.464000000000002</v>
      </c>
      <c r="N90" s="56">
        <f t="shared" si="18"/>
        <v>-21.174000000000003</v>
      </c>
    </row>
    <row r="91" spans="1:14" x14ac:dyDescent="0.25">
      <c r="A91" s="55" t="s">
        <v>589</v>
      </c>
      <c r="B91" s="96" t="str">
        <f>$B$9</f>
        <v>NAC</v>
      </c>
      <c r="C91" s="16"/>
      <c r="D91" s="56">
        <f t="shared" ref="D91:N91" si="19">SUM(D$84,D$90)</f>
        <v>3.7559999999999985</v>
      </c>
      <c r="E91" s="56">
        <f t="shared" si="19"/>
        <v>-36.046999999999997</v>
      </c>
      <c r="F91" s="56">
        <f t="shared" si="19"/>
        <v>-9.0529999999999866</v>
      </c>
      <c r="G91" s="56">
        <f t="shared" si="19"/>
        <v>-35.051000000000009</v>
      </c>
      <c r="H91" s="56">
        <f t="shared" si="19"/>
        <v>-23.937000000000022</v>
      </c>
      <c r="I91" s="56">
        <f t="shared" si="19"/>
        <v>-30.592000000000038</v>
      </c>
      <c r="J91" s="56">
        <f t="shared" si="19"/>
        <v>-19.13000000000001</v>
      </c>
      <c r="K91" s="56">
        <f t="shared" si="19"/>
        <v>-26.129000000000008</v>
      </c>
      <c r="L91" s="56">
        <f t="shared" si="19"/>
        <v>-18.936999999999955</v>
      </c>
      <c r="M91" s="56">
        <f t="shared" si="19"/>
        <v>-16.197000000000035</v>
      </c>
      <c r="N91" s="56">
        <f t="shared" si="19"/>
        <v>-11.088999999999995</v>
      </c>
    </row>
    <row r="92" spans="1:14" x14ac:dyDescent="0.25">
      <c r="A92" s="11" t="s">
        <v>590</v>
      </c>
      <c r="B92" s="96" t="str">
        <f t="shared" ref="B92:B97" si="20">$B$10</f>
        <v>UIM</v>
      </c>
      <c r="C92" s="16"/>
      <c r="D92" s="16">
        <v>0.437</v>
      </c>
      <c r="E92" s="16">
        <v>1.2090000000000001</v>
      </c>
      <c r="F92" s="16">
        <v>0.23400000000000001</v>
      </c>
      <c r="G92" s="16">
        <v>0.80500000000000005</v>
      </c>
      <c r="H92" s="16">
        <v>-5.8999999999999997E-2</v>
      </c>
      <c r="I92" s="16">
        <v>-2.4E-2</v>
      </c>
      <c r="J92" s="17">
        <v>8.8999999999999996E-2</v>
      </c>
      <c r="K92" s="17">
        <v>9.0999999999999998E-2</v>
      </c>
      <c r="L92" s="17">
        <v>9.1999999999999998E-2</v>
      </c>
      <c r="M92" s="17">
        <v>9.1999999999999998E-2</v>
      </c>
      <c r="N92" s="17">
        <v>9.2999999999999999E-2</v>
      </c>
    </row>
    <row r="93" spans="1:14" x14ac:dyDescent="0.25">
      <c r="A93" s="11" t="s">
        <v>591</v>
      </c>
      <c r="B93" s="96" t="str">
        <f t="shared" si="20"/>
        <v>UIM</v>
      </c>
      <c r="C93" s="16"/>
      <c r="D93" s="16">
        <v>-3.536</v>
      </c>
      <c r="E93" s="16">
        <v>7.5979999999999999</v>
      </c>
      <c r="F93" s="16">
        <v>1.1579999999999999</v>
      </c>
      <c r="G93" s="16">
        <v>18.373000000000001</v>
      </c>
      <c r="H93" s="16">
        <v>15.744</v>
      </c>
      <c r="I93" s="16">
        <v>26.422000000000001</v>
      </c>
      <c r="J93" s="17">
        <v>31.431000000000001</v>
      </c>
      <c r="K93" s="17">
        <v>24.812000000000001</v>
      </c>
      <c r="L93" s="17">
        <v>22.541</v>
      </c>
      <c r="M93" s="17">
        <v>13.182</v>
      </c>
      <c r="N93" s="17">
        <v>9.0090000000000003</v>
      </c>
    </row>
    <row r="94" spans="1:14" x14ac:dyDescent="0.25">
      <c r="A94" s="11" t="s">
        <v>592</v>
      </c>
      <c r="B94" s="96" t="str">
        <f t="shared" si="20"/>
        <v>UIM</v>
      </c>
      <c r="C94" s="16"/>
      <c r="D94" s="16">
        <v>1.4870000000000001</v>
      </c>
      <c r="E94" s="16">
        <v>1.1919999999999999</v>
      </c>
      <c r="F94" s="16">
        <v>0.34799999999999998</v>
      </c>
      <c r="G94" s="16">
        <v>2.2589999999999999</v>
      </c>
      <c r="H94" s="16">
        <v>-0.113</v>
      </c>
      <c r="I94" s="16">
        <v>0.65100000000000002</v>
      </c>
      <c r="J94" s="17">
        <v>0.84799999999999998</v>
      </c>
      <c r="K94" s="17">
        <v>-1.333</v>
      </c>
      <c r="L94" s="17">
        <v>0.56000000000000005</v>
      </c>
      <c r="M94" s="17">
        <v>0.159</v>
      </c>
      <c r="N94" s="17">
        <v>-6.6000000000000003E-2</v>
      </c>
    </row>
    <row r="95" spans="1:14" x14ac:dyDescent="0.25">
      <c r="A95" s="11" t="s">
        <v>593</v>
      </c>
      <c r="B95" s="96" t="str">
        <f t="shared" si="20"/>
        <v>UIM</v>
      </c>
      <c r="C95" s="16"/>
      <c r="D95" s="16">
        <v>-0.53</v>
      </c>
      <c r="E95" s="16">
        <v>27.366</v>
      </c>
      <c r="F95" s="16">
        <v>5.8470000000000004</v>
      </c>
      <c r="G95" s="16">
        <v>11.879</v>
      </c>
      <c r="H95" s="16">
        <v>9.298</v>
      </c>
      <c r="I95" s="16">
        <v>1.5149999999999999</v>
      </c>
      <c r="J95" s="17">
        <v>-7.3380000000000001</v>
      </c>
      <c r="K95" s="17">
        <v>3.161</v>
      </c>
      <c r="L95" s="17">
        <v>-3.1219999999999999</v>
      </c>
      <c r="M95" s="17">
        <v>2.609</v>
      </c>
      <c r="N95" s="17">
        <v>2.4409999999999998</v>
      </c>
    </row>
    <row r="96" spans="1:14" x14ac:dyDescent="0.25">
      <c r="A96" s="11" t="s">
        <v>594</v>
      </c>
      <c r="B96" s="96" t="str">
        <f t="shared" si="20"/>
        <v>UIM</v>
      </c>
      <c r="C96" s="16"/>
      <c r="D96" s="16">
        <v>0</v>
      </c>
      <c r="E96" s="16">
        <v>0</v>
      </c>
      <c r="F96" s="16">
        <v>0</v>
      </c>
      <c r="G96" s="16">
        <v>0.89800000000000002</v>
      </c>
      <c r="H96" s="16">
        <v>0</v>
      </c>
      <c r="I96" s="16">
        <v>0</v>
      </c>
      <c r="J96" s="17">
        <v>0.251</v>
      </c>
      <c r="K96" s="17">
        <v>0</v>
      </c>
      <c r="L96" s="17">
        <v>9.5000000000000001E-2</v>
      </c>
      <c r="M96" s="17">
        <v>0</v>
      </c>
      <c r="N96" s="17">
        <v>0</v>
      </c>
    </row>
    <row r="97" spans="1:14" x14ac:dyDescent="0.25">
      <c r="A97" s="11" t="s">
        <v>595</v>
      </c>
      <c r="B97" s="96" t="str">
        <f t="shared" si="20"/>
        <v>UIM</v>
      </c>
      <c r="C97" s="16"/>
      <c r="D97" s="16">
        <v>-0.504</v>
      </c>
      <c r="E97" s="16">
        <v>-0.47899999999999998</v>
      </c>
      <c r="F97" s="16">
        <v>-0.373</v>
      </c>
      <c r="G97" s="16">
        <v>-0.30399999999999999</v>
      </c>
      <c r="H97" s="16">
        <v>-0.372</v>
      </c>
      <c r="I97" s="16">
        <v>-0.505</v>
      </c>
      <c r="J97" s="17">
        <v>-0.438</v>
      </c>
      <c r="K97" s="17">
        <v>-0.46200000000000002</v>
      </c>
      <c r="L97" s="17">
        <v>-0.46300000000000002</v>
      </c>
      <c r="M97" s="17">
        <v>-0.504</v>
      </c>
      <c r="N97" s="17">
        <v>-0.52600000000000002</v>
      </c>
    </row>
    <row r="98" spans="1:14" x14ac:dyDescent="0.25">
      <c r="A98" s="55" t="s">
        <v>596</v>
      </c>
      <c r="B98" s="96" t="str">
        <f t="shared" ref="B98:B99" si="21">$B$9</f>
        <v>NAC</v>
      </c>
      <c r="C98" s="16"/>
      <c r="D98" s="56">
        <f t="shared" ref="D98:N98" si="22">SUM(D$92:D$97)</f>
        <v>-2.6460000000000004</v>
      </c>
      <c r="E98" s="56">
        <f t="shared" si="22"/>
        <v>36.886000000000003</v>
      </c>
      <c r="F98" s="56">
        <f t="shared" si="22"/>
        <v>7.2139999999999995</v>
      </c>
      <c r="G98" s="56">
        <f t="shared" si="22"/>
        <v>33.910000000000004</v>
      </c>
      <c r="H98" s="56">
        <f t="shared" si="22"/>
        <v>24.498000000000001</v>
      </c>
      <c r="I98" s="56">
        <f t="shared" si="22"/>
        <v>28.059000000000001</v>
      </c>
      <c r="J98" s="56">
        <f t="shared" si="22"/>
        <v>24.843000000000004</v>
      </c>
      <c r="K98" s="56">
        <f t="shared" si="22"/>
        <v>26.269000000000005</v>
      </c>
      <c r="L98" s="56">
        <f t="shared" si="22"/>
        <v>19.702999999999996</v>
      </c>
      <c r="M98" s="56">
        <f t="shared" si="22"/>
        <v>15.538000000000002</v>
      </c>
      <c r="N98" s="56">
        <f t="shared" si="22"/>
        <v>10.951000000000001</v>
      </c>
    </row>
    <row r="99" spans="1:14" x14ac:dyDescent="0.25">
      <c r="A99" s="55" t="s">
        <v>597</v>
      </c>
      <c r="B99" s="96" t="str">
        <f t="shared" si="21"/>
        <v>NAC</v>
      </c>
      <c r="C99" s="16"/>
      <c r="D99" s="56">
        <f t="shared" ref="D99:N99" si="23">SUM(D$91,D$98)</f>
        <v>1.1099999999999981</v>
      </c>
      <c r="E99" s="56">
        <f t="shared" si="23"/>
        <v>0.83900000000000574</v>
      </c>
      <c r="F99" s="56">
        <f t="shared" si="23"/>
        <v>-1.8389999999999871</v>
      </c>
      <c r="G99" s="56">
        <f t="shared" si="23"/>
        <v>-1.1410000000000053</v>
      </c>
      <c r="H99" s="56">
        <f t="shared" si="23"/>
        <v>0.56099999999997863</v>
      </c>
      <c r="I99" s="56">
        <f t="shared" si="23"/>
        <v>-2.5330000000000368</v>
      </c>
      <c r="J99" s="56">
        <f t="shared" si="23"/>
        <v>5.7129999999999939</v>
      </c>
      <c r="K99" s="56">
        <f t="shared" si="23"/>
        <v>0.13999999999999702</v>
      </c>
      <c r="L99" s="56">
        <f t="shared" si="23"/>
        <v>0.76600000000004087</v>
      </c>
      <c r="M99" s="56">
        <f t="shared" si="23"/>
        <v>-0.65900000000003267</v>
      </c>
      <c r="N99" s="56">
        <f t="shared" si="23"/>
        <v>-0.13799999999999457</v>
      </c>
    </row>
    <row r="100" spans="1:14" x14ac:dyDescent="0.25">
      <c r="A100" s="11" t="s">
        <v>598</v>
      </c>
      <c r="B100" s="96" t="str">
        <f>$B$9</f>
        <v>NAC</v>
      </c>
      <c r="C100" s="16"/>
      <c r="D100" s="16">
        <v>0.24399999999999999</v>
      </c>
      <c r="E100" s="16">
        <v>0.84</v>
      </c>
      <c r="F100" s="16">
        <v>-1.333</v>
      </c>
      <c r="G100" s="16">
        <v>0.221</v>
      </c>
      <c r="H100" s="16">
        <v>0.39500000000000002</v>
      </c>
      <c r="I100" s="16">
        <v>-4.5999999999999999E-2</v>
      </c>
      <c r="J100" s="17">
        <v>0.78400000000000003</v>
      </c>
      <c r="K100" s="17">
        <v>0</v>
      </c>
      <c r="L100" s="17">
        <v>0</v>
      </c>
      <c r="M100" s="17">
        <v>0</v>
      </c>
      <c r="N100" s="17">
        <v>0</v>
      </c>
    </row>
    <row r="101" spans="1:14" x14ac:dyDescent="0.25">
      <c r="A101" s="55" t="s">
        <v>599</v>
      </c>
      <c r="B101" s="96"/>
      <c r="C101" s="16"/>
      <c r="D101" s="57" t="str">
        <f t="shared" ref="D101:N101" si="24">IF(ROUND(D$120-C$120-SUM(D$99:D$100),3)=0,"OK","ERROR")</f>
        <v>OK</v>
      </c>
      <c r="E101" s="57" t="str">
        <f t="shared" si="24"/>
        <v>OK</v>
      </c>
      <c r="F101" s="57" t="str">
        <f t="shared" si="24"/>
        <v>OK</v>
      </c>
      <c r="G101" s="57" t="str">
        <f t="shared" si="24"/>
        <v>OK</v>
      </c>
      <c r="H101" s="57" t="str">
        <f t="shared" si="24"/>
        <v>OK</v>
      </c>
      <c r="I101" s="57" t="str">
        <f t="shared" si="24"/>
        <v>OK</v>
      </c>
      <c r="J101" s="57" t="str">
        <f t="shared" si="24"/>
        <v>OK</v>
      </c>
      <c r="K101" s="57" t="str">
        <f t="shared" si="24"/>
        <v>OK</v>
      </c>
      <c r="L101" s="57" t="str">
        <f t="shared" si="24"/>
        <v>OK</v>
      </c>
      <c r="M101" s="57" t="str">
        <f t="shared" si="24"/>
        <v>OK</v>
      </c>
      <c r="N101" s="57" t="str">
        <f t="shared" si="24"/>
        <v>OK</v>
      </c>
    </row>
    <row r="102" spans="1:14" x14ac:dyDescent="0.25">
      <c r="A102" s="9" t="s">
        <v>600</v>
      </c>
      <c r="B102" s="96"/>
      <c r="C102" s="16"/>
      <c r="D102" s="17"/>
      <c r="E102" s="17"/>
      <c r="F102" s="17"/>
      <c r="G102" s="17"/>
      <c r="H102" s="17"/>
      <c r="I102" s="17"/>
      <c r="J102" s="17"/>
      <c r="K102" s="17"/>
      <c r="L102" s="17"/>
      <c r="M102" s="17"/>
      <c r="N102" s="17"/>
    </row>
    <row r="103" spans="1:14" x14ac:dyDescent="0.25">
      <c r="A103" s="55" t="s">
        <v>601</v>
      </c>
      <c r="B103" s="96" t="str">
        <f>$B$9</f>
        <v>NAC</v>
      </c>
      <c r="C103" s="16"/>
      <c r="D103" s="56">
        <f t="shared" ref="D103:N103" si="25">SUM(D$84,D$26,D$27,-D$28)</f>
        <v>3.5960000000000001</v>
      </c>
      <c r="E103" s="56">
        <f t="shared" si="25"/>
        <v>-17.523</v>
      </c>
      <c r="F103" s="56">
        <f t="shared" si="25"/>
        <v>23.650000000000013</v>
      </c>
      <c r="G103" s="56">
        <f t="shared" si="25"/>
        <v>-12.980000000000009</v>
      </c>
      <c r="H103" s="56">
        <f t="shared" si="25"/>
        <v>18.656999999999979</v>
      </c>
      <c r="I103" s="56">
        <f t="shared" si="25"/>
        <v>2.0429999999999597</v>
      </c>
      <c r="J103" s="56">
        <f t="shared" si="25"/>
        <v>5.8059999999999956</v>
      </c>
      <c r="K103" s="56">
        <f t="shared" si="25"/>
        <v>1.7169999999999883</v>
      </c>
      <c r="L103" s="56">
        <f t="shared" si="25"/>
        <v>6.4100000000000437</v>
      </c>
      <c r="M103" s="56">
        <f t="shared" si="25"/>
        <v>12.331999999999967</v>
      </c>
      <c r="N103" s="56">
        <f t="shared" si="25"/>
        <v>16.72000000000001</v>
      </c>
    </row>
    <row r="104" spans="1:14" x14ac:dyDescent="0.25">
      <c r="A104" s="11" t="s">
        <v>1228</v>
      </c>
      <c r="B104" s="96" t="str">
        <f>$B$10</f>
        <v>UIM</v>
      </c>
      <c r="C104" s="16"/>
      <c r="D104" s="16">
        <v>1.5799999999999996</v>
      </c>
      <c r="E104" s="16">
        <v>-2.726</v>
      </c>
      <c r="F104" s="16">
        <v>-1.0489999999999999</v>
      </c>
      <c r="G104" s="16">
        <v>0.26900000000000002</v>
      </c>
      <c r="H104" s="16">
        <v>-0.73399999999999999</v>
      </c>
      <c r="I104" s="16">
        <v>-1.1950000000000001</v>
      </c>
      <c r="J104" s="17">
        <v>-0.84399999999999997</v>
      </c>
      <c r="K104" s="17">
        <v>-1.556</v>
      </c>
      <c r="L104" s="17">
        <v>-0.83</v>
      </c>
      <c r="M104" s="17">
        <v>-0.81299999999999994</v>
      </c>
      <c r="N104" s="17">
        <v>-0.81</v>
      </c>
    </row>
    <row r="105" spans="1:14" x14ac:dyDescent="0.25">
      <c r="A105" s="11" t="s">
        <v>603</v>
      </c>
      <c r="B105" s="96" t="str">
        <f>$B$10</f>
        <v>UIM</v>
      </c>
      <c r="C105" s="16"/>
      <c r="D105" s="16">
        <v>-0.76300000000000001</v>
      </c>
      <c r="E105" s="16">
        <v>-1.2789999999999999</v>
      </c>
      <c r="F105" s="16">
        <v>-1.0389999999999999</v>
      </c>
      <c r="G105" s="16">
        <v>-0.85799999999999998</v>
      </c>
      <c r="H105" s="16">
        <v>-0.73799999999999999</v>
      </c>
      <c r="I105" s="16">
        <v>-0.71899999999999997</v>
      </c>
      <c r="J105" s="17">
        <v>-0.61199999999999999</v>
      </c>
      <c r="K105" s="17">
        <v>-0.68100000000000005</v>
      </c>
      <c r="L105" s="17">
        <v>-0.67400000000000004</v>
      </c>
      <c r="M105" s="17">
        <v>-0.65</v>
      </c>
      <c r="N105" s="17">
        <v>-0.66300000000000003</v>
      </c>
    </row>
    <row r="106" spans="1:14" x14ac:dyDescent="0.25">
      <c r="A106" s="11" t="s">
        <v>604</v>
      </c>
      <c r="B106" s="96" t="str">
        <f t="shared" ref="B106:B109" si="26">$B$10</f>
        <v>UIM</v>
      </c>
      <c r="C106" s="16"/>
      <c r="D106" s="16">
        <v>-4.1000000000000002E-2</v>
      </c>
      <c r="E106" s="16">
        <v>-5.2999999999999999E-2</v>
      </c>
      <c r="F106" s="16">
        <v>-1E-3</v>
      </c>
      <c r="G106" s="16">
        <v>-3.7999999999999999E-2</v>
      </c>
      <c r="H106" s="16">
        <v>-9.7000000000000003E-2</v>
      </c>
      <c r="I106" s="16">
        <v>-0.123</v>
      </c>
      <c r="J106" s="17">
        <v>3.1E-2</v>
      </c>
      <c r="K106" s="17">
        <v>4.7E-2</v>
      </c>
      <c r="L106" s="17">
        <v>3.1E-2</v>
      </c>
      <c r="M106" s="17">
        <v>-1.0999999999999999E-2</v>
      </c>
      <c r="N106" s="17">
        <v>-0.01</v>
      </c>
    </row>
    <row r="107" spans="1:14" x14ac:dyDescent="0.25">
      <c r="A107" s="11" t="s">
        <v>605</v>
      </c>
      <c r="B107" s="96" t="str">
        <f t="shared" si="26"/>
        <v>UIM</v>
      </c>
      <c r="C107" s="16"/>
      <c r="D107" s="16">
        <v>-1.768</v>
      </c>
      <c r="E107" s="16">
        <v>-2.351</v>
      </c>
      <c r="F107" s="16">
        <v>-1.8680000000000001</v>
      </c>
      <c r="G107" s="16">
        <v>-1.696</v>
      </c>
      <c r="H107" s="16">
        <v>-3.5249999999999999</v>
      </c>
      <c r="I107" s="16">
        <v>-3.8380000000000001</v>
      </c>
      <c r="J107" s="17">
        <v>-4.0350000000000001</v>
      </c>
      <c r="K107" s="17">
        <v>-3.0369999999999999</v>
      </c>
      <c r="L107" s="17">
        <v>-3.3239999999999998</v>
      </c>
      <c r="M107" s="17">
        <v>-3.6920000000000002</v>
      </c>
      <c r="N107" s="17">
        <v>-3.85</v>
      </c>
    </row>
    <row r="108" spans="1:14" x14ac:dyDescent="0.25">
      <c r="A108" s="11" t="s">
        <v>606</v>
      </c>
      <c r="B108" s="96" t="str">
        <f t="shared" si="26"/>
        <v>UIM</v>
      </c>
      <c r="C108" s="16"/>
      <c r="D108" s="16">
        <v>0</v>
      </c>
      <c r="E108" s="16">
        <v>0</v>
      </c>
      <c r="F108" s="16">
        <v>0</v>
      </c>
      <c r="G108" s="16">
        <v>0</v>
      </c>
      <c r="H108" s="16">
        <v>0.39500000000000002</v>
      </c>
      <c r="I108" s="16">
        <v>0.61399999999999999</v>
      </c>
      <c r="J108" s="17">
        <v>1.2769999999999999</v>
      </c>
      <c r="K108" s="17">
        <v>1.145</v>
      </c>
      <c r="L108" s="17">
        <v>0.88600000000000001</v>
      </c>
      <c r="M108" s="17">
        <v>0.64300000000000002</v>
      </c>
      <c r="N108" s="17">
        <v>0.64900000000000002</v>
      </c>
    </row>
    <row r="109" spans="1:14" x14ac:dyDescent="0.25">
      <c r="A109" s="11" t="s">
        <v>607</v>
      </c>
      <c r="B109" s="96" t="str">
        <f t="shared" si="26"/>
        <v>UIM</v>
      </c>
      <c r="C109" s="16"/>
      <c r="D109" s="16">
        <v>0.57099999999999995</v>
      </c>
      <c r="E109" s="16">
        <v>-0.80400000000000005</v>
      </c>
      <c r="F109" s="16">
        <v>0.73299999999999998</v>
      </c>
      <c r="G109" s="16">
        <v>0.79</v>
      </c>
      <c r="H109" s="16">
        <v>6.0999999999999999E-2</v>
      </c>
      <c r="I109" s="16">
        <v>6.0999999999999999E-2</v>
      </c>
      <c r="J109" s="17">
        <v>-0.05</v>
      </c>
      <c r="K109" s="17">
        <v>-4.9000000000000002E-2</v>
      </c>
      <c r="L109" s="17">
        <v>-4.8000000000000001E-2</v>
      </c>
      <c r="M109" s="17">
        <v>-4.5999999999999999E-2</v>
      </c>
      <c r="N109" s="17">
        <v>-4.4999999999999998E-2</v>
      </c>
    </row>
    <row r="110" spans="1:14" x14ac:dyDescent="0.25">
      <c r="A110" s="55" t="s">
        <v>608</v>
      </c>
      <c r="B110" s="96" t="str">
        <f>$B$9</f>
        <v>NAC</v>
      </c>
      <c r="C110" s="16"/>
      <c r="D110" s="56">
        <f t="shared" ref="D110:N110" si="27">SUM(-D$17,D$104:D$109)</f>
        <v>-4.9750000000000005</v>
      </c>
      <c r="E110" s="56">
        <f t="shared" si="27"/>
        <v>-12.507</v>
      </c>
      <c r="F110" s="56">
        <f t="shared" si="27"/>
        <v>-8.7899999999999991</v>
      </c>
      <c r="G110" s="56">
        <f t="shared" si="27"/>
        <v>-7.6849999999999996</v>
      </c>
      <c r="H110" s="56">
        <f t="shared" si="27"/>
        <v>-11.239000000000001</v>
      </c>
      <c r="I110" s="56">
        <f t="shared" si="27"/>
        <v>-12.820999999999998</v>
      </c>
      <c r="J110" s="56">
        <f t="shared" si="27"/>
        <v>-12.293000000000001</v>
      </c>
      <c r="K110" s="56">
        <f t="shared" si="27"/>
        <v>-12.555</v>
      </c>
      <c r="L110" s="56">
        <f t="shared" si="27"/>
        <v>-12.676</v>
      </c>
      <c r="M110" s="56">
        <f t="shared" si="27"/>
        <v>-13.632999999999999</v>
      </c>
      <c r="N110" s="56">
        <f t="shared" si="27"/>
        <v>-13.933999999999999</v>
      </c>
    </row>
    <row r="111" spans="1:14" x14ac:dyDescent="0.25">
      <c r="A111" s="11" t="s">
        <v>609</v>
      </c>
      <c r="B111" s="96" t="str">
        <f>$B$10</f>
        <v>UIM</v>
      </c>
      <c r="C111" s="16"/>
      <c r="D111" s="16">
        <v>4.1879999999999997</v>
      </c>
      <c r="E111" s="16">
        <v>0.63100000000000001</v>
      </c>
      <c r="F111" s="16">
        <v>1.4810000000000001</v>
      </c>
      <c r="G111" s="16">
        <v>5.0270000000000001</v>
      </c>
      <c r="H111" s="16">
        <v>1.155</v>
      </c>
      <c r="I111" s="16">
        <v>3.3050000000000002</v>
      </c>
      <c r="J111" s="17">
        <v>-2.56</v>
      </c>
      <c r="K111" s="17">
        <v>1.3380000000000001</v>
      </c>
      <c r="L111" s="17">
        <v>-0.01</v>
      </c>
      <c r="M111" s="17">
        <v>1.1919999999999999</v>
      </c>
      <c r="N111" s="17">
        <v>1.5449999999999999</v>
      </c>
    </row>
    <row r="112" spans="1:14" x14ac:dyDescent="0.25">
      <c r="A112" s="11" t="s">
        <v>610</v>
      </c>
      <c r="B112" s="96" t="str">
        <f>$B$10</f>
        <v>UIM</v>
      </c>
      <c r="C112" s="16"/>
      <c r="D112" s="16">
        <v>3.6999999999999998E-2</v>
      </c>
      <c r="E112" s="16">
        <v>2.1000000000000001E-2</v>
      </c>
      <c r="F112" s="16">
        <v>1.1259999999999999</v>
      </c>
      <c r="G112" s="16">
        <v>0.19700000000000001</v>
      </c>
      <c r="H112" s="16">
        <v>0.183</v>
      </c>
      <c r="I112" s="16">
        <v>0.21099999999999999</v>
      </c>
      <c r="J112" s="17">
        <v>-1.05</v>
      </c>
      <c r="K112" s="17">
        <v>-1.0189999999999999</v>
      </c>
      <c r="L112" s="17">
        <v>-6.7000000000000004E-2</v>
      </c>
      <c r="M112" s="17">
        <v>-0.34699999999999998</v>
      </c>
      <c r="N112" s="17">
        <v>-3.6999999999999998E-2</v>
      </c>
    </row>
    <row r="113" spans="1:14" x14ac:dyDescent="0.25">
      <c r="A113" s="11" t="s">
        <v>611</v>
      </c>
      <c r="B113" s="96" t="str">
        <f t="shared" ref="B113:B116" si="28">$B$10</f>
        <v>UIM</v>
      </c>
      <c r="C113" s="16"/>
      <c r="D113" s="16">
        <v>0.17499999999999999</v>
      </c>
      <c r="E113" s="16">
        <v>0.254</v>
      </c>
      <c r="F113" s="16">
        <v>0.42099999999999999</v>
      </c>
      <c r="G113" s="16">
        <v>0.874</v>
      </c>
      <c r="H113" s="16">
        <v>-2.7E-2</v>
      </c>
      <c r="I113" s="16">
        <v>-0.18</v>
      </c>
      <c r="J113" s="17">
        <v>0.54400000000000004</v>
      </c>
      <c r="K113" s="17">
        <v>0.112</v>
      </c>
      <c r="L113" s="17">
        <v>4.2000000000000003E-2</v>
      </c>
      <c r="M113" s="17">
        <v>-7.0999999999999994E-2</v>
      </c>
      <c r="N113" s="17">
        <v>-9.2999999999999999E-2</v>
      </c>
    </row>
    <row r="114" spans="1:14" x14ac:dyDescent="0.25">
      <c r="A114" s="11" t="s">
        <v>612</v>
      </c>
      <c r="B114" s="96" t="str">
        <f t="shared" si="28"/>
        <v>UIM</v>
      </c>
      <c r="C114" s="16"/>
      <c r="D114" s="16">
        <v>3.5999999999999997E-2</v>
      </c>
      <c r="E114" s="16">
        <v>0.108</v>
      </c>
      <c r="F114" s="16">
        <v>6.3E-2</v>
      </c>
      <c r="G114" s="16">
        <v>0.30299999999999999</v>
      </c>
      <c r="H114" s="16">
        <v>0.113</v>
      </c>
      <c r="I114" s="16">
        <v>0.30499999999999999</v>
      </c>
      <c r="J114" s="17">
        <v>0.58199999999999996</v>
      </c>
      <c r="K114" s="17">
        <v>-0.17799999999999999</v>
      </c>
      <c r="L114" s="17">
        <v>0.109</v>
      </c>
      <c r="M114" s="17">
        <v>0.107</v>
      </c>
      <c r="N114" s="17">
        <v>1.4999999999999999E-2</v>
      </c>
    </row>
    <row r="115" spans="1:14" x14ac:dyDescent="0.25">
      <c r="A115" s="11" t="s">
        <v>613</v>
      </c>
      <c r="B115" s="96" t="str">
        <f t="shared" si="28"/>
        <v>UIM</v>
      </c>
      <c r="C115" s="16"/>
      <c r="D115" s="16">
        <v>-9.7000000000000003E-2</v>
      </c>
      <c r="E115" s="16">
        <v>-6.8000000000000005E-2</v>
      </c>
      <c r="F115" s="16">
        <v>0.04</v>
      </c>
      <c r="G115" s="16">
        <v>-0.81899999999999995</v>
      </c>
      <c r="H115" s="16">
        <v>-0.24399999999999999</v>
      </c>
      <c r="I115" s="16">
        <v>0.158</v>
      </c>
      <c r="J115" s="17">
        <v>-0.183</v>
      </c>
      <c r="K115" s="17">
        <v>-7.0000000000000001E-3</v>
      </c>
      <c r="L115" s="17">
        <v>-9.0999999999999998E-2</v>
      </c>
      <c r="M115" s="17">
        <v>-2.4E-2</v>
      </c>
      <c r="N115" s="17">
        <v>-6.4000000000000001E-2</v>
      </c>
    </row>
    <row r="116" spans="1:14" x14ac:dyDescent="0.25">
      <c r="A116" s="11" t="s">
        <v>614</v>
      </c>
      <c r="B116" s="96" t="str">
        <f t="shared" si="28"/>
        <v>UIM</v>
      </c>
      <c r="C116" s="16"/>
      <c r="D116" s="16">
        <v>-2.5710000000000002</v>
      </c>
      <c r="E116" s="16">
        <v>-0.95599999999999996</v>
      </c>
      <c r="F116" s="16">
        <v>-1.8320000000000001</v>
      </c>
      <c r="G116" s="16">
        <v>-1.849</v>
      </c>
      <c r="H116" s="16">
        <v>-3.2770000000000001</v>
      </c>
      <c r="I116" s="16">
        <v>-1.3859999999999999</v>
      </c>
      <c r="J116" s="17">
        <v>3.661</v>
      </c>
      <c r="K116" s="17">
        <v>0.70799999999999996</v>
      </c>
      <c r="L116" s="17">
        <v>0.61799999999999999</v>
      </c>
      <c r="M116" s="17">
        <v>0.40500000000000003</v>
      </c>
      <c r="N116" s="17">
        <v>-8.1000000000000003E-2</v>
      </c>
    </row>
    <row r="117" spans="1:14" x14ac:dyDescent="0.25">
      <c r="A117" s="55" t="s">
        <v>615</v>
      </c>
      <c r="B117" s="96" t="str">
        <f>$B$9</f>
        <v>NAC</v>
      </c>
      <c r="C117" s="16"/>
      <c r="D117" s="56">
        <f>SUM(D$111:D$116)</f>
        <v>1.7679999999999985</v>
      </c>
      <c r="E117" s="56">
        <f t="shared" ref="E117:N117" si="29">SUM(E$111:E$116)</f>
        <v>-1.0000000000000009E-2</v>
      </c>
      <c r="F117" s="56">
        <f t="shared" si="29"/>
        <v>1.2990000000000002</v>
      </c>
      <c r="G117" s="56">
        <f t="shared" si="29"/>
        <v>3.7329999999999997</v>
      </c>
      <c r="H117" s="56">
        <f t="shared" si="29"/>
        <v>-2.097</v>
      </c>
      <c r="I117" s="56">
        <f t="shared" si="29"/>
        <v>2.4130000000000003</v>
      </c>
      <c r="J117" s="56">
        <f t="shared" si="29"/>
        <v>0.99399999999999977</v>
      </c>
      <c r="K117" s="56">
        <f t="shared" si="29"/>
        <v>0.95400000000000018</v>
      </c>
      <c r="L117" s="56">
        <f t="shared" si="29"/>
        <v>0.60099999999999998</v>
      </c>
      <c r="M117" s="56">
        <f t="shared" si="29"/>
        <v>1.262</v>
      </c>
      <c r="N117" s="56">
        <f t="shared" si="29"/>
        <v>1.2849999999999999</v>
      </c>
    </row>
    <row r="118" spans="1:14" x14ac:dyDescent="0.25">
      <c r="A118" s="55" t="s">
        <v>616</v>
      </c>
      <c r="B118" s="96"/>
      <c r="C118" s="16"/>
      <c r="D118" s="57" t="str">
        <f t="shared" ref="D118:N118" si="30">IF(ROUND(D$29-(D$103+D$110+D$117),3)=0,"OK","ERROR")</f>
        <v>OK</v>
      </c>
      <c r="E118" s="57" t="str">
        <f t="shared" si="30"/>
        <v>OK</v>
      </c>
      <c r="F118" s="57" t="str">
        <f t="shared" si="30"/>
        <v>OK</v>
      </c>
      <c r="G118" s="57" t="str">
        <f t="shared" si="30"/>
        <v>OK</v>
      </c>
      <c r="H118" s="57" t="str">
        <f t="shared" si="30"/>
        <v>OK</v>
      </c>
      <c r="I118" s="57" t="str">
        <f t="shared" si="30"/>
        <v>OK</v>
      </c>
      <c r="J118" s="57" t="str">
        <f t="shared" si="30"/>
        <v>OK</v>
      </c>
      <c r="K118" s="57" t="str">
        <f t="shared" si="30"/>
        <v>OK</v>
      </c>
      <c r="L118" s="57" t="str">
        <f t="shared" si="30"/>
        <v>OK</v>
      </c>
      <c r="M118" s="57" t="str">
        <f t="shared" si="30"/>
        <v>OK</v>
      </c>
      <c r="N118" s="57" t="str">
        <f t="shared" si="30"/>
        <v>OK</v>
      </c>
    </row>
    <row r="119" spans="1:14" x14ac:dyDescent="0.25">
      <c r="A119" s="9" t="s">
        <v>617</v>
      </c>
      <c r="B119" s="96"/>
      <c r="C119" s="16"/>
      <c r="D119" s="17"/>
      <c r="E119" s="17"/>
      <c r="F119" s="17"/>
      <c r="G119" s="17"/>
      <c r="H119" s="17"/>
      <c r="I119" s="17"/>
      <c r="J119" s="17"/>
      <c r="K119" s="17"/>
      <c r="L119" s="17"/>
      <c r="M119" s="17"/>
      <c r="N119" s="17"/>
    </row>
    <row r="120" spans="1:14" x14ac:dyDescent="0.25">
      <c r="A120" s="11" t="s">
        <v>618</v>
      </c>
      <c r="B120" s="96" t="str">
        <f t="shared" ref="B120:B127" si="31">$B$10</f>
        <v>UIM</v>
      </c>
      <c r="C120" s="47">
        <v>18.893999999999998</v>
      </c>
      <c r="D120" s="16">
        <v>20.248000000000001</v>
      </c>
      <c r="E120" s="16">
        <v>21.927</v>
      </c>
      <c r="F120" s="16">
        <v>18.754999999999999</v>
      </c>
      <c r="G120" s="16">
        <v>17.835000000000001</v>
      </c>
      <c r="H120" s="16">
        <v>18.791</v>
      </c>
      <c r="I120" s="16">
        <v>16.212</v>
      </c>
      <c r="J120" s="17">
        <v>22.709</v>
      </c>
      <c r="K120" s="17">
        <v>22.849</v>
      </c>
      <c r="L120" s="17">
        <v>23.614999999999998</v>
      </c>
      <c r="M120" s="17">
        <v>22.956</v>
      </c>
      <c r="N120" s="17">
        <v>22.818000000000001</v>
      </c>
    </row>
    <row r="121" spans="1:14" x14ac:dyDescent="0.25">
      <c r="A121" s="11" t="s">
        <v>619</v>
      </c>
      <c r="B121" s="96" t="str">
        <f t="shared" si="31"/>
        <v>UIM</v>
      </c>
      <c r="C121" s="16"/>
      <c r="D121" s="16">
        <v>23.327000000000002</v>
      </c>
      <c r="E121" s="16">
        <v>24.742999999999999</v>
      </c>
      <c r="F121" s="16">
        <v>26.829000000000001</v>
      </c>
      <c r="G121" s="16">
        <v>35.134999999999998</v>
      </c>
      <c r="H121" s="16">
        <v>33.548000000000002</v>
      </c>
      <c r="I121" s="16">
        <v>37.231999999999999</v>
      </c>
      <c r="J121" s="17">
        <v>36.374000000000002</v>
      </c>
      <c r="K121" s="17">
        <v>37.006999999999998</v>
      </c>
      <c r="L121" s="17">
        <v>37.020000000000003</v>
      </c>
      <c r="M121" s="17">
        <v>38.235999999999997</v>
      </c>
      <c r="N121" s="17">
        <v>39.780999999999999</v>
      </c>
    </row>
    <row r="122" spans="1:14" x14ac:dyDescent="0.25">
      <c r="A122" s="11" t="s">
        <v>620</v>
      </c>
      <c r="B122" s="96" t="str">
        <f t="shared" si="31"/>
        <v>UIM</v>
      </c>
      <c r="C122" s="16"/>
      <c r="D122" s="16">
        <v>43.616</v>
      </c>
      <c r="E122" s="16">
        <v>61.005000000000003</v>
      </c>
      <c r="F122" s="16">
        <v>56.783000000000001</v>
      </c>
      <c r="G122" s="16">
        <v>65.456000000000003</v>
      </c>
      <c r="H122" s="16">
        <v>66.489999999999995</v>
      </c>
      <c r="I122" s="16">
        <v>73.646000000000001</v>
      </c>
      <c r="J122" s="17">
        <v>86.497</v>
      </c>
      <c r="K122" s="17">
        <v>95.932000000000002</v>
      </c>
      <c r="L122" s="17">
        <v>96.971999999999994</v>
      </c>
      <c r="M122" s="17">
        <v>99.695999999999998</v>
      </c>
      <c r="N122" s="17">
        <v>103.152</v>
      </c>
    </row>
    <row r="123" spans="1:14" x14ac:dyDescent="0.25">
      <c r="A123" s="11" t="s">
        <v>621</v>
      </c>
      <c r="B123" s="96" t="str">
        <f t="shared" si="31"/>
        <v>UIM</v>
      </c>
      <c r="C123" s="16"/>
      <c r="D123" s="16">
        <v>39.552</v>
      </c>
      <c r="E123" s="16">
        <v>33.790999999999997</v>
      </c>
      <c r="F123" s="16">
        <v>48.539000000000001</v>
      </c>
      <c r="G123" s="16">
        <v>46.261000000000003</v>
      </c>
      <c r="H123" s="16">
        <v>48.045999999999999</v>
      </c>
      <c r="I123" s="16">
        <v>53.494999999999997</v>
      </c>
      <c r="J123" s="17">
        <v>59.881999999999998</v>
      </c>
      <c r="K123" s="17">
        <v>61.162999999999997</v>
      </c>
      <c r="L123" s="17">
        <v>63.186</v>
      </c>
      <c r="M123" s="17">
        <v>65.207999999999998</v>
      </c>
      <c r="N123" s="17">
        <v>67.191999999999993</v>
      </c>
    </row>
    <row r="124" spans="1:14" x14ac:dyDescent="0.25">
      <c r="A124" s="11" t="s">
        <v>622</v>
      </c>
      <c r="B124" s="96" t="str">
        <f t="shared" si="31"/>
        <v>UIM</v>
      </c>
      <c r="C124" s="16"/>
      <c r="D124" s="16">
        <v>33.69</v>
      </c>
      <c r="E124" s="16">
        <v>37.628999999999998</v>
      </c>
      <c r="F124" s="16">
        <v>45.612000000000002</v>
      </c>
      <c r="G124" s="16">
        <v>54.658999999999999</v>
      </c>
      <c r="H124" s="16">
        <v>66.489000000000004</v>
      </c>
      <c r="I124" s="16">
        <v>69.378</v>
      </c>
      <c r="J124" s="17">
        <v>64.405000000000001</v>
      </c>
      <c r="K124" s="17">
        <v>60.767000000000003</v>
      </c>
      <c r="L124" s="17">
        <v>64.406999999999996</v>
      </c>
      <c r="M124" s="17">
        <v>68.521000000000001</v>
      </c>
      <c r="N124" s="17">
        <v>72.209000000000003</v>
      </c>
    </row>
    <row r="125" spans="1:14" x14ac:dyDescent="0.25">
      <c r="A125" s="11" t="s">
        <v>623</v>
      </c>
      <c r="B125" s="96" t="str">
        <f t="shared" si="31"/>
        <v>UIM</v>
      </c>
      <c r="C125" s="16"/>
      <c r="D125" s="16">
        <v>3.6880000000000002</v>
      </c>
      <c r="E125" s="16">
        <v>4.22</v>
      </c>
      <c r="F125" s="16">
        <v>4.718</v>
      </c>
      <c r="G125" s="16">
        <v>6.0960000000000001</v>
      </c>
      <c r="H125" s="16">
        <v>7.3170000000000002</v>
      </c>
      <c r="I125" s="16">
        <v>7.1740000000000004</v>
      </c>
      <c r="J125" s="17">
        <v>8.3989999999999991</v>
      </c>
      <c r="K125" s="17">
        <v>9.3089999999999993</v>
      </c>
      <c r="L125" s="17">
        <v>10.826000000000001</v>
      </c>
      <c r="M125" s="17">
        <v>12.381</v>
      </c>
      <c r="N125" s="17">
        <v>14.013999999999999</v>
      </c>
    </row>
    <row r="126" spans="1:14" x14ac:dyDescent="0.25">
      <c r="A126" s="11" t="s">
        <v>624</v>
      </c>
      <c r="B126" s="96" t="str">
        <f t="shared" si="31"/>
        <v>UIM</v>
      </c>
      <c r="C126" s="16"/>
      <c r="D126" s="16">
        <v>1.5169999999999999</v>
      </c>
      <c r="E126" s="16">
        <v>1.7729999999999999</v>
      </c>
      <c r="F126" s="16">
        <v>2.194</v>
      </c>
      <c r="G126" s="16">
        <v>3.0680000000000001</v>
      </c>
      <c r="H126" s="16">
        <v>3.0409999999999999</v>
      </c>
      <c r="I126" s="16">
        <v>2.8610000000000002</v>
      </c>
      <c r="J126" s="17">
        <v>3.4049999999999998</v>
      </c>
      <c r="K126" s="17">
        <v>3.5169999999999999</v>
      </c>
      <c r="L126" s="17">
        <v>3.5590000000000002</v>
      </c>
      <c r="M126" s="17">
        <v>3.488</v>
      </c>
      <c r="N126" s="17">
        <v>3.395</v>
      </c>
    </row>
    <row r="127" spans="1:14" x14ac:dyDescent="0.25">
      <c r="A127" s="11" t="s">
        <v>625</v>
      </c>
      <c r="B127" s="96" t="str">
        <f t="shared" si="31"/>
        <v>UIM</v>
      </c>
      <c r="C127" s="16"/>
      <c r="D127" s="16">
        <v>2.8279999999999998</v>
      </c>
      <c r="E127" s="16">
        <v>3.61</v>
      </c>
      <c r="F127" s="16">
        <v>3.9279999999999999</v>
      </c>
      <c r="G127" s="16">
        <v>4.2080000000000002</v>
      </c>
      <c r="H127" s="16">
        <v>4.6120000000000001</v>
      </c>
      <c r="I127" s="16">
        <v>5.0449999999999999</v>
      </c>
      <c r="J127" s="17">
        <v>5.3849999999999998</v>
      </c>
      <c r="K127" s="17">
        <v>5.0410000000000004</v>
      </c>
      <c r="L127" s="17">
        <v>5.1580000000000004</v>
      </c>
      <c r="M127" s="17">
        <v>5.3</v>
      </c>
      <c r="N127" s="17">
        <v>5.3339999999999996</v>
      </c>
    </row>
    <row r="128" spans="1:14" x14ac:dyDescent="0.25">
      <c r="A128" s="11" t="s">
        <v>626</v>
      </c>
      <c r="B128" s="96" t="str">
        <f>$B$9</f>
        <v>NAC</v>
      </c>
      <c r="C128" s="16"/>
      <c r="D128" s="16">
        <v>177.625</v>
      </c>
      <c r="E128" s="16">
        <v>186.50200000000001</v>
      </c>
      <c r="F128" s="16">
        <v>213.21600000000001</v>
      </c>
      <c r="G128" s="16">
        <v>249.18199999999999</v>
      </c>
      <c r="H128" s="16">
        <v>267.39</v>
      </c>
      <c r="I128" s="16">
        <v>283.79000000000002</v>
      </c>
      <c r="J128" s="17">
        <v>292.19600000000003</v>
      </c>
      <c r="K128" s="17">
        <v>302.79000000000002</v>
      </c>
      <c r="L128" s="17">
        <v>308.666</v>
      </c>
      <c r="M128" s="17">
        <v>313.24400000000003</v>
      </c>
      <c r="N128" s="17">
        <v>316.17599999999999</v>
      </c>
    </row>
    <row r="129" spans="1:14" x14ac:dyDescent="0.25">
      <c r="A129" s="11" t="s">
        <v>627</v>
      </c>
      <c r="B129" s="96" t="str">
        <f>$B$10</f>
        <v>UIM</v>
      </c>
      <c r="C129" s="16"/>
      <c r="D129" s="16">
        <v>14.65</v>
      </c>
      <c r="E129" s="16">
        <v>14.308</v>
      </c>
      <c r="F129" s="16">
        <v>14.420999999999999</v>
      </c>
      <c r="G129" s="16">
        <v>16.247</v>
      </c>
      <c r="H129" s="16">
        <v>17.033999999999999</v>
      </c>
      <c r="I129" s="16">
        <v>17.951000000000001</v>
      </c>
      <c r="J129" s="17">
        <v>18.553000000000001</v>
      </c>
      <c r="K129" s="17">
        <v>16.738</v>
      </c>
      <c r="L129" s="17">
        <v>17.015000000000001</v>
      </c>
      <c r="M129" s="17">
        <v>17.399000000000001</v>
      </c>
      <c r="N129" s="17">
        <v>17.648</v>
      </c>
    </row>
    <row r="130" spans="1:14" x14ac:dyDescent="0.25">
      <c r="A130" s="11" t="s">
        <v>628</v>
      </c>
      <c r="B130" s="96" t="str">
        <f>$B$9</f>
        <v>NAC</v>
      </c>
      <c r="C130" s="16"/>
      <c r="D130" s="16">
        <v>3.911</v>
      </c>
      <c r="E130" s="16">
        <v>3.8919999999999999</v>
      </c>
      <c r="F130" s="16">
        <v>3.601</v>
      </c>
      <c r="G130" s="16">
        <v>3.6970000000000001</v>
      </c>
      <c r="H130" s="16">
        <v>3.9079999999999999</v>
      </c>
      <c r="I130" s="16">
        <v>4.0839999999999996</v>
      </c>
      <c r="J130" s="17">
        <v>4.2030000000000003</v>
      </c>
      <c r="K130" s="17">
        <v>4.1909999999999998</v>
      </c>
      <c r="L130" s="17">
        <v>4.1159999999999997</v>
      </c>
      <c r="M130" s="17">
        <v>4.0460000000000003</v>
      </c>
      <c r="N130" s="17">
        <v>4.0069999999999997</v>
      </c>
    </row>
    <row r="131" spans="1:14" x14ac:dyDescent="0.25">
      <c r="A131" s="11" t="s">
        <v>629</v>
      </c>
      <c r="B131" s="96" t="str">
        <f>$B$10</f>
        <v>UIM</v>
      </c>
      <c r="C131" s="16"/>
      <c r="D131" s="16">
        <v>0</v>
      </c>
      <c r="E131" s="16">
        <v>0</v>
      </c>
      <c r="F131" s="16">
        <v>0</v>
      </c>
      <c r="G131" s="16">
        <v>0</v>
      </c>
      <c r="H131" s="16">
        <v>0</v>
      </c>
      <c r="I131" s="16">
        <v>0</v>
      </c>
      <c r="J131" s="17">
        <v>0</v>
      </c>
      <c r="K131" s="17">
        <v>2.56</v>
      </c>
      <c r="L131" s="17">
        <v>5.702</v>
      </c>
      <c r="M131" s="17">
        <v>9.1790000000000003</v>
      </c>
      <c r="N131" s="17">
        <v>13.21</v>
      </c>
    </row>
    <row r="132" spans="1:14" x14ac:dyDescent="0.25">
      <c r="A132" s="11" t="s">
        <v>630</v>
      </c>
      <c r="B132" s="96" t="str">
        <f>$B$10</f>
        <v>UIM</v>
      </c>
      <c r="C132" s="16"/>
      <c r="D132" s="16">
        <v>0</v>
      </c>
      <c r="E132" s="16">
        <v>0</v>
      </c>
      <c r="F132" s="16">
        <v>0</v>
      </c>
      <c r="G132" s="16">
        <v>0</v>
      </c>
      <c r="H132" s="16">
        <v>0</v>
      </c>
      <c r="I132" s="16">
        <v>0</v>
      </c>
      <c r="J132" s="17">
        <v>-1.5</v>
      </c>
      <c r="K132" s="17">
        <v>-2.4</v>
      </c>
      <c r="L132" s="17">
        <v>-2.5</v>
      </c>
      <c r="M132" s="17">
        <v>-2.6</v>
      </c>
      <c r="N132" s="17">
        <v>-2.7</v>
      </c>
    </row>
    <row r="133" spans="1:14" x14ac:dyDescent="0.25">
      <c r="A133" s="55" t="s">
        <v>631</v>
      </c>
      <c r="B133" s="96" t="str">
        <f>$B$9</f>
        <v>NAC</v>
      </c>
      <c r="C133" s="16"/>
      <c r="D133" s="56">
        <f t="shared" ref="D133:N133" si="32">SUM(D$120:D$132)</f>
        <v>364.65199999999999</v>
      </c>
      <c r="E133" s="56">
        <f t="shared" si="32"/>
        <v>393.40000000000003</v>
      </c>
      <c r="F133" s="56">
        <f t="shared" si="32"/>
        <v>438.59599999999995</v>
      </c>
      <c r="G133" s="56">
        <f t="shared" si="32"/>
        <v>501.84399999999999</v>
      </c>
      <c r="H133" s="56">
        <f t="shared" si="32"/>
        <v>536.66599999999994</v>
      </c>
      <c r="I133" s="56">
        <f t="shared" si="32"/>
        <v>570.86800000000005</v>
      </c>
      <c r="J133" s="56">
        <f t="shared" si="32"/>
        <v>600.50799999999992</v>
      </c>
      <c r="K133" s="56">
        <f t="shared" si="32"/>
        <v>619.46400000000006</v>
      </c>
      <c r="L133" s="56">
        <f t="shared" si="32"/>
        <v>637.74200000000008</v>
      </c>
      <c r="M133" s="56">
        <f t="shared" si="32"/>
        <v>657.05399999999997</v>
      </c>
      <c r="N133" s="56">
        <f t="shared" si="32"/>
        <v>676.23599999999988</v>
      </c>
    </row>
    <row r="134" spans="1:14" x14ac:dyDescent="0.25">
      <c r="A134" s="11" t="s">
        <v>632</v>
      </c>
      <c r="B134" s="96" t="str">
        <f>$B$10</f>
        <v>UIM</v>
      </c>
      <c r="C134" s="16"/>
      <c r="D134" s="16">
        <v>6.8129999999999997</v>
      </c>
      <c r="E134" s="16">
        <v>8.0220000000000002</v>
      </c>
      <c r="F134" s="16">
        <v>8.2560000000000002</v>
      </c>
      <c r="G134" s="16">
        <v>9.0609999999999999</v>
      </c>
      <c r="H134" s="16">
        <v>9.0020000000000007</v>
      </c>
      <c r="I134" s="16">
        <v>8.9770000000000003</v>
      </c>
      <c r="J134" s="17">
        <v>9.0660000000000007</v>
      </c>
      <c r="K134" s="17">
        <v>9.1560000000000006</v>
      </c>
      <c r="L134" s="17">
        <v>9.2479999999999993</v>
      </c>
      <c r="M134" s="17">
        <v>9.34</v>
      </c>
      <c r="N134" s="17">
        <v>9.4339999999999993</v>
      </c>
    </row>
    <row r="135" spans="1:14" x14ac:dyDescent="0.25">
      <c r="A135" s="11" t="s">
        <v>633</v>
      </c>
      <c r="B135" s="96" t="str">
        <f>$B$10</f>
        <v>UIM</v>
      </c>
      <c r="C135" s="16"/>
      <c r="D135" s="16">
        <v>16.742000000000001</v>
      </c>
      <c r="E135" s="16">
        <v>16.971</v>
      </c>
      <c r="F135" s="16">
        <v>17.577000000000002</v>
      </c>
      <c r="G135" s="16">
        <v>21.42</v>
      </c>
      <c r="H135" s="16">
        <v>18.725999999999999</v>
      </c>
      <c r="I135" s="16">
        <v>19.863</v>
      </c>
      <c r="J135" s="17">
        <v>26.414999999999999</v>
      </c>
      <c r="K135" s="17">
        <v>26.925000000000001</v>
      </c>
      <c r="L135" s="17">
        <v>28.08</v>
      </c>
      <c r="M135" s="17">
        <v>28.029</v>
      </c>
      <c r="N135" s="17">
        <v>28.588999999999999</v>
      </c>
    </row>
    <row r="136" spans="1:14" x14ac:dyDescent="0.25">
      <c r="A136" s="11" t="s">
        <v>634</v>
      </c>
      <c r="B136" s="96" t="str">
        <f>$B$10</f>
        <v>UIM</v>
      </c>
      <c r="C136" s="16"/>
      <c r="D136" s="16">
        <v>2.5230000000000001</v>
      </c>
      <c r="E136" s="16">
        <v>2.59</v>
      </c>
      <c r="F136" s="16">
        <v>2.5489999999999999</v>
      </c>
      <c r="G136" s="16">
        <v>3.3679999999999999</v>
      </c>
      <c r="H136" s="16">
        <v>3.61</v>
      </c>
      <c r="I136" s="16">
        <v>3.4529999999999998</v>
      </c>
      <c r="J136" s="17">
        <v>3.6360000000000001</v>
      </c>
      <c r="K136" s="17">
        <v>3.6429999999999998</v>
      </c>
      <c r="L136" s="17">
        <v>3.734</v>
      </c>
      <c r="M136" s="17">
        <v>3.758</v>
      </c>
      <c r="N136" s="17">
        <v>3.8220000000000001</v>
      </c>
    </row>
    <row r="137" spans="1:14" x14ac:dyDescent="0.25">
      <c r="A137" s="11" t="s">
        <v>635</v>
      </c>
      <c r="B137" s="96" t="str">
        <f>$B$10</f>
        <v>UIM</v>
      </c>
      <c r="C137" s="16"/>
      <c r="D137" s="16">
        <v>110.248</v>
      </c>
      <c r="E137" s="16">
        <v>152.71700000000001</v>
      </c>
      <c r="F137" s="16">
        <v>162.56</v>
      </c>
      <c r="G137" s="16">
        <v>203.965</v>
      </c>
      <c r="H137" s="16">
        <v>226.755</v>
      </c>
      <c r="I137" s="16">
        <v>250.94300000000001</v>
      </c>
      <c r="J137" s="17">
        <v>277.57</v>
      </c>
      <c r="K137" s="17">
        <v>305.07600000000002</v>
      </c>
      <c r="L137" s="17">
        <v>325.91899999999998</v>
      </c>
      <c r="M137" s="17">
        <v>342.61099999999999</v>
      </c>
      <c r="N137" s="17">
        <v>354.2</v>
      </c>
    </row>
    <row r="138" spans="1:14" x14ac:dyDescent="0.25">
      <c r="A138" s="11" t="s">
        <v>636</v>
      </c>
      <c r="B138" s="96" t="str">
        <f>$B$10</f>
        <v>UIM</v>
      </c>
      <c r="C138" s="47">
        <v>2.5409999999999999</v>
      </c>
      <c r="D138" s="16">
        <v>2.8839999999999999</v>
      </c>
      <c r="E138" s="16">
        <v>3.8039999999999998</v>
      </c>
      <c r="F138" s="16">
        <v>5.8239999999999998</v>
      </c>
      <c r="G138" s="16">
        <v>11.308</v>
      </c>
      <c r="H138" s="16">
        <v>6.125</v>
      </c>
      <c r="I138" s="16">
        <v>6.6260000000000003</v>
      </c>
      <c r="J138" s="17">
        <v>6.556</v>
      </c>
      <c r="K138" s="17">
        <v>5.7409999999999997</v>
      </c>
      <c r="L138" s="17">
        <v>5.1379999999999999</v>
      </c>
      <c r="M138" s="17">
        <v>4.7249999999999996</v>
      </c>
      <c r="N138" s="17">
        <v>4.2530000000000001</v>
      </c>
    </row>
    <row r="139" spans="1:14" x14ac:dyDescent="0.25">
      <c r="A139" s="11" t="s">
        <v>637</v>
      </c>
      <c r="B139" s="96" t="str">
        <f>$B$9</f>
        <v>NAC</v>
      </c>
      <c r="C139" s="16"/>
      <c r="D139" s="16">
        <v>58.216000000000001</v>
      </c>
      <c r="E139" s="16">
        <v>66.69</v>
      </c>
      <c r="F139" s="16">
        <v>60.335999999999999</v>
      </c>
      <c r="G139" s="16">
        <v>55.301000000000002</v>
      </c>
      <c r="H139" s="16">
        <v>57.511000000000003</v>
      </c>
      <c r="I139" s="16">
        <v>66.575000000000003</v>
      </c>
      <c r="J139" s="17">
        <v>69.927999999999997</v>
      </c>
      <c r="K139" s="17">
        <v>72.963999999999999</v>
      </c>
      <c r="L139" s="17">
        <v>76.287999999999997</v>
      </c>
      <c r="M139" s="17">
        <v>79.978999999999999</v>
      </c>
      <c r="N139" s="17">
        <v>83.828999999999994</v>
      </c>
    </row>
    <row r="140" spans="1:14" x14ac:dyDescent="0.25">
      <c r="A140" s="11" t="s">
        <v>638</v>
      </c>
      <c r="B140" s="96" t="str">
        <f>$B$10</f>
        <v>UIM</v>
      </c>
      <c r="C140" s="16"/>
      <c r="D140" s="16">
        <v>13.179</v>
      </c>
      <c r="E140" s="16">
        <v>13.983000000000001</v>
      </c>
      <c r="F140" s="16">
        <v>11.038</v>
      </c>
      <c r="G140" s="16">
        <v>8.7690000000000001</v>
      </c>
      <c r="H140" s="16">
        <v>8.0389999999999997</v>
      </c>
      <c r="I140" s="16">
        <v>7.3369999999999997</v>
      </c>
      <c r="J140" s="17">
        <v>6.5350000000000001</v>
      </c>
      <c r="K140" s="17">
        <v>6.0279999999999996</v>
      </c>
      <c r="L140" s="17">
        <v>5.516</v>
      </c>
      <c r="M140" s="17">
        <v>5.03</v>
      </c>
      <c r="N140" s="17">
        <v>4.57</v>
      </c>
    </row>
    <row r="141" spans="1:14" x14ac:dyDescent="0.25">
      <c r="A141" s="11" t="s">
        <v>639</v>
      </c>
      <c r="B141" s="96" t="str">
        <f>$B$10</f>
        <v>UIM</v>
      </c>
      <c r="C141" s="16"/>
      <c r="D141" s="16">
        <v>10.708</v>
      </c>
      <c r="E141" s="16">
        <v>12.68</v>
      </c>
      <c r="F141" s="16">
        <v>13.263</v>
      </c>
      <c r="G141" s="16">
        <v>14.333</v>
      </c>
      <c r="H141" s="16">
        <v>15.426</v>
      </c>
      <c r="I141" s="16">
        <v>16.045000000000002</v>
      </c>
      <c r="J141" s="17">
        <v>17.672000000000001</v>
      </c>
      <c r="K141" s="17">
        <v>16.707000000000001</v>
      </c>
      <c r="L141" s="17">
        <v>16.04</v>
      </c>
      <c r="M141" s="17">
        <v>15.742000000000001</v>
      </c>
      <c r="N141" s="17">
        <v>15.646000000000001</v>
      </c>
    </row>
    <row r="142" spans="1:14" x14ac:dyDescent="0.25">
      <c r="A142" s="55" t="s">
        <v>640</v>
      </c>
      <c r="B142" s="96" t="str">
        <f>$B$9</f>
        <v>NAC</v>
      </c>
      <c r="C142" s="16"/>
      <c r="D142" s="56">
        <f t="shared" ref="D142:N142" si="33">SUM(D$134:D$141)</f>
        <v>221.31299999999999</v>
      </c>
      <c r="E142" s="56">
        <f t="shared" si="33"/>
        <v>277.45699999999999</v>
      </c>
      <c r="F142" s="56">
        <f t="shared" si="33"/>
        <v>281.40300000000002</v>
      </c>
      <c r="G142" s="56">
        <f t="shared" si="33"/>
        <v>327.52500000000003</v>
      </c>
      <c r="H142" s="56">
        <f t="shared" si="33"/>
        <v>345.19400000000002</v>
      </c>
      <c r="I142" s="56">
        <f t="shared" si="33"/>
        <v>379.81899999999996</v>
      </c>
      <c r="J142" s="56">
        <f t="shared" si="33"/>
        <v>417.37800000000004</v>
      </c>
      <c r="K142" s="56">
        <f t="shared" si="33"/>
        <v>446.24</v>
      </c>
      <c r="L142" s="56">
        <f t="shared" si="33"/>
        <v>469.96300000000002</v>
      </c>
      <c r="M142" s="56">
        <f t="shared" si="33"/>
        <v>489.214</v>
      </c>
      <c r="N142" s="56">
        <f t="shared" si="33"/>
        <v>504.34299999999996</v>
      </c>
    </row>
    <row r="143" spans="1:14" x14ac:dyDescent="0.25">
      <c r="A143" s="55" t="s">
        <v>641</v>
      </c>
      <c r="B143" s="96" t="str">
        <f>$B$9</f>
        <v>NAC</v>
      </c>
      <c r="C143" s="16"/>
      <c r="D143" s="47">
        <v>143.339</v>
      </c>
      <c r="E143" s="47">
        <v>115.943</v>
      </c>
      <c r="F143" s="47">
        <v>157.19300000000001</v>
      </c>
      <c r="G143" s="47">
        <v>174.31899999999999</v>
      </c>
      <c r="H143" s="47">
        <v>191.47200000000001</v>
      </c>
      <c r="I143" s="47">
        <v>191.04900000000001</v>
      </c>
      <c r="J143" s="43">
        <v>183.13</v>
      </c>
      <c r="K143" s="43">
        <v>173.22399999999999</v>
      </c>
      <c r="L143" s="43">
        <v>167.779</v>
      </c>
      <c r="M143" s="43">
        <v>167.84</v>
      </c>
      <c r="N143" s="43">
        <v>171.893</v>
      </c>
    </row>
    <row r="144" spans="1:14" x14ac:dyDescent="0.25">
      <c r="A144" s="55" t="s">
        <v>642</v>
      </c>
      <c r="B144" s="96"/>
      <c r="C144" s="16"/>
      <c r="D144" s="57" t="str">
        <f t="shared" ref="D144:N144" si="34">IF(ROUND(D$143-(D$133-D$142),3)=0,"OK","ERROR")</f>
        <v>OK</v>
      </c>
      <c r="E144" s="57" t="str">
        <f t="shared" si="34"/>
        <v>OK</v>
      </c>
      <c r="F144" s="57" t="str">
        <f t="shared" si="34"/>
        <v>OK</v>
      </c>
      <c r="G144" s="57" t="str">
        <f t="shared" si="34"/>
        <v>OK</v>
      </c>
      <c r="H144" s="57" t="str">
        <f t="shared" si="34"/>
        <v>OK</v>
      </c>
      <c r="I144" s="57" t="str">
        <f t="shared" si="34"/>
        <v>OK</v>
      </c>
      <c r="J144" s="57" t="str">
        <f t="shared" si="34"/>
        <v>OK</v>
      </c>
      <c r="K144" s="57" t="str">
        <f t="shared" si="34"/>
        <v>OK</v>
      </c>
      <c r="L144" s="57" t="str">
        <f t="shared" si="34"/>
        <v>OK</v>
      </c>
      <c r="M144" s="57" t="str">
        <f t="shared" si="34"/>
        <v>OK</v>
      </c>
      <c r="N144" s="57" t="str">
        <f t="shared" si="34"/>
        <v>OK</v>
      </c>
    </row>
    <row r="145" spans="1:14" x14ac:dyDescent="0.25">
      <c r="A145" s="55" t="s">
        <v>643</v>
      </c>
      <c r="B145" s="96" t="str">
        <f>$B$10</f>
        <v>UIM</v>
      </c>
      <c r="C145" s="16"/>
      <c r="D145" s="16">
        <v>6.39</v>
      </c>
      <c r="E145" s="16">
        <v>5.6230000000000002</v>
      </c>
      <c r="F145" s="16">
        <v>5.7240000000000002</v>
      </c>
      <c r="G145" s="16">
        <v>7.2830000000000004</v>
      </c>
      <c r="H145" s="16">
        <v>7.9580000000000002</v>
      </c>
      <c r="I145" s="16">
        <v>9.2309999999999999</v>
      </c>
      <c r="J145" s="17">
        <v>9.4350000000000005</v>
      </c>
      <c r="K145" s="17">
        <v>9.3460000000000001</v>
      </c>
      <c r="L145" s="17">
        <v>9.4849999999999994</v>
      </c>
      <c r="M145" s="17">
        <v>9.5519999999999996</v>
      </c>
      <c r="N145" s="17">
        <v>9.5259999999999998</v>
      </c>
    </row>
    <row r="146" spans="1:14" x14ac:dyDescent="0.25">
      <c r="A146" s="9" t="s">
        <v>644</v>
      </c>
      <c r="B146" s="96"/>
      <c r="C146" s="16"/>
      <c r="D146" s="17"/>
      <c r="E146" s="17"/>
      <c r="F146" s="17"/>
      <c r="G146" s="17"/>
      <c r="H146" s="17"/>
      <c r="I146" s="17"/>
      <c r="J146" s="17"/>
      <c r="K146" s="17"/>
      <c r="L146" s="17"/>
      <c r="M146" s="17"/>
      <c r="N146" s="17"/>
    </row>
    <row r="147" spans="1:14" x14ac:dyDescent="0.25">
      <c r="A147" s="11" t="s">
        <v>645</v>
      </c>
      <c r="B147" s="96" t="str">
        <f>$B$10</f>
        <v>UIM</v>
      </c>
      <c r="C147" s="16"/>
      <c r="D147" s="16">
        <v>91.51</v>
      </c>
      <c r="E147" s="16">
        <v>126.34099999999999</v>
      </c>
      <c r="F147" s="16">
        <v>132.54300000000001</v>
      </c>
      <c r="G147" s="16">
        <v>168.98599999999999</v>
      </c>
      <c r="H147" s="16">
        <v>191.029</v>
      </c>
      <c r="I147" s="16">
        <v>216.34899999999999</v>
      </c>
      <c r="J147" s="17">
        <v>244.69399999999999</v>
      </c>
      <c r="K147" s="17">
        <v>266.68599999999998</v>
      </c>
      <c r="L147" s="17">
        <v>283.69200000000001</v>
      </c>
      <c r="M147" s="17">
        <v>295.63799999999998</v>
      </c>
      <c r="N147" s="17">
        <v>304.26799999999997</v>
      </c>
    </row>
    <row r="148" spans="1:14" x14ac:dyDescent="0.25">
      <c r="A148" s="11" t="s">
        <v>646</v>
      </c>
      <c r="B148" s="96" t="str">
        <f>$B$10</f>
        <v>UIM</v>
      </c>
      <c r="C148" s="16"/>
      <c r="D148" s="16">
        <v>0.251</v>
      </c>
      <c r="E148" s="16">
        <v>5.5E-2</v>
      </c>
      <c r="F148" s="16">
        <v>2.1000000000000001E-2</v>
      </c>
      <c r="G148" s="16">
        <v>0.20799999999999999</v>
      </c>
      <c r="H148" s="16">
        <v>0.96199999999999997</v>
      </c>
      <c r="I148" s="16">
        <v>0.84699999999999998</v>
      </c>
      <c r="J148" s="17">
        <v>5.6289999999999996</v>
      </c>
      <c r="K148" s="17">
        <v>5.2130000000000001</v>
      </c>
      <c r="L148" s="17">
        <v>6.266</v>
      </c>
      <c r="M148" s="17">
        <v>5.5540000000000003</v>
      </c>
      <c r="N148" s="17">
        <v>5.21</v>
      </c>
    </row>
    <row r="149" spans="1:14" x14ac:dyDescent="0.25">
      <c r="A149" s="11" t="s">
        <v>647</v>
      </c>
      <c r="B149" s="96" t="str">
        <f>$B$10</f>
        <v>UIM</v>
      </c>
      <c r="C149" s="16"/>
      <c r="D149" s="16">
        <v>0.90300000000000002</v>
      </c>
      <c r="E149" s="16">
        <v>2.6749999999999998</v>
      </c>
      <c r="F149" s="16">
        <v>2.2170000000000001</v>
      </c>
      <c r="G149" s="16">
        <v>9.99</v>
      </c>
      <c r="H149" s="16">
        <v>3.093</v>
      </c>
      <c r="I149" s="16">
        <v>2.754</v>
      </c>
      <c r="J149" s="17">
        <v>6.6070000000000002</v>
      </c>
      <c r="K149" s="17">
        <v>6.3109999999999999</v>
      </c>
      <c r="L149" s="17">
        <v>7.3639999999999999</v>
      </c>
      <c r="M149" s="17">
        <v>6.6509999999999998</v>
      </c>
      <c r="N149" s="17">
        <v>6.335</v>
      </c>
    </row>
    <row r="150" spans="1:14" x14ac:dyDescent="0.25">
      <c r="A150" s="11" t="s">
        <v>648</v>
      </c>
      <c r="B150" s="96" t="str">
        <f t="shared" ref="B150:B152" si="35">$B$10</f>
        <v>UIM</v>
      </c>
      <c r="C150" s="16"/>
      <c r="D150" s="16">
        <v>92.590999999999994</v>
      </c>
      <c r="E150" s="16">
        <v>101.77800000000001</v>
      </c>
      <c r="F150" s="16">
        <v>108.423</v>
      </c>
      <c r="G150" s="16">
        <v>121.13800000000001</v>
      </c>
      <c r="H150" s="16">
        <v>135.595</v>
      </c>
      <c r="I150" s="16">
        <v>154.9</v>
      </c>
      <c r="J150" s="17">
        <v>178.327</v>
      </c>
      <c r="K150" s="17">
        <v>184.34800000000001</v>
      </c>
      <c r="L150" s="17">
        <v>192.185</v>
      </c>
      <c r="M150" s="17">
        <v>198.71100000000001</v>
      </c>
      <c r="N150" s="17">
        <v>206.35</v>
      </c>
    </row>
    <row r="151" spans="1:14" x14ac:dyDescent="0.25">
      <c r="A151" s="11" t="s">
        <v>649</v>
      </c>
      <c r="B151" s="96" t="str">
        <f t="shared" si="35"/>
        <v>UIM</v>
      </c>
      <c r="C151" s="16"/>
      <c r="D151" s="16">
        <v>0.66900000000000004</v>
      </c>
      <c r="E151" s="16">
        <v>1.9E-2</v>
      </c>
      <c r="F151" s="16">
        <v>5.6000000000000001E-2</v>
      </c>
      <c r="G151" s="16">
        <v>0.55100000000000005</v>
      </c>
      <c r="H151" s="16">
        <v>2.5649999999999999</v>
      </c>
      <c r="I151" s="16">
        <v>3.278</v>
      </c>
      <c r="J151" s="17">
        <v>4.8579999999999997</v>
      </c>
      <c r="K151" s="17">
        <v>4.2329999999999997</v>
      </c>
      <c r="L151" s="17">
        <v>4.2619999999999996</v>
      </c>
      <c r="M151" s="17">
        <v>4.2910000000000004</v>
      </c>
      <c r="N151" s="17">
        <v>4.3239999999999998</v>
      </c>
    </row>
    <row r="152" spans="1:14" x14ac:dyDescent="0.25">
      <c r="A152" s="11" t="s">
        <v>650</v>
      </c>
      <c r="B152" s="96" t="str">
        <f t="shared" si="35"/>
        <v>UIM</v>
      </c>
      <c r="C152" s="16"/>
      <c r="D152" s="16">
        <f>45.967+0.326+D$149-0.903</f>
        <v>46.292999999999999</v>
      </c>
      <c r="E152" s="16">
        <f>46.843+0.052+E$149-2.675</f>
        <v>46.895000000000003</v>
      </c>
      <c r="F152" s="16">
        <f>60.556+0.929+F$149-2.218</f>
        <v>61.483999999999995</v>
      </c>
      <c r="G152" s="16">
        <f>60.07+0.235+G$149-5.04</f>
        <v>65.254999999999995</v>
      </c>
      <c r="H152" s="16">
        <f>66.12+1.045+H$149-2.264</f>
        <v>67.994000000000014</v>
      </c>
      <c r="I152" s="16">
        <v>78.811999999999998</v>
      </c>
      <c r="J152" s="17">
        <v>90.046999999999997</v>
      </c>
      <c r="K152" s="17">
        <v>93.933000000000007</v>
      </c>
      <c r="L152" s="17">
        <v>100.199</v>
      </c>
      <c r="M152" s="17">
        <v>104.995</v>
      </c>
      <c r="N152" s="17">
        <v>110.628</v>
      </c>
    </row>
    <row r="153" spans="1:14" x14ac:dyDescent="0.25">
      <c r="A153" s="11" t="s">
        <v>651</v>
      </c>
      <c r="B153" s="96" t="str">
        <f>$B$10</f>
        <v>UIM</v>
      </c>
      <c r="C153" s="16"/>
      <c r="D153" s="16">
        <v>13.845000000000001</v>
      </c>
      <c r="E153" s="16">
        <v>14.555999999999999</v>
      </c>
      <c r="F153" s="16">
        <f>3.059+15.669</f>
        <v>18.728000000000002</v>
      </c>
      <c r="G153" s="16">
        <f>12.384+13.719</f>
        <v>26.103000000000002</v>
      </c>
      <c r="H153" s="16">
        <v>36.540999999999997</v>
      </c>
      <c r="I153" s="16">
        <v>40.387999999999998</v>
      </c>
      <c r="J153" s="17">
        <v>35.066000000000003</v>
      </c>
      <c r="K153" s="17">
        <v>29.248000000000001</v>
      </c>
      <c r="L153" s="17">
        <v>32.091999999999999</v>
      </c>
      <c r="M153" s="17">
        <v>33.713999999999999</v>
      </c>
      <c r="N153" s="17">
        <v>35.417999999999999</v>
      </c>
    </row>
    <row r="154" spans="1:14" x14ac:dyDescent="0.25">
      <c r="A154" s="55" t="s">
        <v>652</v>
      </c>
      <c r="B154" s="96" t="str">
        <f>$B$9</f>
        <v>NAC</v>
      </c>
      <c r="C154" s="16"/>
      <c r="D154" s="56">
        <f>SUM(D$147,D$148,D$152,D$153)-SUM(D$149,D$150,D$151)</f>
        <v>57.736000000000004</v>
      </c>
      <c r="E154" s="56">
        <f>SUM(E$147,E$148,E$152,E$153)-SUM(E$149,E$150,E$151)</f>
        <v>83.375</v>
      </c>
      <c r="F154" s="56">
        <f>SUM(F$147,F$148,F$152,F$153)-SUM(F$149,F$150,F$151)</f>
        <v>102.08000000000001</v>
      </c>
      <c r="G154" s="56">
        <f>SUM(G$147,G$148,G$152,G$153)-SUM(G$149,G$150,G$151)</f>
        <v>128.87299999999996</v>
      </c>
      <c r="H154" s="56">
        <f>SUM(H$147,H$148,H$152,H$153)-SUM(H$149,H$150,H$151)</f>
        <v>155.27300000000002</v>
      </c>
      <c r="I154" s="56">
        <f t="shared" ref="I154:N154" si="36">SUM(I$147,I$148,I$152,I$153)-SUM(I$149,I$150,I$151)</f>
        <v>175.46399999999997</v>
      </c>
      <c r="J154" s="56">
        <f t="shared" si="36"/>
        <v>185.64400000000003</v>
      </c>
      <c r="K154" s="56">
        <f t="shared" si="36"/>
        <v>200.18799999999996</v>
      </c>
      <c r="L154" s="56">
        <f t="shared" si="36"/>
        <v>218.43800000000002</v>
      </c>
      <c r="M154" s="56">
        <f t="shared" si="36"/>
        <v>230.24799999999993</v>
      </c>
      <c r="N154" s="56">
        <f t="shared" si="36"/>
        <v>238.51499999999993</v>
      </c>
    </row>
    <row r="155" spans="1:14" x14ac:dyDescent="0.25">
      <c r="A155" s="11" t="s">
        <v>653</v>
      </c>
      <c r="B155" s="96" t="str">
        <f>$B$10</f>
        <v>UIM</v>
      </c>
      <c r="C155" s="16"/>
      <c r="D155" s="16">
        <v>6.931</v>
      </c>
      <c r="E155" s="16">
        <v>11.111000000000001</v>
      </c>
      <c r="F155" s="16">
        <v>11.836</v>
      </c>
      <c r="G155" s="16">
        <v>14.345000000000001</v>
      </c>
      <c r="H155" s="16">
        <v>48.11</v>
      </c>
      <c r="I155" s="16">
        <v>56.47</v>
      </c>
      <c r="J155" s="17">
        <v>62.162999999999997</v>
      </c>
      <c r="K155" s="17">
        <v>67.882999999999996</v>
      </c>
      <c r="L155" s="17">
        <v>73.34</v>
      </c>
      <c r="M155" s="17">
        <v>78.39</v>
      </c>
      <c r="N155" s="17">
        <v>82.649000000000001</v>
      </c>
    </row>
    <row r="156" spans="1:14" x14ac:dyDescent="0.25">
      <c r="A156" s="11" t="s">
        <v>654</v>
      </c>
      <c r="B156" s="96" t="str">
        <f t="shared" ref="B156:B160" si="37">$B$10</f>
        <v>UIM</v>
      </c>
      <c r="C156" s="16"/>
      <c r="D156" s="16">
        <v>0</v>
      </c>
      <c r="E156" s="16">
        <v>0</v>
      </c>
      <c r="F156" s="16">
        <v>0</v>
      </c>
      <c r="G156" s="16">
        <v>0</v>
      </c>
      <c r="H156" s="16">
        <f>28.884+1.69</f>
        <v>30.574000000000002</v>
      </c>
      <c r="I156" s="16">
        <v>33.290999999999997</v>
      </c>
      <c r="J156" s="17">
        <v>36.505000000000003</v>
      </c>
      <c r="K156" s="17">
        <v>40.314999999999998</v>
      </c>
      <c r="L156" s="17">
        <v>44.011000000000003</v>
      </c>
      <c r="M156" s="17">
        <v>48.152999999999999</v>
      </c>
      <c r="N156" s="17">
        <v>51.787999999999997</v>
      </c>
    </row>
    <row r="157" spans="1:14" x14ac:dyDescent="0.25">
      <c r="A157" s="55" t="s">
        <v>655</v>
      </c>
      <c r="B157" s="96" t="str">
        <f>$B$9</f>
        <v>NAC</v>
      </c>
      <c r="C157" s="16"/>
      <c r="D157" s="56">
        <f>SUM(D$154,D$155)-SUM(D$156,D$153)</f>
        <v>50.822000000000003</v>
      </c>
      <c r="E157" s="56">
        <f t="shared" ref="E157:N157" si="38">SUM(E$154,E$155)-SUM(E$156,E$153)</f>
        <v>79.930000000000007</v>
      </c>
      <c r="F157" s="56">
        <f t="shared" si="38"/>
        <v>95.188000000000017</v>
      </c>
      <c r="G157" s="56">
        <f t="shared" si="38"/>
        <v>117.11499999999995</v>
      </c>
      <c r="H157" s="56">
        <f t="shared" si="38"/>
        <v>136.26800000000003</v>
      </c>
      <c r="I157" s="56">
        <f t="shared" si="38"/>
        <v>158.25499999999997</v>
      </c>
      <c r="J157" s="56">
        <f t="shared" si="38"/>
        <v>176.23600000000002</v>
      </c>
      <c r="K157" s="56">
        <f t="shared" si="38"/>
        <v>198.50799999999998</v>
      </c>
      <c r="L157" s="56">
        <f t="shared" si="38"/>
        <v>215.67500000000001</v>
      </c>
      <c r="M157" s="56">
        <f t="shared" si="38"/>
        <v>226.77099999999993</v>
      </c>
      <c r="N157" s="56">
        <f t="shared" si="38"/>
        <v>233.95799999999994</v>
      </c>
    </row>
    <row r="158" spans="1:14" x14ac:dyDescent="0.25">
      <c r="A158" s="55" t="s">
        <v>656</v>
      </c>
      <c r="B158" s="96" t="str">
        <f>$B$9</f>
        <v>NAC</v>
      </c>
      <c r="C158" s="16"/>
      <c r="D158" s="47">
        <v>5.4320000000000004</v>
      </c>
      <c r="E158" s="47">
        <v>35.71</v>
      </c>
      <c r="F158" s="47">
        <v>35.920999999999999</v>
      </c>
      <c r="G158" s="47">
        <v>61.85</v>
      </c>
      <c r="H158" s="47">
        <v>71.367000000000004</v>
      </c>
      <c r="I158" s="47">
        <v>82.197000000000003</v>
      </c>
      <c r="J158" s="43">
        <v>92.796000000000006</v>
      </c>
      <c r="K158" s="43">
        <v>110.886</v>
      </c>
      <c r="L158" s="43">
        <v>122.84</v>
      </c>
      <c r="M158" s="43">
        <v>128.42699999999999</v>
      </c>
      <c r="N158" s="43">
        <v>129.66499999999999</v>
      </c>
    </row>
    <row r="159" spans="1:14" x14ac:dyDescent="0.25">
      <c r="A159" s="55" t="s">
        <v>657</v>
      </c>
      <c r="B159" s="96"/>
      <c r="C159" s="16"/>
      <c r="D159" s="57" t="str">
        <f t="shared" ref="D159:G159" si="39">IF(ROUND(D$158-(D$157+D$149-D$152),3)=0,"OK","ERROR")</f>
        <v>OK</v>
      </c>
      <c r="E159" s="57" t="str">
        <f t="shared" si="39"/>
        <v>OK</v>
      </c>
      <c r="F159" s="57" t="str">
        <f t="shared" si="39"/>
        <v>OK</v>
      </c>
      <c r="G159" s="57" t="str">
        <f t="shared" si="39"/>
        <v>OK</v>
      </c>
      <c r="H159" s="57" t="str">
        <f>IF(ROUND(H$158-(H$157+H$149-H$152),3)=0,"OK","ERROR")</f>
        <v>OK</v>
      </c>
      <c r="I159" s="57" t="str">
        <f t="shared" ref="I159:N159" si="40">IF(ROUND(I$158-(I$157+I$149-I$152),3)=0,"OK","ERROR")</f>
        <v>OK</v>
      </c>
      <c r="J159" s="57" t="str">
        <f t="shared" si="40"/>
        <v>OK</v>
      </c>
      <c r="K159" s="57" t="str">
        <f t="shared" si="40"/>
        <v>OK</v>
      </c>
      <c r="L159" s="57" t="str">
        <f t="shared" si="40"/>
        <v>OK</v>
      </c>
      <c r="M159" s="57" t="str">
        <f t="shared" si="40"/>
        <v>OK</v>
      </c>
      <c r="N159" s="57" t="str">
        <f t="shared" si="40"/>
        <v>OK</v>
      </c>
    </row>
    <row r="160" spans="1:14" x14ac:dyDescent="0.25">
      <c r="A160" s="11" t="s">
        <v>658</v>
      </c>
      <c r="B160" s="96" t="str">
        <f t="shared" si="37"/>
        <v>UIM</v>
      </c>
      <c r="C160" s="16"/>
      <c r="D160" s="16">
        <v>6.4809999999999999</v>
      </c>
      <c r="E160" s="16">
        <v>21.887999999999998</v>
      </c>
      <c r="F160" s="16">
        <v>30.420999999999999</v>
      </c>
      <c r="G160" s="16">
        <v>45.088000000000001</v>
      </c>
      <c r="H160" s="16">
        <v>53.109000000000002</v>
      </c>
      <c r="I160" s="16">
        <v>38.475999999999999</v>
      </c>
      <c r="J160" s="17">
        <v>33.716999999999999</v>
      </c>
      <c r="K160" s="17">
        <v>26.771999999999998</v>
      </c>
      <c r="L160" s="17">
        <v>20.100000000000001</v>
      </c>
      <c r="M160" s="17">
        <v>20.100000000000001</v>
      </c>
      <c r="N160" s="17">
        <v>20.100000000000001</v>
      </c>
    </row>
    <row r="161" spans="1:14" x14ac:dyDescent="0.25">
      <c r="A161" s="55" t="s">
        <v>659</v>
      </c>
      <c r="B161" s="16"/>
      <c r="C161" s="16"/>
      <c r="D161" s="56">
        <f t="shared" ref="D161:G161" si="41">SUM(D$147,D$148)-SUM(D$149,D$160)</f>
        <v>84.37700000000001</v>
      </c>
      <c r="E161" s="56">
        <f t="shared" si="41"/>
        <v>101.833</v>
      </c>
      <c r="F161" s="56">
        <f t="shared" si="41"/>
        <v>99.925999999999988</v>
      </c>
      <c r="G161" s="56">
        <f t="shared" si="41"/>
        <v>114.11599999999999</v>
      </c>
      <c r="H161" s="56">
        <f>SUM(H$147,H$148)-SUM(H$149,H$160)</f>
        <v>135.78899999999999</v>
      </c>
      <c r="I161" s="56">
        <f t="shared" ref="I161:N161" si="42">SUM(I$147,I$148)-SUM(I$149,I$160)</f>
        <v>175.96600000000001</v>
      </c>
      <c r="J161" s="56">
        <f t="shared" si="42"/>
        <v>209.99899999999997</v>
      </c>
      <c r="K161" s="56">
        <f t="shared" si="42"/>
        <v>238.816</v>
      </c>
      <c r="L161" s="56">
        <f t="shared" si="42"/>
        <v>262.49400000000003</v>
      </c>
      <c r="M161" s="56">
        <f t="shared" si="42"/>
        <v>274.44099999999997</v>
      </c>
      <c r="N161" s="56">
        <f t="shared" si="42"/>
        <v>283.04299999999995</v>
      </c>
    </row>
    <row r="162" spans="1:14" x14ac:dyDescent="0.25">
      <c r="A162" s="9" t="s">
        <v>660</v>
      </c>
      <c r="B162" s="11"/>
      <c r="C162" s="16"/>
      <c r="D162" s="17"/>
      <c r="E162" s="17"/>
      <c r="F162" s="17"/>
      <c r="G162" s="17"/>
      <c r="H162" s="17"/>
      <c r="I162" s="17"/>
      <c r="J162" s="17"/>
      <c r="K162" s="17"/>
      <c r="L162" s="17"/>
      <c r="M162" s="17"/>
      <c r="N162" s="17"/>
    </row>
    <row r="163" spans="1:14" x14ac:dyDescent="0.25">
      <c r="A163" s="11" t="s">
        <v>526</v>
      </c>
      <c r="B163" s="96" t="str">
        <f>$B$10</f>
        <v>UIM</v>
      </c>
      <c r="C163" s="16"/>
      <c r="D163" s="16">
        <v>86.468000000000004</v>
      </c>
      <c r="E163" s="16">
        <v>85.102000000000004</v>
      </c>
      <c r="F163" s="16">
        <v>97.983000000000004</v>
      </c>
      <c r="G163" s="16">
        <v>108.458</v>
      </c>
      <c r="H163" s="16">
        <v>112.358</v>
      </c>
      <c r="I163" s="16">
        <v>120.566</v>
      </c>
      <c r="J163" s="17">
        <v>120.89400000000001</v>
      </c>
      <c r="K163" s="17">
        <v>125.044</v>
      </c>
      <c r="L163" s="17">
        <v>133.018</v>
      </c>
      <c r="M163" s="17">
        <v>140.49100000000001</v>
      </c>
      <c r="N163" s="17">
        <v>148.19999999999999</v>
      </c>
    </row>
    <row r="164" spans="1:14" x14ac:dyDescent="0.25">
      <c r="A164" s="11" t="s">
        <v>528</v>
      </c>
      <c r="B164" s="96" t="str">
        <f>$B$10</f>
        <v>UIM</v>
      </c>
      <c r="C164" s="16"/>
      <c r="D164" s="16">
        <v>1.9770000000000001</v>
      </c>
      <c r="E164" s="16">
        <v>2.12</v>
      </c>
      <c r="F164" s="16">
        <v>2.7450000000000001</v>
      </c>
      <c r="G164" s="16">
        <v>4.327</v>
      </c>
      <c r="H164" s="16">
        <v>3.2919999999999998</v>
      </c>
      <c r="I164" s="16">
        <v>3.589</v>
      </c>
      <c r="J164" s="17">
        <v>4.306</v>
      </c>
      <c r="K164" s="17">
        <v>4.4169999999999998</v>
      </c>
      <c r="L164" s="17">
        <v>4.4249999999999998</v>
      </c>
      <c r="M164" s="17">
        <v>4.42</v>
      </c>
      <c r="N164" s="17">
        <v>4.4509999999999996</v>
      </c>
    </row>
    <row r="165" spans="1:14" x14ac:dyDescent="0.25">
      <c r="A165" s="11" t="s">
        <v>530</v>
      </c>
      <c r="B165" s="96" t="str">
        <f>$B$10</f>
        <v>UIM</v>
      </c>
      <c r="C165" s="16"/>
      <c r="D165" s="16">
        <v>1.583</v>
      </c>
      <c r="E165" s="16">
        <v>1.5529999999999999</v>
      </c>
      <c r="F165" s="16">
        <v>1.5429999999999999</v>
      </c>
      <c r="G165" s="16">
        <v>1.3859999999999999</v>
      </c>
      <c r="H165" s="16">
        <v>1.631</v>
      </c>
      <c r="I165" s="16">
        <v>1.798</v>
      </c>
      <c r="J165" s="17">
        <v>2.21</v>
      </c>
      <c r="K165" s="17">
        <v>2.3940000000000001</v>
      </c>
      <c r="L165" s="17">
        <v>2.3420000000000001</v>
      </c>
      <c r="M165" s="17">
        <v>2.427</v>
      </c>
      <c r="N165" s="17">
        <v>2.4420000000000002</v>
      </c>
    </row>
    <row r="166" spans="1:14" x14ac:dyDescent="0.25">
      <c r="A166" s="11" t="s">
        <v>531</v>
      </c>
      <c r="B166" s="96" t="str">
        <f>$B$10</f>
        <v>UIM</v>
      </c>
      <c r="C166" s="16"/>
      <c r="D166" s="16">
        <v>1.06</v>
      </c>
      <c r="E166" s="16">
        <v>0.85</v>
      </c>
      <c r="F166" s="16">
        <v>0.71599999999999997</v>
      </c>
      <c r="G166" s="16">
        <v>0.85799999999999998</v>
      </c>
      <c r="H166" s="16">
        <v>2.8620000000000001</v>
      </c>
      <c r="I166" s="16">
        <v>4.4409999999999998</v>
      </c>
      <c r="J166" s="17">
        <v>4.0789999999999997</v>
      </c>
      <c r="K166" s="17">
        <v>3.7160000000000002</v>
      </c>
      <c r="L166" s="17">
        <v>3.8319999999999999</v>
      </c>
      <c r="M166" s="17">
        <v>4.1459999999999999</v>
      </c>
      <c r="N166" s="17">
        <v>4.3929999999999998</v>
      </c>
    </row>
    <row r="167" spans="1:14" x14ac:dyDescent="0.25">
      <c r="A167" s="11" t="s">
        <v>532</v>
      </c>
      <c r="B167" s="96" t="str">
        <f>$B$10</f>
        <v>UIM</v>
      </c>
      <c r="C167" s="16"/>
      <c r="D167" s="16">
        <v>2.3860000000000001</v>
      </c>
      <c r="E167" s="16">
        <v>2.298</v>
      </c>
      <c r="F167" s="16">
        <v>1.9810000000000001</v>
      </c>
      <c r="G167" s="16">
        <v>2.4860000000000002</v>
      </c>
      <c r="H167" s="16">
        <v>3.2549999999999999</v>
      </c>
      <c r="I167" s="16">
        <v>2.8260000000000001</v>
      </c>
      <c r="J167" s="17">
        <v>2.6989999999999998</v>
      </c>
      <c r="K167" s="17">
        <v>4.1550000000000002</v>
      </c>
      <c r="L167" s="17">
        <v>2.806</v>
      </c>
      <c r="M167" s="17">
        <v>2.887</v>
      </c>
      <c r="N167" s="17">
        <v>3.0190000000000001</v>
      </c>
    </row>
    <row r="168" spans="1:14" x14ac:dyDescent="0.25">
      <c r="A168" s="55" t="s">
        <v>661</v>
      </c>
      <c r="B168" s="96" t="str">
        <f>$B$9</f>
        <v>NAC</v>
      </c>
      <c r="C168" s="16"/>
      <c r="D168" s="47">
        <v>93.474000000000004</v>
      </c>
      <c r="E168" s="47">
        <v>91.923000000000002</v>
      </c>
      <c r="F168" s="47">
        <v>104.968</v>
      </c>
      <c r="G168" s="47">
        <v>117.515</v>
      </c>
      <c r="H168" s="47">
        <v>123.398</v>
      </c>
      <c r="I168" s="47">
        <v>133.22</v>
      </c>
      <c r="J168" s="43">
        <v>134.18799999999999</v>
      </c>
      <c r="K168" s="43">
        <v>139.726</v>
      </c>
      <c r="L168" s="43">
        <v>146.423</v>
      </c>
      <c r="M168" s="43">
        <v>154.37100000000001</v>
      </c>
      <c r="N168" s="43">
        <v>162.505</v>
      </c>
    </row>
    <row r="169" spans="1:14" x14ac:dyDescent="0.25">
      <c r="A169" s="55" t="s">
        <v>662</v>
      </c>
      <c r="B169" s="96"/>
      <c r="C169" s="16"/>
      <c r="D169" s="57" t="str">
        <f t="shared" ref="D169:N169" si="43">IF(ROUND(D$168-SUM(D$163:D$167),3)=0,"OK","ERROR")</f>
        <v>OK</v>
      </c>
      <c r="E169" s="57" t="str">
        <f t="shared" si="43"/>
        <v>OK</v>
      </c>
      <c r="F169" s="57" t="str">
        <f t="shared" si="43"/>
        <v>OK</v>
      </c>
      <c r="G169" s="57" t="str">
        <f t="shared" si="43"/>
        <v>OK</v>
      </c>
      <c r="H169" s="57" t="str">
        <f t="shared" si="43"/>
        <v>OK</v>
      </c>
      <c r="I169" s="57" t="str">
        <f t="shared" si="43"/>
        <v>OK</v>
      </c>
      <c r="J169" s="57" t="str">
        <f t="shared" si="43"/>
        <v>OK</v>
      </c>
      <c r="K169" s="57" t="str">
        <f t="shared" si="43"/>
        <v>OK</v>
      </c>
      <c r="L169" s="57" t="str">
        <f t="shared" si="43"/>
        <v>OK</v>
      </c>
      <c r="M169" s="57" t="str">
        <f t="shared" si="43"/>
        <v>OK</v>
      </c>
      <c r="N169" s="57" t="str">
        <f t="shared" si="43"/>
        <v>OK</v>
      </c>
    </row>
    <row r="170" spans="1:14" x14ac:dyDescent="0.25">
      <c r="A170" s="11" t="s">
        <v>663</v>
      </c>
      <c r="B170" s="96" t="str">
        <f>$B$10</f>
        <v>UIM</v>
      </c>
      <c r="C170" s="16"/>
      <c r="D170" s="16">
        <v>29.015000000000001</v>
      </c>
      <c r="E170" s="16">
        <v>43.616</v>
      </c>
      <c r="F170" s="16">
        <v>36.521000000000001</v>
      </c>
      <c r="G170" s="16">
        <v>45.265999999999998</v>
      </c>
      <c r="H170" s="16">
        <v>40.003</v>
      </c>
      <c r="I170" s="16">
        <v>43.265000000000001</v>
      </c>
      <c r="J170" s="17">
        <v>46.338000000000001</v>
      </c>
      <c r="K170" s="17">
        <v>48.189</v>
      </c>
      <c r="L170" s="17">
        <v>49.661999999999999</v>
      </c>
      <c r="M170" s="17">
        <v>51.345999999999997</v>
      </c>
      <c r="N170" s="17">
        <v>52.415999999999997</v>
      </c>
    </row>
    <row r="171" spans="1:14" x14ac:dyDescent="0.25">
      <c r="A171" s="11" t="s">
        <v>664</v>
      </c>
      <c r="B171" s="96" t="str">
        <f>$B$10</f>
        <v>UIM</v>
      </c>
      <c r="C171" s="16"/>
      <c r="D171" s="16">
        <v>7.7939999999999996</v>
      </c>
      <c r="E171" s="16">
        <v>8.48</v>
      </c>
      <c r="F171" s="16">
        <v>9.3580000000000005</v>
      </c>
      <c r="G171" s="16">
        <v>9.9450000000000003</v>
      </c>
      <c r="H171" s="16">
        <v>10.449</v>
      </c>
      <c r="I171" s="16">
        <v>11.26</v>
      </c>
      <c r="J171" s="17">
        <v>11.407</v>
      </c>
      <c r="K171" s="17">
        <v>11.778</v>
      </c>
      <c r="L171" s="17">
        <v>11.878</v>
      </c>
      <c r="M171" s="17">
        <v>11.847</v>
      </c>
      <c r="N171" s="17">
        <v>11.896000000000001</v>
      </c>
    </row>
    <row r="172" spans="1:14" x14ac:dyDescent="0.25">
      <c r="A172" s="11" t="s">
        <v>665</v>
      </c>
      <c r="B172" s="96" t="str">
        <f>$B$9</f>
        <v>NAC</v>
      </c>
      <c r="C172" s="16"/>
      <c r="D172" s="16">
        <v>46.46</v>
      </c>
      <c r="E172" s="16">
        <v>53.508000000000003</v>
      </c>
      <c r="F172" s="16">
        <v>59.966000000000001</v>
      </c>
      <c r="G172" s="16">
        <v>67.545000000000002</v>
      </c>
      <c r="H172" s="16">
        <v>70.55</v>
      </c>
      <c r="I172" s="16">
        <v>75.528000000000006</v>
      </c>
      <c r="J172" s="17">
        <v>78.320999999999998</v>
      </c>
      <c r="K172" s="17">
        <v>80.046000000000006</v>
      </c>
      <c r="L172" s="17">
        <v>78.921000000000006</v>
      </c>
      <c r="M172" s="17">
        <v>77.093999999999994</v>
      </c>
      <c r="N172" s="17">
        <v>77.667000000000002</v>
      </c>
    </row>
    <row r="173" spans="1:14" x14ac:dyDescent="0.25">
      <c r="A173" s="11" t="s">
        <v>538</v>
      </c>
      <c r="B173" s="96" t="str">
        <f>$B$10</f>
        <v>UIM</v>
      </c>
      <c r="C173" s="16"/>
      <c r="D173" s="16">
        <v>3.69</v>
      </c>
      <c r="E173" s="16">
        <v>3.2280000000000002</v>
      </c>
      <c r="F173" s="16">
        <v>1.9179999999999999</v>
      </c>
      <c r="G173" s="16">
        <v>2.8839999999999999</v>
      </c>
      <c r="H173" s="16">
        <v>6.569</v>
      </c>
      <c r="I173" s="16">
        <v>8.9429999999999996</v>
      </c>
      <c r="J173" s="17">
        <v>8.8390000000000004</v>
      </c>
      <c r="K173" s="17">
        <v>9.5129999999999999</v>
      </c>
      <c r="L173" s="17">
        <v>10.558999999999999</v>
      </c>
      <c r="M173" s="17">
        <v>11.769</v>
      </c>
      <c r="N173" s="17">
        <v>12.673999999999999</v>
      </c>
    </row>
    <row r="174" spans="1:14" x14ac:dyDescent="0.25">
      <c r="A174" s="11" t="s">
        <v>539</v>
      </c>
      <c r="B174" s="96" t="str">
        <f>$B$10</f>
        <v>UIM</v>
      </c>
      <c r="C174" s="16"/>
      <c r="D174" s="16">
        <v>0</v>
      </c>
      <c r="E174" s="16">
        <v>0</v>
      </c>
      <c r="F174" s="16">
        <v>1E-3</v>
      </c>
      <c r="G174" s="16">
        <v>1E-3</v>
      </c>
      <c r="H174" s="16">
        <v>3.0000000000000001E-3</v>
      </c>
      <c r="I174" s="16">
        <v>2E-3</v>
      </c>
      <c r="J174" s="17">
        <v>3.0000000000000001E-3</v>
      </c>
      <c r="K174" s="17">
        <v>3.0000000000000001E-3</v>
      </c>
      <c r="L174" s="17">
        <v>3.0000000000000001E-3</v>
      </c>
      <c r="M174" s="17">
        <v>2E-3</v>
      </c>
      <c r="N174" s="17">
        <v>3.0000000000000001E-3</v>
      </c>
    </row>
    <row r="175" spans="1:14" x14ac:dyDescent="0.25">
      <c r="A175" s="55" t="s">
        <v>666</v>
      </c>
      <c r="B175" s="96" t="str">
        <f>$B$9</f>
        <v>NAC</v>
      </c>
      <c r="C175" s="16"/>
      <c r="D175" s="47">
        <v>86.959000000000003</v>
      </c>
      <c r="E175" s="47">
        <v>108.83199999999999</v>
      </c>
      <c r="F175" s="47">
        <v>107.764</v>
      </c>
      <c r="G175" s="47">
        <v>125.64100000000001</v>
      </c>
      <c r="H175" s="47">
        <v>127.574</v>
      </c>
      <c r="I175" s="47">
        <v>138.99799999999999</v>
      </c>
      <c r="J175" s="43">
        <v>142.208</v>
      </c>
      <c r="K175" s="43">
        <v>150.34899999999999</v>
      </c>
      <c r="L175" s="43">
        <v>153.142</v>
      </c>
      <c r="M175" s="43">
        <v>156.827</v>
      </c>
      <c r="N175" s="43">
        <v>161.959</v>
      </c>
    </row>
    <row r="176" spans="1:14" x14ac:dyDescent="0.25">
      <c r="A176" s="55" t="s">
        <v>667</v>
      </c>
      <c r="B176" s="96"/>
      <c r="C176" s="16"/>
      <c r="D176" s="57" t="str">
        <f t="shared" ref="D176:N176" si="44">IF(ROUND(D$175-SUM(D$21:D$22,D$170:D$174),3)=0,"OK","ERROR")</f>
        <v>OK</v>
      </c>
      <c r="E176" s="57" t="str">
        <f t="shared" si="44"/>
        <v>OK</v>
      </c>
      <c r="F176" s="57" t="str">
        <f t="shared" si="44"/>
        <v>OK</v>
      </c>
      <c r="G176" s="57" t="str">
        <f t="shared" si="44"/>
        <v>OK</v>
      </c>
      <c r="H176" s="57" t="str">
        <f t="shared" si="44"/>
        <v>OK</v>
      </c>
      <c r="I176" s="57" t="str">
        <f t="shared" si="44"/>
        <v>OK</v>
      </c>
      <c r="J176" s="57" t="str">
        <f t="shared" si="44"/>
        <v>OK</v>
      </c>
      <c r="K176" s="57" t="str">
        <f t="shared" si="44"/>
        <v>OK</v>
      </c>
      <c r="L176" s="57" t="str">
        <f t="shared" si="44"/>
        <v>OK</v>
      </c>
      <c r="M176" s="57" t="str">
        <f t="shared" si="44"/>
        <v>OK</v>
      </c>
      <c r="N176" s="57" t="str">
        <f t="shared" si="44"/>
        <v>OK</v>
      </c>
    </row>
    <row r="177" spans="1:14" x14ac:dyDescent="0.25">
      <c r="A177" s="58" t="s">
        <v>668</v>
      </c>
      <c r="B177" s="96" t="str">
        <f>$B$10</f>
        <v>UIM</v>
      </c>
      <c r="C177" s="16"/>
      <c r="D177" s="16">
        <v>3.1920000000000002</v>
      </c>
      <c r="E177" s="16">
        <v>-3.9740000000000002</v>
      </c>
      <c r="F177" s="16">
        <v>7.5</v>
      </c>
      <c r="G177" s="16">
        <v>-11.406000000000001</v>
      </c>
      <c r="H177" s="16">
        <v>12.468999999999999</v>
      </c>
      <c r="I177" s="16">
        <v>7.8840000000000003</v>
      </c>
      <c r="J177" s="17">
        <v>7.2460000000000004</v>
      </c>
      <c r="K177" s="17">
        <v>5.1749999999999998</v>
      </c>
      <c r="L177" s="17">
        <v>5.45</v>
      </c>
      <c r="M177" s="17">
        <v>5.758</v>
      </c>
      <c r="N177" s="17">
        <v>6.0970000000000004</v>
      </c>
    </row>
    <row r="178" spans="1:14" x14ac:dyDescent="0.25">
      <c r="A178" s="55" t="s">
        <v>669</v>
      </c>
      <c r="B178" s="96" t="str">
        <f>$B$9</f>
        <v>NAC</v>
      </c>
      <c r="C178" s="16"/>
      <c r="D178" s="47">
        <v>9.7070000000000007</v>
      </c>
      <c r="E178" s="47">
        <v>-20.882999999999999</v>
      </c>
      <c r="F178" s="47">
        <v>4.7039999999999997</v>
      </c>
      <c r="G178" s="47">
        <v>-19.532</v>
      </c>
      <c r="H178" s="47">
        <v>8.2929999999999993</v>
      </c>
      <c r="I178" s="47">
        <v>2.1059999999999999</v>
      </c>
      <c r="J178" s="43">
        <v>-0.77400000000000002</v>
      </c>
      <c r="K178" s="43">
        <v>-5.4480000000000004</v>
      </c>
      <c r="L178" s="43">
        <v>-1.2689999999999999</v>
      </c>
      <c r="M178" s="43">
        <v>3.302</v>
      </c>
      <c r="N178" s="43">
        <v>6.6429999999999998</v>
      </c>
    </row>
    <row r="179" spans="1:14" x14ac:dyDescent="0.25">
      <c r="A179" s="55" t="s">
        <v>670</v>
      </c>
      <c r="B179" s="96"/>
      <c r="C179" s="16"/>
      <c r="D179" s="57" t="str">
        <f t="shared" ref="D179:N179" si="45">IF(ROUND(D$178-(D$168-D$175+D$177),3)=0,"OK","ERROR")</f>
        <v>OK</v>
      </c>
      <c r="E179" s="57" t="str">
        <f t="shared" si="45"/>
        <v>OK</v>
      </c>
      <c r="F179" s="57" t="str">
        <f t="shared" si="45"/>
        <v>OK</v>
      </c>
      <c r="G179" s="57" t="str">
        <f t="shared" si="45"/>
        <v>OK</v>
      </c>
      <c r="H179" s="57" t="str">
        <f t="shared" si="45"/>
        <v>OK</v>
      </c>
      <c r="I179" s="57" t="str">
        <f t="shared" si="45"/>
        <v>OK</v>
      </c>
      <c r="J179" s="57" t="str">
        <f t="shared" si="45"/>
        <v>OK</v>
      </c>
      <c r="K179" s="57" t="str">
        <f t="shared" si="45"/>
        <v>OK</v>
      </c>
      <c r="L179" s="57" t="str">
        <f t="shared" si="45"/>
        <v>OK</v>
      </c>
      <c r="M179" s="57" t="str">
        <f t="shared" si="45"/>
        <v>OK</v>
      </c>
      <c r="N179" s="57" t="str">
        <f t="shared" si="45"/>
        <v>OK</v>
      </c>
    </row>
    <row r="180" spans="1:14" x14ac:dyDescent="0.25">
      <c r="A180" s="11" t="s">
        <v>618</v>
      </c>
      <c r="B180" s="96" t="str">
        <f>$B$10</f>
        <v>UIM</v>
      </c>
      <c r="C180" s="16"/>
      <c r="D180" s="16">
        <v>17.378</v>
      </c>
      <c r="E180" s="16">
        <v>18.181000000000001</v>
      </c>
      <c r="F180" s="16">
        <v>13.129</v>
      </c>
      <c r="G180" s="16">
        <v>11.407999999999999</v>
      </c>
      <c r="H180" s="16">
        <v>10.973000000000001</v>
      </c>
      <c r="I180" s="16">
        <v>9.1110000000000007</v>
      </c>
      <c r="J180" s="17">
        <v>16.379000000000001</v>
      </c>
      <c r="K180" s="17">
        <v>16.774000000000001</v>
      </c>
      <c r="L180" s="17">
        <v>17.631</v>
      </c>
      <c r="M180" s="17">
        <v>16.788</v>
      </c>
      <c r="N180" s="17">
        <v>16.361999999999998</v>
      </c>
    </row>
    <row r="181" spans="1:14" x14ac:dyDescent="0.25">
      <c r="A181" s="11" t="s">
        <v>619</v>
      </c>
      <c r="B181" s="96" t="str">
        <f>$B$10</f>
        <v>UIM</v>
      </c>
      <c r="C181" s="16"/>
      <c r="D181" s="16">
        <v>16.573</v>
      </c>
      <c r="E181" s="16">
        <v>18.100000000000001</v>
      </c>
      <c r="F181" s="16">
        <v>20.236999999999998</v>
      </c>
      <c r="G181" s="16">
        <v>28.288</v>
      </c>
      <c r="H181" s="16">
        <v>25.673999999999999</v>
      </c>
      <c r="I181" s="16">
        <v>28.638999999999999</v>
      </c>
      <c r="J181" s="17">
        <v>27.931999999999999</v>
      </c>
      <c r="K181" s="17">
        <v>28.193000000000001</v>
      </c>
      <c r="L181" s="17">
        <v>27.722999999999999</v>
      </c>
      <c r="M181" s="17">
        <v>28.347999999999999</v>
      </c>
      <c r="N181" s="17">
        <v>29.277999999999999</v>
      </c>
    </row>
    <row r="182" spans="1:14" x14ac:dyDescent="0.25">
      <c r="A182" s="11" t="s">
        <v>620</v>
      </c>
      <c r="B182" s="96" t="str">
        <f>$B$10</f>
        <v>UIM</v>
      </c>
      <c r="C182" s="16"/>
      <c r="D182" s="16">
        <v>27.405999999999999</v>
      </c>
      <c r="E182" s="16">
        <v>43.665999999999997</v>
      </c>
      <c r="F182" s="16">
        <v>37.732999999999997</v>
      </c>
      <c r="G182" s="16">
        <v>43.764000000000003</v>
      </c>
      <c r="H182" s="16">
        <v>44.414999999999999</v>
      </c>
      <c r="I182" s="16">
        <v>51.970999999999997</v>
      </c>
      <c r="J182" s="17">
        <v>64.650999999999996</v>
      </c>
      <c r="K182" s="17">
        <v>73.935000000000002</v>
      </c>
      <c r="L182" s="17">
        <v>74.600999999999999</v>
      </c>
      <c r="M182" s="17">
        <v>76.813000000000002</v>
      </c>
      <c r="N182" s="17">
        <v>79.525000000000006</v>
      </c>
    </row>
    <row r="183" spans="1:14" x14ac:dyDescent="0.25">
      <c r="A183" s="11" t="s">
        <v>621</v>
      </c>
      <c r="B183" s="96" t="str">
        <f>$B$10</f>
        <v>UIM</v>
      </c>
      <c r="C183" s="16"/>
      <c r="D183" s="16">
        <v>26.395</v>
      </c>
      <c r="E183" s="16">
        <v>17.86</v>
      </c>
      <c r="F183" s="16">
        <v>28.643999999999998</v>
      </c>
      <c r="G183" s="16">
        <v>29.152999999999999</v>
      </c>
      <c r="H183" s="16">
        <v>28.998000000000001</v>
      </c>
      <c r="I183" s="16">
        <v>37.338000000000001</v>
      </c>
      <c r="J183" s="17">
        <v>44.015000000000001</v>
      </c>
      <c r="K183" s="17">
        <v>45.262999999999998</v>
      </c>
      <c r="L183" s="17">
        <v>47.216999999999999</v>
      </c>
      <c r="M183" s="17">
        <v>49.198</v>
      </c>
      <c r="N183" s="17">
        <v>51.213000000000001</v>
      </c>
    </row>
    <row r="184" spans="1:14" x14ac:dyDescent="0.25">
      <c r="A184" s="11" t="s">
        <v>623</v>
      </c>
      <c r="B184" s="96" t="str">
        <f>$B$9</f>
        <v>NAC</v>
      </c>
      <c r="C184" s="16"/>
      <c r="D184" s="16">
        <v>3.6880000000000002</v>
      </c>
      <c r="E184" s="16">
        <v>4.22</v>
      </c>
      <c r="F184" s="16">
        <v>4.718</v>
      </c>
      <c r="G184" s="16">
        <v>6.0960000000000001</v>
      </c>
      <c r="H184" s="16">
        <v>7.3170000000000002</v>
      </c>
      <c r="I184" s="16">
        <v>7.1740000000000004</v>
      </c>
      <c r="J184" s="17">
        <v>8.3989999999999991</v>
      </c>
      <c r="K184" s="17">
        <v>9.3089999999999993</v>
      </c>
      <c r="L184" s="17">
        <v>10.826000000000001</v>
      </c>
      <c r="M184" s="17">
        <v>12.381</v>
      </c>
      <c r="N184" s="17">
        <v>14.013999999999999</v>
      </c>
    </row>
    <row r="185" spans="1:14" x14ac:dyDescent="0.25">
      <c r="A185" s="11" t="s">
        <v>622</v>
      </c>
      <c r="B185" s="96" t="str">
        <f>$B$10</f>
        <v>UIM</v>
      </c>
      <c r="C185" s="16"/>
      <c r="D185" s="16">
        <v>15.848000000000001</v>
      </c>
      <c r="E185" s="16">
        <v>18.242000000000001</v>
      </c>
      <c r="F185" s="16">
        <v>24.199000000000002</v>
      </c>
      <c r="G185" s="16">
        <v>30.716999999999999</v>
      </c>
      <c r="H185" s="16">
        <v>43.892000000000003</v>
      </c>
      <c r="I185" s="16">
        <v>49.305999999999997</v>
      </c>
      <c r="J185" s="17">
        <v>44.883000000000003</v>
      </c>
      <c r="K185" s="17">
        <v>39.067</v>
      </c>
      <c r="L185" s="17">
        <v>41.91</v>
      </c>
      <c r="M185" s="17">
        <v>43.530999999999999</v>
      </c>
      <c r="N185" s="17">
        <v>45.235999999999997</v>
      </c>
    </row>
    <row r="186" spans="1:14" x14ac:dyDescent="0.25">
      <c r="A186" s="11" t="s">
        <v>626</v>
      </c>
      <c r="B186" s="96" t="str">
        <f>$B$10</f>
        <v>UIM</v>
      </c>
      <c r="C186" s="47">
        <v>41.279000000000003</v>
      </c>
      <c r="D186" s="16">
        <v>43.683999999999997</v>
      </c>
      <c r="E186" s="16">
        <v>45.167000000000002</v>
      </c>
      <c r="F186" s="16">
        <v>51.92</v>
      </c>
      <c r="G186" s="16">
        <v>56.518999999999998</v>
      </c>
      <c r="H186" s="16">
        <v>63.033999999999999</v>
      </c>
      <c r="I186" s="16">
        <v>67.997</v>
      </c>
      <c r="J186" s="17">
        <v>69.701999999999998</v>
      </c>
      <c r="K186" s="17">
        <v>70.847999999999999</v>
      </c>
      <c r="L186" s="17">
        <v>71.221000000000004</v>
      </c>
      <c r="M186" s="17">
        <v>70.656999999999996</v>
      </c>
      <c r="N186" s="17">
        <v>69.775000000000006</v>
      </c>
    </row>
    <row r="187" spans="1:14" x14ac:dyDescent="0.25">
      <c r="A187" s="11" t="s">
        <v>627</v>
      </c>
      <c r="B187" s="96" t="str">
        <f>$B$10</f>
        <v>UIM</v>
      </c>
      <c r="C187" s="16"/>
      <c r="D187" s="16">
        <v>46.601999999999997</v>
      </c>
      <c r="E187" s="16">
        <v>49.604999999999997</v>
      </c>
      <c r="F187" s="16">
        <v>53.877000000000002</v>
      </c>
      <c r="G187" s="16">
        <v>57.801000000000002</v>
      </c>
      <c r="H187" s="16">
        <v>64.816999999999993</v>
      </c>
      <c r="I187" s="16">
        <v>69.174000000000007</v>
      </c>
      <c r="J187" s="17">
        <v>76.697999999999993</v>
      </c>
      <c r="K187" s="17">
        <v>82.582999999999998</v>
      </c>
      <c r="L187" s="17">
        <v>87.412000000000006</v>
      </c>
      <c r="M187" s="17">
        <v>91.539000000000001</v>
      </c>
      <c r="N187" s="17">
        <v>94.503</v>
      </c>
    </row>
    <row r="188" spans="1:14" x14ac:dyDescent="0.25">
      <c r="A188" s="11" t="s">
        <v>628</v>
      </c>
      <c r="B188" s="96" t="str">
        <f>$B$10</f>
        <v>UIM</v>
      </c>
      <c r="C188" s="16"/>
      <c r="D188" s="16">
        <v>1.681</v>
      </c>
      <c r="E188" s="16">
        <v>1.57</v>
      </c>
      <c r="F188" s="16">
        <v>1.637</v>
      </c>
      <c r="G188" s="16">
        <v>1.4650000000000001</v>
      </c>
      <c r="H188" s="16">
        <v>1.583</v>
      </c>
      <c r="I188" s="16">
        <v>1.577</v>
      </c>
      <c r="J188" s="17">
        <v>1.7330000000000001</v>
      </c>
      <c r="K188" s="17">
        <v>1.764</v>
      </c>
      <c r="L188" s="17">
        <v>1.72</v>
      </c>
      <c r="M188" s="17">
        <v>1.665</v>
      </c>
      <c r="N188" s="17">
        <v>1.607</v>
      </c>
    </row>
    <row r="189" spans="1:14" x14ac:dyDescent="0.25">
      <c r="A189" s="11" t="s">
        <v>671</v>
      </c>
      <c r="B189" s="96" t="str">
        <f>$B$10</f>
        <v>UIM</v>
      </c>
      <c r="C189" s="16"/>
      <c r="D189" s="16">
        <v>2.169</v>
      </c>
      <c r="E189" s="16">
        <v>3.21</v>
      </c>
      <c r="F189" s="16">
        <v>3.2610000000000001</v>
      </c>
      <c r="G189" s="16">
        <v>4.109</v>
      </c>
      <c r="H189" s="16">
        <v>3.9910000000000001</v>
      </c>
      <c r="I189" s="16">
        <v>4.4539999999999997</v>
      </c>
      <c r="J189" s="17">
        <v>4.9009999999999998</v>
      </c>
      <c r="K189" s="17">
        <v>4.4649999999999999</v>
      </c>
      <c r="L189" s="17">
        <v>4.4859999999999998</v>
      </c>
      <c r="M189" s="17">
        <v>4.3680000000000003</v>
      </c>
      <c r="N189" s="17">
        <v>4.2409999999999997</v>
      </c>
    </row>
    <row r="190" spans="1:14" x14ac:dyDescent="0.25">
      <c r="A190" s="55" t="s">
        <v>672</v>
      </c>
      <c r="B190" s="96" t="str">
        <f>$B$9</f>
        <v>NAC</v>
      </c>
      <c r="C190" s="16"/>
      <c r="D190" s="47">
        <v>201.42400000000001</v>
      </c>
      <c r="E190" s="47">
        <v>219.821</v>
      </c>
      <c r="F190" s="47">
        <v>239.35499999999999</v>
      </c>
      <c r="G190" s="47">
        <v>269.32</v>
      </c>
      <c r="H190" s="47">
        <v>294.69400000000002</v>
      </c>
      <c r="I190" s="47">
        <v>326.74099999999999</v>
      </c>
      <c r="J190" s="43">
        <v>357.79300000000001</v>
      </c>
      <c r="K190" s="43">
        <v>372.36099999999999</v>
      </c>
      <c r="L190" s="43">
        <v>387.94900000000001</v>
      </c>
      <c r="M190" s="43">
        <v>401.86700000000002</v>
      </c>
      <c r="N190" s="43">
        <v>416.26400000000001</v>
      </c>
    </row>
    <row r="191" spans="1:14" x14ac:dyDescent="0.25">
      <c r="A191" s="55" t="s">
        <v>673</v>
      </c>
      <c r="B191" s="11"/>
      <c r="C191" s="16"/>
      <c r="D191" s="57" t="str">
        <f t="shared" ref="D191:N191" si="46">IF(ROUND(D$190-SUM(D$131:D$132,D$180:D$189),3)=0,"OK","ERROR")</f>
        <v>OK</v>
      </c>
      <c r="E191" s="57" t="str">
        <f t="shared" si="46"/>
        <v>OK</v>
      </c>
      <c r="F191" s="57" t="str">
        <f t="shared" si="46"/>
        <v>OK</v>
      </c>
      <c r="G191" s="57" t="str">
        <f t="shared" si="46"/>
        <v>OK</v>
      </c>
      <c r="H191" s="57" t="str">
        <f t="shared" si="46"/>
        <v>OK</v>
      </c>
      <c r="I191" s="57" t="str">
        <f t="shared" si="46"/>
        <v>OK</v>
      </c>
      <c r="J191" s="57" t="str">
        <f t="shared" si="46"/>
        <v>OK</v>
      </c>
      <c r="K191" s="57" t="str">
        <f t="shared" si="46"/>
        <v>OK</v>
      </c>
      <c r="L191" s="57" t="str">
        <f t="shared" si="46"/>
        <v>OK</v>
      </c>
      <c r="M191" s="57" t="str">
        <f t="shared" si="46"/>
        <v>OK</v>
      </c>
      <c r="N191" s="57" t="str">
        <f t="shared" si="46"/>
        <v>OK</v>
      </c>
    </row>
    <row r="192" spans="1:14" x14ac:dyDescent="0.25">
      <c r="A192" s="11" t="s">
        <v>633</v>
      </c>
      <c r="B192" s="96" t="str">
        <f t="shared" ref="B192:B197" si="47">$B$10</f>
        <v>UIM</v>
      </c>
      <c r="C192" s="16"/>
      <c r="D192" s="16">
        <v>10.465999999999999</v>
      </c>
      <c r="E192" s="16">
        <v>10.85</v>
      </c>
      <c r="F192" s="16">
        <v>12.038</v>
      </c>
      <c r="G192" s="16">
        <v>16.306999999999999</v>
      </c>
      <c r="H192" s="16">
        <v>12.336</v>
      </c>
      <c r="I192" s="16">
        <v>12.795999999999999</v>
      </c>
      <c r="J192" s="17">
        <v>17.111000000000001</v>
      </c>
      <c r="K192" s="17">
        <v>16.795999999999999</v>
      </c>
      <c r="L192" s="17">
        <v>17.634</v>
      </c>
      <c r="M192" s="17">
        <v>17.382000000000001</v>
      </c>
      <c r="N192" s="17">
        <v>17.393999999999998</v>
      </c>
    </row>
    <row r="193" spans="1:14" x14ac:dyDescent="0.25">
      <c r="A193" s="11" t="s">
        <v>634</v>
      </c>
      <c r="B193" s="96" t="str">
        <f t="shared" si="47"/>
        <v>UIM</v>
      </c>
      <c r="C193" s="16"/>
      <c r="D193" s="16">
        <v>0.44900000000000001</v>
      </c>
      <c r="E193" s="16">
        <v>0.39800000000000002</v>
      </c>
      <c r="F193" s="16">
        <v>0.505</v>
      </c>
      <c r="G193" s="16">
        <v>0.56999999999999995</v>
      </c>
      <c r="H193" s="16">
        <v>0.504</v>
      </c>
      <c r="I193" s="16">
        <v>0.498</v>
      </c>
      <c r="J193" s="17">
        <v>0.47199999999999998</v>
      </c>
      <c r="K193" s="17">
        <v>0.47</v>
      </c>
      <c r="L193" s="17">
        <v>0.47</v>
      </c>
      <c r="M193" s="17">
        <v>0.47</v>
      </c>
      <c r="N193" s="17">
        <v>0.47</v>
      </c>
    </row>
    <row r="194" spans="1:14" x14ac:dyDescent="0.25">
      <c r="A194" s="11" t="s">
        <v>636</v>
      </c>
      <c r="B194" s="96" t="str">
        <f t="shared" si="47"/>
        <v>UIM</v>
      </c>
      <c r="C194" s="16"/>
      <c r="D194" s="16">
        <v>2.8839999999999999</v>
      </c>
      <c r="E194" s="16">
        <v>3.8039999999999998</v>
      </c>
      <c r="F194" s="16">
        <v>5.8239999999999998</v>
      </c>
      <c r="G194" s="16">
        <v>11.461</v>
      </c>
      <c r="H194" s="16">
        <v>6.093</v>
      </c>
      <c r="I194" s="16">
        <v>6.8659999999999997</v>
      </c>
      <c r="J194" s="17">
        <v>6.77</v>
      </c>
      <c r="K194" s="17">
        <v>5.9660000000000002</v>
      </c>
      <c r="L194" s="17">
        <v>5.4269999999999996</v>
      </c>
      <c r="M194" s="17">
        <v>4.952</v>
      </c>
      <c r="N194" s="17">
        <v>4.4619999999999997</v>
      </c>
    </row>
    <row r="195" spans="1:14" x14ac:dyDescent="0.25">
      <c r="A195" s="11" t="s">
        <v>637</v>
      </c>
      <c r="B195" s="96" t="str">
        <f t="shared" si="47"/>
        <v>UIM</v>
      </c>
      <c r="C195" s="16"/>
      <c r="D195" s="16">
        <v>4.0000000000000001E-3</v>
      </c>
      <c r="E195" s="16">
        <v>5.0000000000000001E-3</v>
      </c>
      <c r="F195" s="16">
        <v>4.0000000000000001E-3</v>
      </c>
      <c r="G195" s="16">
        <v>2E-3</v>
      </c>
      <c r="H195" s="16">
        <v>3.0000000000000001E-3</v>
      </c>
      <c r="I195" s="16">
        <v>2E-3</v>
      </c>
      <c r="J195" s="17">
        <v>2E-3</v>
      </c>
      <c r="K195" s="17">
        <v>2E-3</v>
      </c>
      <c r="L195" s="17">
        <v>2E-3</v>
      </c>
      <c r="M195" s="17">
        <v>2E-3</v>
      </c>
      <c r="N195" s="17">
        <v>2E-3</v>
      </c>
    </row>
    <row r="196" spans="1:14" x14ac:dyDescent="0.25">
      <c r="A196" s="11" t="s">
        <v>638</v>
      </c>
      <c r="B196" s="96" t="str">
        <f t="shared" si="47"/>
        <v>UIM</v>
      </c>
      <c r="C196" s="16"/>
      <c r="D196" s="16">
        <v>13.164999999999999</v>
      </c>
      <c r="E196" s="16">
        <v>13.976000000000001</v>
      </c>
      <c r="F196" s="16">
        <v>11.039</v>
      </c>
      <c r="G196" s="16">
        <v>8.7650000000000006</v>
      </c>
      <c r="H196" s="16">
        <v>8.0380000000000003</v>
      </c>
      <c r="I196" s="16">
        <v>7.3339999999999996</v>
      </c>
      <c r="J196" s="17">
        <v>6.532</v>
      </c>
      <c r="K196" s="17">
        <v>6.0250000000000004</v>
      </c>
      <c r="L196" s="17">
        <v>5.5129999999999999</v>
      </c>
      <c r="M196" s="17">
        <v>5.0270000000000001</v>
      </c>
      <c r="N196" s="17">
        <v>4.5670000000000002</v>
      </c>
    </row>
    <row r="197" spans="1:14" x14ac:dyDescent="0.25">
      <c r="A197" s="11" t="s">
        <v>639</v>
      </c>
      <c r="B197" s="96" t="str">
        <f t="shared" si="47"/>
        <v>UIM</v>
      </c>
      <c r="C197" s="16"/>
      <c r="D197" s="16">
        <v>7.5890000000000004</v>
      </c>
      <c r="E197" s="16">
        <v>9.3089999999999993</v>
      </c>
      <c r="F197" s="16">
        <v>8.6080000000000005</v>
      </c>
      <c r="G197" s="16">
        <v>8.8840000000000003</v>
      </c>
      <c r="H197" s="16">
        <v>8.3480000000000008</v>
      </c>
      <c r="I197" s="16">
        <v>8.8789999999999996</v>
      </c>
      <c r="J197" s="17">
        <v>11.801</v>
      </c>
      <c r="K197" s="17">
        <v>11.259</v>
      </c>
      <c r="L197" s="17">
        <v>11.132</v>
      </c>
      <c r="M197" s="17">
        <v>10.846</v>
      </c>
      <c r="N197" s="17">
        <v>10.759</v>
      </c>
    </row>
    <row r="198" spans="1:14" x14ac:dyDescent="0.25">
      <c r="A198" s="55" t="s">
        <v>674</v>
      </c>
      <c r="B198" s="96" t="str">
        <f>$B$9</f>
        <v>NAC</v>
      </c>
      <c r="C198" s="16"/>
      <c r="D198" s="47">
        <v>132.88</v>
      </c>
      <c r="E198" s="47">
        <v>172.70500000000001</v>
      </c>
      <c r="F198" s="47">
        <v>178.81700000000001</v>
      </c>
      <c r="G198" s="47">
        <v>224.036</v>
      </c>
      <c r="H198" s="47">
        <v>235.35300000000001</v>
      </c>
      <c r="I198" s="47">
        <v>261.70100000000002</v>
      </c>
      <c r="J198" s="43">
        <v>296.44799999999998</v>
      </c>
      <c r="K198" s="43">
        <v>316.36</v>
      </c>
      <c r="L198" s="43">
        <v>333.11799999999999</v>
      </c>
      <c r="M198" s="43">
        <v>343.65699999999998</v>
      </c>
      <c r="N198" s="43">
        <v>351.35599999999999</v>
      </c>
    </row>
    <row r="199" spans="1:14" x14ac:dyDescent="0.25">
      <c r="A199" s="55" t="s">
        <v>675</v>
      </c>
      <c r="B199" s="96"/>
      <c r="C199" s="16"/>
      <c r="D199" s="57" t="str">
        <f t="shared" ref="D199:N199" si="48">IF(ROUND(D$198-SUM(D$134,D$147,D$192:D$197),3)=0,"OK","ERROR")</f>
        <v>OK</v>
      </c>
      <c r="E199" s="57" t="str">
        <f t="shared" si="48"/>
        <v>OK</v>
      </c>
      <c r="F199" s="57" t="str">
        <f t="shared" si="48"/>
        <v>OK</v>
      </c>
      <c r="G199" s="57" t="str">
        <f t="shared" si="48"/>
        <v>OK</v>
      </c>
      <c r="H199" s="57" t="str">
        <f t="shared" si="48"/>
        <v>OK</v>
      </c>
      <c r="I199" s="57" t="str">
        <f t="shared" si="48"/>
        <v>OK</v>
      </c>
      <c r="J199" s="57" t="str">
        <f t="shared" si="48"/>
        <v>OK</v>
      </c>
      <c r="K199" s="57" t="str">
        <f t="shared" si="48"/>
        <v>OK</v>
      </c>
      <c r="L199" s="57" t="str">
        <f t="shared" si="48"/>
        <v>OK</v>
      </c>
      <c r="M199" s="57" t="str">
        <f t="shared" si="48"/>
        <v>OK</v>
      </c>
      <c r="N199" s="57" t="str">
        <f t="shared" si="48"/>
        <v>OK</v>
      </c>
    </row>
    <row r="200" spans="1:14" x14ac:dyDescent="0.25">
      <c r="A200" s="55" t="s">
        <v>676</v>
      </c>
      <c r="B200" s="96" t="str">
        <f>$B$9</f>
        <v>NAC</v>
      </c>
      <c r="C200" s="16"/>
      <c r="D200" s="56">
        <f t="shared" ref="D200:N200" si="49">D$190-D$198</f>
        <v>68.544000000000011</v>
      </c>
      <c r="E200" s="56">
        <f t="shared" si="49"/>
        <v>47.115999999999985</v>
      </c>
      <c r="F200" s="56">
        <f t="shared" si="49"/>
        <v>60.537999999999982</v>
      </c>
      <c r="G200" s="56">
        <f t="shared" si="49"/>
        <v>45.283999999999992</v>
      </c>
      <c r="H200" s="56">
        <f t="shared" si="49"/>
        <v>59.341000000000008</v>
      </c>
      <c r="I200" s="56">
        <f t="shared" si="49"/>
        <v>65.039999999999964</v>
      </c>
      <c r="J200" s="56">
        <f t="shared" si="49"/>
        <v>61.345000000000027</v>
      </c>
      <c r="K200" s="56">
        <f t="shared" si="49"/>
        <v>56.000999999999976</v>
      </c>
      <c r="L200" s="56">
        <f t="shared" si="49"/>
        <v>54.831000000000017</v>
      </c>
      <c r="M200" s="56">
        <f t="shared" si="49"/>
        <v>58.210000000000036</v>
      </c>
      <c r="N200" s="56">
        <f t="shared" si="49"/>
        <v>64.908000000000015</v>
      </c>
    </row>
    <row r="201" spans="1:14" x14ac:dyDescent="0.25">
      <c r="A201" s="55"/>
      <c r="B201" s="97"/>
      <c r="C201" s="55"/>
      <c r="D201" s="16"/>
      <c r="E201" s="16"/>
      <c r="F201" s="16"/>
      <c r="G201" s="16"/>
      <c r="H201" s="16"/>
      <c r="I201" s="16"/>
      <c r="J201" s="16"/>
      <c r="K201" s="16"/>
      <c r="L201" s="16"/>
      <c r="M201" s="16"/>
      <c r="N201" s="16"/>
    </row>
    <row r="202" spans="1:14" x14ac:dyDescent="0.25">
      <c r="A202" s="9" t="s">
        <v>677</v>
      </c>
      <c r="B202" s="96"/>
      <c r="C202" s="16"/>
      <c r="D202" s="16"/>
      <c r="E202" s="16"/>
      <c r="F202" s="16"/>
      <c r="G202" s="16"/>
      <c r="H202" s="16"/>
      <c r="I202" s="16"/>
      <c r="J202" s="16"/>
      <c r="K202" s="16"/>
      <c r="L202" s="16"/>
      <c r="M202" s="16"/>
      <c r="N202" s="16"/>
    </row>
    <row r="203" spans="1:14" x14ac:dyDescent="0.25">
      <c r="A203" s="11" t="s">
        <v>678</v>
      </c>
      <c r="B203" s="96" t="str">
        <f>$B$10</f>
        <v>UIM</v>
      </c>
      <c r="C203" s="16"/>
      <c r="D203" s="16">
        <v>5.8070000000000004</v>
      </c>
      <c r="E203" s="16">
        <v>6.8959999999999999</v>
      </c>
      <c r="F203" s="16">
        <v>6.8310000000000004</v>
      </c>
      <c r="G203" s="16">
        <v>6.44</v>
      </c>
      <c r="H203" s="16">
        <v>8.7729999999999997</v>
      </c>
      <c r="I203" s="16">
        <v>10.413</v>
      </c>
      <c r="J203" s="17">
        <v>11.276999999999999</v>
      </c>
      <c r="K203" s="17">
        <v>10.643000000000001</v>
      </c>
      <c r="L203" s="17">
        <v>11.305999999999999</v>
      </c>
      <c r="M203" s="17">
        <v>11.878</v>
      </c>
      <c r="N203" s="17">
        <v>12.304</v>
      </c>
    </row>
    <row r="204" spans="1:14" x14ac:dyDescent="0.25">
      <c r="A204" s="11" t="s">
        <v>679</v>
      </c>
      <c r="B204" s="96" t="str">
        <f>$B$10</f>
        <v>UIM</v>
      </c>
      <c r="C204" s="16"/>
      <c r="D204" s="16">
        <v>5.0000000000000001E-3</v>
      </c>
      <c r="E204" s="16">
        <v>7.0000000000000001E-3</v>
      </c>
      <c r="F204" s="16">
        <v>6.0000000000000001E-3</v>
      </c>
      <c r="G204" s="16">
        <v>6.0000000000000001E-3</v>
      </c>
      <c r="H204" s="16">
        <v>8.0000000000000002E-3</v>
      </c>
      <c r="I204" s="16">
        <v>1.0999999999999999E-2</v>
      </c>
      <c r="J204" s="17">
        <v>1.2E-2</v>
      </c>
      <c r="K204" s="17">
        <v>1.2999999999999999E-2</v>
      </c>
      <c r="L204" s="17">
        <v>1.4E-2</v>
      </c>
      <c r="M204" s="17">
        <v>1.4999999999999999E-2</v>
      </c>
      <c r="N204" s="17">
        <v>1.6E-2</v>
      </c>
    </row>
    <row r="205" spans="1:14" x14ac:dyDescent="0.25">
      <c r="A205" s="55" t="s">
        <v>680</v>
      </c>
      <c r="B205" s="96"/>
      <c r="C205" s="16"/>
      <c r="D205" s="57" t="str">
        <f t="shared" ref="D205:N205" si="50">IF(ROUND(D$20-SUM(D$174,D$203:D$204),3)=0,"OK","ERROR")</f>
        <v>OK</v>
      </c>
      <c r="E205" s="57" t="str">
        <f t="shared" si="50"/>
        <v>OK</v>
      </c>
      <c r="F205" s="57" t="str">
        <f t="shared" si="50"/>
        <v>OK</v>
      </c>
      <c r="G205" s="57" t="str">
        <f t="shared" si="50"/>
        <v>OK</v>
      </c>
      <c r="H205" s="57" t="str">
        <f t="shared" si="50"/>
        <v>OK</v>
      </c>
      <c r="I205" s="57" t="str">
        <f t="shared" si="50"/>
        <v>OK</v>
      </c>
      <c r="J205" s="57" t="str">
        <f t="shared" si="50"/>
        <v>OK</v>
      </c>
      <c r="K205" s="57" t="str">
        <f t="shared" si="50"/>
        <v>OK</v>
      </c>
      <c r="L205" s="57" t="str">
        <f t="shared" si="50"/>
        <v>OK</v>
      </c>
      <c r="M205" s="57" t="str">
        <f t="shared" si="50"/>
        <v>OK</v>
      </c>
      <c r="N205" s="57" t="str">
        <f t="shared" si="50"/>
        <v>OK</v>
      </c>
    </row>
    <row r="206" spans="1:14" x14ac:dyDescent="0.25">
      <c r="A206" s="11" t="s">
        <v>681</v>
      </c>
      <c r="B206" s="96" t="str">
        <f>$B$10</f>
        <v>UIM</v>
      </c>
      <c r="C206" s="16"/>
      <c r="D206" s="16">
        <v>6.6790000000000003</v>
      </c>
      <c r="E206" s="16">
        <v>7.6630000000000003</v>
      </c>
      <c r="F206" s="16">
        <v>7.968</v>
      </c>
      <c r="G206" s="16">
        <v>7.3879999999999999</v>
      </c>
      <c r="H206" s="16">
        <v>9.3290000000000006</v>
      </c>
      <c r="I206" s="16">
        <v>11.634</v>
      </c>
      <c r="J206" s="17">
        <v>12.664999999999999</v>
      </c>
      <c r="K206" s="17">
        <v>12.111000000000001</v>
      </c>
      <c r="L206" s="17">
        <v>12.856</v>
      </c>
      <c r="M206" s="17">
        <v>13.465</v>
      </c>
      <c r="N206" s="17">
        <v>13.920999999999999</v>
      </c>
    </row>
    <row r="207" spans="1:14" x14ac:dyDescent="0.25">
      <c r="A207" s="11" t="s">
        <v>682</v>
      </c>
      <c r="B207" s="96" t="str">
        <f t="shared" ref="B207:B217" si="51">$B$10</f>
        <v>UIM</v>
      </c>
      <c r="C207" s="16"/>
      <c r="D207" s="16">
        <v>16.579000000000001</v>
      </c>
      <c r="E207" s="16">
        <v>17.788</v>
      </c>
      <c r="F207" s="16">
        <v>18.856000000000002</v>
      </c>
      <c r="G207" s="16">
        <v>22.004999999999999</v>
      </c>
      <c r="H207" s="16">
        <v>27.765999999999998</v>
      </c>
      <c r="I207" s="16">
        <v>27.89</v>
      </c>
      <c r="J207" s="17">
        <v>28.486999999999998</v>
      </c>
      <c r="K207" s="17">
        <v>28.939</v>
      </c>
      <c r="L207" s="17">
        <v>30.300999999999998</v>
      </c>
      <c r="M207" s="17">
        <v>30.123999999999999</v>
      </c>
      <c r="N207" s="17">
        <v>30.146999999999998</v>
      </c>
    </row>
    <row r="208" spans="1:14" x14ac:dyDescent="0.25">
      <c r="A208" s="11" t="s">
        <v>683</v>
      </c>
      <c r="B208" s="96" t="str">
        <f t="shared" si="51"/>
        <v>UIM</v>
      </c>
      <c r="C208" s="16"/>
      <c r="D208" s="16">
        <v>11.428000000000001</v>
      </c>
      <c r="E208" s="16">
        <v>13.705</v>
      </c>
      <c r="F208" s="16">
        <v>12.840999999999999</v>
      </c>
      <c r="G208" s="16">
        <v>13.805</v>
      </c>
      <c r="H208" s="16">
        <v>14.166</v>
      </c>
      <c r="I208" s="16">
        <v>15.346</v>
      </c>
      <c r="J208" s="17">
        <v>16.146999999999998</v>
      </c>
      <c r="K208" s="17">
        <v>16.46</v>
      </c>
      <c r="L208" s="17">
        <v>16.408999999999999</v>
      </c>
      <c r="M208" s="17">
        <v>16.244</v>
      </c>
      <c r="N208" s="17">
        <v>16.202999999999999</v>
      </c>
    </row>
    <row r="209" spans="1:14" x14ac:dyDescent="0.25">
      <c r="A209" s="11" t="s">
        <v>684</v>
      </c>
      <c r="B209" s="96" t="str">
        <f t="shared" si="51"/>
        <v>UIM</v>
      </c>
      <c r="C209" s="16"/>
      <c r="D209" s="16">
        <v>3.21</v>
      </c>
      <c r="E209" s="16">
        <v>3.8239999999999998</v>
      </c>
      <c r="F209" s="16">
        <v>4.2590000000000003</v>
      </c>
      <c r="G209" s="16">
        <v>4.5030000000000001</v>
      </c>
      <c r="H209" s="16">
        <v>6.1050000000000004</v>
      </c>
      <c r="I209" s="16">
        <v>6.6280000000000001</v>
      </c>
      <c r="J209" s="17">
        <v>6.51</v>
      </c>
      <c r="K209" s="17">
        <v>5.9379999999999997</v>
      </c>
      <c r="L209" s="17">
        <v>5.9710000000000001</v>
      </c>
      <c r="M209" s="17">
        <v>5.1829999999999998</v>
      </c>
      <c r="N209" s="17">
        <v>5.306</v>
      </c>
    </row>
    <row r="210" spans="1:14" x14ac:dyDescent="0.25">
      <c r="A210" s="11" t="s">
        <v>685</v>
      </c>
      <c r="B210" s="96" t="str">
        <f t="shared" si="51"/>
        <v>UIM</v>
      </c>
      <c r="C210" s="16"/>
      <c r="D210" s="16">
        <v>5.4009999999999998</v>
      </c>
      <c r="E210" s="16">
        <v>8.9149999999999991</v>
      </c>
      <c r="F210" s="16">
        <v>5.8360000000000003</v>
      </c>
      <c r="G210" s="16">
        <v>4.8730000000000002</v>
      </c>
      <c r="H210" s="16">
        <v>8.5990000000000002</v>
      </c>
      <c r="I210" s="16">
        <v>10.317</v>
      </c>
      <c r="J210" s="17">
        <v>9.6999999999999993</v>
      </c>
      <c r="K210" s="17">
        <v>10.332000000000001</v>
      </c>
      <c r="L210" s="17">
        <v>10.58</v>
      </c>
      <c r="M210" s="17">
        <v>10.975</v>
      </c>
      <c r="N210" s="17">
        <v>11.539</v>
      </c>
    </row>
    <row r="211" spans="1:14" x14ac:dyDescent="0.25">
      <c r="A211" s="11" t="s">
        <v>686</v>
      </c>
      <c r="B211" s="96" t="str">
        <f t="shared" si="51"/>
        <v>UIM</v>
      </c>
      <c r="C211" s="16"/>
      <c r="D211" s="16">
        <v>6.7160000000000002</v>
      </c>
      <c r="E211" s="16">
        <v>7.5140000000000002</v>
      </c>
      <c r="F211" s="16">
        <v>8.0459999999999994</v>
      </c>
      <c r="G211" s="16">
        <v>8.5389999999999997</v>
      </c>
      <c r="H211" s="16">
        <v>10.163</v>
      </c>
      <c r="I211" s="16">
        <v>10.747999999999999</v>
      </c>
      <c r="J211" s="17">
        <v>10.715999999999999</v>
      </c>
      <c r="K211" s="17">
        <v>10.582000000000001</v>
      </c>
      <c r="L211" s="17">
        <v>10.785</v>
      </c>
      <c r="M211" s="17">
        <v>10.513999999999999</v>
      </c>
      <c r="N211" s="17">
        <v>10.589</v>
      </c>
    </row>
    <row r="212" spans="1:14" x14ac:dyDescent="0.25">
      <c r="A212" s="11" t="s">
        <v>687</v>
      </c>
      <c r="B212" s="96" t="str">
        <f t="shared" si="51"/>
        <v>UIM</v>
      </c>
      <c r="C212" s="16"/>
      <c r="D212" s="16">
        <v>8.64</v>
      </c>
      <c r="E212" s="16">
        <v>8.3070000000000004</v>
      </c>
      <c r="F212" s="16">
        <v>10.321999999999999</v>
      </c>
      <c r="G212" s="16">
        <v>9.5259999999999998</v>
      </c>
      <c r="H212" s="16">
        <v>8.5609999999999999</v>
      </c>
      <c r="I212" s="16">
        <v>12.183</v>
      </c>
      <c r="J212" s="17">
        <v>12.733000000000001</v>
      </c>
      <c r="K212" s="17">
        <v>12.682</v>
      </c>
      <c r="L212" s="17">
        <v>12.77</v>
      </c>
      <c r="M212" s="17">
        <v>13.486000000000001</v>
      </c>
      <c r="N212" s="17">
        <v>13.352</v>
      </c>
    </row>
    <row r="213" spans="1:14" x14ac:dyDescent="0.25">
      <c r="A213" s="11" t="s">
        <v>688</v>
      </c>
      <c r="B213" s="96" t="str">
        <f t="shared" si="51"/>
        <v>UIM</v>
      </c>
      <c r="C213" s="16"/>
      <c r="D213" s="16">
        <v>-3.629</v>
      </c>
      <c r="E213" s="16">
        <v>-3.7549999999999999</v>
      </c>
      <c r="F213" s="16">
        <v>-4.7350000000000003</v>
      </c>
      <c r="G213" s="16">
        <v>-4.2939999999999996</v>
      </c>
      <c r="H213" s="16">
        <v>-4.1829999999999998</v>
      </c>
      <c r="I213" s="16">
        <v>-4.7560000000000002</v>
      </c>
      <c r="J213" s="17">
        <v>-4.673</v>
      </c>
      <c r="K213" s="17">
        <v>-4.4359999999999999</v>
      </c>
      <c r="L213" s="17">
        <v>-4.37</v>
      </c>
      <c r="M213" s="17">
        <v>-4.0789999999999997</v>
      </c>
      <c r="N213" s="17">
        <v>-4.1230000000000002</v>
      </c>
    </row>
    <row r="214" spans="1:14" x14ac:dyDescent="0.25">
      <c r="A214" s="11" t="s">
        <v>689</v>
      </c>
      <c r="B214" s="96" t="str">
        <f t="shared" si="51"/>
        <v>UIM</v>
      </c>
      <c r="C214" s="16"/>
      <c r="D214" s="16">
        <v>33.838000000000001</v>
      </c>
      <c r="E214" s="16">
        <v>34.494</v>
      </c>
      <c r="F214" s="16">
        <v>33.545999999999999</v>
      </c>
      <c r="G214" s="16">
        <v>31.513000000000002</v>
      </c>
      <c r="H214" s="16">
        <v>34.506</v>
      </c>
      <c r="I214" s="16">
        <v>39.212000000000003</v>
      </c>
      <c r="J214" s="17">
        <v>44.709000000000003</v>
      </c>
      <c r="K214" s="17">
        <v>45.356000000000002</v>
      </c>
      <c r="L214" s="17">
        <v>45.789000000000001</v>
      </c>
      <c r="M214" s="17">
        <v>46.503999999999998</v>
      </c>
      <c r="N214" s="17">
        <v>47.848999999999997</v>
      </c>
    </row>
    <row r="215" spans="1:14" x14ac:dyDescent="0.25">
      <c r="A215" s="11" t="s">
        <v>690</v>
      </c>
      <c r="B215" s="96" t="str">
        <f t="shared" si="51"/>
        <v>UIM</v>
      </c>
      <c r="C215" s="16"/>
      <c r="D215" s="16">
        <v>3.3879999999999999</v>
      </c>
      <c r="E215" s="16">
        <v>3.88</v>
      </c>
      <c r="F215" s="16">
        <v>3.3250000000000002</v>
      </c>
      <c r="G215" s="16">
        <v>5.3479999999999999</v>
      </c>
      <c r="H215" s="16">
        <v>3.9380000000000002</v>
      </c>
      <c r="I215" s="16">
        <v>2.9710000000000001</v>
      </c>
      <c r="J215" s="17">
        <v>3.2130000000000001</v>
      </c>
      <c r="K215" s="17">
        <v>2.7749999999999999</v>
      </c>
      <c r="L215" s="17">
        <v>2.8260000000000001</v>
      </c>
      <c r="M215" s="17">
        <v>3.0030000000000001</v>
      </c>
      <c r="N215" s="17">
        <v>2.976</v>
      </c>
    </row>
    <row r="216" spans="1:14" x14ac:dyDescent="0.25">
      <c r="A216" s="11" t="s">
        <v>691</v>
      </c>
      <c r="B216" s="96" t="str">
        <f t="shared" si="51"/>
        <v>UIM</v>
      </c>
      <c r="C216" s="16"/>
      <c r="D216" s="16">
        <v>14.254</v>
      </c>
      <c r="E216" s="16">
        <v>17.135000000000002</v>
      </c>
      <c r="F216" s="16">
        <v>21.521999999999998</v>
      </c>
      <c r="G216" s="16">
        <v>18.613</v>
      </c>
      <c r="H216" s="16">
        <v>19.635000000000002</v>
      </c>
      <c r="I216" s="16">
        <v>16.818999999999999</v>
      </c>
      <c r="J216" s="17">
        <v>16.510000000000002</v>
      </c>
      <c r="K216" s="17">
        <v>16.564</v>
      </c>
      <c r="L216" s="17">
        <v>16.648</v>
      </c>
      <c r="M216" s="17">
        <v>16.707999999999998</v>
      </c>
      <c r="N216" s="17">
        <v>16.702999999999999</v>
      </c>
    </row>
    <row r="217" spans="1:14" x14ac:dyDescent="0.25">
      <c r="A217" s="11" t="s">
        <v>692</v>
      </c>
      <c r="B217" s="96" t="str">
        <f t="shared" si="51"/>
        <v>UIM</v>
      </c>
      <c r="C217" s="16"/>
      <c r="D217" s="16">
        <v>0.27900000000000003</v>
      </c>
      <c r="E217" s="16">
        <v>3.7999999999999999E-2</v>
      </c>
      <c r="F217" s="16">
        <v>3.7999999999999999E-2</v>
      </c>
      <c r="G217" s="16">
        <v>3.4000000000000002E-2</v>
      </c>
      <c r="H217" s="16">
        <v>3.5999999999999997E-2</v>
      </c>
      <c r="I217" s="16">
        <v>3.2000000000000001E-2</v>
      </c>
      <c r="J217" s="17">
        <v>3.2000000000000001E-2</v>
      </c>
      <c r="K217" s="17">
        <v>2.1999999999999999E-2</v>
      </c>
      <c r="L217" s="17">
        <v>2.3E-2</v>
      </c>
      <c r="M217" s="17">
        <v>2.3E-2</v>
      </c>
      <c r="N217" s="17">
        <v>2.3E-2</v>
      </c>
    </row>
    <row r="218" spans="1:14" x14ac:dyDescent="0.25">
      <c r="A218" s="9" t="s">
        <v>693</v>
      </c>
      <c r="B218" s="96"/>
      <c r="C218" s="16"/>
      <c r="D218" s="16"/>
      <c r="E218" s="16"/>
      <c r="F218" s="16"/>
      <c r="G218" s="16"/>
      <c r="H218" s="16"/>
      <c r="I218" s="16"/>
      <c r="J218" s="16"/>
      <c r="K218" s="16"/>
      <c r="L218" s="16"/>
      <c r="M218" s="16"/>
      <c r="N218" s="16"/>
    </row>
    <row r="219" spans="1:14" x14ac:dyDescent="0.25">
      <c r="A219" s="55" t="s">
        <v>694</v>
      </c>
      <c r="B219" s="96"/>
      <c r="C219" s="16"/>
      <c r="D219" s="17"/>
      <c r="E219" s="17"/>
      <c r="F219" s="17"/>
      <c r="G219" s="17"/>
      <c r="H219" s="17"/>
      <c r="I219" s="17"/>
      <c r="J219" s="17"/>
      <c r="K219" s="17"/>
      <c r="L219" s="17"/>
      <c r="M219" s="17"/>
      <c r="N219" s="17"/>
    </row>
    <row r="220" spans="1:14" x14ac:dyDescent="0.25">
      <c r="A220" s="11" t="s">
        <v>695</v>
      </c>
      <c r="B220" s="96" t="str">
        <f t="shared" ref="B220:B225" si="52">$B$10</f>
        <v>UIM</v>
      </c>
      <c r="C220" s="16"/>
      <c r="D220" s="16">
        <v>32.878999999999998</v>
      </c>
      <c r="E220" s="16">
        <v>34.963000000000001</v>
      </c>
      <c r="F220" s="16">
        <v>38.164000000000001</v>
      </c>
      <c r="G220" s="16">
        <v>42.448</v>
      </c>
      <c r="H220" s="16">
        <v>47.386000000000003</v>
      </c>
      <c r="I220" s="16">
        <v>52.283000000000001</v>
      </c>
      <c r="J220" s="17">
        <v>52.734000000000002</v>
      </c>
      <c r="K220" s="17">
        <v>55.243000000000002</v>
      </c>
      <c r="L220" s="17">
        <v>58.265999999999998</v>
      </c>
      <c r="M220" s="17">
        <v>61.514000000000003</v>
      </c>
      <c r="N220" s="17">
        <v>65.031999999999996</v>
      </c>
    </row>
    <row r="221" spans="1:14" x14ac:dyDescent="0.25">
      <c r="A221" s="11" t="s">
        <v>696</v>
      </c>
      <c r="B221" s="96" t="str">
        <f t="shared" si="52"/>
        <v>UIM</v>
      </c>
      <c r="C221" s="16"/>
      <c r="D221" s="16">
        <v>8.3160000000000007</v>
      </c>
      <c r="E221" s="16">
        <v>8.1910000000000007</v>
      </c>
      <c r="F221" s="16">
        <v>10.183999999999999</v>
      </c>
      <c r="G221" s="16">
        <v>12.015000000000001</v>
      </c>
      <c r="H221" s="16">
        <v>11.71</v>
      </c>
      <c r="I221" s="16">
        <v>14.042999999999999</v>
      </c>
      <c r="J221" s="17">
        <v>13.619</v>
      </c>
      <c r="K221" s="17">
        <v>13.744</v>
      </c>
      <c r="L221" s="17">
        <v>13.545</v>
      </c>
      <c r="M221" s="17">
        <v>13.956</v>
      </c>
      <c r="N221" s="17">
        <v>14.414</v>
      </c>
    </row>
    <row r="222" spans="1:14" x14ac:dyDescent="0.25">
      <c r="A222" s="11" t="s">
        <v>697</v>
      </c>
      <c r="B222" s="96" t="str">
        <f t="shared" si="52"/>
        <v>UIM</v>
      </c>
      <c r="C222" s="16"/>
      <c r="D222" s="16">
        <v>15.199</v>
      </c>
      <c r="E222" s="16">
        <v>12.103999999999999</v>
      </c>
      <c r="F222" s="16">
        <v>15.768000000000001</v>
      </c>
      <c r="G222" s="16">
        <v>19.896000000000001</v>
      </c>
      <c r="H222" s="16">
        <v>17.978000000000002</v>
      </c>
      <c r="I222" s="16">
        <v>16.908999999999999</v>
      </c>
      <c r="J222" s="17">
        <v>16.321999999999999</v>
      </c>
      <c r="K222" s="17">
        <v>16.748000000000001</v>
      </c>
      <c r="L222" s="17">
        <v>19.547000000000001</v>
      </c>
      <c r="M222" s="17">
        <v>20.765999999999998</v>
      </c>
      <c r="N222" s="17">
        <v>22.405999999999999</v>
      </c>
    </row>
    <row r="223" spans="1:14" x14ac:dyDescent="0.25">
      <c r="A223" s="11" t="s">
        <v>698</v>
      </c>
      <c r="B223" s="96" t="str">
        <f t="shared" si="52"/>
        <v>UIM</v>
      </c>
      <c r="C223" s="16"/>
      <c r="D223" s="16">
        <v>21.861999999999998</v>
      </c>
      <c r="E223" s="16">
        <v>21.748999999999999</v>
      </c>
      <c r="F223" s="16">
        <v>25.562000000000001</v>
      </c>
      <c r="G223" s="16">
        <v>26.123999999999999</v>
      </c>
      <c r="H223" s="16">
        <v>28.13</v>
      </c>
      <c r="I223" s="16">
        <v>29.277999999999999</v>
      </c>
      <c r="J223" s="17">
        <v>29.81</v>
      </c>
      <c r="K223" s="17">
        <v>30.504999999999999</v>
      </c>
      <c r="L223" s="17">
        <v>32.298999999999999</v>
      </c>
      <c r="M223" s="17">
        <v>34.191000000000003</v>
      </c>
      <c r="N223" s="17">
        <v>35.695</v>
      </c>
    </row>
    <row r="224" spans="1:14" x14ac:dyDescent="0.25">
      <c r="A224" s="11" t="s">
        <v>699</v>
      </c>
      <c r="B224" s="96" t="str">
        <f t="shared" si="52"/>
        <v>UIM</v>
      </c>
      <c r="C224" s="16"/>
      <c r="D224" s="16">
        <v>3.8820000000000001</v>
      </c>
      <c r="E224" s="16">
        <v>3.819</v>
      </c>
      <c r="F224" s="16">
        <v>4.306</v>
      </c>
      <c r="G224" s="16">
        <v>3.823</v>
      </c>
      <c r="H224" s="16">
        <v>2.976</v>
      </c>
      <c r="I224" s="16">
        <v>4.0730000000000004</v>
      </c>
      <c r="J224" s="17">
        <v>4.2720000000000002</v>
      </c>
      <c r="K224" s="17">
        <v>4.5709999999999997</v>
      </c>
      <c r="L224" s="17">
        <v>5.05</v>
      </c>
      <c r="M224" s="17">
        <v>5.6630000000000003</v>
      </c>
      <c r="N224" s="17">
        <v>6.093</v>
      </c>
    </row>
    <row r="225" spans="1:14" x14ac:dyDescent="0.25">
      <c r="A225" s="11" t="s">
        <v>700</v>
      </c>
      <c r="B225" s="96" t="str">
        <f t="shared" si="52"/>
        <v>UIM</v>
      </c>
      <c r="C225" s="16"/>
      <c r="D225" s="16">
        <v>3.585</v>
      </c>
      <c r="E225" s="16">
        <v>3.6949999999999998</v>
      </c>
      <c r="F225" s="16">
        <v>3.3780000000000001</v>
      </c>
      <c r="G225" s="16">
        <v>3.5670000000000002</v>
      </c>
      <c r="H225" s="16">
        <v>3.532</v>
      </c>
      <c r="I225" s="16">
        <v>3.3140000000000001</v>
      </c>
      <c r="J225" s="17">
        <v>3.403</v>
      </c>
      <c r="K225" s="17">
        <v>3.399</v>
      </c>
      <c r="L225" s="17">
        <v>3.39</v>
      </c>
      <c r="M225" s="17">
        <v>3.39</v>
      </c>
      <c r="N225" s="17">
        <v>3.4140000000000001</v>
      </c>
    </row>
    <row r="226" spans="1:14" x14ac:dyDescent="0.25">
      <c r="A226" s="55" t="s">
        <v>701</v>
      </c>
      <c r="B226" s="96"/>
      <c r="C226" s="16"/>
      <c r="D226" s="57" t="str">
        <f t="shared" ref="D226:N226" si="53">IF(ROUND(D$9-SUM(D$220:D$225),3)=0,"OK","ERROR")</f>
        <v>OK</v>
      </c>
      <c r="E226" s="57" t="str">
        <f t="shared" si="53"/>
        <v>OK</v>
      </c>
      <c r="F226" s="57" t="str">
        <f t="shared" si="53"/>
        <v>OK</v>
      </c>
      <c r="G226" s="57" t="str">
        <f t="shared" si="53"/>
        <v>OK</v>
      </c>
      <c r="H226" s="57" t="str">
        <f t="shared" si="53"/>
        <v>OK</v>
      </c>
      <c r="I226" s="57" t="str">
        <f t="shared" si="53"/>
        <v>OK</v>
      </c>
      <c r="J226" s="57" t="str">
        <f t="shared" si="53"/>
        <v>OK</v>
      </c>
      <c r="K226" s="57" t="str">
        <f t="shared" si="53"/>
        <v>OK</v>
      </c>
      <c r="L226" s="57" t="str">
        <f t="shared" si="53"/>
        <v>OK</v>
      </c>
      <c r="M226" s="57" t="str">
        <f t="shared" si="53"/>
        <v>OK</v>
      </c>
      <c r="N226" s="57" t="str">
        <f t="shared" si="53"/>
        <v>OK</v>
      </c>
    </row>
    <row r="227" spans="1:14" x14ac:dyDescent="0.25">
      <c r="A227" s="55" t="s">
        <v>702</v>
      </c>
      <c r="B227" s="96"/>
      <c r="C227" s="16"/>
      <c r="D227" s="16"/>
      <c r="E227" s="16"/>
      <c r="F227" s="16"/>
      <c r="G227" s="16"/>
      <c r="H227" s="16"/>
      <c r="I227" s="16"/>
      <c r="J227" s="16"/>
      <c r="K227" s="16"/>
      <c r="L227" s="16"/>
      <c r="M227" s="16"/>
      <c r="N227" s="16"/>
    </row>
    <row r="228" spans="1:14" x14ac:dyDescent="0.25">
      <c r="A228" s="11" t="s">
        <v>703</v>
      </c>
      <c r="B228" s="96" t="str">
        <f>$B$10</f>
        <v>UIM</v>
      </c>
      <c r="C228" s="16"/>
      <c r="D228" s="16">
        <v>3.0139999999999998</v>
      </c>
      <c r="E228" s="16">
        <v>3.032</v>
      </c>
      <c r="F228" s="16">
        <v>3.27</v>
      </c>
      <c r="G228" s="16">
        <v>3.4609999999999999</v>
      </c>
      <c r="H228" s="16">
        <v>3.855</v>
      </c>
      <c r="I228" s="16">
        <v>4.1449999999999996</v>
      </c>
      <c r="J228" s="17">
        <v>4.2649999999999997</v>
      </c>
      <c r="K228" s="17">
        <v>4.7149999999999999</v>
      </c>
      <c r="L228" s="17">
        <v>5.2039999999999997</v>
      </c>
      <c r="M228" s="17">
        <v>5.7030000000000003</v>
      </c>
      <c r="N228" s="17">
        <v>6.2389999999999999</v>
      </c>
    </row>
    <row r="229" spans="1:14" x14ac:dyDescent="0.25">
      <c r="A229" s="11" t="s">
        <v>704</v>
      </c>
      <c r="B229" s="96" t="str">
        <f t="shared" ref="B229" si="54">$B$10</f>
        <v>UIM</v>
      </c>
      <c r="C229" s="16"/>
      <c r="D229" s="16">
        <v>0.84599999999999997</v>
      </c>
      <c r="E229" s="16">
        <v>1.0429999999999999</v>
      </c>
      <c r="F229" s="16">
        <v>1.6339999999999999</v>
      </c>
      <c r="G229" s="16">
        <v>3.0059999999999998</v>
      </c>
      <c r="H229" s="16">
        <v>1.5820000000000001</v>
      </c>
      <c r="I229" s="16">
        <v>1.69</v>
      </c>
      <c r="J229" s="17">
        <v>2.4350000000000001</v>
      </c>
      <c r="K229" s="17">
        <v>2.2149999999999999</v>
      </c>
      <c r="L229" s="17">
        <v>2.1240000000000001</v>
      </c>
      <c r="M229" s="17">
        <v>2.073</v>
      </c>
      <c r="N229" s="17">
        <v>2.0630000000000002</v>
      </c>
    </row>
    <row r="230" spans="1:14" x14ac:dyDescent="0.25">
      <c r="A230" s="11" t="s">
        <v>705</v>
      </c>
      <c r="B230" s="96" t="str">
        <f>$B$9</f>
        <v>NAC</v>
      </c>
      <c r="C230" s="16"/>
      <c r="D230" s="16">
        <v>2.1680000000000001</v>
      </c>
      <c r="E230" s="16">
        <v>2.194</v>
      </c>
      <c r="F230" s="16">
        <v>2.1339999999999999</v>
      </c>
      <c r="G230" s="16">
        <v>2.427</v>
      </c>
      <c r="H230" s="16">
        <v>2.97</v>
      </c>
      <c r="I230" s="16">
        <v>3.5910000000000002</v>
      </c>
      <c r="J230" s="17">
        <v>3.7559999999999998</v>
      </c>
      <c r="K230" s="17">
        <v>4.0759999999999996</v>
      </c>
      <c r="L230" s="17">
        <v>4.242</v>
      </c>
      <c r="M230" s="17">
        <v>4.3979999999999997</v>
      </c>
      <c r="N230" s="17">
        <v>4.508</v>
      </c>
    </row>
    <row r="231" spans="1:14" x14ac:dyDescent="0.25">
      <c r="A231" s="55" t="s">
        <v>706</v>
      </c>
      <c r="B231" s="96"/>
      <c r="C231" s="16"/>
      <c r="D231" s="57" t="str">
        <f t="shared" ref="D231:N231" si="55">IF(ROUND(D$10-SUM(D$228:D$230),3)=0,"OK","ERROR")</f>
        <v>OK</v>
      </c>
      <c r="E231" s="57" t="str">
        <f t="shared" si="55"/>
        <v>OK</v>
      </c>
      <c r="F231" s="57" t="str">
        <f t="shared" si="55"/>
        <v>OK</v>
      </c>
      <c r="G231" s="57" t="str">
        <f t="shared" si="55"/>
        <v>OK</v>
      </c>
      <c r="H231" s="57" t="str">
        <f t="shared" si="55"/>
        <v>OK</v>
      </c>
      <c r="I231" s="57" t="str">
        <f t="shared" si="55"/>
        <v>OK</v>
      </c>
      <c r="J231" s="57" t="str">
        <f t="shared" si="55"/>
        <v>OK</v>
      </c>
      <c r="K231" s="57" t="str">
        <f t="shared" si="55"/>
        <v>OK</v>
      </c>
      <c r="L231" s="57" t="str">
        <f t="shared" si="55"/>
        <v>OK</v>
      </c>
      <c r="M231" s="57" t="str">
        <f t="shared" si="55"/>
        <v>OK</v>
      </c>
      <c r="N231" s="57" t="str">
        <f t="shared" si="55"/>
        <v>OK</v>
      </c>
    </row>
    <row r="232" spans="1:14" x14ac:dyDescent="0.25">
      <c r="A232" s="55" t="s">
        <v>531</v>
      </c>
      <c r="B232" s="96"/>
      <c r="C232" s="16"/>
      <c r="D232" s="17"/>
      <c r="E232" s="17"/>
      <c r="F232" s="17"/>
      <c r="G232" s="17"/>
      <c r="H232" s="17"/>
      <c r="I232" s="17"/>
      <c r="J232" s="17"/>
      <c r="K232" s="17"/>
      <c r="L232" s="17"/>
      <c r="M232" s="17"/>
      <c r="N232" s="17"/>
    </row>
    <row r="233" spans="1:14" x14ac:dyDescent="0.25">
      <c r="A233" s="11" t="s">
        <v>707</v>
      </c>
      <c r="B233" s="96" t="str">
        <f>$B$10</f>
        <v>UIM</v>
      </c>
      <c r="C233" s="16"/>
      <c r="D233" s="16">
        <v>1.016</v>
      </c>
      <c r="E233" s="16">
        <v>0.94699999999999995</v>
      </c>
      <c r="F233" s="16">
        <v>0.78500000000000003</v>
      </c>
      <c r="G233" s="16">
        <v>0.82699999999999996</v>
      </c>
      <c r="H233" s="16">
        <v>2.097</v>
      </c>
      <c r="I233" s="16">
        <v>3.56</v>
      </c>
      <c r="J233" s="17">
        <v>4.0650000000000004</v>
      </c>
      <c r="K233" s="17">
        <v>4.1219999999999999</v>
      </c>
      <c r="L233" s="17">
        <v>4.16</v>
      </c>
      <c r="M233" s="17">
        <v>4.2519999999999998</v>
      </c>
      <c r="N233" s="17">
        <v>4.5149999999999997</v>
      </c>
    </row>
    <row r="234" spans="1:14" x14ac:dyDescent="0.25">
      <c r="A234" s="11" t="s">
        <v>708</v>
      </c>
      <c r="B234" s="96" t="str">
        <f>$B$10</f>
        <v>UIM</v>
      </c>
      <c r="C234" s="16"/>
      <c r="D234" s="16">
        <v>1.014</v>
      </c>
      <c r="E234" s="16">
        <v>0.95299999999999996</v>
      </c>
      <c r="F234" s="16">
        <v>0.79100000000000004</v>
      </c>
      <c r="G234" s="16">
        <v>0.95699999999999996</v>
      </c>
      <c r="H234" s="16">
        <v>0.67500000000000004</v>
      </c>
      <c r="I234" s="16">
        <v>0.22800000000000001</v>
      </c>
      <c r="J234" s="17">
        <v>0.124</v>
      </c>
      <c r="K234" s="17">
        <v>8.4000000000000005E-2</v>
      </c>
      <c r="L234" s="17">
        <v>7.6999999999999999E-2</v>
      </c>
      <c r="M234" s="17">
        <v>8.8999999999999996E-2</v>
      </c>
      <c r="N234" s="17">
        <v>0.1</v>
      </c>
    </row>
    <row r="235" spans="1:14" x14ac:dyDescent="0.25">
      <c r="A235" s="11" t="s">
        <v>709</v>
      </c>
      <c r="B235" s="96" t="str">
        <f>$B$10</f>
        <v>UIM</v>
      </c>
      <c r="C235" s="16"/>
      <c r="D235" s="16">
        <v>-0.44400000000000001</v>
      </c>
      <c r="E235" s="16">
        <v>-0.45</v>
      </c>
      <c r="F235" s="16">
        <v>-0.34899999999999998</v>
      </c>
      <c r="G235" s="16">
        <v>-0.35</v>
      </c>
      <c r="H235" s="16">
        <v>-0.622</v>
      </c>
      <c r="I235" s="16">
        <v>-1.109</v>
      </c>
      <c r="J235" s="17">
        <v>-1.3979999999999999</v>
      </c>
      <c r="K235" s="17">
        <v>-1.514</v>
      </c>
      <c r="L235" s="17">
        <v>-1.61</v>
      </c>
      <c r="M235" s="17">
        <v>-1.732</v>
      </c>
      <c r="N235" s="17">
        <v>-1.8520000000000001</v>
      </c>
    </row>
    <row r="236" spans="1:14" x14ac:dyDescent="0.25">
      <c r="A236" s="55" t="s">
        <v>710</v>
      </c>
      <c r="B236" s="96"/>
      <c r="C236" s="16"/>
      <c r="D236" s="57" t="str">
        <f t="shared" ref="D236:N236" si="56">IF(ROUND(D$12-SUM(D$166,D$233:D$235),3)=0,"OK","ERROR")</f>
        <v>OK</v>
      </c>
      <c r="E236" s="57" t="str">
        <f t="shared" si="56"/>
        <v>OK</v>
      </c>
      <c r="F236" s="57" t="str">
        <f t="shared" si="56"/>
        <v>OK</v>
      </c>
      <c r="G236" s="57" t="str">
        <f t="shared" si="56"/>
        <v>OK</v>
      </c>
      <c r="H236" s="57" t="str">
        <f t="shared" si="56"/>
        <v>OK</v>
      </c>
      <c r="I236" s="57" t="str">
        <f t="shared" si="56"/>
        <v>OK</v>
      </c>
      <c r="J236" s="57" t="str">
        <f t="shared" si="56"/>
        <v>OK</v>
      </c>
      <c r="K236" s="57" t="str">
        <f t="shared" si="56"/>
        <v>OK</v>
      </c>
      <c r="L236" s="57" t="str">
        <f t="shared" si="56"/>
        <v>OK</v>
      </c>
      <c r="M236" s="57" t="str">
        <f t="shared" si="56"/>
        <v>OK</v>
      </c>
      <c r="N236" s="57" t="str">
        <f t="shared" si="56"/>
        <v>OK</v>
      </c>
    </row>
    <row r="237" spans="1:14" x14ac:dyDescent="0.25">
      <c r="A237" s="55" t="s">
        <v>711</v>
      </c>
      <c r="B237" s="96" t="str">
        <f>$B$9</f>
        <v>NAC</v>
      </c>
      <c r="C237" s="16"/>
      <c r="D237" s="16">
        <v>1.07</v>
      </c>
      <c r="E237" s="16">
        <v>0.90600000000000003</v>
      </c>
      <c r="F237" s="16">
        <v>0.90300000000000002</v>
      </c>
      <c r="G237" s="16">
        <v>1.248</v>
      </c>
      <c r="H237" s="16">
        <v>1.343</v>
      </c>
      <c r="I237" s="16">
        <v>1.43</v>
      </c>
      <c r="J237" s="17">
        <v>1.5029999999999999</v>
      </c>
      <c r="K237" s="17">
        <v>1.3540000000000001</v>
      </c>
      <c r="L237" s="17">
        <v>1.3859999999999999</v>
      </c>
      <c r="M237" s="17">
        <v>1.444</v>
      </c>
      <c r="N237" s="17">
        <v>1.498</v>
      </c>
    </row>
    <row r="238" spans="1:14" x14ac:dyDescent="0.25">
      <c r="A238" s="11" t="s">
        <v>712</v>
      </c>
      <c r="B238" s="96" t="str">
        <f>$B$10</f>
        <v>UIM</v>
      </c>
      <c r="C238" s="16"/>
      <c r="D238" s="16">
        <v>1.4630000000000001</v>
      </c>
      <c r="E238" s="16">
        <v>1.3360000000000001</v>
      </c>
      <c r="F238" s="16">
        <v>1.0940000000000001</v>
      </c>
      <c r="G238" s="16">
        <v>1.391</v>
      </c>
      <c r="H238" s="16">
        <v>2.0880000000000001</v>
      </c>
      <c r="I238" s="16">
        <v>1.708</v>
      </c>
      <c r="J238" s="17">
        <v>1.528</v>
      </c>
      <c r="K238" s="17">
        <v>1.583</v>
      </c>
      <c r="L238" s="17">
        <v>1.6379999999999999</v>
      </c>
      <c r="M238" s="17">
        <v>1.7410000000000001</v>
      </c>
      <c r="N238" s="17">
        <v>1.8879999999999999</v>
      </c>
    </row>
    <row r="239" spans="1:14" x14ac:dyDescent="0.25">
      <c r="A239" s="11" t="s">
        <v>707</v>
      </c>
      <c r="B239" s="96" t="str">
        <f t="shared" ref="B239:B240" si="57">$B$10</f>
        <v>UIM</v>
      </c>
      <c r="C239" s="16"/>
      <c r="D239" s="16">
        <v>0.42399999999999999</v>
      </c>
      <c r="E239" s="16">
        <v>0.39500000000000002</v>
      </c>
      <c r="F239" s="16">
        <v>0.44700000000000001</v>
      </c>
      <c r="G239" s="16">
        <v>0.52200000000000002</v>
      </c>
      <c r="H239" s="16">
        <v>0.60499999999999998</v>
      </c>
      <c r="I239" s="16">
        <v>0.63</v>
      </c>
      <c r="J239" s="17">
        <v>0.67100000000000004</v>
      </c>
      <c r="K239" s="17">
        <v>0.50600000000000001</v>
      </c>
      <c r="L239" s="17">
        <v>0.50700000000000001</v>
      </c>
      <c r="M239" s="17">
        <v>0.51200000000000001</v>
      </c>
      <c r="N239" s="17">
        <v>0.52200000000000002</v>
      </c>
    </row>
    <row r="240" spans="1:14" x14ac:dyDescent="0.25">
      <c r="A240" s="11" t="s">
        <v>709</v>
      </c>
      <c r="B240" s="96" t="str">
        <f t="shared" si="57"/>
        <v>UIM</v>
      </c>
      <c r="C240" s="16"/>
      <c r="D240" s="16">
        <v>-0.81699999999999995</v>
      </c>
      <c r="E240" s="16">
        <v>-0.82499999999999996</v>
      </c>
      <c r="F240" s="16">
        <v>-0.63800000000000001</v>
      </c>
      <c r="G240" s="16">
        <v>-0.66500000000000004</v>
      </c>
      <c r="H240" s="16">
        <v>-1.35</v>
      </c>
      <c r="I240" s="16">
        <v>-0.90800000000000003</v>
      </c>
      <c r="J240" s="17">
        <v>-0.69599999999999995</v>
      </c>
      <c r="K240" s="17">
        <v>-0.73499999999999999</v>
      </c>
      <c r="L240" s="17">
        <v>-0.75900000000000001</v>
      </c>
      <c r="M240" s="17">
        <v>-0.80900000000000005</v>
      </c>
      <c r="N240" s="17">
        <v>-0.91200000000000003</v>
      </c>
    </row>
    <row r="241" spans="1:14" x14ac:dyDescent="0.25">
      <c r="A241" s="55" t="s">
        <v>713</v>
      </c>
      <c r="B241" s="96"/>
      <c r="C241" s="16"/>
      <c r="D241" s="57" t="str">
        <f t="shared" ref="D241:N241" si="58">IF(ROUND(D$237-SUM(D$238:D$240),3)=0,"OK","ERROR")</f>
        <v>OK</v>
      </c>
      <c r="E241" s="57" t="str">
        <f t="shared" si="58"/>
        <v>OK</v>
      </c>
      <c r="F241" s="57" t="str">
        <f t="shared" si="58"/>
        <v>OK</v>
      </c>
      <c r="G241" s="57" t="str">
        <f t="shared" si="58"/>
        <v>OK</v>
      </c>
      <c r="H241" s="57" t="str">
        <f t="shared" si="58"/>
        <v>OK</v>
      </c>
      <c r="I241" s="57" t="str">
        <f t="shared" si="58"/>
        <v>OK</v>
      </c>
      <c r="J241" s="57" t="str">
        <f t="shared" si="58"/>
        <v>OK</v>
      </c>
      <c r="K241" s="57" t="str">
        <f t="shared" si="58"/>
        <v>OK</v>
      </c>
      <c r="L241" s="57" t="str">
        <f t="shared" si="58"/>
        <v>OK</v>
      </c>
      <c r="M241" s="57" t="str">
        <f t="shared" si="58"/>
        <v>OK</v>
      </c>
      <c r="N241" s="57" t="str">
        <f t="shared" si="58"/>
        <v>OK</v>
      </c>
    </row>
    <row r="242" spans="1:14" x14ac:dyDescent="0.25">
      <c r="A242" s="55" t="s">
        <v>534</v>
      </c>
      <c r="B242" s="96"/>
      <c r="C242" s="16"/>
      <c r="D242" s="17"/>
      <c r="E242" s="17"/>
      <c r="F242" s="17"/>
      <c r="G242" s="17"/>
      <c r="H242" s="17"/>
      <c r="I242" s="17"/>
      <c r="J242" s="17"/>
      <c r="K242" s="17"/>
      <c r="L242" s="17"/>
      <c r="M242" s="17"/>
      <c r="N242" s="17"/>
    </row>
    <row r="243" spans="1:14" x14ac:dyDescent="0.25">
      <c r="A243" s="11" t="s">
        <v>714</v>
      </c>
      <c r="B243" s="96" t="str">
        <f t="shared" ref="B243:B252" si="59">$B$10</f>
        <v>UIM</v>
      </c>
      <c r="C243" s="16"/>
      <c r="D243" s="16">
        <v>14.561999999999999</v>
      </c>
      <c r="E243" s="16">
        <v>15.521000000000001</v>
      </c>
      <c r="F243" s="16">
        <v>16.568999999999999</v>
      </c>
      <c r="G243" s="16">
        <v>17.763999999999999</v>
      </c>
      <c r="H243" s="16">
        <v>19.516999999999999</v>
      </c>
      <c r="I243" s="16">
        <v>21.574000000000002</v>
      </c>
      <c r="J243" s="17">
        <v>23.18</v>
      </c>
      <c r="K243" s="17">
        <v>24.690999999999999</v>
      </c>
      <c r="L243" s="17">
        <v>26.116</v>
      </c>
      <c r="M243" s="17">
        <v>27.605</v>
      </c>
      <c r="N243" s="17">
        <v>28.957000000000001</v>
      </c>
    </row>
    <row r="244" spans="1:14" x14ac:dyDescent="0.25">
      <c r="A244" s="11" t="s">
        <v>715</v>
      </c>
      <c r="B244" s="96" t="str">
        <f t="shared" si="59"/>
        <v>UIM</v>
      </c>
      <c r="C244" s="16"/>
      <c r="D244" s="16">
        <v>1.8540000000000001</v>
      </c>
      <c r="E244" s="16">
        <v>2.2850000000000001</v>
      </c>
      <c r="F244" s="16">
        <v>3.2240000000000002</v>
      </c>
      <c r="G244" s="16">
        <v>3.33</v>
      </c>
      <c r="H244" s="16">
        <v>3.4729999999999999</v>
      </c>
      <c r="I244" s="16">
        <v>4.0620000000000003</v>
      </c>
      <c r="J244" s="17">
        <v>4.6440000000000001</v>
      </c>
      <c r="K244" s="17">
        <v>4.8390000000000004</v>
      </c>
      <c r="L244" s="17">
        <v>4.7149999999999999</v>
      </c>
      <c r="M244" s="17">
        <v>4.4969999999999999</v>
      </c>
      <c r="N244" s="17">
        <v>4.42</v>
      </c>
    </row>
    <row r="245" spans="1:14" x14ac:dyDescent="0.25">
      <c r="A245" s="11" t="s">
        <v>716</v>
      </c>
      <c r="B245" s="96" t="str">
        <f t="shared" si="59"/>
        <v>UIM</v>
      </c>
      <c r="C245" s="16"/>
      <c r="D245" s="16">
        <v>1.556</v>
      </c>
      <c r="E245" s="16">
        <v>1.65</v>
      </c>
      <c r="F245" s="16">
        <v>1.8260000000000001</v>
      </c>
      <c r="G245" s="16">
        <v>2.0470000000000002</v>
      </c>
      <c r="H245" s="16">
        <v>2.3109999999999999</v>
      </c>
      <c r="I245" s="16">
        <v>2.5299999999999998</v>
      </c>
      <c r="J245" s="17">
        <v>2.669</v>
      </c>
      <c r="K245" s="17">
        <v>2.782</v>
      </c>
      <c r="L245" s="17">
        <v>2.8809999999999998</v>
      </c>
      <c r="M245" s="17">
        <v>2.9750000000000001</v>
      </c>
      <c r="N245" s="17">
        <v>3.0230000000000001</v>
      </c>
    </row>
    <row r="246" spans="1:14" x14ac:dyDescent="0.25">
      <c r="A246" s="11" t="s">
        <v>717</v>
      </c>
      <c r="B246" s="96" t="str">
        <f t="shared" si="59"/>
        <v>UIM</v>
      </c>
      <c r="C246" s="16"/>
      <c r="D246" s="16">
        <v>1.115</v>
      </c>
      <c r="E246" s="16">
        <v>1.2310000000000001</v>
      </c>
      <c r="F246" s="16">
        <v>1.4550000000000001</v>
      </c>
      <c r="G246" s="16">
        <v>1.704</v>
      </c>
      <c r="H246" s="16">
        <v>1.917</v>
      </c>
      <c r="I246" s="16">
        <v>2.097</v>
      </c>
      <c r="J246" s="17">
        <v>2.2570000000000001</v>
      </c>
      <c r="K246" s="17">
        <v>2.331</v>
      </c>
      <c r="L246" s="17">
        <v>2.3029999999999999</v>
      </c>
      <c r="M246" s="17">
        <v>2.27</v>
      </c>
      <c r="N246" s="17">
        <v>2.169</v>
      </c>
    </row>
    <row r="247" spans="1:14" x14ac:dyDescent="0.25">
      <c r="A247" s="11" t="s">
        <v>718</v>
      </c>
      <c r="B247" s="96" t="str">
        <f t="shared" si="59"/>
        <v>UIM</v>
      </c>
      <c r="C247" s="16"/>
      <c r="D247" s="16">
        <v>2.766</v>
      </c>
      <c r="E247" s="16">
        <v>2.83</v>
      </c>
      <c r="F247" s="16">
        <v>2.6880000000000002</v>
      </c>
      <c r="G247" s="16">
        <v>2.536</v>
      </c>
      <c r="H247" s="16">
        <v>2.6269999999999998</v>
      </c>
      <c r="I247" s="16">
        <v>2.7450000000000001</v>
      </c>
      <c r="J247" s="17">
        <v>2.9990000000000001</v>
      </c>
      <c r="K247" s="17">
        <v>2.97</v>
      </c>
      <c r="L247" s="17">
        <v>3.05</v>
      </c>
      <c r="M247" s="17">
        <v>3.2229999999999999</v>
      </c>
      <c r="N247" s="17">
        <v>3.141</v>
      </c>
    </row>
    <row r="248" spans="1:14" x14ac:dyDescent="0.25">
      <c r="A248" s="11" t="s">
        <v>719</v>
      </c>
      <c r="B248" s="96" t="str">
        <f t="shared" si="59"/>
        <v>UIM</v>
      </c>
      <c r="C248" s="16"/>
      <c r="D248" s="16">
        <v>1.64</v>
      </c>
      <c r="E248" s="16">
        <v>1.923</v>
      </c>
      <c r="F248" s="16">
        <v>2.302</v>
      </c>
      <c r="G248" s="16">
        <v>2.3860000000000001</v>
      </c>
      <c r="H248" s="16">
        <v>2.3490000000000002</v>
      </c>
      <c r="I248" s="16">
        <v>2.411</v>
      </c>
      <c r="J248" s="17">
        <v>2.3039999999999998</v>
      </c>
      <c r="K248" s="17">
        <v>2.35</v>
      </c>
      <c r="L248" s="17">
        <v>2.3180000000000001</v>
      </c>
      <c r="M248" s="17">
        <v>2.3109999999999999</v>
      </c>
      <c r="N248" s="17">
        <v>2.1859999999999999</v>
      </c>
    </row>
    <row r="249" spans="1:14" x14ac:dyDescent="0.25">
      <c r="A249" s="11" t="s">
        <v>720</v>
      </c>
      <c r="B249" s="96" t="str">
        <f t="shared" si="59"/>
        <v>UIM</v>
      </c>
      <c r="C249" s="16"/>
      <c r="D249" s="16">
        <v>2.351</v>
      </c>
      <c r="E249" s="16">
        <v>14.971</v>
      </c>
      <c r="F249" s="16">
        <v>5.0529999999999999</v>
      </c>
      <c r="G249" s="16">
        <v>11.973000000000001</v>
      </c>
      <c r="H249" s="16">
        <v>4.1159999999999997</v>
      </c>
      <c r="I249" s="16">
        <v>3.7759999999999998</v>
      </c>
      <c r="J249" s="17">
        <v>4.0570000000000004</v>
      </c>
      <c r="K249" s="17">
        <v>4.3849999999999998</v>
      </c>
      <c r="L249" s="17">
        <v>4.4329999999999998</v>
      </c>
      <c r="M249" s="17">
        <v>4.5750000000000002</v>
      </c>
      <c r="N249" s="17">
        <v>4.6130000000000004</v>
      </c>
    </row>
    <row r="250" spans="1:14" x14ac:dyDescent="0.25">
      <c r="A250" s="11" t="s">
        <v>721</v>
      </c>
      <c r="B250" s="96" t="str">
        <f t="shared" si="59"/>
        <v>UIM</v>
      </c>
      <c r="C250" s="16"/>
      <c r="D250" s="16">
        <v>0.58299999999999996</v>
      </c>
      <c r="E250" s="16">
        <v>0.56699999999999995</v>
      </c>
      <c r="F250" s="16">
        <v>0.59</v>
      </c>
      <c r="G250" s="16">
        <v>0.55600000000000005</v>
      </c>
      <c r="H250" s="16">
        <v>0.52500000000000002</v>
      </c>
      <c r="I250" s="16">
        <v>0.52600000000000002</v>
      </c>
      <c r="J250" s="17">
        <v>0.57799999999999996</v>
      </c>
      <c r="K250" s="17">
        <v>0.63500000000000001</v>
      </c>
      <c r="L250" s="17">
        <v>0.64</v>
      </c>
      <c r="M250" s="17">
        <v>0.63700000000000001</v>
      </c>
      <c r="N250" s="17">
        <v>0.628</v>
      </c>
    </row>
    <row r="251" spans="1:14" x14ac:dyDescent="0.25">
      <c r="A251" s="11" t="s">
        <v>722</v>
      </c>
      <c r="B251" s="96" t="str">
        <f t="shared" si="59"/>
        <v>UIM</v>
      </c>
      <c r="C251" s="16"/>
      <c r="D251" s="16">
        <v>0.95099999999999996</v>
      </c>
      <c r="E251" s="16">
        <v>0.89300000000000002</v>
      </c>
      <c r="F251" s="16">
        <v>0.91600000000000004</v>
      </c>
      <c r="G251" s="16">
        <v>0.96399999999999997</v>
      </c>
      <c r="H251" s="16">
        <v>0.997</v>
      </c>
      <c r="I251" s="16">
        <v>1.014</v>
      </c>
      <c r="J251" s="17">
        <v>1.06</v>
      </c>
      <c r="K251" s="17">
        <v>0.54500000000000004</v>
      </c>
      <c r="L251" s="17">
        <v>0.56499999999999995</v>
      </c>
      <c r="M251" s="17">
        <v>0.58799999999999997</v>
      </c>
      <c r="N251" s="17">
        <v>0.61299999999999999</v>
      </c>
    </row>
    <row r="252" spans="1:14" x14ac:dyDescent="0.25">
      <c r="A252" s="11" t="s">
        <v>723</v>
      </c>
      <c r="B252" s="96" t="str">
        <f t="shared" si="59"/>
        <v>UIM</v>
      </c>
      <c r="C252" s="16"/>
      <c r="D252" s="16">
        <v>0.70799999999999996</v>
      </c>
      <c r="E252" s="16">
        <v>0.73599999999999999</v>
      </c>
      <c r="F252" s="16">
        <v>0.80400000000000005</v>
      </c>
      <c r="G252" s="16">
        <v>0.82699999999999996</v>
      </c>
      <c r="H252" s="16">
        <v>0.97099999999999997</v>
      </c>
      <c r="I252" s="16">
        <v>1.202</v>
      </c>
      <c r="J252" s="17">
        <v>1.1160000000000001</v>
      </c>
      <c r="K252" s="17">
        <v>0.995</v>
      </c>
      <c r="L252" s="17">
        <v>0.94099999999999995</v>
      </c>
      <c r="M252" s="17">
        <v>0.94099999999999995</v>
      </c>
      <c r="N252" s="17">
        <v>0.94099999999999995</v>
      </c>
    </row>
    <row r="253" spans="1:14" x14ac:dyDescent="0.25">
      <c r="A253" s="55" t="s">
        <v>724</v>
      </c>
      <c r="B253" s="96"/>
      <c r="C253" s="16"/>
      <c r="D253" s="57" t="str">
        <f t="shared" ref="D253:N253" si="60">IF(ROUND(D$15-SUM(D$243:D$252),3)=0,"OK","ERROR")</f>
        <v>OK</v>
      </c>
      <c r="E253" s="57" t="str">
        <f t="shared" si="60"/>
        <v>OK</v>
      </c>
      <c r="F253" s="57" t="str">
        <f t="shared" si="60"/>
        <v>OK</v>
      </c>
      <c r="G253" s="57" t="str">
        <f t="shared" si="60"/>
        <v>OK</v>
      </c>
      <c r="H253" s="57" t="str">
        <f t="shared" si="60"/>
        <v>OK</v>
      </c>
      <c r="I253" s="57" t="str">
        <f t="shared" si="60"/>
        <v>OK</v>
      </c>
      <c r="J253" s="57" t="str">
        <f t="shared" si="60"/>
        <v>OK</v>
      </c>
      <c r="K253" s="57" t="str">
        <f t="shared" si="60"/>
        <v>OK</v>
      </c>
      <c r="L253" s="57" t="str">
        <f t="shared" si="60"/>
        <v>OK</v>
      </c>
      <c r="M253" s="57" t="str">
        <f t="shared" si="60"/>
        <v>OK</v>
      </c>
      <c r="N253" s="57" t="str">
        <f t="shared" si="60"/>
        <v>OK</v>
      </c>
    </row>
    <row r="254" spans="1:14" x14ac:dyDescent="0.25">
      <c r="A254" s="55" t="s">
        <v>535</v>
      </c>
      <c r="B254" s="96"/>
      <c r="C254" s="16"/>
      <c r="D254" s="17"/>
      <c r="E254" s="17"/>
      <c r="F254" s="17"/>
      <c r="G254" s="17"/>
      <c r="H254" s="17"/>
      <c r="I254" s="17"/>
      <c r="J254" s="17"/>
      <c r="K254" s="17"/>
      <c r="L254" s="17"/>
      <c r="M254" s="17"/>
      <c r="N254" s="17"/>
    </row>
    <row r="255" spans="1:14" x14ac:dyDescent="0.25">
      <c r="A255" s="11" t="s">
        <v>707</v>
      </c>
      <c r="B255" s="96" t="str">
        <f>$B$10</f>
        <v>UIM</v>
      </c>
      <c r="C255" s="16"/>
      <c r="D255" s="16">
        <v>15.085000000000001</v>
      </c>
      <c r="E255" s="16">
        <v>16.317</v>
      </c>
      <c r="F255" s="16">
        <v>17.928999999999998</v>
      </c>
      <c r="G255" s="16">
        <v>19.896999999999998</v>
      </c>
      <c r="H255" s="16">
        <v>22.326000000000001</v>
      </c>
      <c r="I255" s="16">
        <v>24.337</v>
      </c>
      <c r="J255" s="17">
        <v>24.657</v>
      </c>
      <c r="K255" s="17">
        <v>25.32</v>
      </c>
      <c r="L255" s="17">
        <v>25.808</v>
      </c>
      <c r="M255" s="17">
        <v>26.111999999999998</v>
      </c>
      <c r="N255" s="17">
        <v>26.395</v>
      </c>
    </row>
    <row r="256" spans="1:14" x14ac:dyDescent="0.25">
      <c r="A256" s="11" t="s">
        <v>708</v>
      </c>
      <c r="B256" s="96" t="str">
        <f>$B$10</f>
        <v>UIM</v>
      </c>
      <c r="C256" s="16"/>
      <c r="D256" s="16">
        <v>3.0960000000000001</v>
      </c>
      <c r="E256" s="16">
        <v>3.0230000000000001</v>
      </c>
      <c r="F256" s="16">
        <v>2.5819999999999999</v>
      </c>
      <c r="G256" s="16">
        <v>2.8610000000000002</v>
      </c>
      <c r="H256" s="16">
        <v>3.33</v>
      </c>
      <c r="I256" s="16">
        <v>3.5459999999999998</v>
      </c>
      <c r="J256" s="17">
        <v>3.6120000000000001</v>
      </c>
      <c r="K256" s="17">
        <v>3.7280000000000002</v>
      </c>
      <c r="L256" s="17">
        <v>3.8580000000000001</v>
      </c>
      <c r="M256" s="17">
        <v>3.9929999999999999</v>
      </c>
      <c r="N256" s="17">
        <v>4.09</v>
      </c>
    </row>
    <row r="257" spans="1:14" x14ac:dyDescent="0.25">
      <c r="A257" s="11" t="s">
        <v>709</v>
      </c>
      <c r="B257" s="96" t="str">
        <f>$B$10</f>
        <v>UIM</v>
      </c>
      <c r="C257" s="16"/>
      <c r="D257" s="16">
        <v>-4.2000000000000003E-2</v>
      </c>
      <c r="E257" s="16">
        <v>-4.4999999999999998E-2</v>
      </c>
      <c r="F257" s="16">
        <v>-5.1999999999999998E-2</v>
      </c>
      <c r="G257" s="16">
        <v>-5.5E-2</v>
      </c>
      <c r="H257" s="16">
        <v>-5.2999999999999999E-2</v>
      </c>
      <c r="I257" s="16">
        <v>-0.06</v>
      </c>
      <c r="J257" s="17">
        <v>-6.6000000000000003E-2</v>
      </c>
      <c r="K257" s="17">
        <v>-6.8000000000000005E-2</v>
      </c>
      <c r="L257" s="17">
        <v>-6.9000000000000006E-2</v>
      </c>
      <c r="M257" s="17">
        <v>-6.8000000000000005E-2</v>
      </c>
      <c r="N257" s="17">
        <v>-7.0000000000000007E-2</v>
      </c>
    </row>
    <row r="258" spans="1:14" x14ac:dyDescent="0.25">
      <c r="A258" s="55" t="s">
        <v>725</v>
      </c>
      <c r="B258" s="96"/>
      <c r="C258" s="16"/>
      <c r="D258" s="57" t="str">
        <f t="shared" ref="D258:N258" si="61">IF(ROUND(D$16-SUM(D$171,D$255:D$257),3)=0,"OK","ERROR")</f>
        <v>OK</v>
      </c>
      <c r="E258" s="57" t="str">
        <f t="shared" si="61"/>
        <v>OK</v>
      </c>
      <c r="F258" s="57" t="str">
        <f t="shared" si="61"/>
        <v>OK</v>
      </c>
      <c r="G258" s="57" t="str">
        <f t="shared" si="61"/>
        <v>OK</v>
      </c>
      <c r="H258" s="57" t="str">
        <f t="shared" si="61"/>
        <v>OK</v>
      </c>
      <c r="I258" s="57" t="str">
        <f t="shared" si="61"/>
        <v>OK</v>
      </c>
      <c r="J258" s="57" t="str">
        <f t="shared" si="61"/>
        <v>OK</v>
      </c>
      <c r="K258" s="57" t="str">
        <f t="shared" si="61"/>
        <v>OK</v>
      </c>
      <c r="L258" s="57" t="str">
        <f t="shared" si="61"/>
        <v>OK</v>
      </c>
      <c r="M258" s="57" t="str">
        <f t="shared" si="61"/>
        <v>OK</v>
      </c>
      <c r="N258" s="57" t="str">
        <f t="shared" si="61"/>
        <v>OK</v>
      </c>
    </row>
    <row r="259" spans="1:14" x14ac:dyDescent="0.25">
      <c r="A259" s="55" t="s">
        <v>536</v>
      </c>
      <c r="B259" s="96"/>
      <c r="C259" s="16"/>
      <c r="D259" s="17"/>
      <c r="E259" s="17"/>
      <c r="F259" s="17"/>
      <c r="G259" s="17"/>
      <c r="H259" s="17"/>
      <c r="I259" s="17"/>
      <c r="J259" s="17"/>
      <c r="K259" s="17"/>
      <c r="L259" s="17"/>
      <c r="M259" s="17"/>
      <c r="N259" s="17"/>
    </row>
    <row r="260" spans="1:14" x14ac:dyDescent="0.25">
      <c r="A260" s="11" t="s">
        <v>712</v>
      </c>
      <c r="B260" s="96" t="str">
        <f>$B$10</f>
        <v>UIM</v>
      </c>
      <c r="C260" s="16"/>
      <c r="D260" s="16">
        <v>1.5009999999999999</v>
      </c>
      <c r="E260" s="16">
        <v>1.675</v>
      </c>
      <c r="F260" s="16">
        <v>1.883</v>
      </c>
      <c r="G260" s="16">
        <v>2.0019999999999998</v>
      </c>
      <c r="H260" s="16">
        <v>2.4</v>
      </c>
      <c r="I260" s="16">
        <v>2.81</v>
      </c>
      <c r="J260" s="17">
        <v>2.7429999999999999</v>
      </c>
      <c r="K260" s="17">
        <v>2.9079999999999999</v>
      </c>
      <c r="L260" s="17">
        <v>2.9940000000000002</v>
      </c>
      <c r="M260" s="17">
        <v>3.069</v>
      </c>
      <c r="N260" s="17">
        <v>3.073</v>
      </c>
    </row>
    <row r="261" spans="1:14" x14ac:dyDescent="0.25">
      <c r="A261" s="11" t="s">
        <v>707</v>
      </c>
      <c r="B261" s="96" t="str">
        <f>$B$10</f>
        <v>UIM</v>
      </c>
      <c r="C261" s="16"/>
      <c r="D261" s="16">
        <v>1.587</v>
      </c>
      <c r="E261" s="16">
        <v>1.776</v>
      </c>
      <c r="F261" s="16">
        <v>1.9530000000000001</v>
      </c>
      <c r="G261" s="16">
        <v>2.2509999999999999</v>
      </c>
      <c r="H261" s="16">
        <v>2.5110000000000001</v>
      </c>
      <c r="I261" s="16">
        <v>2.9</v>
      </c>
      <c r="J261" s="17">
        <v>3.012</v>
      </c>
      <c r="K261" s="17">
        <v>3.129</v>
      </c>
      <c r="L261" s="17">
        <v>3.177</v>
      </c>
      <c r="M261" s="17">
        <v>3.226</v>
      </c>
      <c r="N261" s="17">
        <v>3.274</v>
      </c>
    </row>
    <row r="262" spans="1:14" x14ac:dyDescent="0.25">
      <c r="A262" s="11" t="s">
        <v>708</v>
      </c>
      <c r="B262" s="96" t="str">
        <f>$B$10</f>
        <v>UIM</v>
      </c>
      <c r="C262" s="16"/>
      <c r="D262" s="16">
        <v>1.466</v>
      </c>
      <c r="E262" s="16">
        <v>1.843</v>
      </c>
      <c r="F262" s="16">
        <v>1.73</v>
      </c>
      <c r="G262" s="16">
        <v>1.899</v>
      </c>
      <c r="H262" s="16">
        <v>1.69</v>
      </c>
      <c r="I262" s="16">
        <v>1.911</v>
      </c>
      <c r="J262" s="17">
        <v>2.3050000000000002</v>
      </c>
      <c r="K262" s="17">
        <v>2.387</v>
      </c>
      <c r="L262" s="17">
        <v>2.5459999999999998</v>
      </c>
      <c r="M262" s="17">
        <v>2.7690000000000001</v>
      </c>
      <c r="N262" s="17">
        <v>2.8580000000000001</v>
      </c>
    </row>
    <row r="263" spans="1:14" x14ac:dyDescent="0.25">
      <c r="A263" s="55" t="s">
        <v>726</v>
      </c>
      <c r="B263" s="96"/>
      <c r="C263" s="16"/>
      <c r="D263" s="57" t="str">
        <f t="shared" ref="D263:N263" si="62">IF(ROUND(D$17-SUM(D$260:D$262),3)=0,"OK","ERROR")</f>
        <v>OK</v>
      </c>
      <c r="E263" s="57" t="str">
        <f t="shared" si="62"/>
        <v>OK</v>
      </c>
      <c r="F263" s="57" t="str">
        <f t="shared" si="62"/>
        <v>OK</v>
      </c>
      <c r="G263" s="57" t="str">
        <f t="shared" si="62"/>
        <v>OK</v>
      </c>
      <c r="H263" s="57" t="str">
        <f t="shared" si="62"/>
        <v>OK</v>
      </c>
      <c r="I263" s="57" t="str">
        <f t="shared" si="62"/>
        <v>OK</v>
      </c>
      <c r="J263" s="57" t="str">
        <f t="shared" si="62"/>
        <v>OK</v>
      </c>
      <c r="K263" s="57" t="str">
        <f t="shared" si="62"/>
        <v>OK</v>
      </c>
      <c r="L263" s="57" t="str">
        <f t="shared" si="62"/>
        <v>OK</v>
      </c>
      <c r="M263" s="57" t="str">
        <f t="shared" si="62"/>
        <v>OK</v>
      </c>
      <c r="N263" s="57" t="str">
        <f t="shared" si="62"/>
        <v>OK</v>
      </c>
    </row>
    <row r="264" spans="1:14" x14ac:dyDescent="0.25">
      <c r="A264" s="55" t="s">
        <v>602</v>
      </c>
      <c r="B264" s="96"/>
      <c r="C264" s="16"/>
      <c r="D264" s="59"/>
      <c r="E264" s="59"/>
      <c r="F264" s="59"/>
      <c r="G264" s="59"/>
      <c r="H264" s="59"/>
      <c r="I264" s="59"/>
      <c r="J264" s="59"/>
      <c r="K264" s="59"/>
      <c r="L264" s="59"/>
      <c r="M264" s="59"/>
      <c r="N264" s="59"/>
    </row>
    <row r="265" spans="1:14" x14ac:dyDescent="0.25">
      <c r="A265" s="11" t="s">
        <v>712</v>
      </c>
      <c r="B265" s="96" t="str">
        <f>$B$10</f>
        <v>UIM</v>
      </c>
      <c r="C265" s="16"/>
      <c r="D265" s="16">
        <v>0.29399999999999998</v>
      </c>
      <c r="E265" s="16">
        <v>0.57399999999999995</v>
      </c>
      <c r="F265" s="16">
        <v>0.37</v>
      </c>
      <c r="G265" s="16">
        <v>0.316</v>
      </c>
      <c r="H265" s="16">
        <v>0.29399999999999998</v>
      </c>
      <c r="I265" s="16">
        <v>0.33</v>
      </c>
      <c r="J265" s="17">
        <v>0.33600000000000002</v>
      </c>
      <c r="K265" s="17">
        <v>0.34399999999999997</v>
      </c>
      <c r="L265" s="17">
        <v>0.34300000000000003</v>
      </c>
      <c r="M265" s="17">
        <v>0.34200000000000003</v>
      </c>
      <c r="N265" s="17">
        <v>0.34200000000000003</v>
      </c>
    </row>
    <row r="266" spans="1:14" x14ac:dyDescent="0.25">
      <c r="A266" s="11" t="s">
        <v>707</v>
      </c>
      <c r="B266" s="96" t="str">
        <f>$B$9</f>
        <v>NAC</v>
      </c>
      <c r="C266" s="16"/>
      <c r="D266" s="16">
        <v>0.31900000000000001</v>
      </c>
      <c r="E266" s="16">
        <v>0.34</v>
      </c>
      <c r="F266" s="16">
        <v>0.34399999999999997</v>
      </c>
      <c r="G266" s="16">
        <v>0.39900000000000002</v>
      </c>
      <c r="H266" s="16">
        <v>0.40100000000000002</v>
      </c>
      <c r="I266" s="16">
        <v>0.55400000000000005</v>
      </c>
      <c r="J266" s="17">
        <v>0.317</v>
      </c>
      <c r="K266" s="17">
        <v>0.35099999999999998</v>
      </c>
      <c r="L266" s="17">
        <v>0.33800000000000002</v>
      </c>
      <c r="M266" s="17">
        <v>0.34100000000000003</v>
      </c>
      <c r="N266" s="17">
        <v>0.34399999999999997</v>
      </c>
    </row>
    <row r="267" spans="1:14" x14ac:dyDescent="0.25">
      <c r="A267" s="11" t="s">
        <v>708</v>
      </c>
      <c r="B267" s="96" t="str">
        <f>$B$9</f>
        <v>NAC</v>
      </c>
      <c r="C267" s="16"/>
      <c r="D267" s="16">
        <v>0.32100000000000001</v>
      </c>
      <c r="E267" s="16">
        <v>1.4610000000000001</v>
      </c>
      <c r="F267" s="16">
        <v>0.48399999999999999</v>
      </c>
      <c r="G267" s="16">
        <v>-0.93900000000000006</v>
      </c>
      <c r="H267" s="16">
        <v>0.36699999999999999</v>
      </c>
      <c r="I267" s="16">
        <v>0.157</v>
      </c>
      <c r="J267" s="17">
        <v>0.191</v>
      </c>
      <c r="K267" s="17">
        <v>0.16200000000000001</v>
      </c>
      <c r="L267" s="17">
        <v>0.14899999999999999</v>
      </c>
      <c r="M267" s="17">
        <v>0.129</v>
      </c>
      <c r="N267" s="17">
        <v>0.124</v>
      </c>
    </row>
    <row r="268" spans="1:14" x14ac:dyDescent="0.25">
      <c r="A268" s="55" t="s">
        <v>1229</v>
      </c>
      <c r="B268" s="96"/>
      <c r="C268" s="16"/>
      <c r="D268" s="56">
        <f t="shared" ref="D268:L268" si="63">SUM(D$265:D$267)</f>
        <v>0.93399999999999994</v>
      </c>
      <c r="E268" s="56">
        <f t="shared" si="63"/>
        <v>2.375</v>
      </c>
      <c r="F268" s="56">
        <f t="shared" si="63"/>
        <v>1.198</v>
      </c>
      <c r="G268" s="56">
        <f t="shared" si="63"/>
        <v>-0.22399999999999998</v>
      </c>
      <c r="H268" s="56">
        <f t="shared" si="63"/>
        <v>1.0620000000000001</v>
      </c>
      <c r="I268" s="56">
        <f t="shared" si="63"/>
        <v>1.0410000000000001</v>
      </c>
      <c r="J268" s="56">
        <f t="shared" si="63"/>
        <v>0.84400000000000008</v>
      </c>
      <c r="K268" s="56">
        <f t="shared" si="63"/>
        <v>0.85699999999999998</v>
      </c>
      <c r="L268" s="56">
        <f t="shared" si="63"/>
        <v>0.83000000000000007</v>
      </c>
      <c r="M268" s="56">
        <f>SUM(M$265:M$267)</f>
        <v>0.81200000000000006</v>
      </c>
      <c r="N268" s="56">
        <f>SUM(N$265:N$267)</f>
        <v>0.80999999999999994</v>
      </c>
    </row>
    <row r="269" spans="1:14" x14ac:dyDescent="0.25">
      <c r="A269" s="55" t="s">
        <v>727</v>
      </c>
      <c r="B269" s="96"/>
      <c r="C269" s="16"/>
      <c r="D269" s="16"/>
      <c r="E269" s="16"/>
      <c r="F269" s="16"/>
      <c r="G269" s="16"/>
      <c r="H269" s="16"/>
      <c r="I269" s="16"/>
      <c r="J269" s="16"/>
      <c r="K269" s="16"/>
      <c r="L269" s="16"/>
      <c r="M269" s="16"/>
      <c r="N269" s="16"/>
    </row>
    <row r="270" spans="1:14" x14ac:dyDescent="0.25">
      <c r="A270" s="11" t="s">
        <v>712</v>
      </c>
      <c r="B270" s="96" t="str">
        <f>$B$10</f>
        <v>UIM</v>
      </c>
      <c r="C270" s="16"/>
      <c r="D270" s="16">
        <v>44.959000000000003</v>
      </c>
      <c r="E270" s="16">
        <v>51.832999999999998</v>
      </c>
      <c r="F270" s="16">
        <v>58.084000000000003</v>
      </c>
      <c r="G270" s="16">
        <v>65.543000000000006</v>
      </c>
      <c r="H270" s="16">
        <v>68.150000000000006</v>
      </c>
      <c r="I270" s="16">
        <v>72.72</v>
      </c>
      <c r="J270" s="17">
        <v>75.578000000000003</v>
      </c>
      <c r="K270" s="17">
        <v>77.138000000000005</v>
      </c>
      <c r="L270" s="17">
        <v>75.927000000000007</v>
      </c>
      <c r="M270" s="17">
        <v>74.025000000000006</v>
      </c>
      <c r="N270" s="17">
        <v>74.593999999999994</v>
      </c>
    </row>
    <row r="271" spans="1:14" x14ac:dyDescent="0.25">
      <c r="A271" s="11" t="s">
        <v>707</v>
      </c>
      <c r="B271" s="96" t="str">
        <f>$B$10</f>
        <v>UIM</v>
      </c>
      <c r="C271" s="16"/>
      <c r="D271" s="16">
        <v>22.132999999999999</v>
      </c>
      <c r="E271" s="16">
        <v>25.504999999999999</v>
      </c>
      <c r="F271" s="16">
        <v>25.257000000000001</v>
      </c>
      <c r="G271" s="16">
        <v>27.652000000000001</v>
      </c>
      <c r="H271" s="16">
        <v>33.918999999999997</v>
      </c>
      <c r="I271" s="16">
        <v>34.594999999999999</v>
      </c>
      <c r="J271" s="17">
        <v>35.579000000000001</v>
      </c>
      <c r="K271" s="17">
        <v>34.938000000000002</v>
      </c>
      <c r="L271" s="17">
        <v>36.030999999999999</v>
      </c>
      <c r="M271" s="17">
        <v>34.314</v>
      </c>
      <c r="N271" s="17">
        <v>34.192999999999998</v>
      </c>
    </row>
    <row r="272" spans="1:14" x14ac:dyDescent="0.25">
      <c r="A272" s="11" t="s">
        <v>708</v>
      </c>
      <c r="B272" s="96" t="str">
        <f>$B$10</f>
        <v>UIM</v>
      </c>
      <c r="C272" s="16"/>
      <c r="D272" s="16">
        <v>9.4740000000000002</v>
      </c>
      <c r="E272" s="16">
        <v>12.164999999999999</v>
      </c>
      <c r="F272" s="16">
        <v>11.702999999999999</v>
      </c>
      <c r="G272" s="16">
        <v>9.8040000000000003</v>
      </c>
      <c r="H272" s="16">
        <v>12.132</v>
      </c>
      <c r="I272" s="16">
        <v>16.550999999999998</v>
      </c>
      <c r="J272" s="17">
        <v>16.504000000000001</v>
      </c>
      <c r="K272" s="17">
        <v>16.885999999999999</v>
      </c>
      <c r="L272" s="17">
        <v>16.931999999999999</v>
      </c>
      <c r="M272" s="17">
        <v>17.684000000000001</v>
      </c>
      <c r="N272" s="17">
        <v>17.927</v>
      </c>
    </row>
    <row r="273" spans="1:14" x14ac:dyDescent="0.25">
      <c r="A273" s="11" t="s">
        <v>709</v>
      </c>
      <c r="B273" s="96" t="str">
        <f>$B$10</f>
        <v>UIM</v>
      </c>
      <c r="C273" s="16"/>
      <c r="D273" s="16">
        <v>-33.872999999999998</v>
      </c>
      <c r="E273" s="16">
        <v>-36.92</v>
      </c>
      <c r="F273" s="16">
        <v>-41.241999999999997</v>
      </c>
      <c r="G273" s="16">
        <v>-44.725999999999999</v>
      </c>
      <c r="H273" s="16">
        <v>-50.067</v>
      </c>
      <c r="I273" s="16">
        <v>-53.246000000000002</v>
      </c>
      <c r="J273" s="17">
        <v>-54.987000000000002</v>
      </c>
      <c r="K273" s="17">
        <v>-56.061</v>
      </c>
      <c r="L273" s="17">
        <v>-57.274999999999999</v>
      </c>
      <c r="M273" s="17">
        <v>-56.704999999999998</v>
      </c>
      <c r="N273" s="17">
        <v>-57.371000000000002</v>
      </c>
    </row>
    <row r="274" spans="1:14" x14ac:dyDescent="0.25">
      <c r="A274" s="55" t="s">
        <v>728</v>
      </c>
      <c r="B274" s="96"/>
      <c r="C274" s="16"/>
      <c r="D274" s="57" t="str">
        <f t="shared" ref="D274:N274" si="64">IF(ROUND(D$18-SUM(D$270:D$273),3)=0,"OK","ERROR")</f>
        <v>OK</v>
      </c>
      <c r="E274" s="57" t="str">
        <f t="shared" si="64"/>
        <v>OK</v>
      </c>
      <c r="F274" s="57" t="str">
        <f t="shared" si="64"/>
        <v>OK</v>
      </c>
      <c r="G274" s="57" t="str">
        <f t="shared" si="64"/>
        <v>OK</v>
      </c>
      <c r="H274" s="57" t="str">
        <f t="shared" si="64"/>
        <v>OK</v>
      </c>
      <c r="I274" s="57" t="str">
        <f t="shared" si="64"/>
        <v>OK</v>
      </c>
      <c r="J274" s="57" t="str">
        <f t="shared" si="64"/>
        <v>OK</v>
      </c>
      <c r="K274" s="57" t="str">
        <f t="shared" si="64"/>
        <v>OK</v>
      </c>
      <c r="L274" s="57" t="str">
        <f t="shared" si="64"/>
        <v>OK</v>
      </c>
      <c r="M274" s="57" t="str">
        <f t="shared" si="64"/>
        <v>OK</v>
      </c>
      <c r="N274" s="57" t="str">
        <f t="shared" si="64"/>
        <v>OK</v>
      </c>
    </row>
    <row r="275" spans="1:14" x14ac:dyDescent="0.25">
      <c r="A275" s="55" t="s">
        <v>729</v>
      </c>
      <c r="B275" s="96"/>
      <c r="C275" s="16"/>
      <c r="D275" s="17"/>
      <c r="E275" s="17"/>
      <c r="F275" s="17"/>
      <c r="G275" s="17"/>
      <c r="H275" s="17"/>
      <c r="I275" s="17"/>
      <c r="J275" s="17"/>
      <c r="K275" s="17"/>
      <c r="L275" s="17"/>
      <c r="M275" s="17"/>
      <c r="N275" s="17"/>
    </row>
    <row r="276" spans="1:14" x14ac:dyDescent="0.25">
      <c r="A276" s="11" t="s">
        <v>707</v>
      </c>
      <c r="B276" s="96" t="str">
        <f>$B$10</f>
        <v>UIM</v>
      </c>
      <c r="C276" s="16"/>
      <c r="D276" s="16">
        <v>0.11700000000000001</v>
      </c>
      <c r="E276" s="16">
        <v>0.16400000000000001</v>
      </c>
      <c r="F276" s="16">
        <v>0.218</v>
      </c>
      <c r="G276" s="16">
        <v>0.30099999999999999</v>
      </c>
      <c r="H276" s="16">
        <v>0.872</v>
      </c>
      <c r="I276" s="16">
        <v>1.9690000000000001</v>
      </c>
      <c r="J276" s="17">
        <v>2.3170000000000002</v>
      </c>
      <c r="K276" s="17">
        <v>2.4119999999999999</v>
      </c>
      <c r="L276" s="17">
        <v>2.4159999999999999</v>
      </c>
      <c r="M276" s="17">
        <v>2.431</v>
      </c>
      <c r="N276" s="17">
        <v>2.6080000000000001</v>
      </c>
    </row>
    <row r="277" spans="1:14" x14ac:dyDescent="0.25">
      <c r="A277" s="11" t="s">
        <v>708</v>
      </c>
      <c r="B277" s="96" t="str">
        <f>$B$10</f>
        <v>UIM</v>
      </c>
      <c r="C277" s="16"/>
      <c r="D277" s="16">
        <v>1.0449999999999999</v>
      </c>
      <c r="E277" s="16">
        <v>0.90100000000000002</v>
      </c>
      <c r="F277" s="16">
        <v>0.59199999999999997</v>
      </c>
      <c r="G277" s="16">
        <v>0.66</v>
      </c>
      <c r="H277" s="16">
        <v>0.68200000000000005</v>
      </c>
      <c r="I277" s="16">
        <v>0.57999999999999996</v>
      </c>
      <c r="J277" s="17">
        <v>0.59499999999999997</v>
      </c>
      <c r="K277" s="17">
        <v>0.68700000000000006</v>
      </c>
      <c r="L277" s="17">
        <v>0.78</v>
      </c>
      <c r="M277" s="17">
        <v>0.89900000000000002</v>
      </c>
      <c r="N277" s="17">
        <v>0.99299999999999999</v>
      </c>
    </row>
    <row r="278" spans="1:14" x14ac:dyDescent="0.25">
      <c r="A278" s="11" t="s">
        <v>709</v>
      </c>
      <c r="B278" s="96" t="str">
        <f>$B$10</f>
        <v>UIM</v>
      </c>
      <c r="C278" s="16"/>
      <c r="D278" s="16">
        <v>-0.55400000000000005</v>
      </c>
      <c r="E278" s="16">
        <v>-0.53900000000000003</v>
      </c>
      <c r="F278" s="16">
        <v>-0.45600000000000002</v>
      </c>
      <c r="G278" s="16">
        <v>-0.496</v>
      </c>
      <c r="H278" s="16">
        <v>-0.67500000000000004</v>
      </c>
      <c r="I278" s="16">
        <v>-1.1179999999999999</v>
      </c>
      <c r="J278" s="17">
        <v>-1.4390000000000001</v>
      </c>
      <c r="K278" s="17">
        <v>-1.5389999999999999</v>
      </c>
      <c r="L278" s="17">
        <v>-1.633</v>
      </c>
      <c r="M278" s="17">
        <v>-1.7569999999999999</v>
      </c>
      <c r="N278" s="17">
        <v>-1.8759999999999999</v>
      </c>
    </row>
    <row r="279" spans="1:14" x14ac:dyDescent="0.25">
      <c r="A279" s="55" t="s">
        <v>730</v>
      </c>
      <c r="B279" s="96"/>
      <c r="C279" s="16"/>
      <c r="D279" s="57" t="str">
        <f t="shared" ref="D279:N279" si="65">IF(ROUND(D$19-SUM(D$173,D$276:D$278),3)=0,"OK","ERROR")</f>
        <v>OK</v>
      </c>
      <c r="E279" s="57" t="str">
        <f t="shared" si="65"/>
        <v>OK</v>
      </c>
      <c r="F279" s="57" t="str">
        <f t="shared" si="65"/>
        <v>OK</v>
      </c>
      <c r="G279" s="57" t="str">
        <f t="shared" si="65"/>
        <v>OK</v>
      </c>
      <c r="H279" s="57" t="str">
        <f t="shared" si="65"/>
        <v>OK</v>
      </c>
      <c r="I279" s="57" t="str">
        <f t="shared" si="65"/>
        <v>OK</v>
      </c>
      <c r="J279" s="57" t="str">
        <f t="shared" si="65"/>
        <v>OK</v>
      </c>
      <c r="K279" s="57" t="str">
        <f t="shared" si="65"/>
        <v>OK</v>
      </c>
      <c r="L279" s="57" t="str">
        <f t="shared" si="65"/>
        <v>OK</v>
      </c>
      <c r="M279" s="57" t="str">
        <f t="shared" si="65"/>
        <v>OK</v>
      </c>
      <c r="N279" s="57" t="str">
        <f t="shared" si="65"/>
        <v>OK</v>
      </c>
    </row>
    <row r="280" spans="1:14" x14ac:dyDescent="0.25">
      <c r="A280" s="55" t="s">
        <v>539</v>
      </c>
      <c r="B280" s="96"/>
      <c r="C280" s="16"/>
      <c r="D280" s="59"/>
      <c r="E280" s="59"/>
      <c r="F280" s="59"/>
      <c r="G280" s="59"/>
      <c r="H280" s="59"/>
      <c r="I280" s="59"/>
      <c r="J280" s="59"/>
      <c r="K280" s="59"/>
      <c r="L280" s="59"/>
      <c r="M280" s="59"/>
      <c r="N280" s="59"/>
    </row>
    <row r="281" spans="1:14" x14ac:dyDescent="0.25">
      <c r="A281" s="11" t="s">
        <v>731</v>
      </c>
      <c r="B281" s="96" t="str">
        <f>$B$10</f>
        <v>UIM</v>
      </c>
      <c r="C281" s="16"/>
      <c r="D281" s="16">
        <v>5.3620000000000001</v>
      </c>
      <c r="E281" s="16">
        <v>6.2460000000000004</v>
      </c>
      <c r="F281" s="16">
        <v>6.5389999999999997</v>
      </c>
      <c r="G281" s="16">
        <v>5.8330000000000002</v>
      </c>
      <c r="H281" s="16">
        <v>7.6189999999999998</v>
      </c>
      <c r="I281" s="16">
        <v>9.7720000000000002</v>
      </c>
      <c r="J281" s="17">
        <v>10.670999999999999</v>
      </c>
      <c r="K281" s="17">
        <v>9.9830000000000005</v>
      </c>
      <c r="L281" s="17">
        <v>10.589</v>
      </c>
      <c r="M281" s="17">
        <v>11.101000000000001</v>
      </c>
      <c r="N281" s="17">
        <v>11.462999999999999</v>
      </c>
    </row>
    <row r="282" spans="1:14" x14ac:dyDescent="0.25">
      <c r="A282" s="11" t="s">
        <v>732</v>
      </c>
      <c r="B282" s="96" t="str">
        <f>$B$10</f>
        <v>UIM</v>
      </c>
      <c r="C282" s="16"/>
      <c r="D282" s="16">
        <v>0.47599999999999998</v>
      </c>
      <c r="E282" s="16">
        <v>0.61399999999999999</v>
      </c>
      <c r="F282" s="16">
        <v>0.16700000000000001</v>
      </c>
      <c r="G282" s="16">
        <v>0.496</v>
      </c>
      <c r="H282" s="16">
        <v>1.1339999999999999</v>
      </c>
      <c r="I282" s="16">
        <v>0.57799999999999996</v>
      </c>
      <c r="J282" s="17">
        <v>0.50800000000000001</v>
      </c>
      <c r="K282" s="17">
        <v>0.58299999999999996</v>
      </c>
      <c r="L282" s="17">
        <v>0.63300000000000001</v>
      </c>
      <c r="M282" s="17">
        <v>0.68300000000000005</v>
      </c>
      <c r="N282" s="17">
        <v>0.74199999999999999</v>
      </c>
    </row>
    <row r="283" spans="1:14" x14ac:dyDescent="0.25">
      <c r="A283" s="11" t="s">
        <v>733</v>
      </c>
      <c r="B283" s="96" t="str">
        <f>$B$10</f>
        <v>UIM</v>
      </c>
      <c r="C283" s="16"/>
      <c r="D283" s="16">
        <v>-2.5999999999999999E-2</v>
      </c>
      <c r="E283" s="16">
        <v>4.2999999999999997E-2</v>
      </c>
      <c r="F283" s="16">
        <v>0.13200000000000001</v>
      </c>
      <c r="G283" s="16">
        <v>0.11799999999999999</v>
      </c>
      <c r="H283" s="16">
        <v>3.1E-2</v>
      </c>
      <c r="I283" s="16">
        <v>7.5999999999999998E-2</v>
      </c>
      <c r="J283" s="17">
        <v>0.113</v>
      </c>
      <c r="K283" s="17">
        <v>9.2999999999999999E-2</v>
      </c>
      <c r="L283" s="17">
        <v>0.10100000000000001</v>
      </c>
      <c r="M283" s="17">
        <v>0.111</v>
      </c>
      <c r="N283" s="17">
        <v>0.11799999999999999</v>
      </c>
    </row>
    <row r="284" spans="1:14" x14ac:dyDescent="0.25">
      <c r="A284" s="55" t="s">
        <v>734</v>
      </c>
      <c r="B284" s="96"/>
      <c r="C284" s="16"/>
      <c r="D284" s="57" t="str">
        <f t="shared" ref="D284:N284" si="66">IF(ROUND(D$20-SUM(D$281:D$283),3)=0,"OK","ERROR")</f>
        <v>OK</v>
      </c>
      <c r="E284" s="57" t="str">
        <f t="shared" si="66"/>
        <v>OK</v>
      </c>
      <c r="F284" s="57" t="str">
        <f t="shared" si="66"/>
        <v>OK</v>
      </c>
      <c r="G284" s="57" t="str">
        <f t="shared" si="66"/>
        <v>OK</v>
      </c>
      <c r="H284" s="57" t="str">
        <f t="shared" si="66"/>
        <v>OK</v>
      </c>
      <c r="I284" s="57" t="str">
        <f t="shared" si="66"/>
        <v>OK</v>
      </c>
      <c r="J284" s="57" t="str">
        <f t="shared" si="66"/>
        <v>OK</v>
      </c>
      <c r="K284" s="57" t="str">
        <f t="shared" si="66"/>
        <v>OK</v>
      </c>
      <c r="L284" s="57" t="str">
        <f t="shared" si="66"/>
        <v>OK</v>
      </c>
      <c r="M284" s="57" t="str">
        <f t="shared" si="66"/>
        <v>OK</v>
      </c>
      <c r="N284" s="57" t="str">
        <f t="shared" si="66"/>
        <v>OK</v>
      </c>
    </row>
    <row r="285" spans="1:14" x14ac:dyDescent="0.25">
      <c r="A285" s="55" t="s">
        <v>540</v>
      </c>
      <c r="B285" s="96"/>
      <c r="C285" s="16"/>
      <c r="D285" s="17"/>
      <c r="E285" s="17"/>
      <c r="F285" s="17"/>
      <c r="G285" s="17"/>
      <c r="H285" s="17"/>
      <c r="I285" s="17"/>
      <c r="J285" s="17"/>
      <c r="K285" s="17"/>
      <c r="L285" s="17"/>
      <c r="M285" s="17"/>
      <c r="N285" s="17"/>
    </row>
    <row r="286" spans="1:14" x14ac:dyDescent="0.25">
      <c r="A286" s="11" t="s">
        <v>735</v>
      </c>
      <c r="B286" s="96" t="str">
        <f>$B$10</f>
        <v>UIM</v>
      </c>
      <c r="C286" s="16"/>
      <c r="D286" s="16">
        <v>0</v>
      </c>
      <c r="E286" s="16">
        <v>0</v>
      </c>
      <c r="F286" s="16">
        <v>0</v>
      </c>
      <c r="G286" s="16">
        <v>0</v>
      </c>
      <c r="H286" s="16">
        <v>0</v>
      </c>
      <c r="I286" s="16">
        <v>0</v>
      </c>
      <c r="J286" s="17">
        <v>0</v>
      </c>
      <c r="K286" s="17">
        <v>1.72</v>
      </c>
      <c r="L286" s="17">
        <v>1.6930000000000001</v>
      </c>
      <c r="M286" s="17">
        <v>1.9570000000000001</v>
      </c>
      <c r="N286" s="17">
        <v>2.101</v>
      </c>
    </row>
    <row r="287" spans="1:14" x14ac:dyDescent="0.25">
      <c r="A287" s="11" t="s">
        <v>736</v>
      </c>
      <c r="B287" s="96" t="str">
        <f t="shared" ref="B287:B290" si="67">$B$10</f>
        <v>UIM</v>
      </c>
      <c r="C287" s="16"/>
      <c r="D287" s="16">
        <v>0</v>
      </c>
      <c r="E287" s="16">
        <v>0</v>
      </c>
      <c r="F287" s="16">
        <v>0</v>
      </c>
      <c r="G287" s="16">
        <v>0</v>
      </c>
      <c r="H287" s="16">
        <v>0</v>
      </c>
      <c r="I287" s="16">
        <v>0</v>
      </c>
      <c r="J287" s="17">
        <v>0</v>
      </c>
      <c r="K287" s="17">
        <v>0</v>
      </c>
      <c r="L287" s="17">
        <v>0</v>
      </c>
      <c r="M287" s="17">
        <v>0</v>
      </c>
      <c r="N287" s="17">
        <v>0</v>
      </c>
    </row>
    <row r="288" spans="1:14" x14ac:dyDescent="0.25">
      <c r="A288" s="11" t="s">
        <v>737</v>
      </c>
      <c r="B288" s="96" t="str">
        <f t="shared" si="67"/>
        <v>UIM</v>
      </c>
      <c r="C288" s="16"/>
      <c r="D288" s="16">
        <v>0</v>
      </c>
      <c r="E288" s="16">
        <v>0</v>
      </c>
      <c r="F288" s="16">
        <v>0</v>
      </c>
      <c r="G288" s="16">
        <v>0</v>
      </c>
      <c r="H288" s="16">
        <v>0</v>
      </c>
      <c r="I288" s="16">
        <v>0</v>
      </c>
      <c r="J288" s="17">
        <v>0</v>
      </c>
      <c r="K288" s="17">
        <v>0</v>
      </c>
      <c r="L288" s="17">
        <v>1.026</v>
      </c>
      <c r="M288" s="17">
        <v>1.012</v>
      </c>
      <c r="N288" s="17">
        <v>1.002</v>
      </c>
    </row>
    <row r="289" spans="1:14" x14ac:dyDescent="0.25">
      <c r="A289" s="11" t="s">
        <v>738</v>
      </c>
      <c r="B289" s="96" t="str">
        <f t="shared" si="67"/>
        <v>UIM</v>
      </c>
      <c r="C289" s="16"/>
      <c r="D289" s="16">
        <v>0</v>
      </c>
      <c r="E289" s="16">
        <v>0</v>
      </c>
      <c r="F289" s="16">
        <v>0</v>
      </c>
      <c r="G289" s="16">
        <v>0</v>
      </c>
      <c r="H289" s="16">
        <v>0</v>
      </c>
      <c r="I289" s="16">
        <v>0</v>
      </c>
      <c r="J289" s="17">
        <v>0</v>
      </c>
      <c r="K289" s="17">
        <v>0</v>
      </c>
      <c r="L289" s="17">
        <v>0</v>
      </c>
      <c r="M289" s="17">
        <v>2.4</v>
      </c>
      <c r="N289" s="17">
        <v>2.4</v>
      </c>
    </row>
    <row r="290" spans="1:14" x14ac:dyDescent="0.25">
      <c r="A290" s="11" t="s">
        <v>739</v>
      </c>
      <c r="B290" s="96" t="str">
        <f t="shared" si="67"/>
        <v>UIM</v>
      </c>
      <c r="C290" s="16"/>
      <c r="D290" s="16">
        <v>0</v>
      </c>
      <c r="E290" s="16">
        <v>0</v>
      </c>
      <c r="F290" s="16">
        <v>0</v>
      </c>
      <c r="G290" s="16">
        <v>0</v>
      </c>
      <c r="H290" s="16">
        <v>0</v>
      </c>
      <c r="I290" s="16">
        <v>0</v>
      </c>
      <c r="J290" s="17">
        <v>0</v>
      </c>
      <c r="K290" s="17">
        <v>0</v>
      </c>
      <c r="L290" s="17">
        <v>0</v>
      </c>
      <c r="M290" s="17">
        <v>0</v>
      </c>
      <c r="N290" s="17">
        <v>2.4</v>
      </c>
    </row>
    <row r="291" spans="1:14" x14ac:dyDescent="0.25">
      <c r="A291" s="55" t="s">
        <v>740</v>
      </c>
      <c r="B291" s="96"/>
      <c r="C291" s="16"/>
      <c r="D291" s="57" t="str">
        <f t="shared" ref="D291:N291" si="68">IF(ROUND(D$21-SUM(D$286:D$290),3)=0,"OK","ERROR")</f>
        <v>OK</v>
      </c>
      <c r="E291" s="57" t="str">
        <f t="shared" si="68"/>
        <v>OK</v>
      </c>
      <c r="F291" s="57" t="str">
        <f t="shared" si="68"/>
        <v>OK</v>
      </c>
      <c r="G291" s="57" t="str">
        <f t="shared" si="68"/>
        <v>OK</v>
      </c>
      <c r="H291" s="57" t="str">
        <f t="shared" si="68"/>
        <v>OK</v>
      </c>
      <c r="I291" s="57" t="str">
        <f t="shared" si="68"/>
        <v>OK</v>
      </c>
      <c r="J291" s="57" t="str">
        <f t="shared" si="68"/>
        <v>OK</v>
      </c>
      <c r="K291" s="57" t="str">
        <f t="shared" si="68"/>
        <v>OK</v>
      </c>
      <c r="L291" s="57" t="str">
        <f t="shared" si="68"/>
        <v>OK</v>
      </c>
      <c r="M291" s="57" t="str">
        <f t="shared" si="68"/>
        <v>OK</v>
      </c>
      <c r="N291" s="57" t="str">
        <f t="shared" si="68"/>
        <v>OK</v>
      </c>
    </row>
    <row r="292" spans="1:14" x14ac:dyDescent="0.25">
      <c r="A292" s="55" t="s">
        <v>741</v>
      </c>
      <c r="B292" s="96"/>
      <c r="C292" s="16"/>
      <c r="D292" s="17"/>
      <c r="E292" s="17"/>
      <c r="F292" s="17"/>
      <c r="G292" s="17"/>
      <c r="H292" s="17"/>
      <c r="I292" s="17"/>
      <c r="J292" s="17"/>
      <c r="K292" s="17"/>
      <c r="L292" s="17"/>
      <c r="M292" s="17"/>
      <c r="N292" s="17"/>
    </row>
    <row r="293" spans="1:14" x14ac:dyDescent="0.25">
      <c r="A293" s="11" t="s">
        <v>742</v>
      </c>
      <c r="B293" s="96" t="str">
        <f>$B$10</f>
        <v>UIM</v>
      </c>
      <c r="C293" s="16"/>
      <c r="D293" s="16">
        <v>0</v>
      </c>
      <c r="E293" s="16">
        <v>0</v>
      </c>
      <c r="F293" s="16">
        <v>0</v>
      </c>
      <c r="G293" s="16">
        <v>0</v>
      </c>
      <c r="H293" s="16">
        <v>0</v>
      </c>
      <c r="I293" s="16">
        <v>0</v>
      </c>
      <c r="J293" s="17">
        <v>0</v>
      </c>
      <c r="K293" s="17">
        <v>2.56</v>
      </c>
      <c r="L293" s="17">
        <v>2.4780000000000002</v>
      </c>
      <c r="M293" s="17">
        <v>1.5880000000000001</v>
      </c>
      <c r="N293" s="17">
        <v>1.2010000000000001</v>
      </c>
    </row>
    <row r="294" spans="1:14" x14ac:dyDescent="0.25">
      <c r="A294" s="11" t="s">
        <v>1230</v>
      </c>
      <c r="B294" s="96"/>
      <c r="C294" s="16"/>
      <c r="D294" s="16">
        <v>0</v>
      </c>
      <c r="E294" s="16">
        <v>0</v>
      </c>
      <c r="F294" s="16">
        <v>0</v>
      </c>
      <c r="G294" s="16">
        <v>0</v>
      </c>
      <c r="H294" s="16">
        <v>0</v>
      </c>
      <c r="I294" s="16">
        <v>0</v>
      </c>
      <c r="J294" s="17">
        <v>0</v>
      </c>
      <c r="K294" s="17">
        <v>0</v>
      </c>
      <c r="L294" s="17">
        <v>0</v>
      </c>
      <c r="M294" s="17">
        <v>0</v>
      </c>
      <c r="N294" s="17">
        <v>0</v>
      </c>
    </row>
    <row r="295" spans="1:14" x14ac:dyDescent="0.25">
      <c r="A295" s="11" t="s">
        <v>1231</v>
      </c>
      <c r="B295" s="96"/>
      <c r="C295" s="16"/>
      <c r="D295" s="16">
        <v>0</v>
      </c>
      <c r="E295" s="16">
        <v>0</v>
      </c>
      <c r="F295" s="16">
        <v>0</v>
      </c>
      <c r="G295" s="16">
        <v>0</v>
      </c>
      <c r="H295" s="16">
        <v>0</v>
      </c>
      <c r="I295" s="16">
        <v>0</v>
      </c>
      <c r="J295" s="17">
        <v>0</v>
      </c>
      <c r="K295" s="17">
        <v>0</v>
      </c>
      <c r="L295" s="17">
        <v>0.66400000000000003</v>
      </c>
      <c r="M295" s="17">
        <v>0.66400000000000003</v>
      </c>
      <c r="N295" s="17">
        <v>0.38</v>
      </c>
    </row>
    <row r="296" spans="1:14" x14ac:dyDescent="0.25">
      <c r="A296" s="11" t="s">
        <v>1232</v>
      </c>
      <c r="B296" s="96"/>
      <c r="C296" s="16"/>
      <c r="D296" s="16">
        <v>0</v>
      </c>
      <c r="E296" s="16">
        <v>0</v>
      </c>
      <c r="F296" s="16">
        <v>0</v>
      </c>
      <c r="G296" s="16">
        <v>0</v>
      </c>
      <c r="H296" s="16">
        <v>0</v>
      </c>
      <c r="I296" s="16">
        <v>0</v>
      </c>
      <c r="J296" s="17">
        <v>0</v>
      </c>
      <c r="K296" s="17">
        <v>0</v>
      </c>
      <c r="L296" s="17">
        <v>0</v>
      </c>
      <c r="M296" s="17">
        <v>1.2250000000000001</v>
      </c>
      <c r="N296" s="17">
        <v>1.2250000000000001</v>
      </c>
    </row>
    <row r="297" spans="1:14" x14ac:dyDescent="0.25">
      <c r="A297" s="11" t="s">
        <v>1233</v>
      </c>
      <c r="B297" s="96"/>
      <c r="C297" s="16"/>
      <c r="D297" s="16">
        <v>0</v>
      </c>
      <c r="E297" s="16">
        <v>0</v>
      </c>
      <c r="F297" s="16">
        <v>0</v>
      </c>
      <c r="G297" s="16">
        <v>0</v>
      </c>
      <c r="H297" s="16">
        <v>0</v>
      </c>
      <c r="I297" s="16">
        <v>0</v>
      </c>
      <c r="J297" s="17">
        <v>0</v>
      </c>
      <c r="K297" s="17">
        <v>0</v>
      </c>
      <c r="L297" s="17">
        <v>0</v>
      </c>
      <c r="M297" s="17">
        <v>0</v>
      </c>
      <c r="N297" s="17">
        <v>1.2250000000000001</v>
      </c>
    </row>
    <row r="298" spans="1:14" x14ac:dyDescent="0.25">
      <c r="A298" s="55" t="s">
        <v>743</v>
      </c>
      <c r="B298" s="96"/>
      <c r="C298" s="16"/>
      <c r="D298" s="57" t="str">
        <f>IF(ROUND(D$131-SUM($C$293:D$297),3)=0,"OK","ERROR")</f>
        <v>OK</v>
      </c>
      <c r="E298" s="57" t="str">
        <f>IF(ROUND(E$131-SUM($C$293:E$297),3)=0,"OK","ERROR")</f>
        <v>OK</v>
      </c>
      <c r="F298" s="57" t="str">
        <f>IF(ROUND(F$131-SUM($C$293:F$297),3)=0,"OK","ERROR")</f>
        <v>OK</v>
      </c>
      <c r="G298" s="57" t="str">
        <f>IF(ROUND(G$131-SUM($C$293:G$297),3)=0,"OK","ERROR")</f>
        <v>OK</v>
      </c>
      <c r="H298" s="57" t="str">
        <f>IF(ROUND(H$131-SUM($C$293:H$297),3)=0,"OK","ERROR")</f>
        <v>OK</v>
      </c>
      <c r="I298" s="57" t="str">
        <f>IF(ROUND(I$131-SUM($C$293:I$297),3)=0,"OK","ERROR")</f>
        <v>OK</v>
      </c>
      <c r="J298" s="57" t="str">
        <f>IF(ROUND(J$131-SUM($C$293:J$297),3)=0,"OK","ERROR")</f>
        <v>OK</v>
      </c>
      <c r="K298" s="57" t="str">
        <f>IF(ROUND(K$131-SUM($C$293:K$297),3)=0,"OK","ERROR")</f>
        <v>OK</v>
      </c>
      <c r="L298" s="57" t="str">
        <f>IF(ROUND(L$131-SUM($C$293:L$297),3)=0,"OK","ERROR")</f>
        <v>OK</v>
      </c>
      <c r="M298" s="57" t="str">
        <f>IF(ROUND(M$131-SUM($C$293:M$297),3)=0,"OK","ERROR")</f>
        <v>OK</v>
      </c>
      <c r="N298" s="57" t="str">
        <f>IF(ROUND(N$131-SUM($C$293:N$297),3)=0,"OK","ERROR")</f>
        <v>OK</v>
      </c>
    </row>
    <row r="299" spans="1:14" x14ac:dyDescent="0.25">
      <c r="A299" s="55" t="s">
        <v>744</v>
      </c>
      <c r="B299" s="96"/>
      <c r="C299" s="16"/>
      <c r="D299" s="17"/>
      <c r="E299" s="17"/>
      <c r="F299" s="17"/>
      <c r="G299" s="17"/>
      <c r="H299" s="17"/>
      <c r="I299" s="17"/>
      <c r="J299" s="17"/>
      <c r="K299" s="17"/>
      <c r="L299" s="17"/>
      <c r="M299" s="17"/>
      <c r="N299" s="17"/>
    </row>
    <row r="300" spans="1:14" x14ac:dyDescent="0.25">
      <c r="A300" s="11" t="s">
        <v>712</v>
      </c>
      <c r="B300" s="96" t="str">
        <f t="shared" ref="B300" si="69">$B$10</f>
        <v>UIM</v>
      </c>
      <c r="C300" s="16"/>
      <c r="D300" s="16">
        <v>3.472</v>
      </c>
      <c r="E300" s="16">
        <v>-2.7559999999999998</v>
      </c>
      <c r="F300" s="16">
        <v>9.0109999999999992</v>
      </c>
      <c r="G300" s="16">
        <v>-6.5270000000000001</v>
      </c>
      <c r="H300" s="16">
        <v>6.766</v>
      </c>
      <c r="I300" s="16">
        <v>9.1890000000000001</v>
      </c>
      <c r="J300" s="17">
        <v>8.0839999999999996</v>
      </c>
      <c r="K300" s="17">
        <v>5.1609999999999996</v>
      </c>
      <c r="L300" s="17">
        <v>5.4370000000000003</v>
      </c>
      <c r="M300" s="17">
        <v>5.7480000000000002</v>
      </c>
      <c r="N300" s="17">
        <v>6.0830000000000002</v>
      </c>
    </row>
    <row r="301" spans="1:14" x14ac:dyDescent="0.25">
      <c r="A301" s="11" t="s">
        <v>707</v>
      </c>
      <c r="B301" s="96" t="str">
        <f>$B$10</f>
        <v>UIM</v>
      </c>
      <c r="C301" s="16"/>
      <c r="D301" s="16">
        <v>3.5529999999999999</v>
      </c>
      <c r="E301" s="16">
        <v>1.8129999999999999</v>
      </c>
      <c r="F301" s="16">
        <v>3.972</v>
      </c>
      <c r="G301" s="16">
        <v>-5.3049999999999997</v>
      </c>
      <c r="H301" s="16">
        <v>1.837</v>
      </c>
      <c r="I301" s="16">
        <v>2.0579999999999998</v>
      </c>
      <c r="J301" s="17">
        <v>1.7989999999999999</v>
      </c>
      <c r="K301" s="17">
        <v>0.504</v>
      </c>
      <c r="L301" s="17">
        <v>0.56699999999999995</v>
      </c>
      <c r="M301" s="17">
        <v>0.72799999999999998</v>
      </c>
      <c r="N301" s="17">
        <v>0.85599999999999998</v>
      </c>
    </row>
    <row r="302" spans="1:14" x14ac:dyDescent="0.25">
      <c r="A302" s="11" t="s">
        <v>745</v>
      </c>
      <c r="B302" s="96" t="str">
        <f>$B$10</f>
        <v>UIM</v>
      </c>
      <c r="C302" s="16"/>
      <c r="D302" s="16">
        <v>0.1</v>
      </c>
      <c r="E302" s="16">
        <v>-5.0000000000000001E-3</v>
      </c>
      <c r="F302" s="16">
        <v>0.29599999999999999</v>
      </c>
      <c r="G302" s="16">
        <v>0.26700000000000002</v>
      </c>
      <c r="H302" s="16">
        <v>-0.30099999999999999</v>
      </c>
      <c r="I302" s="16">
        <v>0.49399999999999999</v>
      </c>
      <c r="J302" s="17">
        <v>4.4999999999999998E-2</v>
      </c>
      <c r="K302" s="17">
        <v>6.7000000000000004E-2</v>
      </c>
      <c r="L302" s="17">
        <v>6.4000000000000001E-2</v>
      </c>
      <c r="M302" s="17">
        <v>5.7000000000000002E-2</v>
      </c>
      <c r="N302" s="17">
        <v>3.7999999999999999E-2</v>
      </c>
    </row>
    <row r="303" spans="1:14" x14ac:dyDescent="0.25">
      <c r="A303" s="11" t="s">
        <v>709</v>
      </c>
      <c r="B303" s="96" t="str">
        <f>$B$9</f>
        <v>NAC</v>
      </c>
      <c r="C303" s="16"/>
      <c r="D303" s="16">
        <v>-2.681</v>
      </c>
      <c r="E303" s="16">
        <v>-0.40200000000000002</v>
      </c>
      <c r="F303" s="16">
        <v>0.875</v>
      </c>
      <c r="G303" s="16">
        <v>1.8779999999999999</v>
      </c>
      <c r="H303" s="16">
        <v>-0.59099999999999997</v>
      </c>
      <c r="I303" s="16">
        <v>-0.33100000000000002</v>
      </c>
      <c r="J303" s="17">
        <v>-0.64100000000000001</v>
      </c>
      <c r="K303" s="17">
        <v>-0.04</v>
      </c>
      <c r="L303" s="17">
        <v>-5.1000000000000004E-2</v>
      </c>
      <c r="M303" s="17">
        <v>-5.9000000000000004E-2</v>
      </c>
      <c r="N303" s="17">
        <v>-6.3E-2</v>
      </c>
    </row>
    <row r="304" spans="1:14" x14ac:dyDescent="0.25">
      <c r="A304" s="55" t="s">
        <v>746</v>
      </c>
      <c r="B304" s="96"/>
      <c r="C304" s="16"/>
      <c r="D304" s="57" t="str">
        <f t="shared" ref="D304:N304" si="70">IF(ROUND(D$24-SUM(D$300:D$303),3)=0,"OK","ERROR")</f>
        <v>OK</v>
      </c>
      <c r="E304" s="57" t="str">
        <f t="shared" si="70"/>
        <v>OK</v>
      </c>
      <c r="F304" s="57" t="str">
        <f t="shared" si="70"/>
        <v>OK</v>
      </c>
      <c r="G304" s="57" t="str">
        <f t="shared" si="70"/>
        <v>OK</v>
      </c>
      <c r="H304" s="57" t="str">
        <f t="shared" si="70"/>
        <v>OK</v>
      </c>
      <c r="I304" s="57" t="str">
        <f t="shared" si="70"/>
        <v>OK</v>
      </c>
      <c r="J304" s="57" t="str">
        <f t="shared" si="70"/>
        <v>OK</v>
      </c>
      <c r="K304" s="57" t="str">
        <f t="shared" si="70"/>
        <v>OK</v>
      </c>
      <c r="L304" s="57" t="str">
        <f t="shared" si="70"/>
        <v>OK</v>
      </c>
      <c r="M304" s="57" t="str">
        <f t="shared" si="70"/>
        <v>OK</v>
      </c>
      <c r="N304" s="57" t="str">
        <f t="shared" si="70"/>
        <v>OK</v>
      </c>
    </row>
    <row r="305" spans="1:14" x14ac:dyDescent="0.25">
      <c r="A305" s="55" t="s">
        <v>747</v>
      </c>
      <c r="B305" s="96"/>
      <c r="C305" s="16"/>
      <c r="D305" s="59"/>
      <c r="E305" s="59"/>
      <c r="F305" s="59"/>
      <c r="G305" s="59"/>
      <c r="H305" s="59"/>
      <c r="I305" s="59"/>
      <c r="J305" s="59"/>
      <c r="K305" s="59"/>
      <c r="L305" s="59"/>
      <c r="M305" s="59"/>
      <c r="N305" s="59"/>
    </row>
    <row r="306" spans="1:14" x14ac:dyDescent="0.25">
      <c r="A306" s="11" t="s">
        <v>712</v>
      </c>
      <c r="B306" s="96" t="str">
        <f t="shared" ref="B306" si="71">$B$10</f>
        <v>UIM</v>
      </c>
      <c r="C306" s="16"/>
      <c r="D306" s="16">
        <v>-0.28399999999999997</v>
      </c>
      <c r="E306" s="16">
        <v>-1.1759999999999999</v>
      </c>
      <c r="F306" s="16">
        <v>-1.4790000000000001</v>
      </c>
      <c r="G306" s="16">
        <v>-4.6920000000000002</v>
      </c>
      <c r="H306" s="16">
        <v>5.798</v>
      </c>
      <c r="I306" s="16">
        <v>-1.2949999999999999</v>
      </c>
      <c r="J306" s="17">
        <v>-0.84699999999999998</v>
      </c>
      <c r="K306" s="17">
        <v>0</v>
      </c>
      <c r="L306" s="17">
        <v>0</v>
      </c>
      <c r="M306" s="17">
        <v>0</v>
      </c>
      <c r="N306" s="17">
        <v>0</v>
      </c>
    </row>
    <row r="307" spans="1:14" x14ac:dyDescent="0.25">
      <c r="A307" s="11" t="s">
        <v>707</v>
      </c>
      <c r="B307" s="96" t="str">
        <f>$B$10</f>
        <v>UIM</v>
      </c>
      <c r="C307" s="16"/>
      <c r="D307" s="16">
        <v>-11.445</v>
      </c>
      <c r="E307" s="16">
        <v>-6.133</v>
      </c>
      <c r="F307" s="16">
        <v>8.3219999999999992</v>
      </c>
      <c r="G307" s="16">
        <v>6.6340000000000003</v>
      </c>
      <c r="H307" s="16">
        <v>1.163</v>
      </c>
      <c r="I307" s="16">
        <v>-5.4729999999999999</v>
      </c>
      <c r="J307" s="17">
        <v>0.64</v>
      </c>
      <c r="K307" s="17">
        <v>-8.9999999999999993E-3</v>
      </c>
      <c r="L307" s="17">
        <v>-8.9999999999999993E-3</v>
      </c>
      <c r="M307" s="17">
        <v>-0.01</v>
      </c>
      <c r="N307" s="17">
        <v>-0.01</v>
      </c>
    </row>
    <row r="308" spans="1:14" x14ac:dyDescent="0.25">
      <c r="A308" s="11" t="s">
        <v>745</v>
      </c>
      <c r="B308" s="96" t="str">
        <f>$B$10</f>
        <v>UIM</v>
      </c>
      <c r="C308" s="16"/>
      <c r="D308" s="16">
        <v>0.154</v>
      </c>
      <c r="E308" s="16">
        <v>-6.4000000000000001E-2</v>
      </c>
      <c r="F308" s="16">
        <v>-6.4000000000000001E-2</v>
      </c>
      <c r="G308" s="16">
        <v>0.59199999999999997</v>
      </c>
      <c r="H308" s="16">
        <v>0.16300000000000001</v>
      </c>
      <c r="I308" s="16">
        <v>-2.9000000000000001E-2</v>
      </c>
      <c r="J308" s="17">
        <v>3.1E-2</v>
      </c>
      <c r="K308" s="17">
        <v>3.3000000000000002E-2</v>
      </c>
      <c r="L308" s="17">
        <v>0</v>
      </c>
      <c r="M308" s="17">
        <v>0</v>
      </c>
      <c r="N308" s="17">
        <v>0</v>
      </c>
    </row>
    <row r="309" spans="1:14" x14ac:dyDescent="0.25">
      <c r="A309" s="11" t="s">
        <v>709</v>
      </c>
      <c r="B309" s="96" t="str">
        <f>$B$9</f>
        <v>NAC</v>
      </c>
      <c r="C309" s="16"/>
      <c r="D309" s="16">
        <v>0</v>
      </c>
      <c r="E309" s="16">
        <v>1E-3</v>
      </c>
      <c r="F309" s="16">
        <v>0.09</v>
      </c>
      <c r="G309" s="16">
        <v>0.43099999999999999</v>
      </c>
      <c r="H309" s="16">
        <v>-0.17699999999999999</v>
      </c>
      <c r="I309" s="16">
        <v>5.3999999999999999E-2</v>
      </c>
      <c r="J309" s="17">
        <v>-0.03</v>
      </c>
      <c r="K309" s="17">
        <v>-2.4E-2</v>
      </c>
      <c r="L309" s="17">
        <v>8.9999999999999993E-3</v>
      </c>
      <c r="M309" s="17">
        <v>0.01</v>
      </c>
      <c r="N309" s="17">
        <v>0.01</v>
      </c>
    </row>
    <row r="310" spans="1:14" x14ac:dyDescent="0.25">
      <c r="A310" s="55" t="s">
        <v>748</v>
      </c>
      <c r="B310" s="96"/>
      <c r="C310" s="16"/>
      <c r="D310" s="57" t="str">
        <f t="shared" ref="D310:N310" si="72">IF(ROUND(D$25-SUM(D$306:D$309),3)=0,"OK","ERROR")</f>
        <v>OK</v>
      </c>
      <c r="E310" s="57" t="str">
        <f t="shared" si="72"/>
        <v>OK</v>
      </c>
      <c r="F310" s="57" t="str">
        <f t="shared" si="72"/>
        <v>OK</v>
      </c>
      <c r="G310" s="57" t="str">
        <f t="shared" si="72"/>
        <v>OK</v>
      </c>
      <c r="H310" s="57" t="str">
        <f t="shared" si="72"/>
        <v>OK</v>
      </c>
      <c r="I310" s="57" t="str">
        <f t="shared" si="72"/>
        <v>OK</v>
      </c>
      <c r="J310" s="57" t="str">
        <f t="shared" si="72"/>
        <v>OK</v>
      </c>
      <c r="K310" s="57" t="str">
        <f t="shared" si="72"/>
        <v>OK</v>
      </c>
      <c r="L310" s="57" t="str">
        <f t="shared" si="72"/>
        <v>OK</v>
      </c>
      <c r="M310" s="57" t="str">
        <f t="shared" si="72"/>
        <v>OK</v>
      </c>
      <c r="N310" s="57" t="str">
        <f t="shared" si="72"/>
        <v>OK</v>
      </c>
    </row>
    <row r="311" spans="1:14" x14ac:dyDescent="0.25">
      <c r="A311" s="55" t="s">
        <v>749</v>
      </c>
      <c r="B311" s="96"/>
      <c r="C311" s="16"/>
      <c r="D311" s="59"/>
      <c r="E311" s="59"/>
      <c r="F311" s="59"/>
      <c r="G311" s="59"/>
      <c r="H311" s="59"/>
      <c r="I311" s="59"/>
      <c r="J311" s="59"/>
      <c r="K311" s="59"/>
      <c r="L311" s="59"/>
      <c r="M311" s="59"/>
      <c r="N311" s="59"/>
    </row>
    <row r="312" spans="1:14" x14ac:dyDescent="0.25">
      <c r="A312" s="11" t="s">
        <v>712</v>
      </c>
      <c r="B312" s="96" t="str">
        <f>$B$9</f>
        <v>NAC</v>
      </c>
      <c r="C312" s="16"/>
      <c r="D312" s="16">
        <v>9.7070000000000007</v>
      </c>
      <c r="E312" s="16">
        <v>-20.882999999999999</v>
      </c>
      <c r="F312" s="16">
        <v>4.7039999999999997</v>
      </c>
      <c r="G312" s="16">
        <v>-19.532</v>
      </c>
      <c r="H312" s="16">
        <v>8.2929999999999993</v>
      </c>
      <c r="I312" s="16">
        <v>2.1059999999999999</v>
      </c>
      <c r="J312" s="17">
        <v>-0.77400000000000002</v>
      </c>
      <c r="K312" s="17">
        <v>-5.4480000000000004</v>
      </c>
      <c r="L312" s="17">
        <v>-1.2689999999999999</v>
      </c>
      <c r="M312" s="17">
        <v>3.302</v>
      </c>
      <c r="N312" s="17">
        <v>6.6429999999999998</v>
      </c>
    </row>
    <row r="313" spans="1:14" x14ac:dyDescent="0.25">
      <c r="A313" s="11" t="s">
        <v>707</v>
      </c>
      <c r="B313" s="96" t="str">
        <f>$B$9</f>
        <v>NAC</v>
      </c>
      <c r="C313" s="16"/>
      <c r="D313" s="16">
        <v>-9.1809999999999992</v>
      </c>
      <c r="E313" s="16">
        <v>-7.1959999999999997</v>
      </c>
      <c r="F313" s="16">
        <v>9.7899999999999991</v>
      </c>
      <c r="G313" s="16">
        <v>-0.72299999999999998</v>
      </c>
      <c r="H313" s="16">
        <v>-1.6559999999999999</v>
      </c>
      <c r="I313" s="16">
        <v>-9.3490000000000002</v>
      </c>
      <c r="J313" s="17">
        <v>-3.8769999999999998</v>
      </c>
      <c r="K313" s="17">
        <v>-3.8919999999999999</v>
      </c>
      <c r="L313" s="17">
        <v>-3.9540000000000002</v>
      </c>
      <c r="M313" s="17">
        <v>-2.794</v>
      </c>
      <c r="N313" s="17">
        <v>-1.766</v>
      </c>
    </row>
    <row r="314" spans="1:14" x14ac:dyDescent="0.25">
      <c r="A314" s="11" t="s">
        <v>745</v>
      </c>
      <c r="B314" s="96" t="str">
        <f>$B$9</f>
        <v>NAC</v>
      </c>
      <c r="C314" s="16"/>
      <c r="D314" s="16">
        <v>3.363</v>
      </c>
      <c r="E314" s="16">
        <v>-0.34100000000000003</v>
      </c>
      <c r="F314" s="16">
        <v>0.254</v>
      </c>
      <c r="G314" s="16">
        <v>1.748</v>
      </c>
      <c r="H314" s="16">
        <v>1.276</v>
      </c>
      <c r="I314" s="16">
        <v>-0.128</v>
      </c>
      <c r="J314" s="17">
        <v>0.86199999999999999</v>
      </c>
      <c r="K314" s="17">
        <v>0.39900000000000002</v>
      </c>
      <c r="L314" s="17">
        <v>0.432</v>
      </c>
      <c r="M314" s="17">
        <v>0.36099999999999999</v>
      </c>
      <c r="N314" s="17">
        <v>0.219</v>
      </c>
    </row>
    <row r="315" spans="1:14" x14ac:dyDescent="0.25">
      <c r="A315" s="11" t="s">
        <v>709</v>
      </c>
      <c r="B315" s="96" t="str">
        <f>$B$9</f>
        <v>NAC</v>
      </c>
      <c r="C315" s="16"/>
      <c r="D315" s="16">
        <v>-3.5</v>
      </c>
      <c r="E315" s="16">
        <v>-1.62</v>
      </c>
      <c r="F315" s="16">
        <v>1.411</v>
      </c>
      <c r="G315" s="16">
        <v>1.575</v>
      </c>
      <c r="H315" s="16">
        <v>-2.5920000000000001</v>
      </c>
      <c r="I315" s="16">
        <v>-0.99399999999999999</v>
      </c>
      <c r="J315" s="17">
        <v>-1.704</v>
      </c>
      <c r="K315" s="17">
        <v>-0.94299999999999995</v>
      </c>
      <c r="L315" s="17">
        <v>-0.874</v>
      </c>
      <c r="M315" s="17">
        <v>-0.90800000000000003</v>
      </c>
      <c r="N315" s="17">
        <v>-1.0249999999999999</v>
      </c>
    </row>
    <row r="316" spans="1:14" x14ac:dyDescent="0.25">
      <c r="A316" s="55" t="s">
        <v>750</v>
      </c>
      <c r="B316" s="96"/>
      <c r="C316" s="16"/>
      <c r="D316" s="57" t="str">
        <f t="shared" ref="D316:N316" si="73">IF(ROUND(D$29-SUM(D$312:D$315),3)=0,"OK","ERROR")</f>
        <v>OK</v>
      </c>
      <c r="E316" s="57" t="str">
        <f t="shared" si="73"/>
        <v>OK</v>
      </c>
      <c r="F316" s="57" t="str">
        <f t="shared" si="73"/>
        <v>OK</v>
      </c>
      <c r="G316" s="57" t="str">
        <f t="shared" si="73"/>
        <v>OK</v>
      </c>
      <c r="H316" s="57" t="str">
        <f t="shared" si="73"/>
        <v>OK</v>
      </c>
      <c r="I316" s="57" t="str">
        <f t="shared" si="73"/>
        <v>OK</v>
      </c>
      <c r="J316" s="57" t="str">
        <f t="shared" si="73"/>
        <v>OK</v>
      </c>
      <c r="K316" s="57" t="str">
        <f t="shared" si="73"/>
        <v>OK</v>
      </c>
      <c r="L316" s="57" t="str">
        <f t="shared" si="73"/>
        <v>OK</v>
      </c>
      <c r="M316" s="57" t="str">
        <f t="shared" si="73"/>
        <v>OK</v>
      </c>
      <c r="N316" s="57" t="str">
        <f t="shared" si="73"/>
        <v>OK</v>
      </c>
    </row>
    <row r="317" spans="1:14" x14ac:dyDescent="0.25">
      <c r="A317" s="55" t="s">
        <v>751</v>
      </c>
      <c r="B317" s="96"/>
      <c r="C317" s="16"/>
      <c r="D317" s="17"/>
      <c r="E317" s="17"/>
      <c r="F317" s="17"/>
      <c r="G317" s="17"/>
      <c r="H317" s="17"/>
      <c r="I317" s="17"/>
      <c r="J317" s="17"/>
      <c r="K317" s="17"/>
      <c r="L317" s="17"/>
      <c r="M317" s="17"/>
      <c r="N317" s="17"/>
    </row>
    <row r="318" spans="1:14" x14ac:dyDescent="0.25">
      <c r="A318" s="11" t="s">
        <v>752</v>
      </c>
      <c r="B318" s="96" t="str">
        <f>$B$10</f>
        <v>UIM</v>
      </c>
      <c r="C318" s="16"/>
      <c r="D318" s="16">
        <v>13.763999999999999</v>
      </c>
      <c r="E318" s="16">
        <v>14.29</v>
      </c>
      <c r="F318" s="16">
        <v>15.641999999999999</v>
      </c>
      <c r="G318" s="16">
        <v>20.076000000000001</v>
      </c>
      <c r="H318" s="16">
        <v>20.298999999999999</v>
      </c>
      <c r="I318" s="16">
        <v>22.413</v>
      </c>
      <c r="J318" s="17">
        <v>19.824999999999999</v>
      </c>
      <c r="K318" s="17">
        <v>20.443000000000001</v>
      </c>
      <c r="L318" s="17">
        <v>19.733000000000001</v>
      </c>
      <c r="M318" s="17">
        <v>20.024999999999999</v>
      </c>
      <c r="N318" s="17">
        <v>20.614999999999998</v>
      </c>
    </row>
    <row r="319" spans="1:14" x14ac:dyDescent="0.25">
      <c r="A319" s="11" t="s">
        <v>753</v>
      </c>
      <c r="B319" s="96" t="str">
        <f>$B$9</f>
        <v>NAC</v>
      </c>
      <c r="C319" s="16"/>
      <c r="D319" s="16">
        <v>9.5630000000000006</v>
      </c>
      <c r="E319" s="16">
        <v>10.452999999999999</v>
      </c>
      <c r="F319" s="16">
        <v>11.186999999999999</v>
      </c>
      <c r="G319" s="16">
        <v>15.058999999999999</v>
      </c>
      <c r="H319" s="16">
        <v>13.249000000000001</v>
      </c>
      <c r="I319" s="16">
        <v>14.819000000000001</v>
      </c>
      <c r="J319" s="17">
        <v>16.548999999999999</v>
      </c>
      <c r="K319" s="17">
        <v>16.564</v>
      </c>
      <c r="L319" s="17">
        <v>17.286999999999999</v>
      </c>
      <c r="M319" s="17">
        <v>18.210999999999999</v>
      </c>
      <c r="N319" s="17">
        <v>19.166</v>
      </c>
    </row>
    <row r="320" spans="1:14" x14ac:dyDescent="0.25">
      <c r="A320" s="55" t="s">
        <v>754</v>
      </c>
      <c r="B320" s="96"/>
      <c r="C320" s="16"/>
      <c r="D320" s="57" t="str">
        <f t="shared" ref="D320:N320" si="74">IF(ROUND(D$121-SUM(D$318:D$319),3)=0,"OK","ERROR")</f>
        <v>OK</v>
      </c>
      <c r="E320" s="57" t="str">
        <f t="shared" si="74"/>
        <v>OK</v>
      </c>
      <c r="F320" s="57" t="str">
        <f t="shared" si="74"/>
        <v>OK</v>
      </c>
      <c r="G320" s="57" t="str">
        <f t="shared" si="74"/>
        <v>OK</v>
      </c>
      <c r="H320" s="57" t="str">
        <f t="shared" si="74"/>
        <v>OK</v>
      </c>
      <c r="I320" s="57" t="str">
        <f t="shared" si="74"/>
        <v>OK</v>
      </c>
      <c r="J320" s="57" t="str">
        <f t="shared" si="74"/>
        <v>OK</v>
      </c>
      <c r="K320" s="57" t="str">
        <f t="shared" si="74"/>
        <v>OK</v>
      </c>
      <c r="L320" s="57" t="str">
        <f t="shared" si="74"/>
        <v>OK</v>
      </c>
      <c r="M320" s="57" t="str">
        <f t="shared" si="74"/>
        <v>OK</v>
      </c>
      <c r="N320" s="57" t="str">
        <f t="shared" si="74"/>
        <v>OK</v>
      </c>
    </row>
    <row r="321" spans="1:14" x14ac:dyDescent="0.25">
      <c r="A321" s="55" t="s">
        <v>755</v>
      </c>
      <c r="B321" s="96"/>
      <c r="C321" s="16"/>
      <c r="D321" s="59"/>
      <c r="E321" s="59"/>
      <c r="F321" s="59"/>
      <c r="G321" s="59"/>
      <c r="H321" s="59"/>
      <c r="I321" s="59"/>
      <c r="J321" s="59"/>
      <c r="K321" s="59"/>
      <c r="L321" s="59"/>
      <c r="M321" s="59"/>
      <c r="N321" s="59"/>
    </row>
    <row r="322" spans="1:14" x14ac:dyDescent="0.25">
      <c r="A322" s="11" t="s">
        <v>444</v>
      </c>
      <c r="B322" s="96" t="str">
        <f>$B$9</f>
        <v>NAC</v>
      </c>
      <c r="C322" s="16"/>
      <c r="D322" s="16">
        <v>10.731</v>
      </c>
      <c r="E322" s="16">
        <v>10.395</v>
      </c>
      <c r="F322" s="16">
        <v>10.840999999999999</v>
      </c>
      <c r="G322" s="16">
        <v>9.2089999999999996</v>
      </c>
      <c r="H322" s="16">
        <v>9.3729999999999993</v>
      </c>
      <c r="I322" s="16">
        <v>9.5960000000000001</v>
      </c>
      <c r="J322" s="17">
        <v>10.012</v>
      </c>
      <c r="K322" s="17">
        <v>10.026</v>
      </c>
      <c r="L322" s="17">
        <v>9.9529999999999994</v>
      </c>
      <c r="M322" s="17">
        <v>9.8219999999999992</v>
      </c>
      <c r="N322" s="17">
        <v>9.6329999999999991</v>
      </c>
    </row>
    <row r="323" spans="1:14" x14ac:dyDescent="0.25">
      <c r="A323" s="11" t="s">
        <v>756</v>
      </c>
      <c r="B323" s="96" t="str">
        <f>$B$10</f>
        <v>UIM</v>
      </c>
      <c r="C323" s="16"/>
      <c r="D323" s="16">
        <v>20.411000000000001</v>
      </c>
      <c r="E323" s="16">
        <v>22.189</v>
      </c>
      <c r="F323" s="16">
        <v>25.206</v>
      </c>
      <c r="G323" s="16">
        <v>27.786000000000001</v>
      </c>
      <c r="H323" s="16">
        <v>29.785</v>
      </c>
      <c r="I323" s="16">
        <v>32.487000000000002</v>
      </c>
      <c r="J323" s="17">
        <v>35.345999999999997</v>
      </c>
      <c r="K323" s="17">
        <v>38.869999999999997</v>
      </c>
      <c r="L323" s="17">
        <v>42.386000000000003</v>
      </c>
      <c r="M323" s="17">
        <v>46.438000000000002</v>
      </c>
      <c r="N323" s="17">
        <v>50.116999999999997</v>
      </c>
    </row>
    <row r="324" spans="1:14" x14ac:dyDescent="0.25">
      <c r="A324" s="55" t="s">
        <v>444</v>
      </c>
      <c r="B324" s="96"/>
      <c r="C324" s="16"/>
      <c r="D324" s="17"/>
      <c r="E324" s="17"/>
      <c r="F324" s="17"/>
      <c r="G324" s="17"/>
      <c r="H324" s="17"/>
      <c r="I324" s="17"/>
      <c r="J324" s="17"/>
      <c r="K324" s="17"/>
      <c r="L324" s="17"/>
      <c r="M324" s="17"/>
      <c r="N324" s="17"/>
    </row>
    <row r="325" spans="1:14" x14ac:dyDescent="0.25">
      <c r="A325" s="11" t="s">
        <v>471</v>
      </c>
      <c r="B325" s="96" t="str">
        <f t="shared" ref="B325:B331" si="75">$B$10</f>
        <v>UIM</v>
      </c>
      <c r="C325" s="16"/>
      <c r="D325" s="16">
        <v>1.361</v>
      </c>
      <c r="E325" s="16">
        <v>1.413</v>
      </c>
      <c r="F325" s="16">
        <v>1.43</v>
      </c>
      <c r="G325" s="16">
        <v>1.2949999999999999</v>
      </c>
      <c r="H325" s="16">
        <v>1.2709999999999999</v>
      </c>
      <c r="I325" s="16">
        <v>1.3480000000000001</v>
      </c>
      <c r="J325" s="17">
        <v>1.6339999999999999</v>
      </c>
      <c r="K325" s="17">
        <v>1.877</v>
      </c>
      <c r="L325" s="17">
        <v>1.855</v>
      </c>
      <c r="M325" s="17">
        <v>1.8620000000000001</v>
      </c>
      <c r="N325" s="17">
        <v>1.907</v>
      </c>
    </row>
    <row r="326" spans="1:14" x14ac:dyDescent="0.25">
      <c r="A326" s="11" t="s">
        <v>472</v>
      </c>
      <c r="B326" s="96" t="str">
        <f t="shared" si="75"/>
        <v>UIM</v>
      </c>
      <c r="C326" s="16"/>
      <c r="D326" s="16">
        <v>3.5999999999999997E-2</v>
      </c>
      <c r="E326" s="16">
        <v>3.5999999999999997E-2</v>
      </c>
      <c r="F326" s="16">
        <v>3.7999999999999999E-2</v>
      </c>
      <c r="G326" s="16">
        <v>3.7999999999999999E-2</v>
      </c>
      <c r="H326" s="16">
        <v>0.03</v>
      </c>
      <c r="I326" s="16">
        <v>2.8000000000000001E-2</v>
      </c>
      <c r="J326" s="17">
        <v>2.5999999999999999E-2</v>
      </c>
      <c r="K326" s="17">
        <v>2.5000000000000001E-2</v>
      </c>
      <c r="L326" s="17">
        <v>2.4E-2</v>
      </c>
      <c r="M326" s="17">
        <v>2.5000000000000001E-2</v>
      </c>
      <c r="N326" s="17">
        <v>2.5999999999999999E-2</v>
      </c>
    </row>
    <row r="327" spans="1:14" x14ac:dyDescent="0.25">
      <c r="A327" s="11" t="s">
        <v>757</v>
      </c>
      <c r="B327" s="96" t="str">
        <f t="shared" si="75"/>
        <v>UIM</v>
      </c>
      <c r="C327" s="16"/>
      <c r="D327" s="16">
        <v>0.56299999999999994</v>
      </c>
      <c r="E327" s="16">
        <v>0.50600000000000001</v>
      </c>
      <c r="F327" s="16">
        <v>0.46899999999999997</v>
      </c>
      <c r="G327" s="16">
        <v>0.48899999999999999</v>
      </c>
      <c r="H327" s="16">
        <v>0.55100000000000005</v>
      </c>
      <c r="I327" s="16">
        <v>0.54400000000000004</v>
      </c>
      <c r="J327" s="17">
        <v>0.56000000000000005</v>
      </c>
      <c r="K327" s="17">
        <v>0.63600000000000001</v>
      </c>
      <c r="L327" s="17">
        <v>0.628</v>
      </c>
      <c r="M327" s="17">
        <v>0.627</v>
      </c>
      <c r="N327" s="17">
        <v>0.65300000000000002</v>
      </c>
    </row>
    <row r="328" spans="1:14" x14ac:dyDescent="0.25">
      <c r="A328" s="11" t="s">
        <v>758</v>
      </c>
      <c r="B328" s="96" t="str">
        <f t="shared" si="75"/>
        <v>UIM</v>
      </c>
      <c r="C328" s="16"/>
      <c r="D328" s="16">
        <v>1.371</v>
      </c>
      <c r="E328" s="16">
        <v>1.4770000000000001</v>
      </c>
      <c r="F328" s="16">
        <v>1.4950000000000001</v>
      </c>
      <c r="G328" s="16">
        <v>1.605</v>
      </c>
      <c r="H328" s="16">
        <v>1.6339999999999999</v>
      </c>
      <c r="I328" s="16">
        <v>1.5980000000000001</v>
      </c>
      <c r="J328" s="17">
        <v>1.5669999999999999</v>
      </c>
      <c r="K328" s="17">
        <v>1.631</v>
      </c>
      <c r="L328" s="17">
        <v>1.6890000000000001</v>
      </c>
      <c r="M328" s="17">
        <v>1.736</v>
      </c>
      <c r="N328" s="17">
        <v>1.7869999999999999</v>
      </c>
    </row>
    <row r="329" spans="1:14" x14ac:dyDescent="0.25">
      <c r="A329" s="11" t="s">
        <v>473</v>
      </c>
      <c r="B329" s="96" t="str">
        <f t="shared" si="75"/>
        <v>UIM</v>
      </c>
      <c r="C329" s="16"/>
      <c r="D329" s="16">
        <v>0.39400000000000002</v>
      </c>
      <c r="E329" s="16">
        <v>0.33100000000000002</v>
      </c>
      <c r="F329" s="16">
        <v>0.23499999999999999</v>
      </c>
      <c r="G329" s="16">
        <v>0.28000000000000003</v>
      </c>
      <c r="H329" s="16">
        <v>0.57699999999999996</v>
      </c>
      <c r="I329" s="16">
        <v>0.63400000000000001</v>
      </c>
      <c r="J329" s="17">
        <v>0.502</v>
      </c>
      <c r="K329" s="17">
        <v>0.41299999999999998</v>
      </c>
      <c r="L329" s="17">
        <v>0.42899999999999999</v>
      </c>
      <c r="M329" s="17">
        <v>0.46100000000000002</v>
      </c>
      <c r="N329" s="17">
        <v>0.48599999999999999</v>
      </c>
    </row>
    <row r="330" spans="1:14" x14ac:dyDescent="0.25">
      <c r="A330" s="11" t="s">
        <v>1234</v>
      </c>
      <c r="B330" s="96" t="str">
        <f t="shared" si="75"/>
        <v>UIM</v>
      </c>
      <c r="C330" s="16"/>
      <c r="D330" s="16">
        <v>0</v>
      </c>
      <c r="E330" s="16">
        <v>0</v>
      </c>
      <c r="F330" s="16">
        <v>0</v>
      </c>
      <c r="G330" s="16">
        <v>0</v>
      </c>
      <c r="H330" s="16">
        <v>0</v>
      </c>
      <c r="I330" s="16">
        <v>0</v>
      </c>
      <c r="J330" s="17">
        <v>0</v>
      </c>
      <c r="K330" s="17">
        <v>3.4000000000000002E-2</v>
      </c>
      <c r="L330" s="17">
        <v>6.4000000000000001E-2</v>
      </c>
      <c r="M330" s="17">
        <v>0.11600000000000001</v>
      </c>
      <c r="N330" s="17">
        <v>0.16800000000000001</v>
      </c>
    </row>
    <row r="331" spans="1:14" x14ac:dyDescent="0.25">
      <c r="A331" s="11" t="s">
        <v>759</v>
      </c>
      <c r="B331" s="96" t="str">
        <f t="shared" si="75"/>
        <v>UIM</v>
      </c>
      <c r="C331" s="16"/>
      <c r="D331" s="16">
        <v>0.94499999999999995</v>
      </c>
      <c r="E331" s="16">
        <v>-0.13300000000000001</v>
      </c>
      <c r="F331" s="16">
        <v>0.70699999999999996</v>
      </c>
      <c r="G331" s="16">
        <v>-1.151</v>
      </c>
      <c r="H331" s="16">
        <v>0.47099999999999997</v>
      </c>
      <c r="I331" s="16">
        <v>0.35499999999999998</v>
      </c>
      <c r="J331" s="17">
        <v>0.38100000000000001</v>
      </c>
      <c r="K331" s="17">
        <v>0</v>
      </c>
      <c r="L331" s="17">
        <v>0</v>
      </c>
      <c r="M331" s="17">
        <v>0</v>
      </c>
      <c r="N331" s="17">
        <v>0</v>
      </c>
    </row>
    <row r="332" spans="1:14" x14ac:dyDescent="0.25">
      <c r="A332" s="11" t="s">
        <v>760</v>
      </c>
      <c r="B332" s="96" t="str">
        <f>$B$9</f>
        <v>NAC</v>
      </c>
      <c r="C332" s="47">
        <v>9.9290000000000003</v>
      </c>
      <c r="D332" s="56">
        <f>SUM(C$332,D$325,D$326,-D$327,-D$328,D$329,-D$330,D$331)</f>
        <v>10.731</v>
      </c>
      <c r="E332" s="56">
        <f t="shared" ref="E332:N332" si="76">SUM(D$332,E$325,E$326,-E$327,-E$328,E$329,-E$330,E$331)</f>
        <v>10.395</v>
      </c>
      <c r="F332" s="56">
        <f t="shared" si="76"/>
        <v>10.841000000000001</v>
      </c>
      <c r="G332" s="56">
        <f t="shared" si="76"/>
        <v>9.2089999999999996</v>
      </c>
      <c r="H332" s="56">
        <f t="shared" si="76"/>
        <v>9.3729999999999993</v>
      </c>
      <c r="I332" s="56">
        <f t="shared" si="76"/>
        <v>9.5960000000000001</v>
      </c>
      <c r="J332" s="56">
        <f t="shared" si="76"/>
        <v>10.012</v>
      </c>
      <c r="K332" s="56">
        <f t="shared" si="76"/>
        <v>10.026000000000002</v>
      </c>
      <c r="L332" s="56">
        <f t="shared" si="76"/>
        <v>9.9530000000000012</v>
      </c>
      <c r="M332" s="56">
        <f t="shared" si="76"/>
        <v>9.822000000000001</v>
      </c>
      <c r="N332" s="56">
        <f t="shared" si="76"/>
        <v>9.6330000000000027</v>
      </c>
    </row>
    <row r="333" spans="1:14" x14ac:dyDescent="0.25">
      <c r="A333" s="55" t="s">
        <v>761</v>
      </c>
      <c r="B333" s="96"/>
      <c r="C333" s="16"/>
      <c r="D333" s="57" t="str">
        <f t="shared" ref="D333:N333" si="77">IF(ROUND(D$322-D$332,3)=0,"OK","ERROR")</f>
        <v>OK</v>
      </c>
      <c r="E333" s="57" t="str">
        <f t="shared" si="77"/>
        <v>OK</v>
      </c>
      <c r="F333" s="57" t="str">
        <f t="shared" si="77"/>
        <v>OK</v>
      </c>
      <c r="G333" s="57" t="str">
        <f t="shared" si="77"/>
        <v>OK</v>
      </c>
      <c r="H333" s="57" t="str">
        <f t="shared" si="77"/>
        <v>OK</v>
      </c>
      <c r="I333" s="57" t="str">
        <f t="shared" si="77"/>
        <v>OK</v>
      </c>
      <c r="J333" s="57" t="str">
        <f t="shared" si="77"/>
        <v>OK</v>
      </c>
      <c r="K333" s="57" t="str">
        <f t="shared" si="77"/>
        <v>OK</v>
      </c>
      <c r="L333" s="57" t="str">
        <f t="shared" si="77"/>
        <v>OK</v>
      </c>
      <c r="M333" s="57" t="str">
        <f t="shared" si="77"/>
        <v>OK</v>
      </c>
      <c r="N333" s="57" t="str">
        <f t="shared" si="77"/>
        <v>OK</v>
      </c>
    </row>
    <row r="334" spans="1:14" x14ac:dyDescent="0.25">
      <c r="A334" s="55" t="s">
        <v>762</v>
      </c>
      <c r="B334" s="96"/>
      <c r="C334" s="16"/>
      <c r="D334" s="17"/>
      <c r="E334" s="17"/>
      <c r="F334" s="17"/>
      <c r="G334" s="17"/>
      <c r="H334" s="17"/>
      <c r="I334" s="17"/>
      <c r="J334" s="17"/>
      <c r="K334" s="17"/>
      <c r="L334" s="17"/>
      <c r="M334" s="17"/>
      <c r="N334" s="17"/>
    </row>
    <row r="335" spans="1:14" x14ac:dyDescent="0.25">
      <c r="A335" s="11" t="s">
        <v>707</v>
      </c>
      <c r="B335" s="96" t="str">
        <f>$B$10</f>
        <v>UIM</v>
      </c>
      <c r="C335" s="16"/>
      <c r="D335" s="16">
        <v>93.730999999999995</v>
      </c>
      <c r="E335" s="16">
        <v>101.509</v>
      </c>
      <c r="F335" s="16">
        <v>119.682</v>
      </c>
      <c r="G335" s="16">
        <v>145.18600000000001</v>
      </c>
      <c r="H335" s="16">
        <v>151.042</v>
      </c>
      <c r="I335" s="16">
        <v>158.06800000000001</v>
      </c>
      <c r="J335" s="17">
        <v>163.08799999999999</v>
      </c>
      <c r="K335" s="17">
        <v>168.536</v>
      </c>
      <c r="L335" s="17">
        <v>171.81800000000001</v>
      </c>
      <c r="M335" s="17">
        <v>175.417</v>
      </c>
      <c r="N335" s="17">
        <v>178.50800000000001</v>
      </c>
    </row>
    <row r="336" spans="1:14" x14ac:dyDescent="0.25">
      <c r="A336" s="11" t="s">
        <v>745</v>
      </c>
      <c r="B336" s="96" t="str">
        <f>$B$10</f>
        <v>UIM</v>
      </c>
      <c r="C336" s="16"/>
      <c r="D336" s="16">
        <v>40.21</v>
      </c>
      <c r="E336" s="16">
        <v>39.828000000000003</v>
      </c>
      <c r="F336" s="16">
        <v>41.613999999999997</v>
      </c>
      <c r="G336" s="16">
        <v>47.475999999999999</v>
      </c>
      <c r="H336" s="16">
        <v>53.314</v>
      </c>
      <c r="I336" s="16">
        <v>57.723999999999997</v>
      </c>
      <c r="J336" s="17">
        <v>59.405999999999999</v>
      </c>
      <c r="K336" s="17">
        <v>63.405999999999999</v>
      </c>
      <c r="L336" s="17">
        <v>65.626999999999995</v>
      </c>
      <c r="M336" s="17">
        <v>67.17</v>
      </c>
      <c r="N336" s="17">
        <v>67.893000000000001</v>
      </c>
    </row>
    <row r="337" spans="1:14" x14ac:dyDescent="0.25">
      <c r="A337" s="11" t="s">
        <v>709</v>
      </c>
      <c r="B337" s="96" t="str">
        <f>$B$10</f>
        <v>UIM</v>
      </c>
      <c r="C337" s="16"/>
      <c r="D337" s="16">
        <v>0</v>
      </c>
      <c r="E337" s="16">
        <v>-2E-3</v>
      </c>
      <c r="F337" s="16">
        <v>0</v>
      </c>
      <c r="G337" s="16">
        <v>1E-3</v>
      </c>
      <c r="H337" s="16">
        <v>0</v>
      </c>
      <c r="I337" s="16">
        <v>1E-3</v>
      </c>
      <c r="J337" s="17">
        <v>0</v>
      </c>
      <c r="K337" s="17">
        <v>0</v>
      </c>
      <c r="L337" s="17">
        <v>0</v>
      </c>
      <c r="M337" s="17">
        <v>0</v>
      </c>
      <c r="N337" s="17">
        <v>0</v>
      </c>
    </row>
    <row r="338" spans="1:14" x14ac:dyDescent="0.25">
      <c r="A338" s="55" t="s">
        <v>763</v>
      </c>
      <c r="B338" s="96"/>
      <c r="C338" s="16"/>
      <c r="D338" s="57" t="str">
        <f t="shared" ref="D338:N338" si="78">IF(ROUND(D$128-SUM(D$186,D$335:D$337),3)=0,"OK","ERROR")</f>
        <v>OK</v>
      </c>
      <c r="E338" s="57" t="str">
        <f t="shared" si="78"/>
        <v>OK</v>
      </c>
      <c r="F338" s="57" t="str">
        <f t="shared" si="78"/>
        <v>OK</v>
      </c>
      <c r="G338" s="57" t="str">
        <f t="shared" si="78"/>
        <v>OK</v>
      </c>
      <c r="H338" s="57" t="str">
        <f t="shared" si="78"/>
        <v>OK</v>
      </c>
      <c r="I338" s="57" t="str">
        <f t="shared" si="78"/>
        <v>OK</v>
      </c>
      <c r="J338" s="57" t="str">
        <f t="shared" si="78"/>
        <v>OK</v>
      </c>
      <c r="K338" s="57" t="str">
        <f t="shared" si="78"/>
        <v>OK</v>
      </c>
      <c r="L338" s="57" t="str">
        <f t="shared" si="78"/>
        <v>OK</v>
      </c>
      <c r="M338" s="57" t="str">
        <f t="shared" si="78"/>
        <v>OK</v>
      </c>
      <c r="N338" s="57" t="str">
        <f t="shared" si="78"/>
        <v>OK</v>
      </c>
    </row>
    <row r="339" spans="1:14" x14ac:dyDescent="0.25">
      <c r="A339" s="55" t="s">
        <v>764</v>
      </c>
      <c r="B339" s="96"/>
      <c r="C339" s="16"/>
      <c r="D339" s="17"/>
      <c r="E339" s="17"/>
      <c r="F339" s="17"/>
      <c r="G339" s="17"/>
      <c r="H339" s="17"/>
      <c r="I339" s="17"/>
      <c r="J339" s="17"/>
      <c r="K339" s="17"/>
      <c r="L339" s="17"/>
      <c r="M339" s="17"/>
      <c r="N339" s="17"/>
    </row>
    <row r="340" spans="1:14" x14ac:dyDescent="0.25">
      <c r="A340" s="11" t="s">
        <v>765</v>
      </c>
      <c r="B340" s="96" t="str">
        <f>$B$9</f>
        <v>NAC</v>
      </c>
      <c r="C340" s="16"/>
      <c r="D340" s="16">
        <v>9.4619999999999997</v>
      </c>
      <c r="E340" s="16">
        <v>9.5679999999999996</v>
      </c>
      <c r="F340" s="16">
        <v>10.762</v>
      </c>
      <c r="G340" s="16">
        <v>12.88</v>
      </c>
      <c r="H340" s="16">
        <v>14.881</v>
      </c>
      <c r="I340" s="16">
        <v>17.866</v>
      </c>
      <c r="J340" s="17">
        <v>16.532</v>
      </c>
      <c r="K340" s="17">
        <v>19.635999999999999</v>
      </c>
      <c r="L340" s="17">
        <v>15.753</v>
      </c>
      <c r="M340" s="17">
        <v>14.602</v>
      </c>
      <c r="N340" s="17">
        <v>13.066000000000001</v>
      </c>
    </row>
    <row r="341" spans="1:14" x14ac:dyDescent="0.25">
      <c r="A341" s="11" t="s">
        <v>766</v>
      </c>
      <c r="B341" s="96" t="str">
        <f t="shared" ref="B341:B350" si="79">$B$9</f>
        <v>NAC</v>
      </c>
      <c r="C341" s="16"/>
      <c r="D341" s="16">
        <v>-1.157</v>
      </c>
      <c r="E341" s="16">
        <v>-1.202</v>
      </c>
      <c r="F341" s="16">
        <v>-1.101</v>
      </c>
      <c r="G341" s="16">
        <v>-2.0110000000000001</v>
      </c>
      <c r="H341" s="16">
        <v>-1.474</v>
      </c>
      <c r="I341" s="16">
        <v>-1.397</v>
      </c>
      <c r="J341" s="17">
        <v>-0.85499999999999998</v>
      </c>
      <c r="K341" s="17">
        <v>-0.748</v>
      </c>
      <c r="L341" s="17">
        <v>-1.298</v>
      </c>
      <c r="M341" s="17">
        <v>-1.032</v>
      </c>
      <c r="N341" s="17">
        <v>-1.1040000000000001</v>
      </c>
    </row>
    <row r="342" spans="1:14" x14ac:dyDescent="0.25">
      <c r="A342" s="11" t="s">
        <v>767</v>
      </c>
      <c r="B342" s="96" t="str">
        <f t="shared" si="79"/>
        <v>NAC</v>
      </c>
      <c r="C342" s="16"/>
      <c r="D342" s="16">
        <v>9.6240000000000006</v>
      </c>
      <c r="E342" s="16">
        <v>2.4769999999999999</v>
      </c>
      <c r="F342" s="16">
        <v>16.131</v>
      </c>
      <c r="G342" s="16">
        <v>26.271000000000001</v>
      </c>
      <c r="H342" s="16">
        <v>5.335</v>
      </c>
      <c r="I342" s="16">
        <v>2.7919999999999998</v>
      </c>
      <c r="J342" s="17">
        <v>0.217</v>
      </c>
      <c r="K342" s="17">
        <v>0</v>
      </c>
      <c r="L342" s="17">
        <v>0</v>
      </c>
      <c r="M342" s="17">
        <v>0</v>
      </c>
      <c r="N342" s="17">
        <v>0</v>
      </c>
    </row>
    <row r="343" spans="1:14" x14ac:dyDescent="0.25">
      <c r="A343" s="11" t="s">
        <v>768</v>
      </c>
      <c r="B343" s="96" t="str">
        <f t="shared" si="79"/>
        <v>NAC</v>
      </c>
      <c r="C343" s="16"/>
      <c r="D343" s="16">
        <v>-0.14000000000000001</v>
      </c>
      <c r="E343" s="16">
        <v>2.0379999999999998</v>
      </c>
      <c r="F343" s="16">
        <v>-0.247</v>
      </c>
      <c r="G343" s="16">
        <v>-0.30299999999999999</v>
      </c>
      <c r="H343" s="16">
        <v>0.96399999999999997</v>
      </c>
      <c r="I343" s="16">
        <v>-0.40699999999999997</v>
      </c>
      <c r="J343" s="17">
        <v>0</v>
      </c>
      <c r="K343" s="17">
        <v>-1.7000000000000001E-2</v>
      </c>
      <c r="L343" s="17">
        <v>-1.9E-2</v>
      </c>
      <c r="M343" s="17">
        <v>-9.2999999999999999E-2</v>
      </c>
      <c r="N343" s="17">
        <v>-1E-3</v>
      </c>
    </row>
    <row r="344" spans="1:14" x14ac:dyDescent="0.25">
      <c r="A344" s="55" t="s">
        <v>769</v>
      </c>
      <c r="B344" s="96" t="str">
        <f t="shared" si="79"/>
        <v>NAC</v>
      </c>
      <c r="C344" s="47">
        <v>175.01900000000001</v>
      </c>
      <c r="D344" s="56">
        <f>SUM(C$344,D$340:D$343)</f>
        <v>192.80799999999999</v>
      </c>
      <c r="E344" s="56">
        <f t="shared" ref="E344:N344" si="80">SUM(D$344,E$340:E$343)</f>
        <v>205.68900000000002</v>
      </c>
      <c r="F344" s="56">
        <f t="shared" si="80"/>
        <v>231.23400000000001</v>
      </c>
      <c r="G344" s="56">
        <f t="shared" si="80"/>
        <v>268.07100000000003</v>
      </c>
      <c r="H344" s="56">
        <f t="shared" si="80"/>
        <v>287.77699999999999</v>
      </c>
      <c r="I344" s="56">
        <f t="shared" si="80"/>
        <v>306.63099999999997</v>
      </c>
      <c r="J344" s="56">
        <f t="shared" si="80"/>
        <v>322.52499999999992</v>
      </c>
      <c r="K344" s="56">
        <f t="shared" si="80"/>
        <v>341.39599999999996</v>
      </c>
      <c r="L344" s="56">
        <f t="shared" si="80"/>
        <v>355.83199999999994</v>
      </c>
      <c r="M344" s="56">
        <f t="shared" si="80"/>
        <v>369.30899999999991</v>
      </c>
      <c r="N344" s="56">
        <f t="shared" si="80"/>
        <v>381.26999999999992</v>
      </c>
    </row>
    <row r="345" spans="1:14" x14ac:dyDescent="0.25">
      <c r="A345" s="11" t="s">
        <v>770</v>
      </c>
      <c r="B345" s="96" t="str">
        <f t="shared" si="79"/>
        <v>NAC</v>
      </c>
      <c r="C345" s="16"/>
      <c r="D345" s="16">
        <v>-0.78900000000000003</v>
      </c>
      <c r="E345" s="16">
        <v>-0.68600000000000005</v>
      </c>
      <c r="F345" s="16">
        <v>-0.63600000000000001</v>
      </c>
      <c r="G345" s="16">
        <v>-0.94899999999999995</v>
      </c>
      <c r="H345" s="16">
        <v>-1.0069999999999999</v>
      </c>
      <c r="I345" s="16">
        <v>-0.70899999999999996</v>
      </c>
      <c r="J345" s="17">
        <v>-0.45900000000000002</v>
      </c>
      <c r="K345" s="17">
        <v>-0.14299999999999999</v>
      </c>
      <c r="L345" s="17">
        <v>-0.156</v>
      </c>
      <c r="M345" s="17">
        <v>-0.16600000000000001</v>
      </c>
      <c r="N345" s="17">
        <v>-0.17599999999999999</v>
      </c>
    </row>
    <row r="346" spans="1:14" x14ac:dyDescent="0.25">
      <c r="A346" s="11" t="s">
        <v>771</v>
      </c>
      <c r="B346" s="96" t="str">
        <f t="shared" si="79"/>
        <v>NAC</v>
      </c>
      <c r="C346" s="16"/>
      <c r="D346" s="16">
        <v>-2.452</v>
      </c>
      <c r="E346" s="16">
        <v>-2.0859999999999999</v>
      </c>
      <c r="F346" s="16">
        <v>-5.9790000000000001</v>
      </c>
      <c r="G346" s="16">
        <v>-3.3769999999999998</v>
      </c>
      <c r="H346" s="16">
        <v>-5.54</v>
      </c>
      <c r="I346" s="16">
        <v>-4.7750000000000004</v>
      </c>
      <c r="J346" s="17">
        <v>-7.4999999999999997E-2</v>
      </c>
      <c r="K346" s="17">
        <v>0</v>
      </c>
      <c r="L346" s="17">
        <v>0</v>
      </c>
      <c r="M346" s="17">
        <v>0</v>
      </c>
      <c r="N346" s="17">
        <v>0</v>
      </c>
    </row>
    <row r="347" spans="1:14" x14ac:dyDescent="0.25">
      <c r="A347" s="11" t="s">
        <v>772</v>
      </c>
      <c r="B347" s="96" t="str">
        <f t="shared" si="79"/>
        <v>NAC</v>
      </c>
      <c r="C347" s="16"/>
      <c r="D347" s="16">
        <v>-2.516</v>
      </c>
      <c r="E347" s="16">
        <v>1.1930000000000001</v>
      </c>
      <c r="F347" s="16">
        <v>-5.8000000000000003E-2</v>
      </c>
      <c r="G347" s="16">
        <v>-0.85099999999999998</v>
      </c>
      <c r="H347" s="16">
        <v>0.22</v>
      </c>
      <c r="I347" s="16">
        <v>8.2000000000000003E-2</v>
      </c>
      <c r="J347" s="17">
        <v>0</v>
      </c>
      <c r="K347" s="17">
        <v>0</v>
      </c>
      <c r="L347" s="17">
        <v>0</v>
      </c>
      <c r="M347" s="17">
        <v>0</v>
      </c>
      <c r="N347" s="17">
        <v>0</v>
      </c>
    </row>
    <row r="348" spans="1:14" x14ac:dyDescent="0.25">
      <c r="A348" s="11" t="s">
        <v>773</v>
      </c>
      <c r="B348" s="96" t="str">
        <f>$B$10</f>
        <v>UIM</v>
      </c>
      <c r="C348" s="16"/>
      <c r="D348" s="16">
        <v>4.5540000000000003</v>
      </c>
      <c r="E348" s="16">
        <v>5.2939999999999996</v>
      </c>
      <c r="F348" s="16">
        <v>5.5659999999999998</v>
      </c>
      <c r="G348" s="16">
        <v>6.1520000000000001</v>
      </c>
      <c r="H348" s="16">
        <v>6.601</v>
      </c>
      <c r="I348" s="16">
        <v>7.6210000000000004</v>
      </c>
      <c r="J348" s="17">
        <v>8.06</v>
      </c>
      <c r="K348" s="17">
        <v>8.4239999999999995</v>
      </c>
      <c r="L348" s="17">
        <v>8.7170000000000005</v>
      </c>
      <c r="M348" s="17">
        <v>9.0640000000000001</v>
      </c>
      <c r="N348" s="17">
        <v>9.2050000000000001</v>
      </c>
    </row>
    <row r="349" spans="1:14" x14ac:dyDescent="0.25">
      <c r="A349" s="11" t="s">
        <v>768</v>
      </c>
      <c r="B349" s="96" t="str">
        <f t="shared" si="79"/>
        <v>NAC</v>
      </c>
      <c r="C349" s="16"/>
      <c r="D349" s="16">
        <v>0.03</v>
      </c>
      <c r="E349" s="16">
        <v>0.28299999999999997</v>
      </c>
      <c r="F349" s="16">
        <v>-6.2E-2</v>
      </c>
      <c r="G349" s="16">
        <v>-0.104</v>
      </c>
      <c r="H349" s="16">
        <v>1.224</v>
      </c>
      <c r="I349" s="16">
        <v>0.23499999999999999</v>
      </c>
      <c r="J349" s="17">
        <v>-3.7999999999999999E-2</v>
      </c>
      <c r="K349" s="17">
        <v>-4.0000000000000001E-3</v>
      </c>
      <c r="L349" s="17">
        <v>-1E-3</v>
      </c>
      <c r="M349" s="17">
        <v>1E-3</v>
      </c>
      <c r="N349" s="17">
        <v>0</v>
      </c>
    </row>
    <row r="350" spans="1:14" x14ac:dyDescent="0.25">
      <c r="A350" s="55" t="s">
        <v>774</v>
      </c>
      <c r="B350" s="96" t="str">
        <f t="shared" si="79"/>
        <v>NAC</v>
      </c>
      <c r="C350" s="47">
        <v>16.361999999999998</v>
      </c>
      <c r="D350" s="56">
        <f>SUM(C$350,D$345:D$349)</f>
        <v>15.188999999999998</v>
      </c>
      <c r="E350" s="56">
        <f t="shared" ref="E350:N350" si="81">SUM(D$350,E$345:E$349)</f>
        <v>19.186999999999998</v>
      </c>
      <c r="F350" s="56">
        <f t="shared" si="81"/>
        <v>18.017999999999997</v>
      </c>
      <c r="G350" s="56">
        <f t="shared" si="81"/>
        <v>18.888999999999999</v>
      </c>
      <c r="H350" s="56">
        <f t="shared" si="81"/>
        <v>20.387</v>
      </c>
      <c r="I350" s="56">
        <f t="shared" si="81"/>
        <v>22.841000000000001</v>
      </c>
      <c r="J350" s="56">
        <f t="shared" si="81"/>
        <v>30.329000000000004</v>
      </c>
      <c r="K350" s="56">
        <f t="shared" si="81"/>
        <v>38.606000000000002</v>
      </c>
      <c r="L350" s="56">
        <f t="shared" si="81"/>
        <v>47.166000000000004</v>
      </c>
      <c r="M350" s="56">
        <f t="shared" si="81"/>
        <v>56.065000000000005</v>
      </c>
      <c r="N350" s="56">
        <f t="shared" si="81"/>
        <v>65.094000000000008</v>
      </c>
    </row>
    <row r="351" spans="1:14" x14ac:dyDescent="0.25">
      <c r="A351" s="55" t="s">
        <v>775</v>
      </c>
      <c r="B351" s="96"/>
      <c r="C351" s="16"/>
      <c r="D351" s="60" t="str">
        <f>IF(ROUND(D$128-(D$344-D$350)-0.006,3)=0,"OK","ERROR")</f>
        <v>OK</v>
      </c>
      <c r="E351" s="57" t="str">
        <f t="shared" ref="E351:N351" si="82">IF(ROUND(E$128-(E$344-E$350),3)=0,"OK","ERROR")</f>
        <v>OK</v>
      </c>
      <c r="F351" s="57" t="str">
        <f t="shared" si="82"/>
        <v>OK</v>
      </c>
      <c r="G351" s="57" t="str">
        <f t="shared" si="82"/>
        <v>OK</v>
      </c>
      <c r="H351" s="57" t="str">
        <f t="shared" si="82"/>
        <v>OK</v>
      </c>
      <c r="I351" s="57" t="str">
        <f t="shared" si="82"/>
        <v>OK</v>
      </c>
      <c r="J351" s="57" t="str">
        <f t="shared" si="82"/>
        <v>OK</v>
      </c>
      <c r="K351" s="57" t="str">
        <f t="shared" si="82"/>
        <v>OK</v>
      </c>
      <c r="L351" s="57" t="str">
        <f t="shared" si="82"/>
        <v>OK</v>
      </c>
      <c r="M351" s="57" t="str">
        <f t="shared" si="82"/>
        <v>OK</v>
      </c>
      <c r="N351" s="57" t="str">
        <f t="shared" si="82"/>
        <v>OK</v>
      </c>
    </row>
    <row r="352" spans="1:14" x14ac:dyDescent="0.25">
      <c r="A352" s="55" t="s">
        <v>628</v>
      </c>
      <c r="B352" s="96"/>
      <c r="C352" s="16"/>
      <c r="D352" s="17"/>
      <c r="E352" s="17"/>
      <c r="F352" s="17"/>
      <c r="G352" s="17"/>
      <c r="H352" s="17"/>
      <c r="I352" s="17"/>
      <c r="J352" s="17"/>
      <c r="K352" s="17"/>
      <c r="L352" s="17"/>
      <c r="M352" s="17"/>
      <c r="N352" s="17"/>
    </row>
    <row r="353" spans="1:14" x14ac:dyDescent="0.25">
      <c r="A353" s="11" t="s">
        <v>707</v>
      </c>
      <c r="B353" s="96" t="str">
        <f>$B$10</f>
        <v>UIM</v>
      </c>
      <c r="C353" s="16"/>
      <c r="D353" s="16">
        <v>0.69299999999999995</v>
      </c>
      <c r="E353" s="16">
        <v>0.81599999999999995</v>
      </c>
      <c r="F353" s="16">
        <v>0.83299999999999996</v>
      </c>
      <c r="G353" s="16">
        <v>0.72799999999999998</v>
      </c>
      <c r="H353" s="16">
        <v>0.98099999999999998</v>
      </c>
      <c r="I353" s="16">
        <v>1.008</v>
      </c>
      <c r="J353" s="17">
        <v>0.98899999999999999</v>
      </c>
      <c r="K353" s="17">
        <v>1.0009999999999999</v>
      </c>
      <c r="L353" s="17">
        <v>0.98899999999999999</v>
      </c>
      <c r="M353" s="17">
        <v>0.98199999999999998</v>
      </c>
      <c r="N353" s="17">
        <v>0.98699999999999999</v>
      </c>
    </row>
    <row r="354" spans="1:14" x14ac:dyDescent="0.25">
      <c r="A354" s="11" t="s">
        <v>745</v>
      </c>
      <c r="B354" s="96" t="str">
        <f>$B$10</f>
        <v>UIM</v>
      </c>
      <c r="C354" s="16"/>
      <c r="D354" s="16">
        <v>1.5569999999999999</v>
      </c>
      <c r="E354" s="16">
        <v>1.526</v>
      </c>
      <c r="F354" s="16">
        <v>1.3640000000000001</v>
      </c>
      <c r="G354" s="16">
        <v>1.772</v>
      </c>
      <c r="H354" s="16">
        <v>1.593</v>
      </c>
      <c r="I354" s="16">
        <v>1.7649999999999999</v>
      </c>
      <c r="J354" s="17">
        <v>1.7549999999999999</v>
      </c>
      <c r="K354" s="17">
        <v>1.708</v>
      </c>
      <c r="L354" s="17">
        <v>1.746</v>
      </c>
      <c r="M354" s="17">
        <v>1.6759999999999999</v>
      </c>
      <c r="N354" s="17">
        <v>1.6739999999999999</v>
      </c>
    </row>
    <row r="355" spans="1:14" x14ac:dyDescent="0.25">
      <c r="A355" s="11" t="s">
        <v>709</v>
      </c>
      <c r="B355" s="96" t="str">
        <f>$B$10</f>
        <v>UIM</v>
      </c>
      <c r="C355" s="16"/>
      <c r="D355" s="16">
        <v>-0.02</v>
      </c>
      <c r="E355" s="16">
        <v>-0.02</v>
      </c>
      <c r="F355" s="16">
        <v>-0.23300000000000004</v>
      </c>
      <c r="G355" s="16">
        <v>-0.26800000000000002</v>
      </c>
      <c r="H355" s="16">
        <v>-0.249</v>
      </c>
      <c r="I355" s="16">
        <v>-0.26600000000000001</v>
      </c>
      <c r="J355" s="17">
        <v>-0.27400000000000002</v>
      </c>
      <c r="K355" s="17">
        <v>-0.28199999999999997</v>
      </c>
      <c r="L355" s="17">
        <v>-0.33900000000000002</v>
      </c>
      <c r="M355" s="17">
        <v>-0.27700000000000002</v>
      </c>
      <c r="N355" s="17">
        <v>-0.26100000000000001</v>
      </c>
    </row>
    <row r="356" spans="1:14" x14ac:dyDescent="0.25">
      <c r="A356" s="55" t="s">
        <v>776</v>
      </c>
      <c r="B356" s="96"/>
      <c r="C356" s="16"/>
      <c r="D356" s="57" t="str">
        <f t="shared" ref="D356:N356" si="83">IF(ROUND(D$130-SUM(D$188,D$353:D$355),3)=0,"OK","ERROR")</f>
        <v>OK</v>
      </c>
      <c r="E356" s="57" t="str">
        <f t="shared" si="83"/>
        <v>OK</v>
      </c>
      <c r="F356" s="57" t="str">
        <f t="shared" si="83"/>
        <v>OK</v>
      </c>
      <c r="G356" s="57" t="str">
        <f t="shared" si="83"/>
        <v>OK</v>
      </c>
      <c r="H356" s="57" t="str">
        <f t="shared" si="83"/>
        <v>OK</v>
      </c>
      <c r="I356" s="57" t="str">
        <f t="shared" si="83"/>
        <v>OK</v>
      </c>
      <c r="J356" s="57" t="str">
        <f t="shared" si="83"/>
        <v>OK</v>
      </c>
      <c r="K356" s="57" t="str">
        <f t="shared" si="83"/>
        <v>OK</v>
      </c>
      <c r="L356" s="57" t="str">
        <f t="shared" si="83"/>
        <v>OK</v>
      </c>
      <c r="M356" s="57" t="str">
        <f t="shared" si="83"/>
        <v>OK</v>
      </c>
      <c r="N356" s="57" t="str">
        <f t="shared" si="83"/>
        <v>OK</v>
      </c>
    </row>
    <row r="357" spans="1:14" x14ac:dyDescent="0.25">
      <c r="A357" s="55" t="s">
        <v>777</v>
      </c>
      <c r="B357" s="96"/>
      <c r="C357" s="16"/>
      <c r="D357" s="16"/>
      <c r="E357" s="16"/>
      <c r="F357" s="16"/>
      <c r="G357" s="16"/>
      <c r="H357" s="16"/>
      <c r="I357" s="16"/>
      <c r="J357" s="16"/>
      <c r="K357" s="16"/>
      <c r="L357" s="16"/>
      <c r="M357" s="16"/>
      <c r="N357" s="16"/>
    </row>
    <row r="358" spans="1:14" x14ac:dyDescent="0.25">
      <c r="A358" s="11" t="s">
        <v>778</v>
      </c>
      <c r="B358" s="96" t="str">
        <f t="shared" ref="B358:B363" si="84">$B$10</f>
        <v>UIM</v>
      </c>
      <c r="C358" s="16"/>
      <c r="D358" s="16">
        <v>0.98199999999999998</v>
      </c>
      <c r="E358" s="16">
        <v>0.80300000000000005</v>
      </c>
      <c r="F358" s="16">
        <v>0.74199999999999999</v>
      </c>
      <c r="G358" s="16">
        <v>1.077</v>
      </c>
      <c r="H358" s="16">
        <v>1.32</v>
      </c>
      <c r="I358" s="16">
        <v>1.659</v>
      </c>
      <c r="J358" s="17">
        <v>1.7050000000000001</v>
      </c>
      <c r="K358" s="17">
        <v>1.7729999999999999</v>
      </c>
      <c r="L358" s="17">
        <v>1.869</v>
      </c>
      <c r="M358" s="17">
        <v>1.9930000000000001</v>
      </c>
      <c r="N358" s="17">
        <v>2.1160000000000001</v>
      </c>
    </row>
    <row r="359" spans="1:14" x14ac:dyDescent="0.25">
      <c r="A359" s="11" t="s">
        <v>779</v>
      </c>
      <c r="B359" s="96" t="str">
        <f t="shared" si="84"/>
        <v>UIM</v>
      </c>
      <c r="C359" s="16"/>
      <c r="D359" s="16">
        <v>0.504</v>
      </c>
      <c r="E359" s="16">
        <v>0.44800000000000001</v>
      </c>
      <c r="F359" s="16">
        <v>2.1560000000000001</v>
      </c>
      <c r="G359" s="16">
        <v>3.5000000000000003E-2</v>
      </c>
      <c r="H359" s="16">
        <v>0.127</v>
      </c>
      <c r="I359" s="16">
        <v>1.29</v>
      </c>
      <c r="J359" s="17">
        <v>1.389</v>
      </c>
      <c r="K359" s="17">
        <v>1.518</v>
      </c>
      <c r="L359" s="17">
        <v>1.6120000000000001</v>
      </c>
      <c r="M359" s="17">
        <v>1.7110000000000001</v>
      </c>
      <c r="N359" s="17">
        <v>1.8169999999999999</v>
      </c>
    </row>
    <row r="360" spans="1:14" x14ac:dyDescent="0.25">
      <c r="A360" s="11" t="s">
        <v>780</v>
      </c>
      <c r="B360" s="96" t="str">
        <f t="shared" si="84"/>
        <v>UIM</v>
      </c>
      <c r="C360" s="16"/>
      <c r="D360" s="16">
        <v>0.13</v>
      </c>
      <c r="E360" s="16">
        <v>0.15</v>
      </c>
      <c r="F360" s="16">
        <v>0.125</v>
      </c>
      <c r="G360" s="16">
        <v>-0.51700000000000002</v>
      </c>
      <c r="H360" s="16">
        <v>1.054</v>
      </c>
      <c r="I360" s="16">
        <v>0.189</v>
      </c>
      <c r="J360" s="17">
        <v>0.253</v>
      </c>
      <c r="K360" s="17">
        <v>0.314</v>
      </c>
      <c r="L360" s="17">
        <v>0.33600000000000002</v>
      </c>
      <c r="M360" s="17">
        <v>0.36</v>
      </c>
      <c r="N360" s="17">
        <v>0.38700000000000001</v>
      </c>
    </row>
    <row r="361" spans="1:14" x14ac:dyDescent="0.25">
      <c r="A361" s="11" t="s">
        <v>781</v>
      </c>
      <c r="B361" s="96" t="str">
        <f t="shared" si="84"/>
        <v>UIM</v>
      </c>
      <c r="C361" s="16"/>
      <c r="D361" s="16">
        <v>1.9550000000000001</v>
      </c>
      <c r="E361" s="16">
        <v>1.7000000000000001E-2</v>
      </c>
      <c r="F361" s="16">
        <v>12.786</v>
      </c>
      <c r="G361" s="16">
        <v>-5.133</v>
      </c>
      <c r="H361" s="16">
        <v>5.766</v>
      </c>
      <c r="I361" s="16">
        <v>8.3520000000000003</v>
      </c>
      <c r="J361" s="17">
        <v>6.6360000000000001</v>
      </c>
      <c r="K361" s="17">
        <v>4.9329999999999998</v>
      </c>
      <c r="L361" s="17">
        <v>5.2549999999999999</v>
      </c>
      <c r="M361" s="17">
        <v>5.57</v>
      </c>
      <c r="N361" s="17">
        <v>5.9210000000000003</v>
      </c>
    </row>
    <row r="362" spans="1:14" x14ac:dyDescent="0.25">
      <c r="A362" s="11" t="s">
        <v>782</v>
      </c>
      <c r="B362" s="96" t="str">
        <f t="shared" si="84"/>
        <v>UIM</v>
      </c>
      <c r="C362" s="16"/>
      <c r="D362" s="16">
        <v>1</v>
      </c>
      <c r="E362" s="16">
        <v>1.46</v>
      </c>
      <c r="F362" s="16">
        <v>2.12</v>
      </c>
      <c r="G362" s="16">
        <v>2.42</v>
      </c>
      <c r="H362" s="16">
        <v>2.5579999999999998</v>
      </c>
      <c r="I362" s="16">
        <v>1.6140000000000001</v>
      </c>
      <c r="J362" s="17">
        <v>0.879</v>
      </c>
      <c r="K362" s="17">
        <v>0</v>
      </c>
      <c r="L362" s="17">
        <v>4.0000000000000001E-3</v>
      </c>
      <c r="M362" s="17">
        <v>-3.2000000000000001E-2</v>
      </c>
      <c r="N362" s="17">
        <v>6.3E-2</v>
      </c>
    </row>
    <row r="363" spans="1:14" x14ac:dyDescent="0.25">
      <c r="A363" s="11" t="s">
        <v>468</v>
      </c>
      <c r="B363" s="96" t="str">
        <f t="shared" si="84"/>
        <v>UIM</v>
      </c>
      <c r="C363" s="16"/>
      <c r="D363" s="16">
        <v>8.8999999999999996E-2</v>
      </c>
      <c r="E363" s="16">
        <v>-0.13</v>
      </c>
      <c r="F363" s="16">
        <v>1E-3</v>
      </c>
      <c r="G363" s="16">
        <v>-1E-3</v>
      </c>
      <c r="H363" s="16">
        <v>0</v>
      </c>
      <c r="I363" s="16">
        <v>0</v>
      </c>
      <c r="J363" s="17">
        <v>0</v>
      </c>
      <c r="K363" s="17">
        <v>0</v>
      </c>
      <c r="L363" s="17">
        <v>0</v>
      </c>
      <c r="M363" s="17">
        <v>0</v>
      </c>
      <c r="N363" s="17">
        <v>0</v>
      </c>
    </row>
    <row r="364" spans="1:14" x14ac:dyDescent="0.25">
      <c r="A364" s="55" t="s">
        <v>783</v>
      </c>
      <c r="B364" s="96" t="str">
        <f>$B$9</f>
        <v>NAC</v>
      </c>
      <c r="C364" s="47">
        <v>39.052999999999997</v>
      </c>
      <c r="D364" s="56">
        <f>SUM(C$364,D$358,-D$359,-D$360,D$361,D$362,D$363)</f>
        <v>42.444999999999993</v>
      </c>
      <c r="E364" s="56">
        <f t="shared" ref="E364:N364" si="85">SUM(D$364,E$358,-E$359,-E$360,E$361,E$362,E$363)</f>
        <v>43.996999999999993</v>
      </c>
      <c r="F364" s="56">
        <f t="shared" si="85"/>
        <v>57.364999999999988</v>
      </c>
      <c r="G364" s="56">
        <f t="shared" si="85"/>
        <v>56.209999999999994</v>
      </c>
      <c r="H364" s="56">
        <f t="shared" si="85"/>
        <v>64.672999999999988</v>
      </c>
      <c r="I364" s="56">
        <f t="shared" si="85"/>
        <v>74.819000000000003</v>
      </c>
      <c r="J364" s="56">
        <f t="shared" si="85"/>
        <v>82.397000000000006</v>
      </c>
      <c r="K364" s="56">
        <f t="shared" si="85"/>
        <v>87.271000000000015</v>
      </c>
      <c r="L364" s="56">
        <f t="shared" si="85"/>
        <v>92.451000000000022</v>
      </c>
      <c r="M364" s="56">
        <f t="shared" si="85"/>
        <v>97.911000000000016</v>
      </c>
      <c r="N364" s="56">
        <f t="shared" si="85"/>
        <v>103.80700000000003</v>
      </c>
    </row>
    <row r="365" spans="1:14" x14ac:dyDescent="0.25">
      <c r="A365" s="11" t="s">
        <v>784</v>
      </c>
      <c r="B365" s="96" t="str">
        <f>$B$10</f>
        <v>UIM</v>
      </c>
      <c r="C365" s="16"/>
      <c r="D365" s="16">
        <v>44.307000000000002</v>
      </c>
      <c r="E365" s="16">
        <v>48.220999999999997</v>
      </c>
      <c r="F365" s="16">
        <v>62.311999999999998</v>
      </c>
      <c r="G365" s="16">
        <v>65.411000000000001</v>
      </c>
      <c r="H365" s="16">
        <v>68.233999999999995</v>
      </c>
      <c r="I365" s="16">
        <v>79.058000000000007</v>
      </c>
      <c r="J365" s="17">
        <v>90.405000000000001</v>
      </c>
      <c r="K365" s="17">
        <v>94.126000000000005</v>
      </c>
      <c r="L365" s="17">
        <v>100.392</v>
      </c>
      <c r="M365" s="17">
        <v>105.19</v>
      </c>
      <c r="N365" s="17">
        <v>110.79600000000001</v>
      </c>
    </row>
    <row r="366" spans="1:14" x14ac:dyDescent="0.25">
      <c r="A366" s="11" t="s">
        <v>785</v>
      </c>
      <c r="B366" s="96" t="str">
        <f>$B$10</f>
        <v>UIM</v>
      </c>
      <c r="C366" s="16"/>
      <c r="D366" s="16">
        <v>-1.9910000000000001</v>
      </c>
      <c r="E366" s="16">
        <v>-4.226</v>
      </c>
      <c r="F366" s="16">
        <v>-4.9489999999999998</v>
      </c>
      <c r="G366" s="16">
        <v>-9.1020000000000003</v>
      </c>
      <c r="H366" s="16">
        <v>-3.5009999999999999</v>
      </c>
      <c r="I366" s="16">
        <v>-4.2350000000000003</v>
      </c>
      <c r="J366" s="17">
        <v>-7.984</v>
      </c>
      <c r="K366" s="17">
        <v>-6.8</v>
      </c>
      <c r="L366" s="17">
        <v>-7.8959999999999999</v>
      </c>
      <c r="M366" s="17">
        <v>-7.2270000000000003</v>
      </c>
      <c r="N366" s="17">
        <v>-6.9290000000000003</v>
      </c>
    </row>
    <row r="367" spans="1:14" x14ac:dyDescent="0.25">
      <c r="A367" s="11" t="s">
        <v>786</v>
      </c>
      <c r="B367" s="96" t="str">
        <f>$B$10</f>
        <v>UIM</v>
      </c>
      <c r="C367" s="16"/>
      <c r="D367" s="16">
        <v>0</v>
      </c>
      <c r="E367" s="16">
        <v>2E-3</v>
      </c>
      <c r="F367" s="16">
        <v>2E-3</v>
      </c>
      <c r="G367" s="16">
        <v>-9.9000000000000005E-2</v>
      </c>
      <c r="H367" s="16">
        <v>-0.06</v>
      </c>
      <c r="I367" s="16">
        <v>-4.0000000000000001E-3</v>
      </c>
      <c r="J367" s="17">
        <v>-2.4E-2</v>
      </c>
      <c r="K367" s="17">
        <v>-5.5E-2</v>
      </c>
      <c r="L367" s="17">
        <v>-4.4999999999999998E-2</v>
      </c>
      <c r="M367" s="17">
        <v>-5.1999999999999998E-2</v>
      </c>
      <c r="N367" s="17">
        <v>-0.06</v>
      </c>
    </row>
    <row r="368" spans="1:14" x14ac:dyDescent="0.25">
      <c r="A368" s="55" t="s">
        <v>787</v>
      </c>
      <c r="B368" s="96"/>
      <c r="C368" s="16"/>
      <c r="D368" s="60" t="str">
        <f>IF(ROUND(D$364-SUM(D$365:D$367)-0.129,3)=0,"OK","ERROR")</f>
        <v>OK</v>
      </c>
      <c r="E368" s="57" t="str">
        <f t="shared" ref="E368:N368" si="86">IF(ROUND(E$364-SUM(E$365:E$367),3)=0,"OK","ERROR")</f>
        <v>OK</v>
      </c>
      <c r="F368" s="57" t="str">
        <f t="shared" si="86"/>
        <v>OK</v>
      </c>
      <c r="G368" s="57" t="str">
        <f t="shared" si="86"/>
        <v>OK</v>
      </c>
      <c r="H368" s="57" t="str">
        <f t="shared" si="86"/>
        <v>OK</v>
      </c>
      <c r="I368" s="57" t="str">
        <f t="shared" si="86"/>
        <v>OK</v>
      </c>
      <c r="J368" s="57" t="str">
        <f t="shared" si="86"/>
        <v>OK</v>
      </c>
      <c r="K368" s="57" t="str">
        <f t="shared" si="86"/>
        <v>OK</v>
      </c>
      <c r="L368" s="57" t="str">
        <f t="shared" si="86"/>
        <v>OK</v>
      </c>
      <c r="M368" s="57" t="str">
        <f t="shared" si="86"/>
        <v>OK</v>
      </c>
      <c r="N368" s="57" t="str">
        <f t="shared" si="86"/>
        <v>OK</v>
      </c>
    </row>
    <row r="369" spans="1:14" x14ac:dyDescent="0.25">
      <c r="A369" s="55" t="s">
        <v>633</v>
      </c>
      <c r="B369" s="96"/>
      <c r="C369" s="16"/>
      <c r="D369" s="17"/>
      <c r="E369" s="17"/>
      <c r="F369" s="17"/>
      <c r="G369" s="17"/>
      <c r="H369" s="17"/>
      <c r="I369" s="17"/>
      <c r="J369" s="17"/>
      <c r="K369" s="17"/>
      <c r="L369" s="17"/>
      <c r="M369" s="17"/>
      <c r="N369" s="17"/>
    </row>
    <row r="370" spans="1:14" x14ac:dyDescent="0.25">
      <c r="A370" s="11" t="s">
        <v>788</v>
      </c>
      <c r="B370" s="96" t="str">
        <f>$B$9</f>
        <v>NAC</v>
      </c>
      <c r="C370" s="16"/>
      <c r="D370" s="16">
        <v>10.449</v>
      </c>
      <c r="E370" s="16">
        <v>11.928000000000001</v>
      </c>
      <c r="F370" s="16">
        <v>12.179</v>
      </c>
      <c r="G370" s="16">
        <v>15.933</v>
      </c>
      <c r="H370" s="16">
        <v>12.52</v>
      </c>
      <c r="I370" s="16">
        <v>13.212999999999999</v>
      </c>
      <c r="J370" s="17">
        <v>19.210999999999999</v>
      </c>
      <c r="K370" s="17">
        <v>19.561</v>
      </c>
      <c r="L370" s="17">
        <v>21.123999999999999</v>
      </c>
      <c r="M370" s="17">
        <v>20.895</v>
      </c>
      <c r="N370" s="17">
        <v>21.260999999999999</v>
      </c>
    </row>
    <row r="371" spans="1:14" x14ac:dyDescent="0.25">
      <c r="A371" s="11" t="s">
        <v>789</v>
      </c>
      <c r="B371" s="96" t="str">
        <f>$B$10</f>
        <v>UIM</v>
      </c>
      <c r="C371" s="16"/>
      <c r="D371" s="16">
        <v>6.2930000000000001</v>
      </c>
      <c r="E371" s="16">
        <v>5.0430000000000001</v>
      </c>
      <c r="F371" s="16">
        <v>5.3979999999999997</v>
      </c>
      <c r="G371" s="16">
        <v>5.4870000000000001</v>
      </c>
      <c r="H371" s="16">
        <v>6.2060000000000004</v>
      </c>
      <c r="I371" s="16">
        <v>6.65</v>
      </c>
      <c r="J371" s="17">
        <v>7.2039999999999997</v>
      </c>
      <c r="K371" s="17">
        <v>7.3639999999999999</v>
      </c>
      <c r="L371" s="17">
        <v>6.9560000000000004</v>
      </c>
      <c r="M371" s="17">
        <v>7.1340000000000003</v>
      </c>
      <c r="N371" s="17">
        <v>7.3280000000000003</v>
      </c>
    </row>
    <row r="372" spans="1:14" x14ac:dyDescent="0.25">
      <c r="A372" s="55" t="s">
        <v>790</v>
      </c>
      <c r="B372" s="96"/>
      <c r="C372" s="16"/>
      <c r="D372" s="57" t="str">
        <f t="shared" ref="D372:N372" si="87">IF(ROUND(D$135-SUM(D$370:D$371),3)=0,"OK","ERROR")</f>
        <v>OK</v>
      </c>
      <c r="E372" s="57" t="str">
        <f t="shared" si="87"/>
        <v>OK</v>
      </c>
      <c r="F372" s="57" t="str">
        <f t="shared" si="87"/>
        <v>OK</v>
      </c>
      <c r="G372" s="57" t="str">
        <f t="shared" si="87"/>
        <v>OK</v>
      </c>
      <c r="H372" s="57" t="str">
        <f t="shared" si="87"/>
        <v>OK</v>
      </c>
      <c r="I372" s="57" t="str">
        <f t="shared" si="87"/>
        <v>OK</v>
      </c>
      <c r="J372" s="57" t="str">
        <f t="shared" si="87"/>
        <v>OK</v>
      </c>
      <c r="K372" s="57" t="str">
        <f t="shared" si="87"/>
        <v>OK</v>
      </c>
      <c r="L372" s="57" t="str">
        <f t="shared" si="87"/>
        <v>OK</v>
      </c>
      <c r="M372" s="57" t="str">
        <f t="shared" si="87"/>
        <v>OK</v>
      </c>
      <c r="N372" s="57" t="str">
        <f t="shared" si="87"/>
        <v>OK</v>
      </c>
    </row>
    <row r="373" spans="1:14" x14ac:dyDescent="0.25">
      <c r="A373" s="55" t="s">
        <v>791</v>
      </c>
      <c r="B373" s="96"/>
      <c r="C373" s="16"/>
      <c r="D373" s="16"/>
      <c r="E373" s="16"/>
      <c r="F373" s="16"/>
      <c r="G373" s="16"/>
      <c r="H373" s="16"/>
      <c r="I373" s="16"/>
      <c r="J373" s="16"/>
      <c r="K373" s="16"/>
      <c r="L373" s="16"/>
      <c r="M373" s="16"/>
      <c r="N373" s="16"/>
    </row>
    <row r="374" spans="1:14" x14ac:dyDescent="0.25">
      <c r="A374" s="11" t="s">
        <v>792</v>
      </c>
      <c r="B374" s="96" t="str">
        <f>$B$10</f>
        <v>UIM</v>
      </c>
      <c r="C374" s="16"/>
      <c r="D374" s="16">
        <v>0</v>
      </c>
      <c r="E374" s="16">
        <v>0</v>
      </c>
      <c r="F374" s="16">
        <v>0.33600000000000002</v>
      </c>
      <c r="G374" s="16">
        <v>2.0960000000000001</v>
      </c>
      <c r="H374" s="16">
        <v>0.83199999999999996</v>
      </c>
      <c r="I374" s="16">
        <v>0.21</v>
      </c>
      <c r="J374" s="17">
        <v>0.27900000000000003</v>
      </c>
      <c r="K374" s="17">
        <v>0.33</v>
      </c>
      <c r="L374" s="17">
        <v>0.28299999999999997</v>
      </c>
      <c r="M374" s="17">
        <v>0.23</v>
      </c>
      <c r="N374" s="17">
        <v>0.17699999999999999</v>
      </c>
    </row>
    <row r="375" spans="1:14" x14ac:dyDescent="0.25">
      <c r="A375" s="11" t="s">
        <v>793</v>
      </c>
      <c r="B375" s="96" t="str">
        <f>$B$9</f>
        <v>NAC</v>
      </c>
      <c r="C375" s="16"/>
      <c r="D375" s="16">
        <v>0.42499999999999999</v>
      </c>
      <c r="E375" s="16">
        <v>0.82699999999999996</v>
      </c>
      <c r="F375" s="16">
        <v>1.5149999999999999</v>
      </c>
      <c r="G375" s="16">
        <v>3.0059999999999998</v>
      </c>
      <c r="H375" s="16">
        <v>1.583</v>
      </c>
      <c r="I375" s="16">
        <v>1.69</v>
      </c>
      <c r="J375" s="17">
        <v>2.4350000000000001</v>
      </c>
      <c r="K375" s="17">
        <v>2.2149999999999999</v>
      </c>
      <c r="L375" s="17">
        <v>2.1240000000000001</v>
      </c>
      <c r="M375" s="17">
        <v>2.073</v>
      </c>
      <c r="N375" s="17">
        <v>2.0630000000000002</v>
      </c>
    </row>
    <row r="376" spans="1:14" x14ac:dyDescent="0.25">
      <c r="A376" s="11" t="s">
        <v>794</v>
      </c>
      <c r="B376" s="96" t="str">
        <f>$B$10</f>
        <v>UIM</v>
      </c>
      <c r="C376" s="16"/>
      <c r="D376" s="16">
        <v>0.54300000000000004</v>
      </c>
      <c r="E376" s="16">
        <v>0.65</v>
      </c>
      <c r="F376" s="16">
        <v>1.853</v>
      </c>
      <c r="G376" s="16">
        <v>1.4890000000000001</v>
      </c>
      <c r="H376" s="16">
        <v>1.103</v>
      </c>
      <c r="I376" s="16">
        <v>0.83399999999999996</v>
      </c>
      <c r="J376" s="17">
        <v>1.194</v>
      </c>
      <c r="K376" s="17">
        <v>1.1739999999999999</v>
      </c>
      <c r="L376" s="17">
        <v>1.3680000000000001</v>
      </c>
      <c r="M376" s="17">
        <v>1.4219999999999999</v>
      </c>
      <c r="N376" s="17">
        <v>1.448</v>
      </c>
    </row>
    <row r="377" spans="1:14" x14ac:dyDescent="0.25">
      <c r="A377" s="11" t="s">
        <v>795</v>
      </c>
      <c r="B377" s="96" t="str">
        <f>$B$9</f>
        <v>NAC</v>
      </c>
      <c r="C377" s="16"/>
      <c r="D377" s="16">
        <v>-0.22500000000000001</v>
      </c>
      <c r="E377" s="16">
        <v>-1.097</v>
      </c>
      <c r="F377" s="16">
        <v>-1.4890000000000001</v>
      </c>
      <c r="G377" s="16">
        <v>-4.9169999999999998</v>
      </c>
      <c r="H377" s="16">
        <v>5.62</v>
      </c>
      <c r="I377" s="16">
        <v>-1.17</v>
      </c>
      <c r="J377" s="17">
        <v>-0.92800000000000005</v>
      </c>
      <c r="K377" s="17">
        <v>0</v>
      </c>
      <c r="L377" s="17">
        <v>0</v>
      </c>
      <c r="M377" s="17">
        <v>0</v>
      </c>
      <c r="N377" s="17">
        <v>0</v>
      </c>
    </row>
    <row r="378" spans="1:14" x14ac:dyDescent="0.25">
      <c r="A378" s="11" t="s">
        <v>796</v>
      </c>
      <c r="B378" s="96" t="str">
        <f>$B$9</f>
        <v>NAC</v>
      </c>
      <c r="C378" s="16"/>
      <c r="D378" s="16">
        <v>0</v>
      </c>
      <c r="E378" s="16">
        <v>0</v>
      </c>
      <c r="F378" s="16">
        <v>-0.14299999999999999</v>
      </c>
      <c r="G378" s="16">
        <v>-1.2E-2</v>
      </c>
      <c r="H378" s="16">
        <v>8.5000000000000006E-2</v>
      </c>
      <c r="I378" s="16">
        <v>-2.3E-2</v>
      </c>
      <c r="J378" s="17">
        <v>-3.5999999999999997E-2</v>
      </c>
      <c r="K378" s="17">
        <v>-0.104</v>
      </c>
      <c r="L378" s="17">
        <v>-0.13</v>
      </c>
      <c r="M378" s="17">
        <v>8.0000000000000002E-3</v>
      </c>
      <c r="N378" s="17">
        <v>-3.4000000000000002E-2</v>
      </c>
    </row>
    <row r="379" spans="1:14" x14ac:dyDescent="0.25">
      <c r="A379" s="55" t="s">
        <v>797</v>
      </c>
      <c r="B379" s="96"/>
      <c r="C379" s="16"/>
      <c r="D379" s="57" t="str">
        <f t="shared" ref="D379:N379" si="88">IF(ROUND(D$138-SUM(C$138,D$374,-D$375,D$376,-D$377,D$378),3)=0,"OK","ERROR")</f>
        <v>OK</v>
      </c>
      <c r="E379" s="57" t="str">
        <f t="shared" si="88"/>
        <v>OK</v>
      </c>
      <c r="F379" s="57" t="str">
        <f t="shared" si="88"/>
        <v>OK</v>
      </c>
      <c r="G379" s="57" t="str">
        <f t="shared" si="88"/>
        <v>OK</v>
      </c>
      <c r="H379" s="57" t="str">
        <f t="shared" si="88"/>
        <v>OK</v>
      </c>
      <c r="I379" s="57" t="str">
        <f t="shared" si="88"/>
        <v>OK</v>
      </c>
      <c r="J379" s="57" t="str">
        <f t="shared" si="88"/>
        <v>OK</v>
      </c>
      <c r="K379" s="57" t="str">
        <f t="shared" si="88"/>
        <v>OK</v>
      </c>
      <c r="L379" s="57" t="str">
        <f t="shared" si="88"/>
        <v>OK</v>
      </c>
      <c r="M379" s="57" t="str">
        <f t="shared" si="88"/>
        <v>OK</v>
      </c>
      <c r="N379" s="57" t="str">
        <f t="shared" si="88"/>
        <v>OK</v>
      </c>
    </row>
    <row r="380" spans="1:14" x14ac:dyDescent="0.25">
      <c r="A380" s="55" t="s">
        <v>637</v>
      </c>
      <c r="B380" s="96"/>
      <c r="C380" s="16"/>
      <c r="D380" s="17"/>
      <c r="E380" s="17"/>
      <c r="F380" s="17"/>
      <c r="G380" s="17"/>
      <c r="H380" s="17"/>
      <c r="I380" s="17"/>
      <c r="J380" s="17"/>
      <c r="K380" s="17"/>
      <c r="L380" s="17"/>
      <c r="M380" s="17"/>
      <c r="N380" s="17"/>
    </row>
    <row r="381" spans="1:14" x14ac:dyDescent="0.25">
      <c r="A381" s="11" t="s">
        <v>731</v>
      </c>
      <c r="B381" s="96" t="str">
        <f>$B$10</f>
        <v>UIM</v>
      </c>
      <c r="C381" s="16"/>
      <c r="D381" s="16">
        <v>56.610999999999997</v>
      </c>
      <c r="E381" s="16">
        <v>64.945999999999998</v>
      </c>
      <c r="F381" s="16">
        <v>59.133000000000003</v>
      </c>
      <c r="G381" s="16">
        <v>54.115000000000002</v>
      </c>
      <c r="H381" s="16">
        <v>55.664000000000001</v>
      </c>
      <c r="I381" s="16">
        <v>65.049000000000007</v>
      </c>
      <c r="J381" s="17">
        <v>68.626999999999995</v>
      </c>
      <c r="K381" s="17">
        <v>71.796999999999997</v>
      </c>
      <c r="L381" s="17">
        <v>75.256</v>
      </c>
      <c r="M381" s="17">
        <v>79.001999999999995</v>
      </c>
      <c r="N381" s="17">
        <v>82.98</v>
      </c>
    </row>
    <row r="382" spans="1:14" x14ac:dyDescent="0.25">
      <c r="A382" s="11" t="s">
        <v>732</v>
      </c>
      <c r="B382" s="96" t="str">
        <f>$B$10</f>
        <v>UIM</v>
      </c>
      <c r="C382" s="16"/>
      <c r="D382" s="16">
        <v>1.3420000000000001</v>
      </c>
      <c r="E382" s="16">
        <v>1.528</v>
      </c>
      <c r="F382" s="16">
        <v>0.80300000000000005</v>
      </c>
      <c r="G382" s="16">
        <v>0.86299999999999999</v>
      </c>
      <c r="H382" s="16">
        <v>1.617</v>
      </c>
      <c r="I382" s="16">
        <v>1.3009999999999999</v>
      </c>
      <c r="J382" s="17">
        <v>1.095</v>
      </c>
      <c r="K382" s="17">
        <v>0.99199999999999999</v>
      </c>
      <c r="L382" s="17">
        <v>0.877</v>
      </c>
      <c r="M382" s="17">
        <v>0.82399999999999995</v>
      </c>
      <c r="N382" s="17">
        <v>0.69299999999999995</v>
      </c>
    </row>
    <row r="383" spans="1:14" x14ac:dyDescent="0.25">
      <c r="A383" s="11" t="s">
        <v>798</v>
      </c>
      <c r="B383" s="96" t="str">
        <f>$B$10</f>
        <v>UIM</v>
      </c>
      <c r="C383" s="16"/>
      <c r="D383" s="16">
        <v>0.26300000000000001</v>
      </c>
      <c r="E383" s="16">
        <v>0.216</v>
      </c>
      <c r="F383" s="16">
        <v>0.4</v>
      </c>
      <c r="G383" s="16">
        <v>0.32300000000000001</v>
      </c>
      <c r="H383" s="16">
        <v>0.23</v>
      </c>
      <c r="I383" s="16">
        <v>0.22500000000000001</v>
      </c>
      <c r="J383" s="17">
        <v>0.20599999999999999</v>
      </c>
      <c r="K383" s="17">
        <v>0.17499999999999999</v>
      </c>
      <c r="L383" s="17">
        <v>0.155</v>
      </c>
      <c r="M383" s="17">
        <v>0.153</v>
      </c>
      <c r="N383" s="17">
        <v>0.156</v>
      </c>
    </row>
    <row r="384" spans="1:14" x14ac:dyDescent="0.25">
      <c r="A384" s="55" t="s">
        <v>799</v>
      </c>
      <c r="B384" s="96"/>
      <c r="C384" s="16"/>
      <c r="D384" s="57" t="str">
        <f t="shared" ref="D384:N384" si="89">IF(ROUND(D$139-SUM(D$381:D$383),3)=0,"OK","ERROR")</f>
        <v>OK</v>
      </c>
      <c r="E384" s="57" t="str">
        <f t="shared" si="89"/>
        <v>OK</v>
      </c>
      <c r="F384" s="57" t="str">
        <f t="shared" si="89"/>
        <v>OK</v>
      </c>
      <c r="G384" s="57" t="str">
        <f t="shared" si="89"/>
        <v>OK</v>
      </c>
      <c r="H384" s="57" t="str">
        <f t="shared" si="89"/>
        <v>OK</v>
      </c>
      <c r="I384" s="57" t="str">
        <f t="shared" si="89"/>
        <v>OK</v>
      </c>
      <c r="J384" s="57" t="str">
        <f t="shared" si="89"/>
        <v>OK</v>
      </c>
      <c r="K384" s="57" t="str">
        <f t="shared" si="89"/>
        <v>OK</v>
      </c>
      <c r="L384" s="57" t="str">
        <f t="shared" si="89"/>
        <v>OK</v>
      </c>
      <c r="M384" s="57" t="str">
        <f t="shared" si="89"/>
        <v>OK</v>
      </c>
      <c r="N384" s="57" t="str">
        <f t="shared" si="89"/>
        <v>OK</v>
      </c>
    </row>
    <row r="385" spans="1:14" x14ac:dyDescent="0.25">
      <c r="A385" s="2"/>
      <c r="B385" s="96"/>
      <c r="C385" s="16"/>
      <c r="D385" s="17"/>
      <c r="E385" s="17"/>
      <c r="F385" s="17"/>
      <c r="G385" s="17"/>
      <c r="H385" s="17"/>
      <c r="I385" s="17"/>
      <c r="J385" s="17"/>
      <c r="K385" s="17"/>
      <c r="L385" s="17"/>
      <c r="M385" s="17"/>
      <c r="N385" s="17"/>
    </row>
    <row r="386" spans="1:14" x14ac:dyDescent="0.25">
      <c r="A386" s="55" t="s">
        <v>800</v>
      </c>
      <c r="B386" s="96"/>
      <c r="C386" s="16"/>
      <c r="D386" s="17"/>
      <c r="E386" s="17"/>
      <c r="F386" s="17"/>
      <c r="G386" s="17"/>
      <c r="H386" s="17"/>
      <c r="I386" s="17"/>
      <c r="J386" s="17"/>
      <c r="K386" s="17"/>
      <c r="L386" s="17"/>
      <c r="M386" s="17"/>
      <c r="N386" s="17"/>
    </row>
    <row r="387" spans="1:14" x14ac:dyDescent="0.25">
      <c r="A387" s="11" t="s">
        <v>801</v>
      </c>
      <c r="B387" s="96" t="str">
        <f t="shared" ref="B387:B393" si="90">$B$10</f>
        <v>UIM</v>
      </c>
      <c r="C387" s="16"/>
      <c r="D387" s="16">
        <v>83.715999999999994</v>
      </c>
      <c r="E387" s="16">
        <v>84.31</v>
      </c>
      <c r="F387" s="16">
        <v>96.551000000000002</v>
      </c>
      <c r="G387" s="16">
        <v>105.48699999999999</v>
      </c>
      <c r="H387" s="16">
        <v>111.292</v>
      </c>
      <c r="I387" s="16">
        <v>116.73699999999999</v>
      </c>
      <c r="J387" s="17">
        <v>123.553</v>
      </c>
      <c r="K387" s="17">
        <v>125.956</v>
      </c>
      <c r="L387" s="17">
        <v>133.53399999999999</v>
      </c>
      <c r="M387" s="17">
        <v>140.86500000000001</v>
      </c>
      <c r="N387" s="17">
        <v>148.369</v>
      </c>
    </row>
    <row r="388" spans="1:14" x14ac:dyDescent="0.25">
      <c r="A388" s="11" t="s">
        <v>575</v>
      </c>
      <c r="B388" s="96" t="str">
        <f t="shared" si="90"/>
        <v>UIM</v>
      </c>
      <c r="C388" s="16"/>
      <c r="D388" s="16">
        <v>1.359</v>
      </c>
      <c r="E388" s="16">
        <v>1.226</v>
      </c>
      <c r="F388" s="16">
        <v>2.2869999999999999</v>
      </c>
      <c r="G388" s="16">
        <v>3.3639999999999999</v>
      </c>
      <c r="H388" s="16">
        <v>2.492</v>
      </c>
      <c r="I388" s="16">
        <v>1.79</v>
      </c>
      <c r="J388" s="17">
        <v>1.9770000000000001</v>
      </c>
      <c r="K388" s="17">
        <v>2.2309999999999999</v>
      </c>
      <c r="L388" s="17">
        <v>2.371</v>
      </c>
      <c r="M388" s="17">
        <v>2.367</v>
      </c>
      <c r="N388" s="17">
        <v>2.35</v>
      </c>
    </row>
    <row r="389" spans="1:14" x14ac:dyDescent="0.25">
      <c r="A389" s="11" t="s">
        <v>576</v>
      </c>
      <c r="B389" s="96" t="str">
        <f t="shared" si="90"/>
        <v>UIM</v>
      </c>
      <c r="C389" s="16"/>
      <c r="D389" s="16">
        <v>0.71199999999999997</v>
      </c>
      <c r="E389" s="16">
        <v>0.42799999999999999</v>
      </c>
      <c r="F389" s="16">
        <v>0.249</v>
      </c>
      <c r="G389" s="16">
        <v>0.39300000000000002</v>
      </c>
      <c r="H389" s="16">
        <v>0.98199999999999998</v>
      </c>
      <c r="I389" s="16">
        <v>1.8779999999999999</v>
      </c>
      <c r="J389" s="17">
        <v>2.7080000000000002</v>
      </c>
      <c r="K389" s="17">
        <v>2.2959999999999998</v>
      </c>
      <c r="L389" s="17">
        <v>1.3180000000000001</v>
      </c>
      <c r="M389" s="17">
        <v>1.2809999999999999</v>
      </c>
      <c r="N389" s="17">
        <v>1.3220000000000001</v>
      </c>
    </row>
    <row r="390" spans="1:14" x14ac:dyDescent="0.25">
      <c r="A390" s="11" t="s">
        <v>802</v>
      </c>
      <c r="B390" s="96" t="str">
        <f t="shared" si="90"/>
        <v>UIM</v>
      </c>
      <c r="C390" s="16"/>
      <c r="D390" s="16">
        <v>3.2</v>
      </c>
      <c r="E390" s="16">
        <v>3.2429999999999999</v>
      </c>
      <c r="F390" s="16">
        <v>2.98</v>
      </c>
      <c r="G390" s="16">
        <v>2.883</v>
      </c>
      <c r="H390" s="16">
        <v>3.9540000000000002</v>
      </c>
      <c r="I390" s="16">
        <v>3.7789999999999999</v>
      </c>
      <c r="J390" s="17">
        <v>3.89</v>
      </c>
      <c r="K390" s="17">
        <v>4.1050000000000004</v>
      </c>
      <c r="L390" s="17">
        <v>4.0579999999999998</v>
      </c>
      <c r="M390" s="17">
        <v>4.1710000000000003</v>
      </c>
      <c r="N390" s="17">
        <v>4.2569999999999997</v>
      </c>
    </row>
    <row r="391" spans="1:14" x14ac:dyDescent="0.25">
      <c r="A391" s="11" t="s">
        <v>803</v>
      </c>
      <c r="B391" s="96" t="str">
        <f t="shared" si="90"/>
        <v>UIM</v>
      </c>
      <c r="C391" s="16"/>
      <c r="D391" s="16">
        <v>28.91</v>
      </c>
      <c r="E391" s="16">
        <v>43.915999999999997</v>
      </c>
      <c r="F391" s="16">
        <v>36.573999999999998</v>
      </c>
      <c r="G391" s="16">
        <v>45.44</v>
      </c>
      <c r="H391" s="16">
        <v>40.417000000000002</v>
      </c>
      <c r="I391" s="16">
        <v>43.494999999999997</v>
      </c>
      <c r="J391" s="17">
        <v>47.723999999999997</v>
      </c>
      <c r="K391" s="17">
        <v>49.08</v>
      </c>
      <c r="L391" s="17">
        <v>50.116</v>
      </c>
      <c r="M391" s="17">
        <v>51.552</v>
      </c>
      <c r="N391" s="17">
        <v>53.042000000000002</v>
      </c>
    </row>
    <row r="392" spans="1:14" x14ac:dyDescent="0.25">
      <c r="A392" s="11" t="s">
        <v>804</v>
      </c>
      <c r="B392" s="96" t="str">
        <f t="shared" si="90"/>
        <v>UIM</v>
      </c>
      <c r="C392" s="16"/>
      <c r="D392" s="16">
        <v>50.591000000000001</v>
      </c>
      <c r="E392" s="16">
        <v>56.582999999999998</v>
      </c>
      <c r="F392" s="16">
        <v>63.893999999999998</v>
      </c>
      <c r="G392" s="16">
        <v>71.98</v>
      </c>
      <c r="H392" s="16">
        <v>76.433999999999997</v>
      </c>
      <c r="I392" s="16">
        <v>79.747</v>
      </c>
      <c r="J392" s="17">
        <v>84.227999999999994</v>
      </c>
      <c r="K392" s="17">
        <v>83.905000000000001</v>
      </c>
      <c r="L392" s="17">
        <v>84.182000000000002</v>
      </c>
      <c r="M392" s="17">
        <v>82.603999999999999</v>
      </c>
      <c r="N392" s="17">
        <v>82.471999999999994</v>
      </c>
    </row>
    <row r="393" spans="1:14" x14ac:dyDescent="0.25">
      <c r="A393" s="11" t="s">
        <v>805</v>
      </c>
      <c r="B393" s="96" t="str">
        <f t="shared" si="90"/>
        <v>UIM</v>
      </c>
      <c r="C393" s="16"/>
      <c r="D393" s="16">
        <v>3.45</v>
      </c>
      <c r="E393" s="16">
        <v>3.016</v>
      </c>
      <c r="F393" s="16">
        <v>2.6419999999999999</v>
      </c>
      <c r="G393" s="16">
        <v>2.8410000000000002</v>
      </c>
      <c r="H393" s="16">
        <v>5.3049999999999997</v>
      </c>
      <c r="I393" s="16">
        <v>7.0439999999999996</v>
      </c>
      <c r="J393" s="17">
        <v>6.9340000000000002</v>
      </c>
      <c r="K393" s="17">
        <v>7.6150000000000002</v>
      </c>
      <c r="L393" s="17">
        <v>8.6690000000000005</v>
      </c>
      <c r="M393" s="17">
        <v>9.2949999999999999</v>
      </c>
      <c r="N393" s="17">
        <v>10.396000000000001</v>
      </c>
    </row>
    <row r="394" spans="1:14" x14ac:dyDescent="0.25">
      <c r="A394" s="55" t="s">
        <v>806</v>
      </c>
      <c r="B394" s="96" t="str">
        <f>$B$9</f>
        <v>NAC</v>
      </c>
      <c r="C394" s="16"/>
      <c r="D394" s="56">
        <f t="shared" ref="D394:N394" si="91">SUM(D$387:D$390)-SUM(D$21:D$22,D$391:D$393)</f>
        <v>6.0359999999999872</v>
      </c>
      <c r="E394" s="56">
        <f t="shared" si="91"/>
        <v>-14.308000000000007</v>
      </c>
      <c r="F394" s="56">
        <f t="shared" si="91"/>
        <v>-1.0429999999999779</v>
      </c>
      <c r="G394" s="56">
        <f t="shared" si="91"/>
        <v>-8.1340000000000003</v>
      </c>
      <c r="H394" s="56">
        <f t="shared" si="91"/>
        <v>-3.436000000000007</v>
      </c>
      <c r="I394" s="56">
        <f t="shared" si="91"/>
        <v>-6.1020000000000039</v>
      </c>
      <c r="J394" s="56">
        <f t="shared" si="91"/>
        <v>-4.0579999999999927</v>
      </c>
      <c r="K394" s="56">
        <f t="shared" si="91"/>
        <v>-6.8320000000000221</v>
      </c>
      <c r="L394" s="56">
        <f t="shared" si="91"/>
        <v>-3.8050000000000068</v>
      </c>
      <c r="M394" s="56">
        <f t="shared" si="91"/>
        <v>0.46399999999999864</v>
      </c>
      <c r="N394" s="56">
        <f t="shared" si="91"/>
        <v>3.0849999999999795</v>
      </c>
    </row>
    <row r="395" spans="1:14" x14ac:dyDescent="0.25">
      <c r="A395" s="11" t="s">
        <v>807</v>
      </c>
      <c r="B395" s="96" t="str">
        <f>$B$10</f>
        <v>UIM</v>
      </c>
      <c r="C395" s="16"/>
      <c r="D395" s="16">
        <v>-3.0019999999999998</v>
      </c>
      <c r="E395" s="16">
        <v>-2.9550000000000001</v>
      </c>
      <c r="F395" s="16">
        <v>-3.137</v>
      </c>
      <c r="G395" s="16">
        <v>-3.4740000000000002</v>
      </c>
      <c r="H395" s="16">
        <v>-4.4349999999999996</v>
      </c>
      <c r="I395" s="16">
        <v>-4.7009999999999996</v>
      </c>
      <c r="J395" s="17">
        <v>-4.242</v>
      </c>
      <c r="K395" s="17">
        <v>-4.3230000000000004</v>
      </c>
      <c r="L395" s="17">
        <v>-3.5950000000000002</v>
      </c>
      <c r="M395" s="17">
        <v>-2.7170000000000001</v>
      </c>
      <c r="N395" s="17">
        <v>-2.4750000000000001</v>
      </c>
    </row>
    <row r="396" spans="1:14" x14ac:dyDescent="0.25">
      <c r="A396" s="11" t="s">
        <v>808</v>
      </c>
      <c r="B396" s="96" t="str">
        <f>$B$10</f>
        <v>UIM</v>
      </c>
      <c r="C396" s="16"/>
      <c r="D396" s="16">
        <v>-8.5999999999999993E-2</v>
      </c>
      <c r="E396" s="16">
        <v>-1.798</v>
      </c>
      <c r="F396" s="16">
        <v>-3.8679999999999999</v>
      </c>
      <c r="G396" s="16">
        <v>-9.1920000000000002</v>
      </c>
      <c r="H396" s="16">
        <v>-9.1590000000000007</v>
      </c>
      <c r="I396" s="16">
        <v>-2.5329999999999999</v>
      </c>
      <c r="J396" s="17">
        <v>5.3380000000000001</v>
      </c>
      <c r="K396" s="17">
        <v>4.7889999999999997</v>
      </c>
      <c r="L396" s="17">
        <v>-2.992</v>
      </c>
      <c r="M396" s="17">
        <v>-1.8180000000000001</v>
      </c>
      <c r="N396" s="17">
        <v>-1.944</v>
      </c>
    </row>
    <row r="397" spans="1:14" x14ac:dyDescent="0.25">
      <c r="A397" s="11" t="s">
        <v>809</v>
      </c>
      <c r="B397" s="96" t="str">
        <f>$B$10</f>
        <v>UIM</v>
      </c>
      <c r="C397" s="16"/>
      <c r="D397" s="16">
        <v>-2.6579999999999999</v>
      </c>
      <c r="E397" s="16">
        <v>-3.1709999999999998</v>
      </c>
      <c r="F397" s="16">
        <v>-3.5990000000000002</v>
      </c>
      <c r="G397" s="16">
        <v>-3.823</v>
      </c>
      <c r="H397" s="16">
        <v>-6.06</v>
      </c>
      <c r="I397" s="16">
        <v>-4.3520000000000003</v>
      </c>
      <c r="J397" s="17">
        <v>-7.649</v>
      </c>
      <c r="K397" s="17">
        <v>-6.5069999999999997</v>
      </c>
      <c r="L397" s="17">
        <v>-4.774</v>
      </c>
      <c r="M397" s="17">
        <v>-3.9990000000000001</v>
      </c>
      <c r="N397" s="17">
        <v>-2.8170000000000002</v>
      </c>
    </row>
    <row r="398" spans="1:14" x14ac:dyDescent="0.25">
      <c r="A398" s="55" t="s">
        <v>810</v>
      </c>
      <c r="B398" s="96" t="str">
        <f>$B$9</f>
        <v>NAC</v>
      </c>
      <c r="C398" s="16"/>
      <c r="D398" s="56">
        <f t="shared" ref="D398:N398" si="92">SUM(D$395:D$397)-SUM(D$362,D$131-C$131,D$132-C$132)</f>
        <v>-6.7459999999999996</v>
      </c>
      <c r="E398" s="56">
        <f t="shared" si="92"/>
        <v>-9.3840000000000003</v>
      </c>
      <c r="F398" s="56">
        <f t="shared" si="92"/>
        <v>-12.724</v>
      </c>
      <c r="G398" s="56">
        <f t="shared" si="92"/>
        <v>-18.908999999999999</v>
      </c>
      <c r="H398" s="56">
        <f t="shared" si="92"/>
        <v>-22.212</v>
      </c>
      <c r="I398" s="56">
        <f t="shared" si="92"/>
        <v>-13.200000000000001</v>
      </c>
      <c r="J398" s="56">
        <f t="shared" si="92"/>
        <v>-5.9320000000000004</v>
      </c>
      <c r="K398" s="56">
        <f t="shared" si="92"/>
        <v>-7.7010000000000005</v>
      </c>
      <c r="L398" s="56">
        <f t="shared" si="92"/>
        <v>-14.407</v>
      </c>
      <c r="M398" s="56">
        <f t="shared" si="92"/>
        <v>-11.879000000000001</v>
      </c>
      <c r="N398" s="56">
        <f t="shared" si="92"/>
        <v>-11.23</v>
      </c>
    </row>
    <row r="399" spans="1:14" x14ac:dyDescent="0.25">
      <c r="A399" s="55" t="s">
        <v>811</v>
      </c>
      <c r="B399" s="96" t="str">
        <f>$B$9</f>
        <v>NAC</v>
      </c>
      <c r="C399" s="16"/>
      <c r="D399" s="47">
        <v>-0.71</v>
      </c>
      <c r="E399" s="47">
        <v>-23.692</v>
      </c>
      <c r="F399" s="47">
        <v>-13.766999999999999</v>
      </c>
      <c r="G399" s="47">
        <v>-27.042999999999999</v>
      </c>
      <c r="H399" s="47">
        <v>-25.648</v>
      </c>
      <c r="I399" s="47">
        <v>-19.302</v>
      </c>
      <c r="J399" s="43">
        <v>-9.99</v>
      </c>
      <c r="K399" s="43">
        <v>-14.532999999999999</v>
      </c>
      <c r="L399" s="43">
        <v>-18.212</v>
      </c>
      <c r="M399" s="43">
        <v>-11.414999999999999</v>
      </c>
      <c r="N399" s="43">
        <v>-8.1449999999999996</v>
      </c>
    </row>
    <row r="400" spans="1:14" x14ac:dyDescent="0.25">
      <c r="A400" s="55" t="s">
        <v>812</v>
      </c>
      <c r="B400" s="96"/>
      <c r="C400" s="16"/>
      <c r="D400" s="57" t="str">
        <f t="shared" ref="D400:N400" si="93">IF(ROUND(D$399-SUM(D$394,D$398),3)=0,"OK","ERROR")</f>
        <v>OK</v>
      </c>
      <c r="E400" s="57" t="str">
        <f t="shared" si="93"/>
        <v>OK</v>
      </c>
      <c r="F400" s="57" t="str">
        <f t="shared" si="93"/>
        <v>OK</v>
      </c>
      <c r="G400" s="57" t="str">
        <f t="shared" si="93"/>
        <v>OK</v>
      </c>
      <c r="H400" s="57" t="str">
        <f t="shared" si="93"/>
        <v>OK</v>
      </c>
      <c r="I400" s="57" t="str">
        <f t="shared" si="93"/>
        <v>OK</v>
      </c>
      <c r="J400" s="57" t="str">
        <f t="shared" si="93"/>
        <v>OK</v>
      </c>
      <c r="K400" s="57" t="str">
        <f t="shared" si="93"/>
        <v>OK</v>
      </c>
      <c r="L400" s="57" t="str">
        <f t="shared" si="93"/>
        <v>OK</v>
      </c>
      <c r="M400" s="57" t="str">
        <f t="shared" si="93"/>
        <v>OK</v>
      </c>
      <c r="N400" s="57" t="str">
        <f t="shared" si="93"/>
        <v>OK</v>
      </c>
    </row>
    <row r="401" spans="1:14" x14ac:dyDescent="0.25">
      <c r="A401" s="55" t="s">
        <v>813</v>
      </c>
      <c r="B401" s="96" t="str">
        <f>$B$10</f>
        <v>UIM</v>
      </c>
      <c r="C401" s="16"/>
      <c r="D401" s="47">
        <v>-4.9580000000000002</v>
      </c>
      <c r="E401" s="47">
        <v>33.061999999999998</v>
      </c>
      <c r="F401" s="47">
        <v>3.8090000000000002</v>
      </c>
      <c r="G401" s="47">
        <v>28.693999999999999</v>
      </c>
      <c r="H401" s="47">
        <v>22.715</v>
      </c>
      <c r="I401" s="47">
        <v>25.202999999999999</v>
      </c>
      <c r="J401" s="43">
        <v>22.451000000000001</v>
      </c>
      <c r="K401" s="43">
        <v>20.768000000000001</v>
      </c>
      <c r="L401" s="43">
        <v>15.787000000000001</v>
      </c>
      <c r="M401" s="43">
        <v>10.113</v>
      </c>
      <c r="N401" s="43">
        <v>6.9329999999999998</v>
      </c>
    </row>
    <row r="402" spans="1:14" x14ac:dyDescent="0.25">
      <c r="A402" s="11" t="s">
        <v>814</v>
      </c>
      <c r="B402" s="96" t="str">
        <f>$B$10</f>
        <v>UIM</v>
      </c>
      <c r="C402" s="16"/>
      <c r="D402" s="16">
        <v>5.1630000000000003</v>
      </c>
      <c r="E402" s="16">
        <v>-14.911</v>
      </c>
      <c r="F402" s="16">
        <v>6.0419999999999998</v>
      </c>
      <c r="G402" s="16">
        <v>-2.8000000000000001E-2</v>
      </c>
      <c r="H402" s="16">
        <v>2.7749999999999999</v>
      </c>
      <c r="I402" s="16">
        <v>-8.4169999999999998</v>
      </c>
      <c r="J402" s="17">
        <v>-5.7210000000000001</v>
      </c>
      <c r="K402" s="17">
        <v>-6.3159999999999998</v>
      </c>
      <c r="L402" s="17">
        <v>2.339</v>
      </c>
      <c r="M402" s="17">
        <v>1.2090000000000001</v>
      </c>
      <c r="N402" s="17">
        <v>1.113</v>
      </c>
    </row>
    <row r="403" spans="1:14" x14ac:dyDescent="0.25">
      <c r="A403" s="11" t="s">
        <v>815</v>
      </c>
      <c r="B403" s="96" t="str">
        <f>$B$10</f>
        <v>UIM</v>
      </c>
      <c r="C403" s="16"/>
      <c r="D403" s="16">
        <v>6.8000000000000005E-2</v>
      </c>
      <c r="E403" s="16">
        <v>4.3319999999999999</v>
      </c>
      <c r="F403" s="16">
        <v>3.6819999999999999</v>
      </c>
      <c r="G403" s="16">
        <v>-2.4279999999999999</v>
      </c>
      <c r="H403" s="16">
        <v>0.217</v>
      </c>
      <c r="I403" s="16">
        <v>2.54</v>
      </c>
      <c r="J403" s="17">
        <v>-6.8289999999999997</v>
      </c>
      <c r="K403" s="17">
        <v>-0.01</v>
      </c>
      <c r="L403" s="17">
        <v>-6.0000000000000001E-3</v>
      </c>
      <c r="M403" s="17">
        <v>1E-3</v>
      </c>
      <c r="N403" s="17">
        <v>6.0000000000000001E-3</v>
      </c>
    </row>
    <row r="404" spans="1:14" x14ac:dyDescent="0.25">
      <c r="A404" s="55" t="s">
        <v>816</v>
      </c>
      <c r="B404" s="96" t="str">
        <f>$B$9</f>
        <v>NAC</v>
      </c>
      <c r="C404" s="16"/>
      <c r="D404" s="56">
        <f t="shared" ref="D404:N404" si="94">SUM(D$92,D$402:D$403)</f>
        <v>5.6680000000000001</v>
      </c>
      <c r="E404" s="56">
        <f t="shared" si="94"/>
        <v>-9.370000000000001</v>
      </c>
      <c r="F404" s="56">
        <f t="shared" si="94"/>
        <v>9.9580000000000002</v>
      </c>
      <c r="G404" s="56">
        <f t="shared" si="94"/>
        <v>-1.6509999999999998</v>
      </c>
      <c r="H404" s="56">
        <f t="shared" si="94"/>
        <v>2.9329999999999998</v>
      </c>
      <c r="I404" s="56">
        <f t="shared" si="94"/>
        <v>-5.9009999999999989</v>
      </c>
      <c r="J404" s="56">
        <f t="shared" si="94"/>
        <v>-12.460999999999999</v>
      </c>
      <c r="K404" s="56">
        <f t="shared" si="94"/>
        <v>-6.2349999999999994</v>
      </c>
      <c r="L404" s="56">
        <f t="shared" si="94"/>
        <v>2.4250000000000003</v>
      </c>
      <c r="M404" s="56">
        <f t="shared" si="94"/>
        <v>1.302</v>
      </c>
      <c r="N404" s="56">
        <f t="shared" si="94"/>
        <v>1.212</v>
      </c>
    </row>
    <row r="405" spans="1:14" x14ac:dyDescent="0.25">
      <c r="A405" s="55" t="s">
        <v>817</v>
      </c>
      <c r="B405" s="16"/>
      <c r="C405" s="16"/>
      <c r="D405" s="56">
        <f t="shared" ref="D405:N405" si="95">SUM(D$401,D$404)</f>
        <v>0.71</v>
      </c>
      <c r="E405" s="56">
        <f t="shared" si="95"/>
        <v>23.691999999999997</v>
      </c>
      <c r="F405" s="56">
        <f t="shared" si="95"/>
        <v>13.766999999999999</v>
      </c>
      <c r="G405" s="56">
        <f t="shared" si="95"/>
        <v>27.042999999999999</v>
      </c>
      <c r="H405" s="56">
        <f t="shared" si="95"/>
        <v>25.648</v>
      </c>
      <c r="I405" s="56">
        <f t="shared" si="95"/>
        <v>19.302</v>
      </c>
      <c r="J405" s="56">
        <f t="shared" si="95"/>
        <v>9.990000000000002</v>
      </c>
      <c r="K405" s="56">
        <f t="shared" si="95"/>
        <v>14.533000000000001</v>
      </c>
      <c r="L405" s="56">
        <f t="shared" si="95"/>
        <v>18.212</v>
      </c>
      <c r="M405" s="56">
        <f t="shared" si="95"/>
        <v>11.414999999999999</v>
      </c>
      <c r="N405" s="56">
        <f t="shared" si="95"/>
        <v>8.1449999999999996</v>
      </c>
    </row>
    <row r="407" spans="1:14" x14ac:dyDescent="0.25">
      <c r="A407" s="55" t="s">
        <v>981</v>
      </c>
    </row>
    <row r="408" spans="1:14" x14ac:dyDescent="0.25">
      <c r="A408" s="11" t="s">
        <v>1258</v>
      </c>
      <c r="D408" s="16">
        <v>1.8959999999999999</v>
      </c>
      <c r="E408" s="16">
        <v>2.0070000000000001</v>
      </c>
      <c r="F408" s="16">
        <v>2.1320000000000001</v>
      </c>
      <c r="G408" s="16">
        <v>2.2469999999999999</v>
      </c>
      <c r="H408" s="16">
        <v>2.355</v>
      </c>
      <c r="I408" s="16">
        <v>2.71</v>
      </c>
      <c r="J408" s="17">
        <v>2.9649999999999999</v>
      </c>
      <c r="K408" s="17">
        <v>3.0649999999999999</v>
      </c>
      <c r="L408" s="17">
        <v>3.0990000000000002</v>
      </c>
      <c r="M408" s="17">
        <v>3.1419999999999999</v>
      </c>
      <c r="N408" s="17">
        <v>3.1850000000000001</v>
      </c>
    </row>
    <row r="409" spans="1:14" x14ac:dyDescent="0.25">
      <c r="A409" s="11" t="s">
        <v>1259</v>
      </c>
      <c r="D409" s="16">
        <v>3.835</v>
      </c>
      <c r="E409" s="16">
        <v>4.0129999999999999</v>
      </c>
      <c r="F409" s="16">
        <v>4.6470000000000002</v>
      </c>
      <c r="G409" s="16">
        <v>4.7329999999999997</v>
      </c>
      <c r="H409" s="16">
        <v>4.7789999999999999</v>
      </c>
      <c r="I409" s="16">
        <v>5.39</v>
      </c>
      <c r="J409" s="17">
        <f>4.788+0.759</f>
        <v>5.5470000000000006</v>
      </c>
      <c r="K409" s="17">
        <f>4.964+0.75</f>
        <v>5.7140000000000004</v>
      </c>
      <c r="L409" s="17">
        <f>4.964+0.692</f>
        <v>5.6560000000000006</v>
      </c>
      <c r="M409" s="17">
        <f>4.899+0.626</f>
        <v>5.5250000000000004</v>
      </c>
      <c r="N409" s="17">
        <f>4.824+0.625</f>
        <v>5.4489999999999998</v>
      </c>
    </row>
    <row r="410" spans="1:14" x14ac:dyDescent="0.25">
      <c r="A410" s="11" t="s">
        <v>1260</v>
      </c>
      <c r="D410" s="16">
        <v>2.988</v>
      </c>
      <c r="E410" s="16">
        <v>3.0950000000000002</v>
      </c>
      <c r="F410" s="16">
        <v>3.5830000000000002</v>
      </c>
      <c r="G410" s="16">
        <v>3.7450000000000001</v>
      </c>
      <c r="H410" s="16">
        <v>3.8370000000000002</v>
      </c>
      <c r="I410" s="16">
        <v>4.351</v>
      </c>
      <c r="J410" s="17">
        <f>3.776+0.758</f>
        <v>4.5339999999999998</v>
      </c>
      <c r="K410" s="17">
        <f>3.993+0.75</f>
        <v>4.7430000000000003</v>
      </c>
      <c r="L410" s="17">
        <f>4.01+0.691</f>
        <v>4.7009999999999996</v>
      </c>
      <c r="M410" s="17">
        <f>3.986+0.626</f>
        <v>4.6120000000000001</v>
      </c>
      <c r="N410" s="17">
        <f>3.958+0.625</f>
        <v>4.5830000000000002</v>
      </c>
    </row>
    <row r="411" spans="1:14" x14ac:dyDescent="0.25">
      <c r="A411" s="11" t="s">
        <v>1261</v>
      </c>
      <c r="D411" s="16">
        <f>3.177+0.352-0.563</f>
        <v>2.9660000000000002</v>
      </c>
      <c r="E411" s="16">
        <v>4.548</v>
      </c>
      <c r="F411" s="16">
        <f>2.717+0.212-0.469</f>
        <v>2.4600000000000004</v>
      </c>
      <c r="G411" s="16">
        <f>3.96+0.288-0.489</f>
        <v>3.7590000000000003</v>
      </c>
      <c r="H411" s="16">
        <f>3.864+0.274-0.551</f>
        <v>3.5869999999999997</v>
      </c>
      <c r="I411" s="16">
        <f>3.885+0.603-0.544</f>
        <v>3.9439999999999995</v>
      </c>
      <c r="J411" s="17">
        <f>3.249+0.662+0.612-0.56</f>
        <v>3.9629999999999996</v>
      </c>
      <c r="K411" s="17">
        <f>3.232+0.584+0.691-0.636</f>
        <v>3.8710000000000004</v>
      </c>
      <c r="L411" s="17">
        <f>3.174+0.576+0.728-0.628</f>
        <v>3.8499999999999996</v>
      </c>
      <c r="M411" s="17">
        <f>3.132+0.573+0.79-0.627</f>
        <v>3.8680000000000003</v>
      </c>
      <c r="N411" s="17">
        <f>3.136+0.574+0.876-0.653</f>
        <v>3.9330000000000003</v>
      </c>
    </row>
    <row r="412" spans="1:14" x14ac:dyDescent="0.25">
      <c r="A412" s="11" t="s">
        <v>1269</v>
      </c>
      <c r="D412" s="16">
        <v>0.58299999999999996</v>
      </c>
      <c r="E412" s="16">
        <v>0.56699999999999995</v>
      </c>
      <c r="F412" s="16">
        <v>0.59</v>
      </c>
      <c r="G412" s="16">
        <v>0.55600000000000005</v>
      </c>
      <c r="H412" s="16">
        <v>0.52500000000000002</v>
      </c>
      <c r="I412" s="16">
        <v>0.52600000000000002</v>
      </c>
      <c r="J412" s="17">
        <v>0.57799999999999996</v>
      </c>
      <c r="K412" s="17">
        <v>0.63500000000000001</v>
      </c>
      <c r="L412" s="17">
        <v>0.64</v>
      </c>
      <c r="M412" s="17">
        <v>0.63700000000000001</v>
      </c>
      <c r="N412" s="17">
        <v>0.628</v>
      </c>
    </row>
    <row r="413" spans="1:14" x14ac:dyDescent="0.25">
      <c r="A413" s="11" t="s">
        <v>1270</v>
      </c>
      <c r="D413" s="16">
        <f>0.563-0.352*0</f>
        <v>0.56299999999999994</v>
      </c>
      <c r="E413" s="16">
        <v>0.50600000000000001</v>
      </c>
      <c r="F413" s="16">
        <f>0.469-0.212*0</f>
        <v>0.46899999999999997</v>
      </c>
      <c r="G413" s="16">
        <f>0.489+0.288*0</f>
        <v>0.48899999999999999</v>
      </c>
      <c r="H413" s="16">
        <f>0.551+0.274*0</f>
        <v>0.55100000000000005</v>
      </c>
      <c r="I413" s="16">
        <f>0.544-0.603*0</f>
        <v>0.54400000000000004</v>
      </c>
      <c r="J413" s="17">
        <v>0.56000000000000005</v>
      </c>
      <c r="K413" s="17">
        <v>0.63600000000000001</v>
      </c>
      <c r="L413" s="17">
        <v>0.628</v>
      </c>
      <c r="M413" s="17">
        <v>0.627</v>
      </c>
      <c r="N413" s="17">
        <v>0.65300000000000002</v>
      </c>
    </row>
    <row r="414" spans="1:14" x14ac:dyDescent="0.25">
      <c r="A414" s="11" t="s">
        <v>1271</v>
      </c>
      <c r="D414" s="16">
        <v>1.462</v>
      </c>
      <c r="E414" s="16">
        <v>1.5860000000000001</v>
      </c>
      <c r="F414" s="16">
        <v>2.1579999999999999</v>
      </c>
      <c r="G414" s="16">
        <v>2.4940000000000002</v>
      </c>
      <c r="H414" s="16">
        <v>2.7690000000000001</v>
      </c>
      <c r="I414" s="16">
        <v>2.758</v>
      </c>
      <c r="J414" s="17">
        <f>2.561+0.054+0.16</f>
        <v>2.7749999999999999</v>
      </c>
      <c r="K414" s="17">
        <f>2.539+0.026+0.225</f>
        <v>2.79</v>
      </c>
      <c r="L414" s="17">
        <f>2.583+0.026+0.197</f>
        <v>2.806</v>
      </c>
      <c r="M414" s="17">
        <f>2.583+0.026+0.159</f>
        <v>2.7679999999999998</v>
      </c>
      <c r="N414" s="17">
        <f>2.602+0.026+0.138</f>
        <v>2.7659999999999996</v>
      </c>
    </row>
    <row r="415" spans="1:14" x14ac:dyDescent="0.25">
      <c r="A415" s="55" t="s">
        <v>1272</v>
      </c>
      <c r="D415" s="57" t="str">
        <f>IF(ROUND(D$59-SUM(D$408:D$414),3)=0,"OK","ERROR")</f>
        <v>OK</v>
      </c>
      <c r="E415" s="57" t="str">
        <f t="shared" ref="E415:N415" si="96">IF(ROUND(E$59-SUM(E$408:E$414),3)=0,"OK","ERROR")</f>
        <v>OK</v>
      </c>
      <c r="F415" s="57" t="str">
        <f t="shared" si="96"/>
        <v>OK</v>
      </c>
      <c r="G415" s="57" t="str">
        <f t="shared" si="96"/>
        <v>OK</v>
      </c>
      <c r="H415" s="57" t="str">
        <f t="shared" si="96"/>
        <v>OK</v>
      </c>
      <c r="I415" s="57" t="str">
        <f t="shared" si="96"/>
        <v>OK</v>
      </c>
      <c r="J415" s="57" t="str">
        <f t="shared" si="96"/>
        <v>OK</v>
      </c>
      <c r="K415" s="57" t="str">
        <f t="shared" si="96"/>
        <v>OK</v>
      </c>
      <c r="L415" s="57" t="str">
        <f t="shared" si="96"/>
        <v>OK</v>
      </c>
      <c r="M415" s="57" t="str">
        <f t="shared" si="96"/>
        <v>OK</v>
      </c>
      <c r="N415" s="57" t="str">
        <f t="shared" si="96"/>
        <v>OK</v>
      </c>
    </row>
    <row r="417" spans="1:15" x14ac:dyDescent="0.25">
      <c r="A417" s="11" t="s">
        <v>1273</v>
      </c>
      <c r="D417" s="16">
        <v>2.601</v>
      </c>
      <c r="E417" s="16">
        <v>2.7189999999999999</v>
      </c>
      <c r="F417" s="16">
        <v>3.1219999999999999</v>
      </c>
      <c r="G417" s="16">
        <v>2.782</v>
      </c>
      <c r="H417" s="16">
        <v>2.2120000000000002</v>
      </c>
      <c r="I417" s="16">
        <v>3.3109999999999999</v>
      </c>
      <c r="J417" s="17">
        <v>3.948</v>
      </c>
      <c r="K417" s="17">
        <v>3.9670000000000001</v>
      </c>
      <c r="L417" s="17">
        <v>4.09</v>
      </c>
      <c r="M417" s="17">
        <v>3.972</v>
      </c>
      <c r="N417" s="17">
        <v>4.5410000000000004</v>
      </c>
    </row>
    <row r="419" spans="1:15" x14ac:dyDescent="0.25">
      <c r="I419" s="113"/>
      <c r="J419" s="113"/>
      <c r="K419" s="113"/>
      <c r="L419" s="113"/>
      <c r="M419" s="113"/>
      <c r="N419" s="113"/>
      <c r="O419" s="113"/>
    </row>
    <row r="420" spans="1:15" x14ac:dyDescent="0.25">
      <c r="I420" s="113"/>
      <c r="J420" s="113"/>
      <c r="K420" s="113"/>
      <c r="L420" s="113"/>
      <c r="M420" s="113"/>
      <c r="N420" s="113"/>
      <c r="O420" s="113"/>
    </row>
  </sheetData>
  <phoneticPr fontId="39"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70B7F-D4A5-4462-AE92-5E9877D8EC4E}">
  <dimension ref="A1:G64"/>
  <sheetViews>
    <sheetView zoomScaleNormal="100" workbookViewId="0"/>
  </sheetViews>
  <sheetFormatPr defaultRowHeight="15" x14ac:dyDescent="0.25"/>
  <cols>
    <col min="1" max="1" width="115.7109375" customWidth="1"/>
    <col min="2" max="2" width="5.7109375" customWidth="1"/>
    <col min="3" max="7" width="12.7109375" customWidth="1"/>
  </cols>
  <sheetData>
    <row r="1" spans="1:7" x14ac:dyDescent="0.25">
      <c r="A1" s="9" t="s">
        <v>121</v>
      </c>
      <c r="B1" s="9"/>
    </row>
    <row r="2" spans="1:7" x14ac:dyDescent="0.25">
      <c r="A2" s="10" t="s">
        <v>818</v>
      </c>
      <c r="B2" s="10"/>
    </row>
    <row r="3" spans="1:7" x14ac:dyDescent="0.25">
      <c r="A3" s="10" t="s">
        <v>122</v>
      </c>
      <c r="B3" s="11"/>
    </row>
    <row r="4" spans="1:7" x14ac:dyDescent="0.25">
      <c r="A4" s="10" t="s">
        <v>123</v>
      </c>
      <c r="B4" s="9"/>
    </row>
    <row r="5" spans="1:7" x14ac:dyDescent="0.25">
      <c r="A5" s="10" t="s">
        <v>819</v>
      </c>
      <c r="B5" s="11"/>
    </row>
    <row r="6" spans="1:7" x14ac:dyDescent="0.25">
      <c r="A6" s="10"/>
      <c r="B6" s="11"/>
    </row>
    <row r="7" spans="1:7" x14ac:dyDescent="0.25">
      <c r="A7" s="9" t="s">
        <v>124</v>
      </c>
      <c r="B7" s="11"/>
      <c r="C7" s="9" t="s">
        <v>1474</v>
      </c>
      <c r="D7" s="9" t="s">
        <v>1426</v>
      </c>
      <c r="E7" s="9" t="s">
        <v>1429</v>
      </c>
      <c r="F7" s="9" t="s">
        <v>1430</v>
      </c>
      <c r="G7" s="9" t="s">
        <v>1431</v>
      </c>
    </row>
    <row r="8" spans="1:7" x14ac:dyDescent="0.25">
      <c r="A8" s="9" t="s">
        <v>125</v>
      </c>
      <c r="B8" s="11"/>
      <c r="C8" s="22">
        <v>2030</v>
      </c>
      <c r="D8" s="22">
        <v>2030</v>
      </c>
      <c r="E8" s="22">
        <v>2030</v>
      </c>
      <c r="F8" s="22">
        <v>2030</v>
      </c>
      <c r="G8" s="22">
        <v>2030</v>
      </c>
    </row>
    <row r="9" spans="1:7" x14ac:dyDescent="0.25">
      <c r="A9" s="9" t="s">
        <v>820</v>
      </c>
      <c r="B9" s="11"/>
      <c r="C9" s="22">
        <v>0</v>
      </c>
      <c r="D9" s="22">
        <v>0</v>
      </c>
      <c r="E9" s="22">
        <v>0</v>
      </c>
      <c r="F9" s="22">
        <v>0</v>
      </c>
      <c r="G9" s="22">
        <v>0</v>
      </c>
    </row>
    <row r="10" spans="1:7" x14ac:dyDescent="0.25">
      <c r="A10" s="9"/>
      <c r="B10" s="9"/>
      <c r="C10" s="16"/>
      <c r="D10" s="16"/>
      <c r="E10" s="16"/>
      <c r="F10" s="16"/>
      <c r="G10" s="16"/>
    </row>
    <row r="11" spans="1:7" x14ac:dyDescent="0.25">
      <c r="A11" s="9" t="s">
        <v>126</v>
      </c>
      <c r="B11" s="30" t="s">
        <v>132</v>
      </c>
    </row>
    <row r="12" spans="1:7" x14ac:dyDescent="0.25">
      <c r="A12" s="11" t="s">
        <v>65</v>
      </c>
      <c r="B12" s="9"/>
      <c r="C12" s="18">
        <v>4.2500000000000003E-2</v>
      </c>
      <c r="D12" s="18">
        <v>4.2500000000000003E-2</v>
      </c>
      <c r="E12" s="18">
        <v>4.2500000000000003E-2</v>
      </c>
      <c r="F12" s="18">
        <v>4.2500000000000003E-2</v>
      </c>
      <c r="G12" s="18">
        <v>4.2500000000000003E-2</v>
      </c>
    </row>
    <row r="13" spans="1:7" x14ac:dyDescent="0.25">
      <c r="A13" s="11" t="s">
        <v>127</v>
      </c>
      <c r="B13" s="9"/>
      <c r="C13" s="20">
        <v>33.6</v>
      </c>
      <c r="D13" s="20">
        <v>33.6</v>
      </c>
      <c r="E13" s="20">
        <v>33.6</v>
      </c>
      <c r="F13" s="20">
        <v>33.6</v>
      </c>
      <c r="G13" s="20">
        <v>33.6</v>
      </c>
    </row>
    <row r="14" spans="1:7" x14ac:dyDescent="0.25">
      <c r="A14" s="11" t="s">
        <v>128</v>
      </c>
      <c r="B14" s="9"/>
      <c r="C14" s="18">
        <v>8.9999999999999993E-3</v>
      </c>
      <c r="D14" s="18">
        <v>8.9999999999999993E-3</v>
      </c>
      <c r="E14" s="18">
        <v>8.9999999999999993E-3</v>
      </c>
      <c r="F14" s="18">
        <v>8.9999999999999993E-3</v>
      </c>
      <c r="G14" s="18">
        <v>8.9999999999999993E-3</v>
      </c>
    </row>
    <row r="15" spans="1:7" x14ac:dyDescent="0.25">
      <c r="A15" s="11" t="s">
        <v>129</v>
      </c>
      <c r="B15" s="9"/>
      <c r="C15" s="18">
        <v>0.02</v>
      </c>
      <c r="D15" s="18">
        <v>0.02</v>
      </c>
      <c r="E15" s="18">
        <v>0.02</v>
      </c>
      <c r="F15" s="18">
        <v>0.02</v>
      </c>
      <c r="G15" s="18">
        <v>0.02</v>
      </c>
    </row>
    <row r="16" spans="1:7" x14ac:dyDescent="0.25">
      <c r="A16" s="11" t="s">
        <v>130</v>
      </c>
      <c r="B16" s="9"/>
      <c r="C16" s="18">
        <v>4.2999999999999997E-2</v>
      </c>
      <c r="D16" s="18">
        <v>4.2999999999999997E-2</v>
      </c>
      <c r="E16" s="18">
        <v>4.2999999999999997E-2</v>
      </c>
      <c r="F16" s="18">
        <v>4.2999999999999997E-2</v>
      </c>
      <c r="G16" s="18">
        <v>4.2999999999999997E-2</v>
      </c>
    </row>
    <row r="17" spans="1:7" x14ac:dyDescent="0.25">
      <c r="A17" s="12" t="s">
        <v>131</v>
      </c>
      <c r="B17" s="30" t="s">
        <v>133</v>
      </c>
    </row>
    <row r="18" spans="1:7" x14ac:dyDescent="0.25">
      <c r="A18" s="11" t="s">
        <v>134</v>
      </c>
      <c r="B18" s="9"/>
      <c r="C18" s="18">
        <v>6.9999999999999999E-4</v>
      </c>
      <c r="D18" s="18">
        <v>6.9999999999999999E-4</v>
      </c>
      <c r="E18" s="18">
        <v>6.9999999999999999E-4</v>
      </c>
      <c r="F18" s="18">
        <v>6.9999999999999999E-4</v>
      </c>
      <c r="G18" s="18">
        <v>6.9999999999999999E-4</v>
      </c>
    </row>
    <row r="19" spans="1:7" x14ac:dyDescent="0.25">
      <c r="A19" s="11" t="s">
        <v>135</v>
      </c>
      <c r="B19" s="9"/>
      <c r="C19" s="20">
        <v>0.06</v>
      </c>
      <c r="D19" s="20">
        <v>0.06</v>
      </c>
      <c r="E19" s="20">
        <v>0.06</v>
      </c>
      <c r="F19" s="20">
        <v>0.06</v>
      </c>
      <c r="G19" s="20">
        <v>0.06</v>
      </c>
    </row>
    <row r="20" spans="1:7" x14ac:dyDescent="0.25">
      <c r="A20" s="11" t="s">
        <v>136</v>
      </c>
      <c r="B20" s="9"/>
      <c r="C20" s="18">
        <v>2.9999999999999997E-4</v>
      </c>
      <c r="D20" s="18">
        <v>2.9999999999999997E-4</v>
      </c>
      <c r="E20" s="18">
        <v>2.9999999999999997E-4</v>
      </c>
      <c r="F20" s="18">
        <v>2.9999999999999997E-4</v>
      </c>
      <c r="G20" s="18">
        <v>2.9999999999999997E-4</v>
      </c>
    </row>
    <row r="21" spans="1:7" x14ac:dyDescent="0.25">
      <c r="A21" s="11" t="s">
        <v>137</v>
      </c>
      <c r="B21" s="12"/>
      <c r="C21" s="18">
        <v>5.0000000000000001E-4</v>
      </c>
      <c r="D21" s="18">
        <v>5.0000000000000001E-4</v>
      </c>
      <c r="E21" s="18">
        <v>5.0000000000000001E-4</v>
      </c>
      <c r="F21" s="18">
        <v>5.0000000000000001E-4</v>
      </c>
      <c r="G21" s="18">
        <v>5.0000000000000001E-4</v>
      </c>
    </row>
    <row r="22" spans="1:7" x14ac:dyDescent="0.25">
      <c r="A22" s="11" t="s">
        <v>138</v>
      </c>
      <c r="B22" s="9"/>
      <c r="C22" s="18">
        <v>5.0000000000000001E-4</v>
      </c>
      <c r="D22" s="18">
        <v>5.0000000000000001E-4</v>
      </c>
      <c r="E22" s="18">
        <v>5.0000000000000001E-4</v>
      </c>
      <c r="F22" s="18">
        <v>5.0000000000000001E-4</v>
      </c>
      <c r="G22" s="18">
        <v>5.0000000000000001E-4</v>
      </c>
    </row>
    <row r="23" spans="1:7" x14ac:dyDescent="0.25">
      <c r="A23" s="11" t="s">
        <v>821</v>
      </c>
      <c r="B23" s="9"/>
      <c r="C23" s="22">
        <v>5</v>
      </c>
      <c r="D23" s="22">
        <v>5</v>
      </c>
      <c r="E23" s="22">
        <v>5</v>
      </c>
      <c r="F23" s="22">
        <v>5</v>
      </c>
      <c r="G23" s="22">
        <v>5</v>
      </c>
    </row>
    <row r="24" spans="1:7" x14ac:dyDescent="0.25">
      <c r="A24" s="11" t="s">
        <v>1422</v>
      </c>
      <c r="B24" s="9"/>
      <c r="C24" s="22">
        <v>6</v>
      </c>
      <c r="D24" s="22">
        <v>6</v>
      </c>
      <c r="E24" s="22">
        <v>6</v>
      </c>
      <c r="F24" s="22">
        <v>6</v>
      </c>
      <c r="G24" s="22">
        <v>6</v>
      </c>
    </row>
    <row r="25" spans="1:7" x14ac:dyDescent="0.25">
      <c r="A25" s="11" t="s">
        <v>1423</v>
      </c>
      <c r="B25" s="9"/>
      <c r="C25" s="18">
        <v>1E-3</v>
      </c>
      <c r="D25" s="18">
        <v>1E-3</v>
      </c>
      <c r="E25" s="18">
        <v>1E-3</v>
      </c>
      <c r="F25" s="18">
        <v>1E-3</v>
      </c>
      <c r="G25" s="18">
        <v>1E-3</v>
      </c>
    </row>
    <row r="26" spans="1:7" x14ac:dyDescent="0.25">
      <c r="A26" s="11"/>
      <c r="B26" s="9"/>
      <c r="C26" s="22"/>
      <c r="D26" s="22"/>
      <c r="E26" s="22"/>
      <c r="F26" s="22"/>
      <c r="G26" s="22"/>
    </row>
    <row r="27" spans="1:7" x14ac:dyDescent="0.25">
      <c r="A27" s="9" t="s">
        <v>822</v>
      </c>
      <c r="B27" s="30" t="s">
        <v>1242</v>
      </c>
    </row>
    <row r="28" spans="1:7" x14ac:dyDescent="0.25">
      <c r="A28" s="9"/>
      <c r="B28" s="30" t="s">
        <v>1243</v>
      </c>
    </row>
    <row r="29" spans="1:7" x14ac:dyDescent="0.25">
      <c r="A29" s="11" t="s">
        <v>1247</v>
      </c>
      <c r="B29" s="12"/>
      <c r="C29" s="22">
        <v>0</v>
      </c>
      <c r="D29" s="22">
        <v>0</v>
      </c>
      <c r="E29" s="22">
        <v>0</v>
      </c>
      <c r="F29" s="22">
        <v>0</v>
      </c>
      <c r="G29" s="22">
        <v>0</v>
      </c>
    </row>
    <row r="30" spans="1:7" x14ac:dyDescent="0.25">
      <c r="A30" s="11" t="s">
        <v>824</v>
      </c>
      <c r="B30" s="12"/>
      <c r="C30" s="20">
        <v>1.35</v>
      </c>
      <c r="D30" s="20">
        <v>1.35</v>
      </c>
      <c r="E30" s="20">
        <v>1.35</v>
      </c>
      <c r="F30" s="20">
        <v>1.35</v>
      </c>
      <c r="G30" s="20">
        <v>1.35</v>
      </c>
    </row>
    <row r="31" spans="1:7" x14ac:dyDescent="0.25">
      <c r="A31" s="11"/>
      <c r="B31" s="30" t="s">
        <v>1244</v>
      </c>
    </row>
    <row r="32" spans="1:7" x14ac:dyDescent="0.25">
      <c r="A32" s="11"/>
      <c r="B32" s="30" t="s">
        <v>1245</v>
      </c>
    </row>
    <row r="33" spans="1:7" x14ac:dyDescent="0.25">
      <c r="A33" s="11" t="s">
        <v>850</v>
      </c>
      <c r="B33" s="12"/>
      <c r="C33" s="22">
        <v>10</v>
      </c>
      <c r="D33" s="22">
        <v>10</v>
      </c>
      <c r="E33" s="22">
        <v>10</v>
      </c>
      <c r="F33" s="22">
        <v>10</v>
      </c>
      <c r="G33" s="22">
        <v>10</v>
      </c>
    </row>
    <row r="34" spans="1:7" x14ac:dyDescent="0.25">
      <c r="A34" s="11" t="s">
        <v>851</v>
      </c>
      <c r="B34" s="12"/>
      <c r="C34" s="18">
        <v>5.0000000000000001E-4</v>
      </c>
      <c r="D34" s="18">
        <v>5.0000000000000001E-4</v>
      </c>
      <c r="E34" s="18">
        <v>5.0000000000000001E-4</v>
      </c>
      <c r="F34" s="18">
        <v>5.0000000000000001E-4</v>
      </c>
      <c r="G34" s="18">
        <v>5.0000000000000001E-4</v>
      </c>
    </row>
    <row r="35" spans="1:7" x14ac:dyDescent="0.25">
      <c r="A35" s="11"/>
      <c r="B35" s="30" t="s">
        <v>1246</v>
      </c>
      <c r="C35" s="18"/>
      <c r="D35" s="18"/>
      <c r="E35" s="18"/>
      <c r="F35" s="18"/>
      <c r="G35" s="18"/>
    </row>
    <row r="36" spans="1:7" x14ac:dyDescent="0.25">
      <c r="A36" s="11" t="s">
        <v>1248</v>
      </c>
      <c r="B36" s="30"/>
      <c r="C36" s="22">
        <v>0</v>
      </c>
      <c r="D36" s="22">
        <v>0</v>
      </c>
      <c r="E36" s="22">
        <v>0</v>
      </c>
      <c r="F36" s="22">
        <v>0</v>
      </c>
      <c r="G36" s="22">
        <v>0</v>
      </c>
    </row>
    <row r="37" spans="1:7" x14ac:dyDescent="0.25">
      <c r="A37" s="11" t="s">
        <v>139</v>
      </c>
      <c r="B37" s="9"/>
      <c r="C37" s="31">
        <v>0.66</v>
      </c>
      <c r="D37" s="31">
        <v>0.66</v>
      </c>
      <c r="E37" s="31">
        <v>0.66</v>
      </c>
      <c r="F37" s="31">
        <v>0.66</v>
      </c>
      <c r="G37" s="31">
        <v>0.66</v>
      </c>
    </row>
    <row r="38" spans="1:7" x14ac:dyDescent="0.25">
      <c r="A38" s="11" t="s">
        <v>140</v>
      </c>
      <c r="B38" s="9"/>
      <c r="C38" s="31">
        <v>0.72499999999999998</v>
      </c>
      <c r="D38" s="31">
        <v>0.72499999999999998</v>
      </c>
      <c r="E38" s="31">
        <v>0.72499999999999998</v>
      </c>
      <c r="F38" s="31">
        <v>0.72499999999999998</v>
      </c>
      <c r="G38" s="31">
        <v>0.72499999999999998</v>
      </c>
    </row>
    <row r="39" spans="1:7" x14ac:dyDescent="0.25">
      <c r="A39" s="11"/>
      <c r="B39" s="30" t="s">
        <v>968</v>
      </c>
    </row>
    <row r="40" spans="1:7" x14ac:dyDescent="0.25">
      <c r="A40" s="11"/>
      <c r="B40" s="30" t="s">
        <v>969</v>
      </c>
    </row>
    <row r="41" spans="1:7" x14ac:dyDescent="0.25">
      <c r="A41" s="11" t="s">
        <v>970</v>
      </c>
      <c r="C41" s="16">
        <v>2.4</v>
      </c>
      <c r="D41" s="16">
        <v>2.4</v>
      </c>
      <c r="E41" s="16">
        <v>3.5249999999999999</v>
      </c>
      <c r="F41" s="16">
        <v>2.4</v>
      </c>
      <c r="G41" s="16">
        <v>2.4</v>
      </c>
    </row>
    <row r="42" spans="1:7" x14ac:dyDescent="0.25">
      <c r="A42" s="11" t="s">
        <v>971</v>
      </c>
      <c r="C42" s="31">
        <v>0.03</v>
      </c>
      <c r="D42" s="31">
        <v>0.03</v>
      </c>
      <c r="E42" s="31">
        <v>0.03</v>
      </c>
      <c r="F42" s="31">
        <v>0.03</v>
      </c>
      <c r="G42" s="31">
        <v>0.03</v>
      </c>
    </row>
    <row r="43" spans="1:7" x14ac:dyDescent="0.25">
      <c r="A43" s="11" t="s">
        <v>972</v>
      </c>
      <c r="C43" s="16">
        <v>3.625</v>
      </c>
      <c r="D43" s="16">
        <v>3.625</v>
      </c>
      <c r="E43" s="16">
        <v>7</v>
      </c>
      <c r="F43" s="16">
        <v>3.625</v>
      </c>
      <c r="G43" s="16">
        <v>7</v>
      </c>
    </row>
    <row r="44" spans="1:7" x14ac:dyDescent="0.25">
      <c r="A44" s="11" t="s">
        <v>973</v>
      </c>
      <c r="C44" s="31">
        <v>0.03</v>
      </c>
      <c r="D44" s="31">
        <v>0.03</v>
      </c>
      <c r="E44" s="31">
        <v>0.03</v>
      </c>
      <c r="F44" s="31">
        <v>0.03</v>
      </c>
      <c r="G44" s="31">
        <v>0.03</v>
      </c>
    </row>
    <row r="45" spans="1:7" x14ac:dyDescent="0.25">
      <c r="A45" s="12" t="s">
        <v>881</v>
      </c>
      <c r="B45" s="30" t="s">
        <v>890</v>
      </c>
    </row>
    <row r="46" spans="1:7" x14ac:dyDescent="0.25">
      <c r="A46" s="12" t="s">
        <v>888</v>
      </c>
      <c r="B46" s="30" t="s">
        <v>889</v>
      </c>
    </row>
    <row r="47" spans="1:7" x14ac:dyDescent="0.25">
      <c r="A47" s="11" t="s">
        <v>882</v>
      </c>
      <c r="C47" s="77">
        <v>0.44</v>
      </c>
      <c r="D47" s="77">
        <v>0.44</v>
      </c>
      <c r="E47" s="77">
        <v>0.44</v>
      </c>
      <c r="F47" s="77">
        <v>0.44</v>
      </c>
      <c r="G47" s="77">
        <v>0.44</v>
      </c>
    </row>
    <row r="48" spans="1:7" x14ac:dyDescent="0.25">
      <c r="A48" s="11" t="s">
        <v>883</v>
      </c>
      <c r="C48" s="77">
        <v>0.55000000000000004</v>
      </c>
      <c r="D48" s="77">
        <v>0.55000000000000004</v>
      </c>
      <c r="E48" s="77">
        <v>0.55000000000000004</v>
      </c>
      <c r="F48" s="77">
        <v>0.55000000000000004</v>
      </c>
      <c r="G48" s="77">
        <v>0.55000000000000004</v>
      </c>
    </row>
    <row r="49" spans="1:7" x14ac:dyDescent="0.25">
      <c r="A49" s="11" t="s">
        <v>884</v>
      </c>
      <c r="C49" s="77">
        <v>0.05</v>
      </c>
      <c r="D49" s="77">
        <v>0.05</v>
      </c>
      <c r="E49" s="77">
        <v>0.05</v>
      </c>
      <c r="F49" s="77">
        <v>0.05</v>
      </c>
      <c r="G49" s="77">
        <v>0.05</v>
      </c>
    </row>
    <row r="50" spans="1:7" x14ac:dyDescent="0.25">
      <c r="A50" s="11" t="s">
        <v>885</v>
      </c>
      <c r="C50" s="77">
        <v>0.32</v>
      </c>
      <c r="D50" s="77">
        <v>0.32</v>
      </c>
      <c r="E50" s="77">
        <v>0.32</v>
      </c>
      <c r="F50" s="77">
        <v>0.32</v>
      </c>
      <c r="G50" s="77">
        <v>0.32</v>
      </c>
    </row>
    <row r="51" spans="1:7" x14ac:dyDescent="0.25">
      <c r="A51" s="11" t="s">
        <v>886</v>
      </c>
      <c r="C51" s="77">
        <v>0.53</v>
      </c>
      <c r="D51" s="77">
        <v>0.53</v>
      </c>
      <c r="E51" s="77">
        <v>0.53</v>
      </c>
      <c r="F51" s="77">
        <v>0.53</v>
      </c>
      <c r="G51" s="77">
        <v>0.53</v>
      </c>
    </row>
    <row r="52" spans="1:7" x14ac:dyDescent="0.25">
      <c r="A52" s="11" t="s">
        <v>891</v>
      </c>
      <c r="C52" s="77">
        <v>0.1</v>
      </c>
      <c r="D52" s="77">
        <v>0.1</v>
      </c>
      <c r="E52" s="77">
        <v>0.1</v>
      </c>
      <c r="F52" s="77">
        <v>0.1</v>
      </c>
      <c r="G52" s="77">
        <v>0.1</v>
      </c>
    </row>
    <row r="53" spans="1:7" x14ac:dyDescent="0.25">
      <c r="A53" s="11" t="s">
        <v>887</v>
      </c>
      <c r="C53" s="77">
        <v>0.6</v>
      </c>
      <c r="D53" s="77">
        <v>0.6</v>
      </c>
      <c r="E53" s="77">
        <v>0.6</v>
      </c>
      <c r="F53" s="77">
        <v>0.6</v>
      </c>
      <c r="G53" s="77">
        <v>0.6</v>
      </c>
    </row>
    <row r="55" spans="1:7" x14ac:dyDescent="0.25">
      <c r="A55" s="9" t="s">
        <v>1264</v>
      </c>
    </row>
    <row r="56" spans="1:7" x14ac:dyDescent="0.25">
      <c r="A56" s="11" t="s">
        <v>1265</v>
      </c>
      <c r="C56" s="61" t="s">
        <v>823</v>
      </c>
      <c r="D56" s="61" t="s">
        <v>823</v>
      </c>
      <c r="E56" s="61" t="s">
        <v>823</v>
      </c>
      <c r="F56" s="61" t="s">
        <v>1266</v>
      </c>
      <c r="G56" s="61" t="s">
        <v>1266</v>
      </c>
    </row>
    <row r="57" spans="1:7" x14ac:dyDescent="0.25">
      <c r="A57" s="11" t="s">
        <v>1420</v>
      </c>
      <c r="C57" s="61" t="s">
        <v>823</v>
      </c>
      <c r="D57" s="61" t="s">
        <v>823</v>
      </c>
      <c r="E57" s="61" t="s">
        <v>823</v>
      </c>
      <c r="F57" s="61" t="s">
        <v>823</v>
      </c>
      <c r="G57" s="61" t="s">
        <v>823</v>
      </c>
    </row>
    <row r="58" spans="1:7" x14ac:dyDescent="0.25">
      <c r="A58" s="11" t="s">
        <v>1276</v>
      </c>
      <c r="C58" s="61" t="s">
        <v>823</v>
      </c>
      <c r="D58" s="61" t="s">
        <v>823</v>
      </c>
      <c r="E58" s="61" t="s">
        <v>823</v>
      </c>
      <c r="F58" s="61" t="s">
        <v>1266</v>
      </c>
      <c r="G58" s="61" t="s">
        <v>1266</v>
      </c>
    </row>
    <row r="59" spans="1:7" x14ac:dyDescent="0.25">
      <c r="A59" s="11" t="s">
        <v>1274</v>
      </c>
      <c r="C59" s="22">
        <v>10</v>
      </c>
      <c r="D59" s="22">
        <v>10</v>
      </c>
      <c r="E59" s="22">
        <v>10</v>
      </c>
      <c r="F59" s="22">
        <v>10</v>
      </c>
      <c r="G59" s="22">
        <v>10</v>
      </c>
    </row>
    <row r="60" spans="1:7" x14ac:dyDescent="0.25">
      <c r="A60" s="11" t="s">
        <v>1275</v>
      </c>
      <c r="C60" s="18">
        <v>5.0000000000000001E-4</v>
      </c>
      <c r="D60" s="18">
        <v>5.0000000000000001E-4</v>
      </c>
      <c r="E60" s="18">
        <v>5.0000000000000001E-4</v>
      </c>
      <c r="F60" s="18">
        <v>5.0000000000000001E-4</v>
      </c>
      <c r="G60" s="18">
        <v>5.0000000000000001E-4</v>
      </c>
    </row>
    <row r="61" spans="1:7" x14ac:dyDescent="0.25">
      <c r="A61" s="11" t="s">
        <v>1427</v>
      </c>
      <c r="C61" s="18">
        <v>5.0000000000000001E-3</v>
      </c>
      <c r="D61" s="18">
        <v>5.0000000000000001E-3</v>
      </c>
      <c r="E61" s="18">
        <v>5.0000000000000001E-3</v>
      </c>
      <c r="F61" s="18">
        <v>5.0000000000000001E-3</v>
      </c>
      <c r="G61" s="18">
        <v>5.0000000000000001E-3</v>
      </c>
    </row>
    <row r="62" spans="1:7" x14ac:dyDescent="0.25">
      <c r="A62" s="11" t="s">
        <v>1329</v>
      </c>
      <c r="C62" s="18">
        <v>0</v>
      </c>
      <c r="D62" s="18">
        <v>0</v>
      </c>
      <c r="E62" s="18">
        <v>0</v>
      </c>
      <c r="F62" s="18">
        <v>0</v>
      </c>
      <c r="G62" s="18">
        <v>0</v>
      </c>
    </row>
    <row r="63" spans="1:7" x14ac:dyDescent="0.25">
      <c r="A63" s="11" t="s">
        <v>1428</v>
      </c>
      <c r="C63" s="18">
        <v>5.0000000000000001E-3</v>
      </c>
      <c r="D63" s="18">
        <v>5.0000000000000001E-3</v>
      </c>
      <c r="E63" s="18">
        <v>5.0000000000000001E-3</v>
      </c>
      <c r="F63" s="18">
        <v>5.0000000000000001E-3</v>
      </c>
      <c r="G63" s="18">
        <v>5.0000000000000001E-3</v>
      </c>
    </row>
    <row r="64" spans="1:7" x14ac:dyDescent="0.25">
      <c r="A64" s="11" t="s">
        <v>1405</v>
      </c>
      <c r="C64" s="18">
        <v>0</v>
      </c>
      <c r="D64" s="18">
        <v>0</v>
      </c>
      <c r="E64" s="18">
        <v>0</v>
      </c>
      <c r="F64" s="18">
        <v>0</v>
      </c>
      <c r="G64" s="18">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D4125-BE53-4CB0-A115-03BACB4E6496}">
  <dimension ref="A1:X537"/>
  <sheetViews>
    <sheetView zoomScaleNormal="100" workbookViewId="0">
      <pane xSplit="2" ySplit="8" topLeftCell="L9" activePane="bottomRight" state="frozen"/>
      <selection pane="topRight" activeCell="C1" sqref="C1"/>
      <selection pane="bottomLeft" activeCell="A9" sqref="A9"/>
      <selection pane="bottomRight"/>
    </sheetView>
  </sheetViews>
  <sheetFormatPr defaultRowHeight="15" x14ac:dyDescent="0.25"/>
  <cols>
    <col min="1" max="1" width="85.7109375" customWidth="1"/>
    <col min="2" max="2" width="25.7109375" customWidth="1"/>
    <col min="3" max="3" width="7.7109375" customWidth="1"/>
    <col min="4" max="24" width="10.7109375" customWidth="1"/>
  </cols>
  <sheetData>
    <row r="1" spans="1:24" x14ac:dyDescent="0.25">
      <c r="A1" s="9" t="s">
        <v>141</v>
      </c>
      <c r="B1" s="13" t="s">
        <v>1426</v>
      </c>
      <c r="C1" s="13">
        <f>MATCH($B$1,Assumptions!$C$7:$L$7,0)</f>
        <v>2</v>
      </c>
      <c r="D1" s="10" t="s">
        <v>142</v>
      </c>
      <c r="E1" s="11"/>
      <c r="F1" s="11"/>
      <c r="G1" s="11"/>
      <c r="H1" s="11"/>
      <c r="I1" s="11"/>
      <c r="J1" s="11"/>
      <c r="K1" s="11"/>
      <c r="L1" s="11"/>
      <c r="M1" s="11"/>
      <c r="N1" s="11"/>
      <c r="O1" s="11"/>
      <c r="P1" s="11"/>
    </row>
    <row r="2" spans="1:24" x14ac:dyDescent="0.25">
      <c r="A2" s="10" t="s">
        <v>143</v>
      </c>
      <c r="B2" s="13"/>
      <c r="C2" s="13"/>
      <c r="D2" s="10"/>
      <c r="E2" s="11"/>
      <c r="F2" s="11"/>
      <c r="G2" s="11"/>
      <c r="H2" s="11"/>
      <c r="I2" s="11"/>
      <c r="J2" s="11"/>
      <c r="K2" s="11"/>
      <c r="L2" s="11"/>
      <c r="M2" s="11"/>
      <c r="N2" s="11"/>
      <c r="O2" s="11"/>
      <c r="P2" s="11"/>
    </row>
    <row r="3" spans="1:24" x14ac:dyDescent="0.25">
      <c r="A3" s="10"/>
      <c r="B3" s="10"/>
      <c r="C3" s="13"/>
      <c r="D3" s="32" t="s">
        <v>144</v>
      </c>
      <c r="E3" s="32" t="s">
        <v>144</v>
      </c>
      <c r="F3" s="32" t="s">
        <v>144</v>
      </c>
      <c r="G3" s="32" t="s">
        <v>144</v>
      </c>
      <c r="H3" s="32" t="s">
        <v>144</v>
      </c>
      <c r="I3" s="32" t="s">
        <v>144</v>
      </c>
      <c r="J3" s="15" t="s">
        <v>1424</v>
      </c>
      <c r="K3" s="11"/>
      <c r="L3" s="11"/>
      <c r="M3" s="11"/>
      <c r="N3" s="9"/>
      <c r="O3" s="9" t="s">
        <v>1425</v>
      </c>
      <c r="P3" s="11"/>
    </row>
    <row r="4" spans="1:24" x14ac:dyDescent="0.25">
      <c r="A4" s="11"/>
      <c r="B4" s="11"/>
      <c r="C4" s="13"/>
      <c r="D4" s="32" t="s">
        <v>145</v>
      </c>
      <c r="E4" s="32" t="s">
        <v>145</v>
      </c>
      <c r="F4" s="32" t="s">
        <v>145</v>
      </c>
      <c r="G4" s="32" t="s">
        <v>145</v>
      </c>
      <c r="H4" s="32" t="s">
        <v>145</v>
      </c>
      <c r="I4" s="32" t="s">
        <v>145</v>
      </c>
      <c r="J4" s="33" t="s">
        <v>146</v>
      </c>
      <c r="K4" s="11"/>
      <c r="L4" s="11"/>
      <c r="M4" s="11"/>
      <c r="N4" s="11"/>
      <c r="O4" s="11" t="s">
        <v>147</v>
      </c>
      <c r="P4" s="11"/>
    </row>
    <row r="5" spans="1:24" x14ac:dyDescent="0.25">
      <c r="A5" s="9" t="s">
        <v>826</v>
      </c>
      <c r="B5" s="9"/>
      <c r="C5" s="13"/>
      <c r="D5" s="34" t="s">
        <v>37</v>
      </c>
      <c r="E5" s="34" t="s">
        <v>38</v>
      </c>
      <c r="F5" s="34" t="s">
        <v>39</v>
      </c>
      <c r="G5" s="34" t="s">
        <v>40</v>
      </c>
      <c r="H5" s="34" t="s">
        <v>41</v>
      </c>
      <c r="I5" s="34" t="s">
        <v>42</v>
      </c>
      <c r="J5" s="14" t="s">
        <v>43</v>
      </c>
      <c r="K5" s="14" t="s">
        <v>44</v>
      </c>
      <c r="L5" s="14" t="s">
        <v>45</v>
      </c>
      <c r="M5" s="14" t="s">
        <v>46</v>
      </c>
      <c r="N5" s="14" t="s">
        <v>47</v>
      </c>
      <c r="O5" s="13" t="s">
        <v>48</v>
      </c>
      <c r="P5" s="13" t="s">
        <v>49</v>
      </c>
      <c r="Q5" s="13" t="s">
        <v>50</v>
      </c>
      <c r="R5" s="13" t="s">
        <v>51</v>
      </c>
      <c r="S5" s="13" t="s">
        <v>52</v>
      </c>
      <c r="T5" s="13" t="s">
        <v>53</v>
      </c>
      <c r="U5" s="13" t="s">
        <v>54</v>
      </c>
      <c r="V5" s="13" t="s">
        <v>55</v>
      </c>
      <c r="W5" s="13" t="s">
        <v>56</v>
      </c>
      <c r="X5" s="13" t="s">
        <v>57</v>
      </c>
    </row>
    <row r="6" spans="1:24" x14ac:dyDescent="0.25">
      <c r="A6" s="11"/>
      <c r="B6" s="11"/>
      <c r="C6" s="13"/>
      <c r="D6" s="32">
        <v>2019</v>
      </c>
      <c r="E6" s="32">
        <v>2020</v>
      </c>
      <c r="F6" s="32">
        <v>2021</v>
      </c>
      <c r="G6" s="32">
        <v>2022</v>
      </c>
      <c r="H6" s="32">
        <v>2023</v>
      </c>
      <c r="I6" s="32">
        <v>2024</v>
      </c>
      <c r="J6" s="15">
        <v>2025</v>
      </c>
      <c r="K6" s="15">
        <v>2026</v>
      </c>
      <c r="L6" s="15">
        <v>2027</v>
      </c>
      <c r="M6" s="15">
        <v>2028</v>
      </c>
      <c r="N6" s="15">
        <v>2029</v>
      </c>
      <c r="O6" s="9">
        <v>2030</v>
      </c>
      <c r="P6" s="9">
        <v>2031</v>
      </c>
      <c r="Q6" s="9">
        <v>2032</v>
      </c>
      <c r="R6" s="9">
        <v>2033</v>
      </c>
      <c r="S6" s="9">
        <v>2034</v>
      </c>
      <c r="T6" s="9">
        <v>2035</v>
      </c>
      <c r="U6" s="9">
        <v>2036</v>
      </c>
      <c r="V6" s="9">
        <v>2037</v>
      </c>
      <c r="W6" s="9">
        <v>2038</v>
      </c>
      <c r="X6" s="9">
        <v>2039</v>
      </c>
    </row>
    <row r="7" spans="1:24" x14ac:dyDescent="0.25">
      <c r="A7" s="11"/>
      <c r="B7" s="11"/>
      <c r="C7" s="13"/>
      <c r="D7" s="42">
        <f ca="1">OFFSET(D$1,Display!$C$1-1,0)</f>
        <v>8.5039999999999907</v>
      </c>
      <c r="E7" s="42">
        <f ca="1">OFFSET(E$1,Display!$C$1-1,0)</f>
        <v>-20.901999999999965</v>
      </c>
      <c r="F7" s="42">
        <f ca="1">OFFSET(F$1,Display!$C$1-1,0)</f>
        <v>-2.5590000000000295</v>
      </c>
      <c r="G7" s="42">
        <f ca="1">OFFSET(G$1,Display!$C$1-1,0)</f>
        <v>-8.6639999999999802</v>
      </c>
      <c r="H7" s="42">
        <f ca="1">OFFSET(H$1,Display!$C$1-1,0)</f>
        <v>-7.1990000000000061</v>
      </c>
      <c r="I7" s="42">
        <f ca="1">OFFSET(I$1,Display!$C$1-1,0)</f>
        <v>-8.7730000000000281</v>
      </c>
      <c r="J7" s="43">
        <f ca="1">OFFSET(J$1,Display!$C$1-1,0)</f>
        <v>-10.175000000000042</v>
      </c>
      <c r="K7" s="43">
        <f ca="1">OFFSET(K$1,Display!$C$1-1,0)</f>
        <v>-12.07500000000001</v>
      </c>
      <c r="L7" s="43">
        <f ca="1">OFFSET(L$1,Display!$C$1-1,0)</f>
        <v>-8.1450000000000031</v>
      </c>
      <c r="M7" s="43">
        <f ca="1">OFFSET(M$1,Display!$C$1-1,0)</f>
        <v>-3.0930000000000701</v>
      </c>
      <c r="N7" s="43">
        <f ca="1">OFFSET(N$1,Display!$C$1-1,0)</f>
        <v>0.21399999999995023</v>
      </c>
      <c r="O7" s="47">
        <f ca="1">OFFSET(O$1,Display!$C$1-1,0)</f>
        <v>1.3639991508059399</v>
      </c>
      <c r="P7" s="47">
        <f ca="1">OFFSET(P$1,Display!$C$1-1,0)</f>
        <v>3.4753252607249721</v>
      </c>
      <c r="Q7" s="47">
        <f ca="1">OFFSET(Q$1,Display!$C$1-1,0)</f>
        <v>5.4607525724479302</v>
      </c>
      <c r="R7" s="47">
        <f ca="1">OFFSET(R$1,Display!$C$1-1,0)</f>
        <v>7.3523612452816476</v>
      </c>
      <c r="S7" s="47">
        <f ca="1">OFFSET(S$1,Display!$C$1-1,0)</f>
        <v>9.3360434485712993</v>
      </c>
      <c r="T7" s="47">
        <f ca="1">OFFSET(T$1,Display!$C$1-1,0)</f>
        <v>11.49436284890052</v>
      </c>
      <c r="U7" s="47">
        <f ca="1">OFFSET(U$1,Display!$C$1-1,0)</f>
        <v>13.667958786125785</v>
      </c>
      <c r="V7" s="47">
        <f ca="1">OFFSET(V$1,Display!$C$1-1,0)</f>
        <v>15.767020308422106</v>
      </c>
      <c r="W7" s="47">
        <f ca="1">OFFSET(W$1,Display!$C$1-1,0)</f>
        <v>17.93730434535663</v>
      </c>
      <c r="X7" s="47">
        <f ca="1">OFFSET(X$1,Display!$C$1-1,0)</f>
        <v>20.297807681902285</v>
      </c>
    </row>
    <row r="8" spans="1:24" x14ac:dyDescent="0.25">
      <c r="A8" s="63" t="s">
        <v>841</v>
      </c>
      <c r="B8" s="11"/>
      <c r="C8" s="13"/>
      <c r="D8" s="93">
        <f t="shared" ref="D8:X8" ca="1" si="0">D$7/D$13</f>
        <v>2.7387025300149401E-2</v>
      </c>
      <c r="E8" s="93">
        <f t="shared" ca="1" si="0"/>
        <v>-6.5805919447409003E-2</v>
      </c>
      <c r="F8" s="93">
        <f t="shared" ca="1" si="0"/>
        <v>-7.4521029840446066E-3</v>
      </c>
      <c r="G8" s="93">
        <f t="shared" ca="1" si="0"/>
        <v>-2.3690513950715801E-2</v>
      </c>
      <c r="H8" s="93">
        <f t="shared" ca="1" si="0"/>
        <v>-1.7928162830254005E-2</v>
      </c>
      <c r="I8" s="93">
        <f t="shared" ca="1" si="0"/>
        <v>-2.0857206708160839E-2</v>
      </c>
      <c r="J8" s="94">
        <f t="shared" ca="1" si="0"/>
        <v>-2.3382849053655404E-2</v>
      </c>
      <c r="K8" s="94">
        <f t="shared" ca="1" si="0"/>
        <v>-2.6453345718391835E-2</v>
      </c>
      <c r="L8" s="94">
        <f t="shared" ca="1" si="0"/>
        <v>-1.7047951943403736E-2</v>
      </c>
      <c r="M8" s="94">
        <f t="shared" ca="1" si="0"/>
        <v>-6.1753043728264055E-3</v>
      </c>
      <c r="N8" s="94">
        <f t="shared" ca="1" si="0"/>
        <v>4.0830188391242927E-4</v>
      </c>
      <c r="O8" s="95">
        <f t="shared" ca="1" si="0"/>
        <v>2.4948013510729828E-3</v>
      </c>
      <c r="P8" s="95">
        <f t="shared" ca="1" si="0"/>
        <v>6.0964738335392713E-3</v>
      </c>
      <c r="Q8" s="95">
        <f t="shared" ca="1" si="0"/>
        <v>9.2021092375680884E-3</v>
      </c>
      <c r="R8" s="95">
        <f t="shared" ca="1" si="0"/>
        <v>1.1920345114445932E-2</v>
      </c>
      <c r="S8" s="95">
        <f t="shared" ca="1" si="0"/>
        <v>1.4572240488789816E-2</v>
      </c>
      <c r="T8" s="95">
        <f t="shared" ca="1" si="0"/>
        <v>1.7283868645656175E-2</v>
      </c>
      <c r="U8" s="95">
        <f t="shared" ca="1" si="0"/>
        <v>1.9816679335358946E-2</v>
      </c>
      <c r="V8" s="95">
        <f t="shared" ca="1" si="0"/>
        <v>2.2058660532503507E-2</v>
      </c>
      <c r="W8" s="95">
        <f t="shared" ca="1" si="0"/>
        <v>2.4232919540899043E-2</v>
      </c>
      <c r="X8" s="95">
        <f t="shared" ca="1" si="0"/>
        <v>2.6491769283907469E-2</v>
      </c>
    </row>
    <row r="9" spans="1:24" ht="16.5" x14ac:dyDescent="0.25">
      <c r="A9" s="41" t="s">
        <v>825</v>
      </c>
      <c r="B9" s="9"/>
      <c r="C9" s="13"/>
      <c r="N9" s="47"/>
    </row>
    <row r="10" spans="1:24" x14ac:dyDescent="0.25">
      <c r="A10" s="12" t="s">
        <v>148</v>
      </c>
      <c r="B10" s="9"/>
      <c r="C10" s="13"/>
    </row>
    <row r="11" spans="1:24" x14ac:dyDescent="0.25">
      <c r="A11" s="9" t="s">
        <v>149</v>
      </c>
      <c r="B11" s="9"/>
      <c r="C11" s="13"/>
      <c r="D11" s="35">
        <f>'Economic Forecasts'!Q$6</f>
        <v>254.887</v>
      </c>
      <c r="E11" s="35">
        <f>'Economic Forecasts'!R$6</f>
        <v>252.81299999999999</v>
      </c>
      <c r="F11" s="35">
        <f>'Economic Forecasts'!S$6</f>
        <v>268.59800000000001</v>
      </c>
      <c r="G11" s="35">
        <f>'Economic Forecasts'!T$6</f>
        <v>270.51100000000002</v>
      </c>
      <c r="H11" s="35">
        <f>'Economic Forecasts'!U$6</f>
        <v>281.255</v>
      </c>
      <c r="I11" s="35">
        <f>'Economic Forecasts'!V$6</f>
        <v>283.03100000000001</v>
      </c>
      <c r="J11" s="17">
        <f>'Economic Forecasts'!W$6</f>
        <v>280.76</v>
      </c>
      <c r="K11" s="17">
        <f>'Economic Forecasts'!X$6</f>
        <v>288.976</v>
      </c>
      <c r="L11" s="17">
        <f>'Economic Forecasts'!Y$6</f>
        <v>297.50799999999998</v>
      </c>
      <c r="M11" s="17">
        <f>'Economic Forecasts'!Z$6</f>
        <v>306.02300000000002</v>
      </c>
      <c r="N11" s="17">
        <f>'Economic Forecasts'!AA$6</f>
        <v>313.94099999999997</v>
      </c>
      <c r="O11" s="16">
        <f t="shared" ref="O11:X11" ca="1" si="1">N$11*O$16*(1-O$23)*O$24/(N$16*(1-N$23)*N$24)*(1+O$25)</f>
        <v>321.06547356392304</v>
      </c>
      <c r="P11" s="16">
        <f t="shared" ca="1" si="1"/>
        <v>328.19506559316949</v>
      </c>
      <c r="Q11" s="16">
        <f t="shared" ca="1" si="1"/>
        <v>334.95020430738737</v>
      </c>
      <c r="R11" s="16">
        <f t="shared" ca="1" si="1"/>
        <v>341.31310894354965</v>
      </c>
      <c r="S11" s="16">
        <f t="shared" ca="1" si="1"/>
        <v>347.57723432799349</v>
      </c>
      <c r="T11" s="16">
        <f t="shared" ca="1" si="1"/>
        <v>353.71914183142206</v>
      </c>
      <c r="U11" s="16">
        <f t="shared" ca="1" si="1"/>
        <v>359.65592896560497</v>
      </c>
      <c r="V11" s="16">
        <f t="shared" ca="1" si="1"/>
        <v>365.41364749828614</v>
      </c>
      <c r="W11" s="16">
        <f t="shared" ca="1" si="1"/>
        <v>370.9928489415197</v>
      </c>
      <c r="X11" s="16">
        <f t="shared" ca="1" si="1"/>
        <v>376.48883312198507</v>
      </c>
    </row>
    <row r="12" spans="1:24" x14ac:dyDescent="0.25">
      <c r="A12" s="10" t="s">
        <v>150</v>
      </c>
      <c r="B12" s="9"/>
      <c r="C12" s="13"/>
      <c r="D12" s="35"/>
      <c r="E12" s="36">
        <f t="shared" ref="E12:X12" si="2">E$11/D$11-1</f>
        <v>-8.1369391141957736E-3</v>
      </c>
      <c r="F12" s="36">
        <f t="shared" si="2"/>
        <v>6.2437453770177953E-2</v>
      </c>
      <c r="G12" s="36">
        <f t="shared" si="2"/>
        <v>7.1221677004296158E-3</v>
      </c>
      <c r="H12" s="36">
        <f t="shared" si="2"/>
        <v>3.9717423690718512E-2</v>
      </c>
      <c r="I12" s="36">
        <f t="shared" si="2"/>
        <v>6.3145544079217242E-3</v>
      </c>
      <c r="J12" s="19">
        <f t="shared" si="2"/>
        <v>-8.0238560440376583E-3</v>
      </c>
      <c r="K12" s="19">
        <f t="shared" si="2"/>
        <v>2.9263427838723599E-2</v>
      </c>
      <c r="L12" s="19">
        <f t="shared" si="2"/>
        <v>2.9524943247882129E-2</v>
      </c>
      <c r="M12" s="19">
        <f t="shared" si="2"/>
        <v>2.8621079097032931E-2</v>
      </c>
      <c r="N12" s="19">
        <f t="shared" si="2"/>
        <v>2.5873872225290029E-2</v>
      </c>
      <c r="O12" s="18">
        <f t="shared" ca="1" si="2"/>
        <v>2.2693670351827455E-2</v>
      </c>
      <c r="P12" s="18">
        <f t="shared" ca="1" si="2"/>
        <v>2.2206037759544328E-2</v>
      </c>
      <c r="Q12" s="18">
        <f t="shared" ca="1" si="2"/>
        <v>2.0582694325427697E-2</v>
      </c>
      <c r="R12" s="18">
        <f t="shared" ca="1" si="2"/>
        <v>1.8996568905875311E-2</v>
      </c>
      <c r="S12" s="18">
        <f t="shared" ca="1" si="2"/>
        <v>1.8353017274469474E-2</v>
      </c>
      <c r="T12" s="18">
        <f t="shared" ca="1" si="2"/>
        <v>1.7670626545214674E-2</v>
      </c>
      <c r="U12" s="18">
        <f t="shared" ca="1" si="2"/>
        <v>1.6783901214518782E-2</v>
      </c>
      <c r="V12" s="18">
        <f t="shared" ca="1" si="2"/>
        <v>1.6008963203361537E-2</v>
      </c>
      <c r="W12" s="18">
        <f t="shared" ca="1" si="2"/>
        <v>1.5268180270305187E-2</v>
      </c>
      <c r="X12" s="18">
        <f t="shared" ca="1" si="2"/>
        <v>1.4814259078432368E-2</v>
      </c>
    </row>
    <row r="13" spans="1:24" x14ac:dyDescent="0.25">
      <c r="A13" s="9" t="s">
        <v>151</v>
      </c>
      <c r="B13" s="9"/>
      <c r="C13" s="13"/>
      <c r="D13" s="42">
        <f>'Economic Forecasts'!Q$7</f>
        <v>310.512</v>
      </c>
      <c r="E13" s="42">
        <f>'Economic Forecasts'!R$7</f>
        <v>317.63099999999997</v>
      </c>
      <c r="F13" s="42">
        <f>'Economic Forecasts'!S$7</f>
        <v>343.39299999999997</v>
      </c>
      <c r="G13" s="42">
        <f>'Economic Forecasts'!T$7</f>
        <v>365.71600000000001</v>
      </c>
      <c r="H13" s="42">
        <f>'Economic Forecasts'!U$7</f>
        <v>401.54700000000003</v>
      </c>
      <c r="I13" s="42">
        <f>'Economic Forecasts'!V$7</f>
        <v>420.62200000000001</v>
      </c>
      <c r="J13" s="43">
        <f>'Economic Forecasts'!W$7</f>
        <v>435.14800000000002</v>
      </c>
      <c r="K13" s="43">
        <f>'Economic Forecasts'!X$7</f>
        <v>456.464</v>
      </c>
      <c r="L13" s="43">
        <f>'Economic Forecasts'!Y$7</f>
        <v>477.77</v>
      </c>
      <c r="M13" s="43">
        <f>'Economic Forecasts'!Z$7</f>
        <v>500.86599999999999</v>
      </c>
      <c r="N13" s="43">
        <f>'Economic Forecasts'!AA$7</f>
        <v>524.12199999999996</v>
      </c>
      <c r="O13" s="47">
        <f t="shared" ref="O13:X13" ca="1" si="3">N$13*O$11/N$11*(1+O$29)</f>
        <v>546.73657692998324</v>
      </c>
      <c r="P13" s="47">
        <f t="shared" ca="1" si="3"/>
        <v>570.05497860185073</v>
      </c>
      <c r="Q13" s="47">
        <f t="shared" ca="1" si="3"/>
        <v>593.42401089460282</v>
      </c>
      <c r="R13" s="47">
        <f t="shared" ca="1" si="3"/>
        <v>616.79097162812229</v>
      </c>
      <c r="S13" s="47">
        <f t="shared" ca="1" si="3"/>
        <v>640.67316592485304</v>
      </c>
      <c r="T13" s="47">
        <f t="shared" ca="1" si="3"/>
        <v>665.03414742100063</v>
      </c>
      <c r="U13" s="47">
        <f t="shared" ca="1" si="3"/>
        <v>689.71993515270822</v>
      </c>
      <c r="V13" s="47">
        <f t="shared" ca="1" si="3"/>
        <v>714.77686893949658</v>
      </c>
      <c r="W13" s="47">
        <f t="shared" ca="1" si="3"/>
        <v>740.20401524805936</v>
      </c>
      <c r="X13" s="47">
        <f t="shared" ca="1" si="3"/>
        <v>766.19298108685666</v>
      </c>
    </row>
    <row r="14" spans="1:24" x14ac:dyDescent="0.25">
      <c r="A14" s="10" t="str">
        <f>$A$12</f>
        <v>Annual percentage growth</v>
      </c>
      <c r="B14" s="9"/>
      <c r="C14" s="13"/>
      <c r="D14" s="36"/>
      <c r="E14" s="36">
        <f t="shared" ref="E14:X14" si="4">E$13/D$13-1</f>
        <v>2.2926650177770735E-2</v>
      </c>
      <c r="F14" s="36">
        <f t="shared" si="4"/>
        <v>8.1106692986515849E-2</v>
      </c>
      <c r="G14" s="36">
        <f t="shared" si="4"/>
        <v>6.5007149242995776E-2</v>
      </c>
      <c r="H14" s="36">
        <f t="shared" si="4"/>
        <v>9.7974931367509344E-2</v>
      </c>
      <c r="I14" s="36">
        <f t="shared" si="4"/>
        <v>4.7503779134198565E-2</v>
      </c>
      <c r="J14" s="19">
        <f t="shared" si="4"/>
        <v>3.4534570231704587E-2</v>
      </c>
      <c r="K14" s="19">
        <f t="shared" si="4"/>
        <v>4.898563247446841E-2</v>
      </c>
      <c r="L14" s="19">
        <f t="shared" si="4"/>
        <v>4.6676189140874236E-2</v>
      </c>
      <c r="M14" s="19">
        <f t="shared" si="4"/>
        <v>4.8341252066894214E-2</v>
      </c>
      <c r="N14" s="19">
        <f t="shared" si="4"/>
        <v>4.6431580502569458E-2</v>
      </c>
      <c r="O14" s="18">
        <f t="shared" ca="1" si="4"/>
        <v>4.3147543758863982E-2</v>
      </c>
      <c r="P14" s="18">
        <f t="shared" ca="1" si="4"/>
        <v>4.2650158514735192E-2</v>
      </c>
      <c r="Q14" s="18">
        <f t="shared" ca="1" si="4"/>
        <v>4.0994348211936149E-2</v>
      </c>
      <c r="R14" s="18">
        <f t="shared" ca="1" si="4"/>
        <v>3.9376500283992755E-2</v>
      </c>
      <c r="S14" s="18">
        <f t="shared" ca="1" si="4"/>
        <v>3.872007761995877E-2</v>
      </c>
      <c r="T14" s="18">
        <f t="shared" ca="1" si="4"/>
        <v>3.8024039076119065E-2</v>
      </c>
      <c r="U14" s="18">
        <f t="shared" ca="1" si="4"/>
        <v>3.7119579238809042E-2</v>
      </c>
      <c r="V14" s="18">
        <f t="shared" ca="1" si="4"/>
        <v>3.6329142467428577E-2</v>
      </c>
      <c r="W14" s="18">
        <f t="shared" ca="1" si="4"/>
        <v>3.5573543875711433E-2</v>
      </c>
      <c r="X14" s="18">
        <f t="shared" ca="1" si="4"/>
        <v>3.511054426000082E-2</v>
      </c>
    </row>
    <row r="15" spans="1:24" x14ac:dyDescent="0.25">
      <c r="A15" s="12" t="s">
        <v>152</v>
      </c>
      <c r="B15" s="9"/>
      <c r="C15" s="13"/>
      <c r="D15" s="35"/>
    </row>
    <row r="16" spans="1:24" x14ac:dyDescent="0.25">
      <c r="A16" s="9" t="s">
        <v>153</v>
      </c>
      <c r="B16" s="9"/>
      <c r="C16" s="13"/>
      <c r="D16" s="35">
        <f>'Economic Forecasts'!Q$8</f>
        <v>2.7963</v>
      </c>
      <c r="E16" s="35">
        <f>'Economic Forecasts'!R$8</f>
        <v>2.8405</v>
      </c>
      <c r="F16" s="35">
        <f>'Economic Forecasts'!S$8</f>
        <v>2.875</v>
      </c>
      <c r="G16" s="35">
        <f>'Economic Forecasts'!T$8</f>
        <v>2.9104999999999999</v>
      </c>
      <c r="H16" s="35">
        <f>'Economic Forecasts'!U$8</f>
        <v>2.9918</v>
      </c>
      <c r="I16" s="35">
        <f>'Economic Forecasts'!V$8</f>
        <v>3.0680000000000001</v>
      </c>
      <c r="J16" s="17">
        <f>'Economic Forecasts'!W$8</f>
        <v>3.0784000000000002</v>
      </c>
      <c r="K16" s="17">
        <f>'Economic Forecasts'!X$8</f>
        <v>3.1261000000000001</v>
      </c>
      <c r="L16" s="17">
        <f>'Economic Forecasts'!Y$8</f>
        <v>3.1818</v>
      </c>
      <c r="M16" s="17">
        <f>'Economic Forecasts'!Z$8</f>
        <v>3.2342</v>
      </c>
      <c r="N16" s="17">
        <f>'Economic Forecasts'!AA$8</f>
        <v>3.2824</v>
      </c>
      <c r="O16" s="16">
        <f>N$16*'Labour Force Treasury'!L$4/'Labour Force Treasury'!K$4</f>
        <v>3.318559068561679</v>
      </c>
      <c r="P16" s="16">
        <f>O$16*'Labour Force Treasury'!M$4/'Labour Force Treasury'!L$4</f>
        <v>3.3528826048258424</v>
      </c>
      <c r="Q16" s="16">
        <f>P$16*'Labour Force Treasury'!N$4/'Labour Force Treasury'!M$4</f>
        <v>3.3853211958213336</v>
      </c>
      <c r="R16" s="16">
        <f>Q$16*'Labour Force Treasury'!O$4/'Labour Force Treasury'!N$4</f>
        <v>3.415814123364961</v>
      </c>
      <c r="S16" s="16">
        <f>R$16*'Labour Force Treasury'!P$4/'Labour Force Treasury'!O$4</f>
        <v>3.4440639791855983</v>
      </c>
      <c r="T16" s="16">
        <f>S$16*'Labour Force Treasury'!Q$4/'Labour Force Treasury'!P$4</f>
        <v>3.4702205421382302</v>
      </c>
      <c r="U16" s="16">
        <f>T$16*'Labour Force Treasury'!R$4/'Labour Force Treasury'!Q$4</f>
        <v>3.4945670802318225</v>
      </c>
      <c r="V16" s="16">
        <f>U$16*'Labour Force Treasury'!S$4/'Labour Force Treasury'!R$4</f>
        <v>3.517447469814674</v>
      </c>
      <c r="W16" s="16">
        <f>V$16*'Labour Force Treasury'!T$4/'Labour Force Treasury'!S$4</f>
        <v>3.5389480644882889</v>
      </c>
      <c r="X16" s="16">
        <f>W$16*'Labour Force Treasury'!U$4/'Labour Force Treasury'!T$4</f>
        <v>3.5593408899709962</v>
      </c>
    </row>
    <row r="17" spans="1:24" x14ac:dyDescent="0.25">
      <c r="A17" s="10" t="str">
        <f>$A$12</f>
        <v>Annual percentage growth</v>
      </c>
      <c r="B17" s="9"/>
      <c r="C17" s="13"/>
      <c r="D17" s="38"/>
      <c r="E17" s="36">
        <f t="shared" ref="E17:X17" si="5">E$16/D$16-1</f>
        <v>1.5806601580660162E-2</v>
      </c>
      <c r="F17" s="36">
        <f t="shared" si="5"/>
        <v>1.2145748987854255E-2</v>
      </c>
      <c r="G17" s="36">
        <f t="shared" si="5"/>
        <v>1.2347826086956504E-2</v>
      </c>
      <c r="H17" s="36">
        <f t="shared" si="5"/>
        <v>2.7933344786119196E-2</v>
      </c>
      <c r="I17" s="36">
        <f t="shared" si="5"/>
        <v>2.546961695300487E-2</v>
      </c>
      <c r="J17" s="19">
        <f t="shared" si="5"/>
        <v>3.3898305084747449E-3</v>
      </c>
      <c r="K17" s="19">
        <f t="shared" si="5"/>
        <v>1.5495062370062263E-2</v>
      </c>
      <c r="L17" s="19">
        <f t="shared" si="5"/>
        <v>1.7817728159687851E-2</v>
      </c>
      <c r="M17" s="19">
        <f t="shared" si="5"/>
        <v>1.6468665535231741E-2</v>
      </c>
      <c r="N17" s="19">
        <f t="shared" si="5"/>
        <v>1.4903221816832568E-2</v>
      </c>
      <c r="O17" s="18">
        <f t="shared" si="5"/>
        <v>1.1016045747525904E-2</v>
      </c>
      <c r="P17" s="18">
        <f t="shared" si="5"/>
        <v>1.0342903517772895E-2</v>
      </c>
      <c r="Q17" s="18">
        <f t="shared" si="5"/>
        <v>9.6748364970493661E-3</v>
      </c>
      <c r="R17" s="18">
        <f t="shared" si="5"/>
        <v>9.0073956885587947E-3</v>
      </c>
      <c r="S17" s="18">
        <f t="shared" si="5"/>
        <v>8.2703141331379459E-3</v>
      </c>
      <c r="T17" s="18">
        <f t="shared" si="5"/>
        <v>7.5946797477370875E-3</v>
      </c>
      <c r="U17" s="18">
        <f t="shared" si="5"/>
        <v>7.0158474938284421E-3</v>
      </c>
      <c r="V17" s="18">
        <f t="shared" si="5"/>
        <v>6.5474174790582929E-3</v>
      </c>
      <c r="W17" s="18">
        <f t="shared" si="5"/>
        <v>6.1125560106083388E-3</v>
      </c>
      <c r="X17" s="18">
        <f t="shared" si="5"/>
        <v>5.7623975009239992E-3</v>
      </c>
    </row>
    <row r="18" spans="1:24" x14ac:dyDescent="0.25">
      <c r="A18" s="9" t="s">
        <v>154</v>
      </c>
      <c r="B18" s="9"/>
      <c r="C18" s="13"/>
      <c r="D18" s="35">
        <f>'Economic Forecasts'!Q$9</f>
        <v>3.9466000000000001</v>
      </c>
      <c r="E18" s="35">
        <f>'Economic Forecasts'!R$9</f>
        <v>4.0335999999999999</v>
      </c>
      <c r="F18" s="35">
        <f>'Economic Forecasts'!S$9</f>
        <v>4.0891999999999999</v>
      </c>
      <c r="G18" s="35">
        <f>'Economic Forecasts'!T$9</f>
        <v>4.1008000000000004</v>
      </c>
      <c r="H18" s="35">
        <f>'Economic Forecasts'!U$9</f>
        <v>4.1555</v>
      </c>
      <c r="I18" s="35">
        <f>'Economic Forecasts'!V$9</f>
        <v>4.2751000000000001</v>
      </c>
      <c r="J18" s="17">
        <f>'Economic Forecasts'!W$9</f>
        <v>4.3324999999999996</v>
      </c>
      <c r="K18" s="17">
        <f>'Economic Forecasts'!X$9</f>
        <v>4.3881999999999994</v>
      </c>
      <c r="L18" s="17">
        <f>'Economic Forecasts'!Y$9</f>
        <v>4.4468000000000005</v>
      </c>
      <c r="M18" s="17">
        <f>'Economic Forecasts'!Z$9</f>
        <v>4.5060000000000002</v>
      </c>
      <c r="N18" s="17">
        <f>'Economic Forecasts'!AA$9</f>
        <v>4.5653000000000006</v>
      </c>
      <c r="O18" s="16">
        <f>N$18*'Population Treasury'!Z$6/'Population Treasury'!Y$6</f>
        <v>4.6218546614438232</v>
      </c>
      <c r="P18" s="16">
        <f>O$18*'Population Treasury'!AA$6/'Population Treasury'!Z$6</f>
        <v>4.6757910271716634</v>
      </c>
      <c r="Q18" s="16">
        <f>P$18*'Population Treasury'!AB$6/'Population Treasury'!AA$6</f>
        <v>4.7275390971835236</v>
      </c>
      <c r="R18" s="16">
        <f>Q$18*'Population Treasury'!AC$6/'Population Treasury'!AB$6</f>
        <v>4.7758688714794006</v>
      </c>
      <c r="S18" s="16">
        <f>R$18*'Population Treasury'!AD$6/'Population Treasury'!AC$6</f>
        <v>4.8216203500592991</v>
      </c>
      <c r="T18" s="16">
        <f>S$18*'Population Treasury'!AE$6/'Population Treasury'!AD$6</f>
        <v>4.8645335329232227</v>
      </c>
      <c r="U18" s="16">
        <f>T$18*'Population Treasury'!AF$6/'Population Treasury'!AE$6</f>
        <v>4.9064484200711611</v>
      </c>
      <c r="V18" s="16">
        <f>U$18*'Population Treasury'!AG$6/'Population Treasury'!AF$6</f>
        <v>4.9466650115031188</v>
      </c>
      <c r="W18" s="16">
        <f>V$18*'Population Treasury'!AH$6/'Population Treasury'!AG$6</f>
        <v>4.9832933072191006</v>
      </c>
      <c r="X18" s="16">
        <f>W$18*'Population Treasury'!AI$6/'Population Treasury'!AH$6</f>
        <v>5.0178433072191009</v>
      </c>
    </row>
    <row r="19" spans="1:24" x14ac:dyDescent="0.25">
      <c r="A19" s="10" t="str">
        <f>$A$12</f>
        <v>Annual percentage growth</v>
      </c>
      <c r="B19" s="9"/>
      <c r="C19" s="13"/>
      <c r="D19" s="36"/>
      <c r="E19" s="36">
        <f t="shared" ref="E19:X19" si="6">E$18/D$18-1</f>
        <v>2.2044291288704221E-2</v>
      </c>
      <c r="F19" s="36">
        <f t="shared" si="6"/>
        <v>1.3784212614042168E-2</v>
      </c>
      <c r="G19" s="36">
        <f t="shared" si="6"/>
        <v>2.8367406827742858E-3</v>
      </c>
      <c r="H19" s="36">
        <f t="shared" si="6"/>
        <v>1.333886071010526E-2</v>
      </c>
      <c r="I19" s="36">
        <f t="shared" si="6"/>
        <v>2.8781133437612905E-2</v>
      </c>
      <c r="J19" s="19">
        <f t="shared" si="6"/>
        <v>1.3426586512595984E-2</v>
      </c>
      <c r="K19" s="19">
        <f t="shared" si="6"/>
        <v>1.2856318522792787E-2</v>
      </c>
      <c r="L19" s="19">
        <f t="shared" si="6"/>
        <v>1.3353994804248037E-2</v>
      </c>
      <c r="M19" s="19">
        <f t="shared" si="6"/>
        <v>1.3312944139606042E-2</v>
      </c>
      <c r="N19" s="19">
        <f t="shared" si="6"/>
        <v>1.3160230803373363E-2</v>
      </c>
      <c r="O19" s="18">
        <f t="shared" si="6"/>
        <v>1.2387939772593892E-2</v>
      </c>
      <c r="P19" s="18">
        <f t="shared" si="6"/>
        <v>1.166985326859904E-2</v>
      </c>
      <c r="Q19" s="18">
        <f t="shared" si="6"/>
        <v>1.1067233268370114E-2</v>
      </c>
      <c r="R19" s="18">
        <f t="shared" si="6"/>
        <v>1.0223030059057558E-2</v>
      </c>
      <c r="S19" s="18">
        <f t="shared" si="6"/>
        <v>9.5797183321171264E-3</v>
      </c>
      <c r="T19" s="18">
        <f t="shared" si="6"/>
        <v>8.9001579859757651E-3</v>
      </c>
      <c r="U19" s="18">
        <f t="shared" si="6"/>
        <v>8.616424753629115E-3</v>
      </c>
      <c r="V19" s="18">
        <f t="shared" si="6"/>
        <v>8.1966807737019476E-3</v>
      </c>
      <c r="W19" s="18">
        <f t="shared" si="6"/>
        <v>7.4046444687088098E-3</v>
      </c>
      <c r="X19" s="18">
        <f t="shared" si="6"/>
        <v>6.933166055056228E-3</v>
      </c>
    </row>
    <row r="20" spans="1:24" x14ac:dyDescent="0.25">
      <c r="A20" s="9" t="s">
        <v>155</v>
      </c>
      <c r="B20" s="9"/>
      <c r="C20" s="13"/>
      <c r="D20" s="36">
        <f t="shared" ref="D20:X20" si="7">D$16/D$18</f>
        <v>0.70853392793797187</v>
      </c>
      <c r="E20" s="36">
        <f t="shared" si="7"/>
        <v>0.70420963903213019</v>
      </c>
      <c r="F20" s="36">
        <f t="shared" si="7"/>
        <v>0.70307150542893482</v>
      </c>
      <c r="G20" s="36">
        <f t="shared" si="7"/>
        <v>0.70973956301209506</v>
      </c>
      <c r="H20" s="36">
        <f t="shared" si="7"/>
        <v>0.71996149681145472</v>
      </c>
      <c r="I20" s="36">
        <f t="shared" si="7"/>
        <v>0.71764403171855629</v>
      </c>
      <c r="J20" s="19">
        <f t="shared" si="7"/>
        <v>0.71053664166185815</v>
      </c>
      <c r="K20" s="19">
        <f t="shared" si="7"/>
        <v>0.71238776719383812</v>
      </c>
      <c r="L20" s="19">
        <f t="shared" si="7"/>
        <v>0.71552577134118911</v>
      </c>
      <c r="M20" s="19">
        <f t="shared" si="7"/>
        <v>0.71775410563692854</v>
      </c>
      <c r="N20" s="19">
        <f t="shared" si="7"/>
        <v>0.71898889448667114</v>
      </c>
      <c r="O20" s="18">
        <f t="shared" si="7"/>
        <v>0.71801458757359382</v>
      </c>
      <c r="P20" s="18">
        <f t="shared" si="7"/>
        <v>0.71707280871659607</v>
      </c>
      <c r="Q20" s="18">
        <f t="shared" si="7"/>
        <v>0.7160852879753381</v>
      </c>
      <c r="R20" s="18">
        <f t="shared" si="7"/>
        <v>0.71522359915775047</v>
      </c>
      <c r="S20" s="18">
        <f t="shared" si="7"/>
        <v>0.71429596881124024</v>
      </c>
      <c r="T20" s="18">
        <f t="shared" si="7"/>
        <v>0.71337169713226045</v>
      </c>
      <c r="U20" s="18">
        <f t="shared" si="7"/>
        <v>0.71223964485927249</v>
      </c>
      <c r="V20" s="18">
        <f t="shared" si="7"/>
        <v>0.71107452427748785</v>
      </c>
      <c r="W20" s="18">
        <f t="shared" si="7"/>
        <v>0.71016250626098099</v>
      </c>
      <c r="X20" s="18">
        <f t="shared" si="7"/>
        <v>0.70933679512276171</v>
      </c>
    </row>
    <row r="21" spans="1:24" x14ac:dyDescent="0.25">
      <c r="A21" s="9" t="s">
        <v>64</v>
      </c>
      <c r="B21" s="9"/>
      <c r="C21" s="13"/>
      <c r="D21" s="35">
        <f>'Economic Forecasts'!Q$10</f>
        <v>4.9516999999999998</v>
      </c>
      <c r="E21" s="35">
        <f>'Economic Forecasts'!R$10</f>
        <v>5.0551000000000004</v>
      </c>
      <c r="F21" s="35">
        <f>'Economic Forecasts'!S$10</f>
        <v>5.1053999999999995</v>
      </c>
      <c r="G21" s="35">
        <f>'Economic Forecasts'!T$10</f>
        <v>5.1158999999999999</v>
      </c>
      <c r="H21" s="35">
        <f>'Economic Forecasts'!U$10</f>
        <v>5.1861000000000006</v>
      </c>
      <c r="I21" s="35">
        <f>'Economic Forecasts'!V$10</f>
        <v>5.3128000000000002</v>
      </c>
      <c r="J21" s="17">
        <f>'Economic Forecasts'!W$10</f>
        <v>5.3654999999999999</v>
      </c>
      <c r="K21" s="17">
        <f>'Economic Forecasts'!X$10</f>
        <v>5.4257</v>
      </c>
      <c r="L21" s="17">
        <f>'Economic Forecasts'!Y$10</f>
        <v>5.4906999999999995</v>
      </c>
      <c r="M21" s="17">
        <f>'Economic Forecasts'!Z$10</f>
        <v>5.5564</v>
      </c>
      <c r="N21" s="17">
        <f>'Economic Forecasts'!AA$10</f>
        <v>5.6223999999999998</v>
      </c>
      <c r="O21" s="16">
        <f>N$21*'Population Treasury'!Z$4/'Population Treasury'!Y$4</f>
        <v>5.6789399842283865</v>
      </c>
      <c r="P21" s="16">
        <f>O$21*'Population Treasury'!AA$4/'Population Treasury'!Z$4</f>
        <v>5.7330099702091735</v>
      </c>
      <c r="Q21" s="16">
        <f>P$21*'Population Treasury'!AB$4/'Population Treasury'!AA$4</f>
        <v>5.7845499579423612</v>
      </c>
      <c r="R21" s="16">
        <f>Q$21*'Population Treasury'!AC$4/'Population Treasury'!AB$4</f>
        <v>5.8338099474279499</v>
      </c>
      <c r="S21" s="16">
        <f>R$21*'Population Treasury'!AD$4/'Population Treasury'!AC$4</f>
        <v>5.8805699386659374</v>
      </c>
      <c r="T21" s="16">
        <f>S$21*'Population Treasury'!AE$4/'Population Treasury'!AD$4</f>
        <v>5.9250499316563294</v>
      </c>
      <c r="U21" s="16">
        <f>T$21*'Population Treasury'!AF$4/'Population Treasury'!AE$4</f>
        <v>5.9671399263991258</v>
      </c>
      <c r="V21" s="16">
        <f>U$21*'Population Treasury'!AG$4/'Population Treasury'!AF$4</f>
        <v>6.0070199228943171</v>
      </c>
      <c r="W21" s="16">
        <f>V$21*'Population Treasury'!AH$4/'Population Treasury'!AG$4</f>
        <v>6.0447099211419184</v>
      </c>
      <c r="X21" s="16">
        <f>W$21*'Population Treasury'!AI$4/'Population Treasury'!AH$4</f>
        <v>6.0802299211419184</v>
      </c>
    </row>
    <row r="22" spans="1:24" x14ac:dyDescent="0.25">
      <c r="A22" s="10" t="str">
        <f>$A$12</f>
        <v>Annual percentage growth</v>
      </c>
      <c r="B22" s="12"/>
      <c r="C22" s="13"/>
      <c r="D22" s="40"/>
      <c r="E22" s="36">
        <f t="shared" ref="E22:X22" si="8">E$21/D$21-1</f>
        <v>2.0881717389987342E-2</v>
      </c>
      <c r="F22" s="36">
        <f t="shared" si="8"/>
        <v>9.9503471741408944E-3</v>
      </c>
      <c r="G22" s="36">
        <f t="shared" si="8"/>
        <v>2.0566459043367402E-3</v>
      </c>
      <c r="H22" s="36">
        <f t="shared" si="8"/>
        <v>1.3721925760863396E-2</v>
      </c>
      <c r="I22" s="36">
        <f t="shared" si="8"/>
        <v>2.4430689728312194E-2</v>
      </c>
      <c r="J22" s="19">
        <f t="shared" si="8"/>
        <v>9.9194398433970488E-3</v>
      </c>
      <c r="K22" s="19">
        <f t="shared" si="8"/>
        <v>1.1219830397912522E-2</v>
      </c>
      <c r="L22" s="19">
        <f t="shared" si="8"/>
        <v>1.1980021011113617E-2</v>
      </c>
      <c r="M22" s="19">
        <f t="shared" si="8"/>
        <v>1.1965687435117722E-2</v>
      </c>
      <c r="N22" s="19">
        <f t="shared" si="8"/>
        <v>1.1878194514433726E-2</v>
      </c>
      <c r="O22" s="18">
        <f t="shared" si="8"/>
        <v>1.0056200951263916E-2</v>
      </c>
      <c r="P22" s="18">
        <f t="shared" si="8"/>
        <v>9.5211405880235578E-3</v>
      </c>
      <c r="Q22" s="18">
        <f t="shared" si="8"/>
        <v>8.9900397873035054E-3</v>
      </c>
      <c r="R22" s="18">
        <f t="shared" si="8"/>
        <v>8.5157859891853427E-3</v>
      </c>
      <c r="S22" s="18">
        <f t="shared" si="8"/>
        <v>8.0153436021006552E-3</v>
      </c>
      <c r="T22" s="18">
        <f t="shared" si="8"/>
        <v>7.5638915027482767E-3</v>
      </c>
      <c r="U22" s="18">
        <f t="shared" si="8"/>
        <v>7.1037367158575115E-3</v>
      </c>
      <c r="V22" s="18">
        <f t="shared" si="8"/>
        <v>6.6832681966713103E-3</v>
      </c>
      <c r="W22" s="18">
        <f t="shared" si="8"/>
        <v>6.274325494402877E-3</v>
      </c>
      <c r="X22" s="18">
        <f t="shared" si="8"/>
        <v>5.8762125004154786E-3</v>
      </c>
    </row>
    <row r="23" spans="1:24" x14ac:dyDescent="0.25">
      <c r="A23" s="9" t="s">
        <v>65</v>
      </c>
      <c r="B23" s="9"/>
      <c r="C23" s="13"/>
      <c r="D23" s="36">
        <f>'Economic Forecasts'!Q$11</f>
        <v>4.1299999999999996E-2</v>
      </c>
      <c r="E23" s="36">
        <f>'Economic Forecasts'!R$11</f>
        <v>4.1299999999999996E-2</v>
      </c>
      <c r="F23" s="36">
        <f>'Economic Forecasts'!S$11</f>
        <v>4.6799999999999994E-2</v>
      </c>
      <c r="G23" s="36">
        <f>'Economic Forecasts'!T$11</f>
        <v>3.2500000000000001E-2</v>
      </c>
      <c r="H23" s="36">
        <f>'Economic Forecasts'!U$11</f>
        <v>3.4300000000000004E-2</v>
      </c>
      <c r="I23" s="36">
        <f>'Economic Forecasts'!V$11</f>
        <v>4.2300000000000004E-2</v>
      </c>
      <c r="J23" s="19">
        <f>'Economic Forecasts'!W$11</f>
        <v>5.16E-2</v>
      </c>
      <c r="K23" s="19">
        <f>'Economic Forecasts'!X$11</f>
        <v>5.1900000000000002E-2</v>
      </c>
      <c r="L23" s="19">
        <f>'Economic Forecasts'!Y$11</f>
        <v>4.8799999999999996E-2</v>
      </c>
      <c r="M23" s="19">
        <f>'Economic Forecasts'!Z$11</f>
        <v>4.5599999999999995E-2</v>
      </c>
      <c r="N23" s="19">
        <f>'Economic Forecasts'!AA$11</f>
        <v>4.3799999999999999E-2</v>
      </c>
      <c r="O23" s="18">
        <f ca="1">N$23+MIN(ABS(OFFSET(Assumptions!$B$12,0,$C$1)-N$23),OFFSET(Assumptions!$B$18,0,$C$1))*SIGN(OFFSET(Assumptions!$B$12,0,$C$1)-N$23)</f>
        <v>4.3099999999999999E-2</v>
      </c>
      <c r="P23" s="18">
        <f ca="1">O$23+MIN(ABS(OFFSET(Assumptions!$B$12,0,$C$1)-O$23),OFFSET(Assumptions!$B$18,0,$C$1))*SIGN(OFFSET(Assumptions!$B$12,0,$C$1)-O$23)</f>
        <v>4.2500000000000003E-2</v>
      </c>
      <c r="Q23" s="18">
        <f ca="1">P$23+MIN(ABS(OFFSET(Assumptions!$B$12,0,$C$1)-P$23),OFFSET(Assumptions!$B$18,0,$C$1))*SIGN(OFFSET(Assumptions!$B$12,0,$C$1)-P$23)</f>
        <v>4.2500000000000003E-2</v>
      </c>
      <c r="R23" s="18">
        <f ca="1">Q$23+MIN(ABS(OFFSET(Assumptions!$B$12,0,$C$1)-Q$23),OFFSET(Assumptions!$B$18,0,$C$1))*SIGN(OFFSET(Assumptions!$B$12,0,$C$1)-Q$23)</f>
        <v>4.2500000000000003E-2</v>
      </c>
      <c r="S23" s="18">
        <f ca="1">R$23+MIN(ABS(OFFSET(Assumptions!$B$12,0,$C$1)-R$23),OFFSET(Assumptions!$B$18,0,$C$1))*SIGN(OFFSET(Assumptions!$B$12,0,$C$1)-R$23)</f>
        <v>4.2500000000000003E-2</v>
      </c>
      <c r="T23" s="18">
        <f ca="1">S$23+MIN(ABS(OFFSET(Assumptions!$B$12,0,$C$1)-S$23),OFFSET(Assumptions!$B$18,0,$C$1))*SIGN(OFFSET(Assumptions!$B$12,0,$C$1)-S$23)</f>
        <v>4.2500000000000003E-2</v>
      </c>
      <c r="U23" s="18">
        <f ca="1">T$23+MIN(ABS(OFFSET(Assumptions!$B$12,0,$C$1)-T$23),OFFSET(Assumptions!$B$18,0,$C$1))*SIGN(OFFSET(Assumptions!$B$12,0,$C$1)-T$23)</f>
        <v>4.2500000000000003E-2</v>
      </c>
      <c r="V23" s="18">
        <f ca="1">U$23+MIN(ABS(OFFSET(Assumptions!$B$12,0,$C$1)-U$23),OFFSET(Assumptions!$B$18,0,$C$1))*SIGN(OFFSET(Assumptions!$B$12,0,$C$1)-U$23)</f>
        <v>4.2500000000000003E-2</v>
      </c>
      <c r="W23" s="18">
        <f ca="1">V$23+MIN(ABS(OFFSET(Assumptions!$B$12,0,$C$1)-V$23),OFFSET(Assumptions!$B$18,0,$C$1))*SIGN(OFFSET(Assumptions!$B$12,0,$C$1)-V$23)</f>
        <v>4.2500000000000003E-2</v>
      </c>
      <c r="X23" s="18">
        <f ca="1">W$23+MIN(ABS(OFFSET(Assumptions!$B$12,0,$C$1)-W$23),OFFSET(Assumptions!$B$18,0,$C$1))*SIGN(OFFSET(Assumptions!$B$12,0,$C$1)-W$23)</f>
        <v>4.2500000000000003E-2</v>
      </c>
    </row>
    <row r="24" spans="1:24" x14ac:dyDescent="0.25">
      <c r="A24" s="9" t="s">
        <v>66</v>
      </c>
      <c r="B24" s="9"/>
      <c r="C24" s="13"/>
      <c r="D24" s="37">
        <f>'Economic Forecasts'!Q$12</f>
        <v>34.119999999999997</v>
      </c>
      <c r="E24" s="37">
        <f>'Economic Forecasts'!R$12</f>
        <v>33.18</v>
      </c>
      <c r="F24" s="37">
        <f>'Economic Forecasts'!S$12</f>
        <v>34.119999999999997</v>
      </c>
      <c r="G24" s="37">
        <f>'Economic Forecasts'!T$12</f>
        <v>32.94</v>
      </c>
      <c r="H24" s="37">
        <f>'Economic Forecasts'!U$12</f>
        <v>33.729999999999997</v>
      </c>
      <c r="I24" s="37">
        <f>'Economic Forecasts'!V$12</f>
        <v>33.549999999999997</v>
      </c>
      <c r="J24" s="21">
        <f>'Economic Forecasts'!W$12</f>
        <v>33.29</v>
      </c>
      <c r="K24" s="21">
        <f>'Economic Forecasts'!X$12</f>
        <v>33.380000000000003</v>
      </c>
      <c r="L24" s="21">
        <f>'Economic Forecasts'!Y$12</f>
        <v>33.409999999999997</v>
      </c>
      <c r="M24" s="21">
        <f>'Economic Forecasts'!Z$12</f>
        <v>33.44</v>
      </c>
      <c r="N24" s="21">
        <f>'Economic Forecasts'!AA$12</f>
        <v>33.44</v>
      </c>
      <c r="O24" s="20">
        <f ca="1">N$24+MIN(ABS(OFFSET(Assumptions!$B$13,0,$C$1)-N$24),OFFSET(Assumptions!$B$19,0,$C$1))*SIGN(OFFSET(Assumptions!$B$13,0,$C$1)-N$24)</f>
        <v>33.5</v>
      </c>
      <c r="P24" s="20">
        <f ca="1">O$24+MIN(ABS(OFFSET(Assumptions!$B$13,0,$C$1)-O$24),OFFSET(Assumptions!$B$19,0,$C$1))*SIGN(OFFSET(Assumptions!$B$13,0,$C$1)-O$24)</f>
        <v>33.56</v>
      </c>
      <c r="Q24" s="20">
        <f ca="1">P$24+MIN(ABS(OFFSET(Assumptions!$B$13,0,$C$1)-P$24),OFFSET(Assumptions!$B$19,0,$C$1))*SIGN(OFFSET(Assumptions!$B$13,0,$C$1)-P$24)</f>
        <v>33.6</v>
      </c>
      <c r="R24" s="20">
        <f ca="1">Q$24+MIN(ABS(OFFSET(Assumptions!$B$13,0,$C$1)-Q$24),OFFSET(Assumptions!$B$19,0,$C$1))*SIGN(OFFSET(Assumptions!$B$13,0,$C$1)-Q$24)</f>
        <v>33.6</v>
      </c>
      <c r="S24" s="20">
        <f ca="1">R$24+MIN(ABS(OFFSET(Assumptions!$B$13,0,$C$1)-R$24),OFFSET(Assumptions!$B$19,0,$C$1))*SIGN(OFFSET(Assumptions!$B$13,0,$C$1)-R$24)</f>
        <v>33.6</v>
      </c>
      <c r="T24" s="20">
        <f ca="1">S$24+MIN(ABS(OFFSET(Assumptions!$B$13,0,$C$1)-S$24),OFFSET(Assumptions!$B$19,0,$C$1))*SIGN(OFFSET(Assumptions!$B$13,0,$C$1)-S$24)</f>
        <v>33.6</v>
      </c>
      <c r="U24" s="20">
        <f ca="1">T$24+MIN(ABS(OFFSET(Assumptions!$B$13,0,$C$1)-T$24),OFFSET(Assumptions!$B$19,0,$C$1))*SIGN(OFFSET(Assumptions!$B$13,0,$C$1)-T$24)</f>
        <v>33.6</v>
      </c>
      <c r="V24" s="20">
        <f ca="1">U$24+MIN(ABS(OFFSET(Assumptions!$B$13,0,$C$1)-U$24),OFFSET(Assumptions!$B$19,0,$C$1))*SIGN(OFFSET(Assumptions!$B$13,0,$C$1)-U$24)</f>
        <v>33.6</v>
      </c>
      <c r="W24" s="20">
        <f ca="1">V$24+MIN(ABS(OFFSET(Assumptions!$B$13,0,$C$1)-V$24),OFFSET(Assumptions!$B$19,0,$C$1))*SIGN(OFFSET(Assumptions!$B$13,0,$C$1)-V$24)</f>
        <v>33.6</v>
      </c>
      <c r="X24" s="20">
        <f ca="1">W$24+MIN(ABS(OFFSET(Assumptions!$B$13,0,$C$1)-W$24),OFFSET(Assumptions!$B$19,0,$C$1))*SIGN(OFFSET(Assumptions!$B$13,0,$C$1)-W$24)</f>
        <v>33.6</v>
      </c>
    </row>
    <row r="25" spans="1:24" x14ac:dyDescent="0.25">
      <c r="A25" s="9" t="s">
        <v>67</v>
      </c>
      <c r="B25" s="9"/>
      <c r="C25" s="13"/>
      <c r="D25" s="36">
        <f>'Economic Forecasts'!Q$13</f>
        <v>6.7000000000000002E-3</v>
      </c>
      <c r="E25" s="36">
        <f>'Economic Forecasts'!R$13</f>
        <v>3.7000000000000002E-3</v>
      </c>
      <c r="F25" s="36">
        <f>'Economic Forecasts'!S$13</f>
        <v>2.6800000000000001E-2</v>
      </c>
      <c r="G25" s="36">
        <f>'Economic Forecasts'!T$13</f>
        <v>1.54E-2</v>
      </c>
      <c r="H25" s="36">
        <f>'Economic Forecasts'!U$13</f>
        <v>-1.0500000000000001E-2</v>
      </c>
      <c r="I25" s="36">
        <f>'Economic Forecasts'!V$13</f>
        <v>-5.4000000000000003E-3</v>
      </c>
      <c r="J25" s="19">
        <f>'Economic Forecasts'!W$13</f>
        <v>6.3E-3</v>
      </c>
      <c r="K25" s="19">
        <f>'Economic Forecasts'!X$13</f>
        <v>1.0999999999999999E-2</v>
      </c>
      <c r="L25" s="19">
        <f>'Economic Forecasts'!Y$13</f>
        <v>7.3000000000000001E-3</v>
      </c>
      <c r="M25" s="19">
        <f>'Economic Forecasts'!Z$13</f>
        <v>8.0000000000000002E-3</v>
      </c>
      <c r="N25" s="19">
        <f>'Economic Forecasts'!AA$13</f>
        <v>8.6999999999999994E-3</v>
      </c>
      <c r="O25" s="18">
        <f ca="1">N$25+IF(O$6&lt;OFFSET(Assumptions!$B$8,0,$C$1)+OFFSET(Assumptions!$B$24,0,$C$1),MIN(ABS(OFFSET(Assumptions!$B$14,0,$C$1)+OFFSET(Assumptions!$B$25,0,$C$1)-N$25),OFFSET(Assumptions!$B$20,0,$C$1))*SIGN(OFFSET(Assumptions!$B$14,0,$C$1)+OFFSET(Assumptions!$B$25,0,$C$1)-N$25),MIN(ABS(OFFSET(Assumptions!$B$14,0,$C$1)-N$25),OFFSET(Assumptions!$B$20,0,$C$1))*SIGN(OFFSET(Assumptions!$B$14,0,$C$1)-N$25))</f>
        <v>8.9999999999999993E-3</v>
      </c>
      <c r="P25" s="18">
        <f ca="1">O$25+IF(P$6&lt;OFFSET(Assumptions!$B$8,0,$C$1)+OFFSET(Assumptions!$B$24,0,$C$1),MIN(ABS(OFFSET(Assumptions!$B$14,0,$C$1)+OFFSET(Assumptions!$B$25,0,$C$1)-O$25),OFFSET(Assumptions!$B$20,0,$C$1))*SIGN(OFFSET(Assumptions!$B$14,0,$C$1)+OFFSET(Assumptions!$B$25,0,$C$1)-O$25),MIN(ABS(OFFSET(Assumptions!$B$14,0,$C$1)-O$25),OFFSET(Assumptions!$B$20,0,$C$1))*SIGN(OFFSET(Assumptions!$B$14,0,$C$1)-O$25))</f>
        <v>9.2999999999999992E-3</v>
      </c>
      <c r="Q25" s="18">
        <f ca="1">P$25+IF(Q$6&lt;OFFSET(Assumptions!$B$8,0,$C$1)+OFFSET(Assumptions!$B$24,0,$C$1),MIN(ABS(OFFSET(Assumptions!$B$14,0,$C$1)+OFFSET(Assumptions!$B$25,0,$C$1)-P$25),OFFSET(Assumptions!$B$20,0,$C$1))*SIGN(OFFSET(Assumptions!$B$14,0,$C$1)+OFFSET(Assumptions!$B$25,0,$C$1)-P$25),MIN(ABS(OFFSET(Assumptions!$B$14,0,$C$1)-P$25),OFFSET(Assumptions!$B$20,0,$C$1))*SIGN(OFFSET(Assumptions!$B$14,0,$C$1)-P$25))</f>
        <v>9.5999999999999992E-3</v>
      </c>
      <c r="R25" s="18">
        <f ca="1">Q$25+IF(R$6&lt;OFFSET(Assumptions!$B$8,0,$C$1)+OFFSET(Assumptions!$B$24,0,$C$1),MIN(ABS(OFFSET(Assumptions!$B$14,0,$C$1)+OFFSET(Assumptions!$B$25,0,$C$1)-Q$25),OFFSET(Assumptions!$B$20,0,$C$1))*SIGN(OFFSET(Assumptions!$B$14,0,$C$1)+OFFSET(Assumptions!$B$25,0,$C$1)-Q$25),MIN(ABS(OFFSET(Assumptions!$B$14,0,$C$1)-Q$25),OFFSET(Assumptions!$B$20,0,$C$1))*SIGN(OFFSET(Assumptions!$B$14,0,$C$1)-Q$25))</f>
        <v>9.8999999999999991E-3</v>
      </c>
      <c r="S25" s="18">
        <f ca="1">R$25+IF(S$6&lt;OFFSET(Assumptions!$B$8,0,$C$1)+OFFSET(Assumptions!$B$24,0,$C$1),MIN(ABS(OFFSET(Assumptions!$B$14,0,$C$1)+OFFSET(Assumptions!$B$25,0,$C$1)-R$25),OFFSET(Assumptions!$B$20,0,$C$1))*SIGN(OFFSET(Assumptions!$B$14,0,$C$1)+OFFSET(Assumptions!$B$25,0,$C$1)-R$25),MIN(ABS(OFFSET(Assumptions!$B$14,0,$C$1)-R$25),OFFSET(Assumptions!$B$20,0,$C$1))*SIGN(OFFSET(Assumptions!$B$14,0,$C$1)-R$25))</f>
        <v>9.9999999999999985E-3</v>
      </c>
      <c r="T25" s="18">
        <f ca="1">S$25+IF(T$6&lt;OFFSET(Assumptions!$B$8,0,$C$1)+OFFSET(Assumptions!$B$24,0,$C$1),MIN(ABS(OFFSET(Assumptions!$B$14,0,$C$1)+OFFSET(Assumptions!$B$25,0,$C$1)-S$25),OFFSET(Assumptions!$B$20,0,$C$1))*SIGN(OFFSET(Assumptions!$B$14,0,$C$1)+OFFSET(Assumptions!$B$25,0,$C$1)-S$25),MIN(ABS(OFFSET(Assumptions!$B$14,0,$C$1)-S$25),OFFSET(Assumptions!$B$20,0,$C$1))*SIGN(OFFSET(Assumptions!$B$14,0,$C$1)-S$25))</f>
        <v>9.9999999999999985E-3</v>
      </c>
      <c r="U25" s="18">
        <f ca="1">T$25+IF(U$6&lt;OFFSET(Assumptions!$B$8,0,$C$1)+OFFSET(Assumptions!$B$24,0,$C$1),MIN(ABS(OFFSET(Assumptions!$B$14,0,$C$1)+OFFSET(Assumptions!$B$25,0,$C$1)-T$25),OFFSET(Assumptions!$B$20,0,$C$1))*SIGN(OFFSET(Assumptions!$B$14,0,$C$1)+OFFSET(Assumptions!$B$25,0,$C$1)-T$25),MIN(ABS(OFFSET(Assumptions!$B$14,0,$C$1)-T$25),OFFSET(Assumptions!$B$20,0,$C$1))*SIGN(OFFSET(Assumptions!$B$14,0,$C$1)-T$25))</f>
        <v>9.6999999999999986E-3</v>
      </c>
      <c r="V25" s="18">
        <f ca="1">U$25+IF(V$6&lt;OFFSET(Assumptions!$B$8,0,$C$1)+OFFSET(Assumptions!$B$24,0,$C$1),MIN(ABS(OFFSET(Assumptions!$B$14,0,$C$1)+OFFSET(Assumptions!$B$25,0,$C$1)-U$25),OFFSET(Assumptions!$B$20,0,$C$1))*SIGN(OFFSET(Assumptions!$B$14,0,$C$1)+OFFSET(Assumptions!$B$25,0,$C$1)-U$25),MIN(ABS(OFFSET(Assumptions!$B$14,0,$C$1)-U$25),OFFSET(Assumptions!$B$20,0,$C$1))*SIGN(OFFSET(Assumptions!$B$14,0,$C$1)-U$25))</f>
        <v>9.3999999999999986E-3</v>
      </c>
      <c r="W25" s="18">
        <f ca="1">V$25+IF(W$6&lt;OFFSET(Assumptions!$B$8,0,$C$1)+OFFSET(Assumptions!$B$24,0,$C$1),MIN(ABS(OFFSET(Assumptions!$B$14,0,$C$1)+OFFSET(Assumptions!$B$25,0,$C$1)-V$25),OFFSET(Assumptions!$B$20,0,$C$1))*SIGN(OFFSET(Assumptions!$B$14,0,$C$1)+OFFSET(Assumptions!$B$25,0,$C$1)-V$25),MIN(ABS(OFFSET(Assumptions!$B$14,0,$C$1)-V$25),OFFSET(Assumptions!$B$20,0,$C$1))*SIGN(OFFSET(Assumptions!$B$14,0,$C$1)-V$25))</f>
        <v>9.0999999999999987E-3</v>
      </c>
      <c r="X25" s="18">
        <f ca="1">W$25+IF(X$6&lt;OFFSET(Assumptions!$B$8,0,$C$1)+OFFSET(Assumptions!$B$24,0,$C$1),MIN(ABS(OFFSET(Assumptions!$B$14,0,$C$1)+OFFSET(Assumptions!$B$25,0,$C$1)-W$25),OFFSET(Assumptions!$B$20,0,$C$1))*SIGN(OFFSET(Assumptions!$B$14,0,$C$1)+OFFSET(Assumptions!$B$25,0,$C$1)-W$25),MIN(ABS(OFFSET(Assumptions!$B$14,0,$C$1)-W$25),OFFSET(Assumptions!$B$20,0,$C$1))*SIGN(OFFSET(Assumptions!$B$14,0,$C$1)-W$25))</f>
        <v>8.9999999999999993E-3</v>
      </c>
    </row>
    <row r="26" spans="1:24" x14ac:dyDescent="0.25">
      <c r="A26" s="9" t="s">
        <v>69</v>
      </c>
      <c r="B26" s="12"/>
      <c r="C26" s="13"/>
      <c r="D26" s="36">
        <f>'Economic Forecasts'!Q$15</f>
        <v>3.3700000000000001E-2</v>
      </c>
      <c r="E26" s="36">
        <f>'Economic Forecasts'!R$15</f>
        <v>3.3300000000000003E-2</v>
      </c>
      <c r="F26" s="36">
        <f>'Economic Forecasts'!S$15</f>
        <v>4.1200000000000001E-2</v>
      </c>
      <c r="G26" s="36">
        <f>'Economic Forecasts'!T$15</f>
        <v>4.6100000000000002E-2</v>
      </c>
      <c r="H26" s="36">
        <f>'Economic Forecasts'!U$15</f>
        <v>7.2900000000000006E-2</v>
      </c>
      <c r="I26" s="36">
        <f>'Economic Forecasts'!V$15</f>
        <v>5.96E-2</v>
      </c>
      <c r="J26" s="19">
        <f>'Economic Forecasts'!W$15</f>
        <v>4.1200000000000001E-2</v>
      </c>
      <c r="K26" s="19">
        <f>'Economic Forecasts'!X$15</f>
        <v>3.0099999999999998E-2</v>
      </c>
      <c r="L26" s="19">
        <f>'Economic Forecasts'!Y$15</f>
        <v>2.6499999999999999E-2</v>
      </c>
      <c r="M26" s="19">
        <f>'Economic Forecasts'!Z$15</f>
        <v>2.6800000000000001E-2</v>
      </c>
      <c r="N26" s="19">
        <f>'Economic Forecasts'!AA$15</f>
        <v>2.7199999999999998E-2</v>
      </c>
      <c r="O26" s="18">
        <f t="shared" ref="O26:X26" ca="1" si="9">(1+O$25)*(1+O$29)-1</f>
        <v>2.9179999999999984E-2</v>
      </c>
      <c r="P26" s="18">
        <f t="shared" ca="1" si="9"/>
        <v>2.9486000000000123E-2</v>
      </c>
      <c r="Q26" s="18">
        <f t="shared" ca="1" si="9"/>
        <v>2.9792000000000041E-2</v>
      </c>
      <c r="R26" s="18">
        <f t="shared" ca="1" si="9"/>
        <v>3.0097999999999958E-2</v>
      </c>
      <c r="S26" s="18">
        <f t="shared" ca="1" si="9"/>
        <v>3.0200000000000005E-2</v>
      </c>
      <c r="T26" s="18">
        <f t="shared" ca="1" si="9"/>
        <v>3.0200000000000005E-2</v>
      </c>
      <c r="U26" s="18">
        <f t="shared" ca="1" si="9"/>
        <v>2.9894000000000087E-2</v>
      </c>
      <c r="V26" s="18">
        <f t="shared" ca="1" si="9"/>
        <v>2.958800000000017E-2</v>
      </c>
      <c r="W26" s="18">
        <f t="shared" ca="1" si="9"/>
        <v>2.928200000000003E-2</v>
      </c>
      <c r="X26" s="18">
        <f t="shared" ca="1" si="9"/>
        <v>2.9179999999999984E-2</v>
      </c>
    </row>
    <row r="27" spans="1:24" x14ac:dyDescent="0.25">
      <c r="A27" s="12" t="s">
        <v>156</v>
      </c>
      <c r="B27" s="9"/>
      <c r="C27" s="13"/>
    </row>
    <row r="28" spans="1:24" x14ac:dyDescent="0.25">
      <c r="A28" s="9" t="s">
        <v>157</v>
      </c>
      <c r="B28" s="9"/>
      <c r="C28" s="13"/>
      <c r="D28" s="44">
        <f>'Economic Forecasts'!Q$14</f>
        <v>1032</v>
      </c>
      <c r="E28" s="44">
        <f>'Economic Forecasts'!R$14</f>
        <v>1047</v>
      </c>
      <c r="F28" s="44">
        <f>'Economic Forecasts'!S$14</f>
        <v>1082</v>
      </c>
      <c r="G28" s="44">
        <f>'Economic Forecasts'!T$14</f>
        <v>1161</v>
      </c>
      <c r="H28" s="44">
        <f>'Economic Forecasts'!U$14</f>
        <v>1231</v>
      </c>
      <c r="I28" s="44">
        <f>'Economic Forecasts'!V$14</f>
        <v>1272</v>
      </c>
      <c r="J28" s="45">
        <f>'Economic Forecasts'!W$14</f>
        <v>1299.5999999999999</v>
      </c>
      <c r="K28" s="45">
        <f>'Economic Forecasts'!X$14</f>
        <v>1326.7</v>
      </c>
      <c r="L28" s="45">
        <f>'Economic Forecasts'!Y$14</f>
        <v>1352.9</v>
      </c>
      <c r="M28" s="45">
        <f>'Economic Forecasts'!Z$14</f>
        <v>1379.7</v>
      </c>
      <c r="N28" s="45">
        <f>'Economic Forecasts'!AA$14</f>
        <v>1407.3</v>
      </c>
      <c r="O28" s="46">
        <f t="shared" ref="O28:X28" ca="1" si="10">N$28*(1+O$29)</f>
        <v>1435.4459999999999</v>
      </c>
      <c r="P28" s="46">
        <f t="shared" ca="1" si="10"/>
        <v>1464.1549199999999</v>
      </c>
      <c r="Q28" s="46">
        <f t="shared" ca="1" si="10"/>
        <v>1493.4380183999999</v>
      </c>
      <c r="R28" s="46">
        <f t="shared" ca="1" si="10"/>
        <v>1523.306778768</v>
      </c>
      <c r="S28" s="46">
        <f t="shared" ca="1" si="10"/>
        <v>1553.7729143433601</v>
      </c>
      <c r="T28" s="46">
        <f t="shared" ca="1" si="10"/>
        <v>1584.8483726302272</v>
      </c>
      <c r="U28" s="46">
        <f t="shared" ca="1" si="10"/>
        <v>1616.5453400828319</v>
      </c>
      <c r="V28" s="46">
        <f t="shared" ca="1" si="10"/>
        <v>1648.8762468844886</v>
      </c>
      <c r="W28" s="46">
        <f t="shared" ca="1" si="10"/>
        <v>1681.8537718221785</v>
      </c>
      <c r="X28" s="46">
        <f t="shared" ca="1" si="10"/>
        <v>1715.4908472586221</v>
      </c>
    </row>
    <row r="29" spans="1:24" x14ac:dyDescent="0.25">
      <c r="A29" s="10" t="str">
        <f>$A$12</f>
        <v>Annual percentage growth</v>
      </c>
      <c r="B29" s="9"/>
      <c r="C29" s="13"/>
      <c r="D29" s="39"/>
      <c r="E29" s="36">
        <f t="shared" ref="E29:N29" si="11">E$28/D$28-1</f>
        <v>1.4534883720930258E-2</v>
      </c>
      <c r="F29" s="36">
        <f t="shared" si="11"/>
        <v>3.3428844317096473E-2</v>
      </c>
      <c r="G29" s="36">
        <f t="shared" si="11"/>
        <v>7.3012939001848354E-2</v>
      </c>
      <c r="H29" s="36">
        <f t="shared" si="11"/>
        <v>6.0292850990525393E-2</v>
      </c>
      <c r="I29" s="36">
        <f t="shared" si="11"/>
        <v>3.3306255077172997E-2</v>
      </c>
      <c r="J29" s="19">
        <f t="shared" si="11"/>
        <v>2.1698113207547109E-2</v>
      </c>
      <c r="K29" s="19">
        <f t="shared" si="11"/>
        <v>2.0852570021545169E-2</v>
      </c>
      <c r="L29" s="19">
        <f t="shared" si="11"/>
        <v>1.9748247531469199E-2</v>
      </c>
      <c r="M29" s="19">
        <f t="shared" si="11"/>
        <v>1.9809298543868703E-2</v>
      </c>
      <c r="N29" s="19">
        <f t="shared" si="11"/>
        <v>2.0004348771472058E-2</v>
      </c>
      <c r="O29" s="18">
        <f ca="1">N$29+MIN(ABS(OFFSET(Assumptions!$B$15,0,$C$1)-N$29),OFFSET(Assumptions!$B$21,0,$C$1))*SIGN(OFFSET(Assumptions!$B$15,0,$C$1)-N$29)</f>
        <v>0.02</v>
      </c>
      <c r="P29" s="18">
        <f ca="1">O$29+MIN(ABS(OFFSET(Assumptions!$B$15,0,$C$1)-O$29),OFFSET(Assumptions!$B$21,0,$C$1))*SIGN(OFFSET(Assumptions!$B$15,0,$C$1)-O$29)</f>
        <v>0.02</v>
      </c>
      <c r="Q29" s="18">
        <f ca="1">P$29+MIN(ABS(OFFSET(Assumptions!$B$15,0,$C$1)-P$29),OFFSET(Assumptions!$B$21,0,$C$1))*SIGN(OFFSET(Assumptions!$B$15,0,$C$1)-P$29)</f>
        <v>0.02</v>
      </c>
      <c r="R29" s="18">
        <f ca="1">Q$29+MIN(ABS(OFFSET(Assumptions!$B$15,0,$C$1)-Q$29),OFFSET(Assumptions!$B$21,0,$C$1))*SIGN(OFFSET(Assumptions!$B$15,0,$C$1)-Q$29)</f>
        <v>0.02</v>
      </c>
      <c r="S29" s="18">
        <f ca="1">R$29+MIN(ABS(OFFSET(Assumptions!$B$15,0,$C$1)-R$29),OFFSET(Assumptions!$B$21,0,$C$1))*SIGN(OFFSET(Assumptions!$B$15,0,$C$1)-R$29)</f>
        <v>0.02</v>
      </c>
      <c r="T29" s="18">
        <f ca="1">S$29+MIN(ABS(OFFSET(Assumptions!$B$15,0,$C$1)-S$29),OFFSET(Assumptions!$B$21,0,$C$1))*SIGN(OFFSET(Assumptions!$B$15,0,$C$1)-S$29)</f>
        <v>0.02</v>
      </c>
      <c r="U29" s="18">
        <f ca="1">T$29+MIN(ABS(OFFSET(Assumptions!$B$15,0,$C$1)-T$29),OFFSET(Assumptions!$B$21,0,$C$1))*SIGN(OFFSET(Assumptions!$B$15,0,$C$1)-T$29)</f>
        <v>0.02</v>
      </c>
      <c r="V29" s="18">
        <f ca="1">U$29+MIN(ABS(OFFSET(Assumptions!$B$15,0,$C$1)-U$29),OFFSET(Assumptions!$B$21,0,$C$1))*SIGN(OFFSET(Assumptions!$B$15,0,$C$1)-U$29)</f>
        <v>0.02</v>
      </c>
      <c r="W29" s="18">
        <f ca="1">V$29+MIN(ABS(OFFSET(Assumptions!$B$15,0,$C$1)-V$29),OFFSET(Assumptions!$B$21,0,$C$1))*SIGN(OFFSET(Assumptions!$B$15,0,$C$1)-V$29)</f>
        <v>0.02</v>
      </c>
      <c r="X29" s="18">
        <f ca="1">W$29+MIN(ABS(OFFSET(Assumptions!$B$15,0,$C$1)-W$29),OFFSET(Assumptions!$B$21,0,$C$1))*SIGN(OFFSET(Assumptions!$B$15,0,$C$1)-W$29)</f>
        <v>0.02</v>
      </c>
    </row>
    <row r="30" spans="1:24" x14ac:dyDescent="0.25">
      <c r="A30" s="9" t="s">
        <v>70</v>
      </c>
      <c r="B30" s="9"/>
      <c r="C30" s="13"/>
      <c r="D30" s="36">
        <f>'Economic Forecasts'!Q$16</f>
        <v>2.3099999999999999E-2</v>
      </c>
      <c r="E30" s="36">
        <f>'Economic Forecasts'!R$16</f>
        <v>1.18E-2</v>
      </c>
      <c r="F30" s="36">
        <f>'Economic Forecasts'!S$16</f>
        <v>1.1599999999999999E-2</v>
      </c>
      <c r="G30" s="36">
        <f>'Economic Forecasts'!T$16</f>
        <v>2.6499999999999999E-2</v>
      </c>
      <c r="H30" s="36">
        <f>'Economic Forecasts'!U$16</f>
        <v>4.1500000000000002E-2</v>
      </c>
      <c r="I30" s="36">
        <f>'Economic Forecasts'!V$16</f>
        <v>4.8499999999999995E-2</v>
      </c>
      <c r="J30" s="19">
        <f>'Economic Forecasts'!W$16</f>
        <v>4.4400000000000002E-2</v>
      </c>
      <c r="K30" s="19">
        <f>'Economic Forecasts'!X$16</f>
        <v>4.2999999999999997E-2</v>
      </c>
      <c r="L30" s="19">
        <f>'Economic Forecasts'!Y$16</f>
        <v>4.2900000000000001E-2</v>
      </c>
      <c r="M30" s="19">
        <f>'Economic Forecasts'!Z$16</f>
        <v>4.24E-2</v>
      </c>
      <c r="N30" s="19">
        <f>'Economic Forecasts'!AA$16</f>
        <v>4.2599999999999999E-2</v>
      </c>
      <c r="O30" s="18">
        <f ca="1">N$30+MIN(ABS(OFFSET(Assumptions!$B$16,0,$C$1)-N$30),OFFSET(Assumptions!$B$22,0,$C$1))*SIGN(OFFSET(Assumptions!$B$16,0,$C$1)-N$30)</f>
        <v>4.2999999999999997E-2</v>
      </c>
      <c r="P30" s="18">
        <f ca="1">O$30+MIN(ABS(OFFSET(Assumptions!$B$16,0,$C$1)-O$30),OFFSET(Assumptions!$B$22,0,$C$1))*SIGN(OFFSET(Assumptions!$B$16,0,$C$1)-O$30)</f>
        <v>4.2999999999999997E-2</v>
      </c>
      <c r="Q30" s="18">
        <f ca="1">P$30+MIN(ABS(OFFSET(Assumptions!$B$16,0,$C$1)-P$30),OFFSET(Assumptions!$B$22,0,$C$1))*SIGN(OFFSET(Assumptions!$B$16,0,$C$1)-P$30)</f>
        <v>4.2999999999999997E-2</v>
      </c>
      <c r="R30" s="18">
        <f ca="1">Q$30+MIN(ABS(OFFSET(Assumptions!$B$16,0,$C$1)-Q$30),OFFSET(Assumptions!$B$22,0,$C$1))*SIGN(OFFSET(Assumptions!$B$16,0,$C$1)-Q$30)</f>
        <v>4.2999999999999997E-2</v>
      </c>
      <c r="S30" s="18">
        <f ca="1">R$30+MIN(ABS(OFFSET(Assumptions!$B$16,0,$C$1)-R$30),OFFSET(Assumptions!$B$22,0,$C$1))*SIGN(OFFSET(Assumptions!$B$16,0,$C$1)-R$30)</f>
        <v>4.2999999999999997E-2</v>
      </c>
      <c r="T30" s="18">
        <f ca="1">S$30+MIN(ABS(OFFSET(Assumptions!$B$16,0,$C$1)-S$30),OFFSET(Assumptions!$B$22,0,$C$1))*SIGN(OFFSET(Assumptions!$B$16,0,$C$1)-S$30)</f>
        <v>4.2999999999999997E-2</v>
      </c>
      <c r="U30" s="18">
        <f ca="1">T$30+MIN(ABS(OFFSET(Assumptions!$B$16,0,$C$1)-T$30),OFFSET(Assumptions!$B$22,0,$C$1))*SIGN(OFFSET(Assumptions!$B$16,0,$C$1)-T$30)</f>
        <v>4.2999999999999997E-2</v>
      </c>
      <c r="V30" s="18">
        <f ca="1">U$30+MIN(ABS(OFFSET(Assumptions!$B$16,0,$C$1)-U$30),OFFSET(Assumptions!$B$22,0,$C$1))*SIGN(OFFSET(Assumptions!$B$16,0,$C$1)-U$30)</f>
        <v>4.2999999999999997E-2</v>
      </c>
      <c r="W30" s="18">
        <f ca="1">V$30+MIN(ABS(OFFSET(Assumptions!$B$16,0,$C$1)-V$30),OFFSET(Assumptions!$B$22,0,$C$1))*SIGN(OFFSET(Assumptions!$B$16,0,$C$1)-V$30)</f>
        <v>4.2999999999999997E-2</v>
      </c>
      <c r="X30" s="18">
        <f ca="1">W$30+MIN(ABS(OFFSET(Assumptions!$B$16,0,$C$1)-W$30),OFFSET(Assumptions!$B$22,0,$C$1))*SIGN(OFFSET(Assumptions!$B$16,0,$C$1)-W$30)</f>
        <v>4.2999999999999997E-2</v>
      </c>
    </row>
    <row r="31" spans="1:24" x14ac:dyDescent="0.25">
      <c r="A31" s="9"/>
      <c r="B31" s="9"/>
      <c r="C31" s="13"/>
      <c r="D31" s="36"/>
      <c r="E31" s="36"/>
      <c r="F31" s="36"/>
      <c r="G31" s="36"/>
      <c r="H31" s="36"/>
      <c r="I31" s="36"/>
      <c r="J31" s="19"/>
      <c r="K31" s="19"/>
      <c r="L31" s="19"/>
      <c r="M31" s="19"/>
      <c r="N31" s="18"/>
      <c r="O31" s="18"/>
      <c r="P31" s="18"/>
      <c r="Q31" s="18"/>
      <c r="R31" s="18"/>
      <c r="S31" s="18"/>
      <c r="T31" s="18"/>
      <c r="U31" s="18"/>
      <c r="V31" s="18"/>
      <c r="W31" s="18"/>
      <c r="X31" s="18"/>
    </row>
    <row r="32" spans="1:24" ht="16.5" x14ac:dyDescent="0.25">
      <c r="A32" s="41" t="s">
        <v>842</v>
      </c>
      <c r="B32" s="9"/>
      <c r="C32" s="13"/>
      <c r="D32" s="36"/>
      <c r="E32" s="36"/>
      <c r="F32" s="36"/>
      <c r="G32" s="36"/>
      <c r="H32" s="36"/>
      <c r="I32" s="36"/>
      <c r="J32" s="19"/>
      <c r="K32" s="19"/>
      <c r="L32" s="19"/>
      <c r="M32" s="19"/>
      <c r="N32" s="18"/>
      <c r="O32" s="18"/>
      <c r="P32" s="18"/>
      <c r="Q32" s="18"/>
      <c r="R32" s="18"/>
      <c r="S32" s="18"/>
      <c r="T32" s="18"/>
      <c r="U32" s="18"/>
      <c r="V32" s="18"/>
      <c r="W32" s="18"/>
      <c r="X32" s="18"/>
    </row>
    <row r="33" spans="1:24" x14ac:dyDescent="0.25">
      <c r="A33" s="12" t="s">
        <v>843</v>
      </c>
      <c r="B33" s="9"/>
      <c r="C33" s="13"/>
      <c r="D33" s="36"/>
      <c r="E33" s="36"/>
      <c r="F33" s="36"/>
      <c r="G33" s="36"/>
      <c r="H33" s="36"/>
      <c r="I33" s="36"/>
      <c r="J33" s="19"/>
      <c r="K33" s="19"/>
      <c r="L33" s="19"/>
      <c r="M33" s="19"/>
      <c r="N33" s="18"/>
      <c r="O33" s="18"/>
      <c r="P33" s="18"/>
      <c r="Q33" s="18"/>
      <c r="R33" s="18"/>
      <c r="S33" s="18"/>
      <c r="T33" s="18"/>
      <c r="U33" s="18"/>
      <c r="V33" s="18"/>
      <c r="W33" s="18"/>
      <c r="X33" s="18"/>
    </row>
    <row r="34" spans="1:24" x14ac:dyDescent="0.25">
      <c r="A34" s="9" t="s">
        <v>844</v>
      </c>
      <c r="B34" s="9"/>
      <c r="C34" s="13"/>
      <c r="D34" s="42">
        <f t="shared" ref="D34:X34" ca="1" si="12">SUM(D$140,D$150,D$155,D$165,D$173,D$179)</f>
        <v>119.142</v>
      </c>
      <c r="E34" s="42">
        <f t="shared" ca="1" si="12"/>
        <v>116.003</v>
      </c>
      <c r="F34" s="42">
        <f t="shared" ca="1" si="12"/>
        <v>129.33500000000001</v>
      </c>
      <c r="G34" s="42">
        <f t="shared" ca="1" si="12"/>
        <v>141.62700000000001</v>
      </c>
      <c r="H34" s="42">
        <f t="shared" ca="1" si="12"/>
        <v>153.011</v>
      </c>
      <c r="I34" s="42">
        <f t="shared" ca="1" si="12"/>
        <v>167.34699999999998</v>
      </c>
      <c r="J34" s="43">
        <f t="shared" ca="1" si="12"/>
        <v>169.65100000000001</v>
      </c>
      <c r="K34" s="43">
        <f t="shared" ca="1" si="12"/>
        <v>175.864</v>
      </c>
      <c r="L34" s="43">
        <f t="shared" ca="1" si="12"/>
        <v>184.02299999999997</v>
      </c>
      <c r="M34" s="43">
        <f t="shared" ca="1" si="12"/>
        <v>193.79</v>
      </c>
      <c r="N34" s="43">
        <f t="shared" ca="1" si="12"/>
        <v>203.01099999999997</v>
      </c>
      <c r="O34" s="47">
        <f t="shared" ca="1" si="12"/>
        <v>211.17920690259692</v>
      </c>
      <c r="P34" s="47">
        <f t="shared" ca="1" si="12"/>
        <v>219.86184176463124</v>
      </c>
      <c r="Q34" s="47">
        <f t="shared" ca="1" si="12"/>
        <v>228.82739556661315</v>
      </c>
      <c r="R34" s="47">
        <f t="shared" ca="1" si="12"/>
        <v>237.85179127235949</v>
      </c>
      <c r="S34" s="47">
        <f t="shared" ca="1" si="12"/>
        <v>247.11854101072922</v>
      </c>
      <c r="T34" s="47">
        <f t="shared" ca="1" si="12"/>
        <v>256.57139092455259</v>
      </c>
      <c r="U34" s="47">
        <f t="shared" ca="1" si="12"/>
        <v>266.20661124961805</v>
      </c>
      <c r="V34" s="47">
        <f t="shared" ca="1" si="12"/>
        <v>275.8348465170555</v>
      </c>
      <c r="W34" s="47">
        <f t="shared" ca="1" si="12"/>
        <v>285.35910341546219</v>
      </c>
      <c r="X34" s="47">
        <f t="shared" ca="1" si="12"/>
        <v>295.01516492302488</v>
      </c>
    </row>
    <row r="35" spans="1:24" x14ac:dyDescent="0.25">
      <c r="A35" s="9" t="s">
        <v>914</v>
      </c>
      <c r="B35" s="9"/>
      <c r="C35" s="13"/>
      <c r="D35" s="42">
        <f t="shared" ref="D35:X35" si="13">SUM(D$194,D$212,D$218,D$226,D$233,D$240,D$245,D$248)</f>
        <v>111.376</v>
      </c>
      <c r="E35" s="42">
        <f t="shared" si="13"/>
        <v>138.91599999999997</v>
      </c>
      <c r="F35" s="42">
        <f t="shared" si="13"/>
        <v>133.72200000000004</v>
      </c>
      <c r="G35" s="42">
        <f t="shared" si="13"/>
        <v>150.95599999999999</v>
      </c>
      <c r="H35" s="42">
        <f t="shared" si="13"/>
        <v>161.822</v>
      </c>
      <c r="I35" s="42">
        <f t="shared" si="13"/>
        <v>180.06100000000001</v>
      </c>
      <c r="J35" s="43">
        <f t="shared" ca="1" si="13"/>
        <v>184.11200000000005</v>
      </c>
      <c r="K35" s="43">
        <f t="shared" ca="1" si="13"/>
        <v>191.15800000000002</v>
      </c>
      <c r="L35" s="43">
        <f t="shared" ca="1" si="13"/>
        <v>195.33299999999997</v>
      </c>
      <c r="M35" s="43">
        <f t="shared" ca="1" si="13"/>
        <v>199.89400000000006</v>
      </c>
      <c r="N35" s="43">
        <f t="shared" ca="1" si="13"/>
        <v>205.57500000000002</v>
      </c>
      <c r="O35" s="47">
        <f t="shared" ca="1" si="13"/>
        <v>212.52686913706492</v>
      </c>
      <c r="P35" s="47">
        <f t="shared" ca="1" si="13"/>
        <v>219.02523592908622</v>
      </c>
      <c r="Q35" s="47">
        <f t="shared" ca="1" si="13"/>
        <v>225.84305888619355</v>
      </c>
      <c r="R35" s="47">
        <f t="shared" ca="1" si="13"/>
        <v>232.75445912078402</v>
      </c>
      <c r="S35" s="47">
        <f t="shared" ca="1" si="13"/>
        <v>239.73663633927873</v>
      </c>
      <c r="T35" s="47">
        <f t="shared" ca="1" si="13"/>
        <v>246.6522418820874</v>
      </c>
      <c r="U35" s="47">
        <f t="shared" ca="1" si="13"/>
        <v>253.68517224937645</v>
      </c>
      <c r="V35" s="47">
        <f t="shared" ca="1" si="13"/>
        <v>260.89810294115205</v>
      </c>
      <c r="W35" s="47">
        <f t="shared" ca="1" si="13"/>
        <v>268.164313626308</v>
      </c>
      <c r="X35" s="47">
        <f t="shared" ca="1" si="13"/>
        <v>275.44329358252492</v>
      </c>
    </row>
    <row r="36" spans="1:24" x14ac:dyDescent="0.25">
      <c r="A36" s="11" t="s">
        <v>845</v>
      </c>
      <c r="B36" s="9"/>
      <c r="C36" s="13"/>
      <c r="D36" s="35">
        <f t="shared" ref="D36:N36" si="14">D$346</f>
        <v>-7.1309999999999993</v>
      </c>
      <c r="E36" s="35">
        <f t="shared" si="14"/>
        <v>-8.7219999999999995</v>
      </c>
      <c r="F36" s="35">
        <f t="shared" si="14"/>
        <v>21.023</v>
      </c>
      <c r="G36" s="35">
        <f t="shared" si="14"/>
        <v>-6.7219999999999995</v>
      </c>
      <c r="H36" s="35">
        <f t="shared" si="14"/>
        <v>14.658000000000001</v>
      </c>
      <c r="I36" s="35">
        <f t="shared" si="14"/>
        <v>4.6669999999999998</v>
      </c>
      <c r="J36" s="17">
        <f t="shared" si="14"/>
        <v>9.0810000000000013</v>
      </c>
      <c r="K36" s="17">
        <f t="shared" si="14"/>
        <v>5.6920000000000002</v>
      </c>
      <c r="L36" s="17">
        <f t="shared" si="14"/>
        <v>6.0170000000000003</v>
      </c>
      <c r="M36" s="17">
        <f t="shared" si="14"/>
        <v>6.4740000000000002</v>
      </c>
      <c r="N36" s="17">
        <f t="shared" si="14"/>
        <v>6.9139999999999997</v>
      </c>
      <c r="O36" s="16">
        <f t="shared" ref="O36:X36" ca="1" si="15">O$346</f>
        <v>7.2847494645998649</v>
      </c>
      <c r="P36" s="16">
        <f t="shared" ca="1" si="15"/>
        <v>7.6939267867362133</v>
      </c>
      <c r="Q36" s="16">
        <f t="shared" ca="1" si="15"/>
        <v>8.1241988488925561</v>
      </c>
      <c r="R36" s="16">
        <f t="shared" ca="1" si="15"/>
        <v>8.5743334068974093</v>
      </c>
      <c r="S36" s="16">
        <f t="shared" ca="1" si="15"/>
        <v>9.0435037297867016</v>
      </c>
      <c r="T36" s="16">
        <f t="shared" ca="1" si="15"/>
        <v>9.5329538582273425</v>
      </c>
      <c r="U36" s="16">
        <f t="shared" ca="1" si="15"/>
        <v>10.043607348466466</v>
      </c>
      <c r="V36" s="16">
        <f t="shared" ca="1" si="15"/>
        <v>10.571049809250679</v>
      </c>
      <c r="W36" s="16">
        <f t="shared" ca="1" si="15"/>
        <v>11.114002484351417</v>
      </c>
      <c r="X36" s="16">
        <f t="shared" ca="1" si="15"/>
        <v>11.676614644841319</v>
      </c>
    </row>
    <row r="37" spans="1:24" x14ac:dyDescent="0.25">
      <c r="A37" s="11" t="s">
        <v>546</v>
      </c>
      <c r="B37" s="10"/>
      <c r="C37" s="13"/>
      <c r="D37" s="35">
        <f t="shared" ref="D37:N37" si="16">D$350</f>
        <v>0.20599999999999999</v>
      </c>
      <c r="E37" s="35">
        <f t="shared" si="16"/>
        <v>1.1930000000000001</v>
      </c>
      <c r="F37" s="35">
        <f t="shared" si="16"/>
        <v>-0.36</v>
      </c>
      <c r="G37" s="35">
        <f t="shared" si="16"/>
        <v>-0.126</v>
      </c>
      <c r="H37" s="35">
        <f t="shared" si="16"/>
        <v>2.9000000000000001E-2</v>
      </c>
      <c r="I37" s="35">
        <f t="shared" si="16"/>
        <v>0.12</v>
      </c>
      <c r="J37" s="17">
        <f t="shared" si="16"/>
        <v>0.192</v>
      </c>
      <c r="K37" s="17">
        <f t="shared" si="16"/>
        <v>7.0999999999999994E-2</v>
      </c>
      <c r="L37" s="17">
        <f t="shared" si="16"/>
        <v>0.114</v>
      </c>
      <c r="M37" s="17">
        <f t="shared" si="16"/>
        <v>0.14799999999999999</v>
      </c>
      <c r="N37" s="17">
        <f t="shared" si="16"/>
        <v>0.21099999999999999</v>
      </c>
      <c r="O37" s="16">
        <f t="shared" ref="O37:X37" ca="1" si="17">O$350</f>
        <v>0.2201041317331203</v>
      </c>
      <c r="P37" s="16">
        <f t="shared" ca="1" si="17"/>
        <v>0.22949160784128603</v>
      </c>
      <c r="Q37" s="16">
        <f t="shared" ca="1" si="17"/>
        <v>0.2388994667248488</v>
      </c>
      <c r="R37" s="16">
        <f t="shared" ca="1" si="17"/>
        <v>0.24830649164418553</v>
      </c>
      <c r="S37" s="16">
        <f t="shared" ca="1" si="17"/>
        <v>0.25792093827418805</v>
      </c>
      <c r="T37" s="16">
        <f t="shared" ca="1" si="17"/>
        <v>0.26772813410967505</v>
      </c>
      <c r="U37" s="16">
        <f t="shared" ca="1" si="17"/>
        <v>0.27766608979821761</v>
      </c>
      <c r="V37" s="16">
        <f t="shared" ca="1" si="17"/>
        <v>0.28775346073287089</v>
      </c>
      <c r="W37" s="16">
        <f t="shared" ca="1" si="17"/>
        <v>0.2979898710936395</v>
      </c>
      <c r="X37" s="16">
        <f t="shared" ca="1" si="17"/>
        <v>0.30845245765170465</v>
      </c>
    </row>
    <row r="38" spans="1:24" x14ac:dyDescent="0.25">
      <c r="A38" s="11" t="s">
        <v>915</v>
      </c>
      <c r="B38" s="10" t="s">
        <v>846</v>
      </c>
      <c r="C38" s="13"/>
      <c r="D38" s="35">
        <f>'Fiscal Forecasts'!D$28</f>
        <v>0.45200000000000001</v>
      </c>
      <c r="E38" s="35">
        <f>'Fiscal Forecasts'!E$28</f>
        <v>-0.40200000000000002</v>
      </c>
      <c r="F38" s="35">
        <f>'Fiscal Forecasts'!F$28</f>
        <v>0.11700000000000001</v>
      </c>
      <c r="G38" s="35">
        <f>'Fiscal Forecasts'!G$28</f>
        <v>0.755</v>
      </c>
      <c r="H38" s="35">
        <f>'Fiscal Forecasts'!H$28</f>
        <v>0.55500000000000005</v>
      </c>
      <c r="I38" s="35">
        <f>'Fiscal Forecasts'!I$28</f>
        <v>0.438</v>
      </c>
      <c r="J38" s="17">
        <f>'Fiscal Forecasts'!J$28</f>
        <v>0.30499999999999999</v>
      </c>
      <c r="K38" s="17">
        <f>'Fiscal Forecasts'!K$28</f>
        <v>0.35299999999999998</v>
      </c>
      <c r="L38" s="17">
        <f>'Fiscal Forecasts'!L$28</f>
        <v>0.48599999999999999</v>
      </c>
      <c r="M38" s="17">
        <f>'Fiscal Forecasts'!M$28</f>
        <v>0.55700000000000005</v>
      </c>
      <c r="N38" s="17">
        <f>'Fiscal Forecasts'!N$28</f>
        <v>0.49</v>
      </c>
      <c r="O38" s="16">
        <f t="shared" ref="O38:X38" ca="1" si="18">N$38*O$59/N$59</f>
        <v>0.51811714493247085</v>
      </c>
      <c r="P38" s="16">
        <f t="shared" ca="1" si="18"/>
        <v>0.54005240882414562</v>
      </c>
      <c r="Q38" s="16">
        <f t="shared" ca="1" si="18"/>
        <v>0.56203530016669512</v>
      </c>
      <c r="R38" s="16">
        <f t="shared" ca="1" si="18"/>
        <v>0.58401624282515063</v>
      </c>
      <c r="S38" s="16">
        <f t="shared" ca="1" si="18"/>
        <v>0.60648185781809638</v>
      </c>
      <c r="T38" s="16">
        <f t="shared" ca="1" si="18"/>
        <v>0.62939786060841152</v>
      </c>
      <c r="U38" s="16">
        <f t="shared" ca="1" si="18"/>
        <v>0.6526194036579146</v>
      </c>
      <c r="V38" s="16">
        <f t="shared" ca="1" si="18"/>
        <v>0.67619007812624776</v>
      </c>
      <c r="W38" s="16">
        <f t="shared" ca="1" si="18"/>
        <v>0.70010900585290448</v>
      </c>
      <c r="X38" s="16">
        <f t="shared" ca="1" si="18"/>
        <v>0.72455642862088554</v>
      </c>
    </row>
    <row r="39" spans="1:24" x14ac:dyDescent="0.25">
      <c r="A39" s="9" t="s">
        <v>835</v>
      </c>
      <c r="B39" s="9"/>
      <c r="C39" s="13"/>
      <c r="D39" s="65">
        <f t="shared" ref="D39:X39" ca="1" si="19">SUM(D$34,D$36,D$37)-SUM(D$35,D$38)</f>
        <v>0.38899999999999579</v>
      </c>
      <c r="E39" s="65">
        <f t="shared" ca="1" si="19"/>
        <v>-30.039999999999978</v>
      </c>
      <c r="F39" s="65">
        <f t="shared" ca="1" si="19"/>
        <v>16.158999999999963</v>
      </c>
      <c r="G39" s="65">
        <f t="shared" ca="1" si="19"/>
        <v>-16.931999999999988</v>
      </c>
      <c r="H39" s="65">
        <f t="shared" ca="1" si="19"/>
        <v>5.3209999999999695</v>
      </c>
      <c r="I39" s="65">
        <f t="shared" ca="1" si="19"/>
        <v>-8.3650000000000091</v>
      </c>
      <c r="J39" s="66">
        <f t="shared" ca="1" si="19"/>
        <v>-5.4930000000000518</v>
      </c>
      <c r="K39" s="66">
        <f t="shared" ca="1" si="19"/>
        <v>-9.8840000000000146</v>
      </c>
      <c r="L39" s="66">
        <f t="shared" ca="1" si="19"/>
        <v>-5.664999999999992</v>
      </c>
      <c r="M39" s="66">
        <f t="shared" ca="1" si="19"/>
        <v>-3.9000000000072532E-2</v>
      </c>
      <c r="N39" s="66">
        <f t="shared" ca="1" si="19"/>
        <v>4.0709999999999411</v>
      </c>
      <c r="O39" s="67">
        <f t="shared" ca="1" si="19"/>
        <v>5.6390742169324994</v>
      </c>
      <c r="P39" s="67">
        <f t="shared" ca="1" si="19"/>
        <v>8.2199718212983726</v>
      </c>
      <c r="Q39" s="67">
        <f t="shared" ca="1" si="19"/>
        <v>10.785399695870325</v>
      </c>
      <c r="R39" s="67">
        <f t="shared" ca="1" si="19"/>
        <v>13.335955807291896</v>
      </c>
      <c r="S39" s="67">
        <f t="shared" ca="1" si="19"/>
        <v>16.076847481693278</v>
      </c>
      <c r="T39" s="67">
        <f t="shared" ca="1" si="19"/>
        <v>19.090433174193834</v>
      </c>
      <c r="U39" s="67">
        <f t="shared" ca="1" si="19"/>
        <v>22.190093034848388</v>
      </c>
      <c r="V39" s="67">
        <f t="shared" ca="1" si="19"/>
        <v>25.119356767760735</v>
      </c>
      <c r="W39" s="67">
        <f t="shared" ca="1" si="19"/>
        <v>27.906673138746385</v>
      </c>
      <c r="X39" s="67">
        <f t="shared" ca="1" si="19"/>
        <v>30.832382014372115</v>
      </c>
    </row>
    <row r="40" spans="1:24" x14ac:dyDescent="0.25">
      <c r="A40" s="11" t="s">
        <v>551</v>
      </c>
      <c r="B40" s="10" t="str">
        <f>$B$38</f>
        <v>From Fiscal Forecasts</v>
      </c>
      <c r="C40" s="13"/>
      <c r="D40" s="35">
        <f>'Fiscal Forecasts'!D$32</f>
        <v>0.115</v>
      </c>
      <c r="E40" s="35">
        <f>'Fiscal Forecasts'!E$32</f>
        <v>-0.54600000000000004</v>
      </c>
      <c r="F40" s="35">
        <f>'Fiscal Forecasts'!F$32</f>
        <v>-5.6000000000000001E-2</v>
      </c>
      <c r="G40" s="35">
        <f>'Fiscal Forecasts'!G$32</f>
        <v>0.39300000000000002</v>
      </c>
      <c r="H40" s="35">
        <f>'Fiscal Forecasts'!H$32</f>
        <v>-0.08</v>
      </c>
      <c r="I40" s="35">
        <f>'Fiscal Forecasts'!I$32</f>
        <v>0.29799999999999999</v>
      </c>
      <c r="J40" s="17">
        <f>'Fiscal Forecasts'!J$32</f>
        <v>2.5999999999999999E-2</v>
      </c>
      <c r="K40" s="17">
        <f>'Fiscal Forecasts'!K$32</f>
        <v>4.4999999999999998E-2</v>
      </c>
      <c r="L40" s="17">
        <f>'Fiscal Forecasts'!L$32</f>
        <v>4.1000000000000002E-2</v>
      </c>
      <c r="M40" s="17">
        <f>'Fiscal Forecasts'!M$32</f>
        <v>4.2000000000000003E-2</v>
      </c>
      <c r="N40" s="17">
        <f>'Fiscal Forecasts'!N$32</f>
        <v>4.3999999999999997E-2</v>
      </c>
      <c r="O40" s="16">
        <f ca="1">IF(O$6=OFFSET(Assumptions!$B$8,0,$C$1),AVERAGE(L$40/L$38,M$40/M$38,N$40/N$38),N$40/N$38)*O$38</f>
        <v>4.3100785025576988E-2</v>
      </c>
      <c r="P40" s="16">
        <f ca="1">IF(P$6=OFFSET(Assumptions!$B$8,0,$C$1),AVERAGE(M$40/M$38,N$40/N$38,O$40/O$38),O$40/O$38)*P$38</f>
        <v>4.4925521193297513E-2</v>
      </c>
      <c r="Q40" s="16">
        <f ca="1">IF(Q$6=OFFSET(Assumptions!$B$8,0,$C$1),AVERAGE(N$40/N$38,O$40/O$38,P$40/P$38),P$40/P$38)*Q$38</f>
        <v>4.6754219361777025E-2</v>
      </c>
      <c r="R40" s="16">
        <f ca="1">IF(R$6=OFFSET(Assumptions!$B$8,0,$C$1),AVERAGE(O$40/O$38,P$40/P$38,Q$40/Q$38),Q$40/Q$38)*R$38</f>
        <v>4.8582755424418041E-2</v>
      </c>
      <c r="S40" s="16">
        <f ca="1">IF(S$6=OFFSET(Assumptions!$B$8,0,$C$1),AVERAGE(P$40/P$38,Q$40/Q$38,R$40/R$38),R$40/R$38)*S$38</f>
        <v>5.0451610087400747E-2</v>
      </c>
      <c r="T40" s="16">
        <f ca="1">IF(T$6=OFFSET(Assumptions!$B$8,0,$C$1),AVERAGE(Q$40/Q$38,R$40/R$38,S$40/S$38),S$40/S$38)*T$38</f>
        <v>5.2357931311415883E-2</v>
      </c>
      <c r="U40" s="16">
        <f ca="1">IF(U$6=OFFSET(Assumptions!$B$8,0,$C$1),AVERAGE(R$40/R$38,S$40/S$38,T$40/T$38),T$40/T$38)*U$38</f>
        <v>5.4289669615635215E-2</v>
      </c>
      <c r="V40" s="16">
        <f ca="1">IF(V$6=OFFSET(Assumptions!$B$8,0,$C$1),AVERAGE(S$40/S$38,T$40/T$38,U$40/U$38),U$40/U$38)*V$38</f>
        <v>5.625045123250276E-2</v>
      </c>
      <c r="W40" s="16">
        <f ca="1">IF(W$6=OFFSET(Assumptions!$B$8,0,$C$1),AVERAGE(T$40/T$38,U$40/U$38,V$40/V$38),V$40/V$38)*W$38</f>
        <v>5.8240203110185379E-2</v>
      </c>
      <c r="X40" s="16">
        <f ca="1">IF(X$6=OFFSET(Assumptions!$B$8,0,$C$1),AVERAGE(U$40/U$38,V$40/V$38,W$40/W$38),W$40/W$38)*X$38</f>
        <v>6.0273919082447759E-2</v>
      </c>
    </row>
    <row r="41" spans="1:24" x14ac:dyDescent="0.25">
      <c r="A41" s="9" t="s">
        <v>922</v>
      </c>
      <c r="B41" s="9"/>
      <c r="C41" s="13"/>
      <c r="D41" s="65">
        <f t="shared" ref="D41:X41" ca="1" si="20">D$34-D$35-(D$38-D$40)</f>
        <v>7.4289999999999914</v>
      </c>
      <c r="E41" s="65">
        <f t="shared" ca="1" si="20"/>
        <v>-23.056999999999967</v>
      </c>
      <c r="F41" s="65">
        <f t="shared" ca="1" si="20"/>
        <v>-4.5600000000000289</v>
      </c>
      <c r="G41" s="65">
        <f t="shared" ca="1" si="20"/>
        <v>-9.6909999999999794</v>
      </c>
      <c r="H41" s="65">
        <f t="shared" ca="1" si="20"/>
        <v>-9.4460000000000068</v>
      </c>
      <c r="I41" s="65">
        <f t="shared" ca="1" si="20"/>
        <v>-12.854000000000028</v>
      </c>
      <c r="J41" s="66">
        <f t="shared" ca="1" si="20"/>
        <v>-14.740000000000041</v>
      </c>
      <c r="K41" s="66">
        <f t="shared" ca="1" si="20"/>
        <v>-15.602000000000011</v>
      </c>
      <c r="L41" s="66">
        <f t="shared" ca="1" si="20"/>
        <v>-11.755000000000003</v>
      </c>
      <c r="M41" s="66">
        <f t="shared" ca="1" si="20"/>
        <v>-6.6190000000000699</v>
      </c>
      <c r="N41" s="66">
        <f t="shared" ca="1" si="20"/>
        <v>-3.01000000000005</v>
      </c>
      <c r="O41" s="67">
        <f t="shared" ca="1" si="20"/>
        <v>-1.8226785943748975</v>
      </c>
      <c r="P41" s="67">
        <f t="shared" ca="1" si="20"/>
        <v>0.34147894791416689</v>
      </c>
      <c r="Q41" s="67">
        <f t="shared" ca="1" si="20"/>
        <v>2.4690555996146841</v>
      </c>
      <c r="R41" s="67">
        <f t="shared" ca="1" si="20"/>
        <v>4.5618986641747394</v>
      </c>
      <c r="S41" s="67">
        <f t="shared" ca="1" si="20"/>
        <v>6.8258744237197897</v>
      </c>
      <c r="T41" s="67">
        <f t="shared" ca="1" si="20"/>
        <v>9.3421091131681973</v>
      </c>
      <c r="U41" s="67">
        <f t="shared" ca="1" si="20"/>
        <v>11.923109266199321</v>
      </c>
      <c r="V41" s="67">
        <f t="shared" ca="1" si="20"/>
        <v>14.316803949009705</v>
      </c>
      <c r="W41" s="67">
        <f t="shared" ca="1" si="20"/>
        <v>16.552920986411465</v>
      </c>
      <c r="X41" s="67">
        <f t="shared" ca="1" si="20"/>
        <v>18.907588830961529</v>
      </c>
    </row>
    <row r="42" spans="1:24" x14ac:dyDescent="0.25">
      <c r="A42" s="55" t="s">
        <v>916</v>
      </c>
      <c r="B42" s="10" t="s">
        <v>1047</v>
      </c>
      <c r="C42" s="13"/>
      <c r="D42" s="91" t="str">
        <f ca="1">IF(ROUND('Fiscal Forecasts'!D$33-D$41,3)=0,"OK","ERROR")</f>
        <v>OK</v>
      </c>
      <c r="E42" s="91" t="str">
        <f ca="1">IF(ROUND('Fiscal Forecasts'!E$33-E$41,3)=0,"OK","ERROR")</f>
        <v>OK</v>
      </c>
      <c r="F42" s="91" t="str">
        <f ca="1">IF(ROUND('Fiscal Forecasts'!F$33-F$41,3)=0,"OK","ERROR")</f>
        <v>OK</v>
      </c>
      <c r="G42" s="91" t="str">
        <f ca="1">IF(ROUND('Fiscal Forecasts'!G$33-G$41,3)=0,"OK","ERROR")</f>
        <v>OK</v>
      </c>
      <c r="H42" s="91" t="str">
        <f ca="1">IF(ROUND('Fiscal Forecasts'!H$33-H$41,3)=0,"OK","ERROR")</f>
        <v>OK</v>
      </c>
      <c r="I42" s="91" t="str">
        <f ca="1">IF(ROUND('Fiscal Forecasts'!I$33-I$41,3)=0,"OK","ERROR")</f>
        <v>OK</v>
      </c>
      <c r="J42" s="91" t="str">
        <f ca="1">IF(ROUND('Fiscal Forecasts'!J$33-J$41,3)=0,"OK","ERROR")</f>
        <v>OK</v>
      </c>
      <c r="K42" s="91" t="str">
        <f ca="1">IF(ROUND('Fiscal Forecasts'!K$33-K$41,3)=0,"OK","ERROR")</f>
        <v>OK</v>
      </c>
      <c r="L42" s="91" t="str">
        <f ca="1">IF(ROUND('Fiscal Forecasts'!L$33-L$41,3)=0,"OK","ERROR")</f>
        <v>OK</v>
      </c>
      <c r="M42" s="91" t="str">
        <f ca="1">IF(ROUND('Fiscal Forecasts'!M$33-M$41,3)=0,"OK","ERROR")</f>
        <v>OK</v>
      </c>
      <c r="N42" s="91" t="str">
        <f ca="1">IF(ROUND('Fiscal Forecasts'!N$33-N$41,3)=0,"OK","ERROR")</f>
        <v>OK</v>
      </c>
      <c r="O42" s="18"/>
      <c r="P42" s="18"/>
      <c r="Q42" s="18"/>
      <c r="R42" s="18"/>
      <c r="S42" s="18"/>
      <c r="T42" s="18"/>
      <c r="U42" s="18"/>
      <c r="V42" s="18"/>
      <c r="W42" s="18"/>
      <c r="X42" s="18"/>
    </row>
    <row r="43" spans="1:24" x14ac:dyDescent="0.25">
      <c r="A43" s="11" t="s">
        <v>1236</v>
      </c>
      <c r="B43" s="10" t="str">
        <f>$B$38</f>
        <v>From Fiscal Forecasts</v>
      </c>
      <c r="C43" s="13"/>
      <c r="D43" s="35">
        <f>'Fiscal Forecasts'!D$35</f>
        <v>5.827</v>
      </c>
      <c r="E43" s="35">
        <f>'Fiscal Forecasts'!E$35</f>
        <v>5.73</v>
      </c>
      <c r="F43" s="35">
        <f>'Fiscal Forecasts'!F$35</f>
        <v>6.1950000000000003</v>
      </c>
      <c r="G43" s="35">
        <f>'Fiscal Forecasts'!G$35</f>
        <v>6.625</v>
      </c>
      <c r="H43" s="35">
        <f>'Fiscal Forecasts'!H$35</f>
        <v>7.39</v>
      </c>
      <c r="I43" s="35">
        <f>'Fiscal Forecasts'!I$35</f>
        <v>7.9290000000000003</v>
      </c>
      <c r="J43" s="17">
        <f>'Fiscal Forecasts'!J$35</f>
        <v>8.5640000000000001</v>
      </c>
      <c r="K43" s="17">
        <f>'Fiscal Forecasts'!K$35</f>
        <v>9.0779999999999994</v>
      </c>
      <c r="L43" s="17">
        <f>'Fiscal Forecasts'!L$35</f>
        <v>9.76</v>
      </c>
      <c r="M43" s="17">
        <f>'Fiscal Forecasts'!M$35</f>
        <v>10.48</v>
      </c>
      <c r="N43" s="17">
        <f>'Fiscal Forecasts'!N$35</f>
        <v>11.268000000000001</v>
      </c>
      <c r="O43" s="16">
        <f>O$148+(N$43-N$148)*(1+Exogenous!Z$29/Exogenous!Y$30)</f>
        <v>12.079439766907566</v>
      </c>
      <c r="P43" s="16">
        <f>P$148+(O$43-O$148)*(1+Exogenous!AA$29/Exogenous!Z$30)</f>
        <v>12.946989239229504</v>
      </c>
      <c r="Q43" s="16">
        <f>Q$148+(P$43-P$148)*(1+Exogenous!AB$29/Exogenous!AA$30)</f>
        <v>13.922100932853603</v>
      </c>
      <c r="R43" s="16">
        <f>R$148+(Q$43-Q$148)*(1+Exogenous!AC$29/Exogenous!AB$30)</f>
        <v>14.959085505266426</v>
      </c>
      <c r="S43" s="16">
        <f>S$148+(R$43-R$148)*(1+Exogenous!AD$29/Exogenous!AC$30)</f>
        <v>16.086716885741083</v>
      </c>
      <c r="T43" s="16">
        <f>T$148+(S$43-S$148)*(1+Exogenous!AE$29/Exogenous!AD$30)</f>
        <v>17.277595530225824</v>
      </c>
      <c r="U43" s="16">
        <f>U$148+(T$43-T$148)*(1+Exogenous!AF$29/Exogenous!AE$30)</f>
        <v>18.56750333007993</v>
      </c>
      <c r="V43" s="16">
        <f>V$148+(U$43-U$148)*(1+Exogenous!AG$29/Exogenous!AF$30)</f>
        <v>19.751970130083862</v>
      </c>
      <c r="W43" s="16">
        <f>W$148+(V$43-V$148)*(1+Exogenous!AH$29/Exogenous!AG$30)</f>
        <v>20.736391036530534</v>
      </c>
      <c r="X43" s="16">
        <f>X$148+(W$43-W$148)*(1+Exogenous!AI$29/Exogenous!AH$30)</f>
        <v>21.688573679744984</v>
      </c>
    </row>
    <row r="44" spans="1:24" x14ac:dyDescent="0.25">
      <c r="A44" s="11" t="s">
        <v>1237</v>
      </c>
      <c r="B44" s="10" t="str">
        <f>$B$38</f>
        <v>From Fiscal Forecasts</v>
      </c>
      <c r="C44" s="13"/>
      <c r="D44" s="35">
        <f>'Fiscal Forecasts'!D$36</f>
        <v>6.9020000000000001</v>
      </c>
      <c r="E44" s="35">
        <f>'Fiscal Forecasts'!E$36</f>
        <v>7.8849999999999998</v>
      </c>
      <c r="F44" s="35">
        <f>'Fiscal Forecasts'!F$36</f>
        <v>8.1959999999999997</v>
      </c>
      <c r="G44" s="35">
        <f>'Fiscal Forecasts'!G$36</f>
        <v>7.6520000000000001</v>
      </c>
      <c r="H44" s="35">
        <f>'Fiscal Forecasts'!H$36</f>
        <v>9.6370000000000005</v>
      </c>
      <c r="I44" s="35">
        <f>'Fiscal Forecasts'!I$36</f>
        <v>12.01</v>
      </c>
      <c r="J44" s="17">
        <f>'Fiscal Forecasts'!J$36</f>
        <v>13.129</v>
      </c>
      <c r="K44" s="17">
        <f>'Fiscal Forecasts'!K$36</f>
        <v>12.605</v>
      </c>
      <c r="L44" s="17">
        <f>'Fiscal Forecasts'!L$36</f>
        <v>13.37</v>
      </c>
      <c r="M44" s="17">
        <f>'Fiscal Forecasts'!M$36</f>
        <v>14.006</v>
      </c>
      <c r="N44" s="17">
        <f>'Fiscal Forecasts'!N$36</f>
        <v>14.492000000000001</v>
      </c>
      <c r="O44" s="16">
        <f t="shared" ref="O44:X44" ca="1" si="21">O$241+(N$44-N$241)*(1+O$19)*(1+O$29)</f>
        <v>15.266117512088403</v>
      </c>
      <c r="P44" s="16">
        <f t="shared" ca="1" si="21"/>
        <v>16.080835552040309</v>
      </c>
      <c r="Q44" s="16">
        <f t="shared" ca="1" si="21"/>
        <v>16.913797905686849</v>
      </c>
      <c r="R44" s="16">
        <f t="shared" ca="1" si="21"/>
        <v>17.749548086373334</v>
      </c>
      <c r="S44" s="16">
        <f t="shared" ca="1" si="21"/>
        <v>18.596885910592594</v>
      </c>
      <c r="T44" s="16">
        <f t="shared" ca="1" si="21"/>
        <v>19.429849265958147</v>
      </c>
      <c r="U44" s="16">
        <f t="shared" ca="1" si="21"/>
        <v>20.312352850006395</v>
      </c>
      <c r="V44" s="16">
        <f t="shared" ca="1" si="21"/>
        <v>21.202186489496263</v>
      </c>
      <c r="W44" s="16">
        <f t="shared" ca="1" si="21"/>
        <v>22.120774395475699</v>
      </c>
      <c r="X44" s="16">
        <f t="shared" ca="1" si="21"/>
        <v>23.078792530685739</v>
      </c>
    </row>
    <row r="45" spans="1:24" x14ac:dyDescent="0.25">
      <c r="A45" s="9" t="s">
        <v>1238</v>
      </c>
      <c r="B45" s="10"/>
      <c r="C45" s="13"/>
      <c r="D45" s="65">
        <f t="shared" ref="D45:X45" ca="1" si="22">D$41-(D$43-D$44)</f>
        <v>8.5039999999999907</v>
      </c>
      <c r="E45" s="65">
        <f t="shared" ca="1" si="22"/>
        <v>-20.901999999999965</v>
      </c>
      <c r="F45" s="65">
        <f t="shared" ca="1" si="22"/>
        <v>-2.5590000000000295</v>
      </c>
      <c r="G45" s="65">
        <f t="shared" ca="1" si="22"/>
        <v>-8.6639999999999802</v>
      </c>
      <c r="H45" s="65">
        <f t="shared" ca="1" si="22"/>
        <v>-7.1990000000000061</v>
      </c>
      <c r="I45" s="65">
        <f t="shared" ca="1" si="22"/>
        <v>-8.7730000000000281</v>
      </c>
      <c r="J45" s="66">
        <f t="shared" ca="1" si="22"/>
        <v>-10.175000000000042</v>
      </c>
      <c r="K45" s="66">
        <f t="shared" ca="1" si="22"/>
        <v>-12.07500000000001</v>
      </c>
      <c r="L45" s="66">
        <f t="shared" ca="1" si="22"/>
        <v>-8.1450000000000031</v>
      </c>
      <c r="M45" s="66">
        <f t="shared" ca="1" si="22"/>
        <v>-3.0930000000000701</v>
      </c>
      <c r="N45" s="66">
        <f t="shared" ca="1" si="22"/>
        <v>0.21399999999995023</v>
      </c>
      <c r="O45" s="67">
        <f t="shared" ca="1" si="22"/>
        <v>1.3639991508059399</v>
      </c>
      <c r="P45" s="67">
        <f t="shared" ca="1" si="22"/>
        <v>3.4753252607249721</v>
      </c>
      <c r="Q45" s="67">
        <f t="shared" ca="1" si="22"/>
        <v>5.4607525724479302</v>
      </c>
      <c r="R45" s="67">
        <f t="shared" ca="1" si="22"/>
        <v>7.3523612452816476</v>
      </c>
      <c r="S45" s="67">
        <f t="shared" ca="1" si="22"/>
        <v>9.3360434485712993</v>
      </c>
      <c r="T45" s="67">
        <f t="shared" ca="1" si="22"/>
        <v>11.49436284890052</v>
      </c>
      <c r="U45" s="67">
        <f t="shared" ca="1" si="22"/>
        <v>13.667958786125785</v>
      </c>
      <c r="V45" s="67">
        <f t="shared" ca="1" si="22"/>
        <v>15.767020308422106</v>
      </c>
      <c r="W45" s="67">
        <f t="shared" ca="1" si="22"/>
        <v>17.93730434535663</v>
      </c>
      <c r="X45" s="67">
        <f t="shared" ca="1" si="22"/>
        <v>20.297807681902285</v>
      </c>
    </row>
    <row r="46" spans="1:24" x14ac:dyDescent="0.25">
      <c r="A46" s="55" t="s">
        <v>917</v>
      </c>
      <c r="B46" s="9"/>
      <c r="C46" s="13"/>
      <c r="D46" s="91" t="str">
        <f t="shared" ref="D46:X46" si="23">IF(ROUND(D$35-SUM(D$200,D$233,D$245,D$248,D$252,D$264,D$277,D$285,D$289,D$296,D$303,D$307,D$311,D$315,D$319,D$325,D$329),3)=0,"OK","ERROR")</f>
        <v>OK</v>
      </c>
      <c r="E46" s="91" t="str">
        <f t="shared" si="23"/>
        <v>OK</v>
      </c>
      <c r="F46" s="91" t="str">
        <f t="shared" si="23"/>
        <v>OK</v>
      </c>
      <c r="G46" s="91" t="str">
        <f t="shared" si="23"/>
        <v>OK</v>
      </c>
      <c r="H46" s="91" t="str">
        <f t="shared" si="23"/>
        <v>OK</v>
      </c>
      <c r="I46" s="91" t="str">
        <f t="shared" si="23"/>
        <v>OK</v>
      </c>
      <c r="J46" s="91" t="str">
        <f t="shared" ca="1" si="23"/>
        <v>OK</v>
      </c>
      <c r="K46" s="91" t="str">
        <f t="shared" ca="1" si="23"/>
        <v>OK</v>
      </c>
      <c r="L46" s="91" t="str">
        <f t="shared" ca="1" si="23"/>
        <v>OK</v>
      </c>
      <c r="M46" s="91" t="str">
        <f t="shared" ca="1" si="23"/>
        <v>OK</v>
      </c>
      <c r="N46" s="91" t="str">
        <f t="shared" ca="1" si="23"/>
        <v>OK</v>
      </c>
      <c r="O46" s="91" t="str">
        <f t="shared" ca="1" si="23"/>
        <v>OK</v>
      </c>
      <c r="P46" s="91" t="str">
        <f t="shared" ca="1" si="23"/>
        <v>OK</v>
      </c>
      <c r="Q46" s="91" t="str">
        <f t="shared" ca="1" si="23"/>
        <v>OK</v>
      </c>
      <c r="R46" s="91" t="str">
        <f t="shared" ca="1" si="23"/>
        <v>OK</v>
      </c>
      <c r="S46" s="91" t="str">
        <f t="shared" ca="1" si="23"/>
        <v>OK</v>
      </c>
      <c r="T46" s="91" t="str">
        <f t="shared" ca="1" si="23"/>
        <v>OK</v>
      </c>
      <c r="U46" s="91" t="str">
        <f t="shared" ca="1" si="23"/>
        <v>OK</v>
      </c>
      <c r="V46" s="91" t="str">
        <f t="shared" ca="1" si="23"/>
        <v>OK</v>
      </c>
      <c r="W46" s="91" t="str">
        <f t="shared" ca="1" si="23"/>
        <v>OK</v>
      </c>
      <c r="X46" s="91" t="str">
        <f t="shared" ca="1" si="23"/>
        <v>OK</v>
      </c>
    </row>
    <row r="47" spans="1:24" x14ac:dyDescent="0.25">
      <c r="A47" s="9" t="s">
        <v>918</v>
      </c>
      <c r="B47" s="9"/>
      <c r="C47" s="13"/>
      <c r="D47" s="42">
        <f t="shared" ref="D47:X47" ca="1" si="24">SUM(D$142,D$147,D$154,D$161,D$170,D$178)</f>
        <v>93.474000000000004</v>
      </c>
      <c r="E47" s="42">
        <f t="shared" ca="1" si="24"/>
        <v>91.923000000000002</v>
      </c>
      <c r="F47" s="42">
        <f t="shared" ca="1" si="24"/>
        <v>104.968</v>
      </c>
      <c r="G47" s="42">
        <f t="shared" ca="1" si="24"/>
        <v>117.515</v>
      </c>
      <c r="H47" s="42">
        <f t="shared" ca="1" si="24"/>
        <v>123.398</v>
      </c>
      <c r="I47" s="42">
        <f t="shared" ca="1" si="24"/>
        <v>133.22</v>
      </c>
      <c r="J47" s="43">
        <f t="shared" ca="1" si="24"/>
        <v>134.18799999999999</v>
      </c>
      <c r="K47" s="43">
        <f t="shared" ca="1" si="24"/>
        <v>139.726</v>
      </c>
      <c r="L47" s="43">
        <f t="shared" ca="1" si="24"/>
        <v>146.42300000000003</v>
      </c>
      <c r="M47" s="43">
        <f t="shared" ca="1" si="24"/>
        <v>154.37099999999998</v>
      </c>
      <c r="N47" s="43">
        <f t="shared" ca="1" si="24"/>
        <v>162.505</v>
      </c>
      <c r="O47" s="47">
        <f t="shared" ca="1" si="24"/>
        <v>168.58762263816709</v>
      </c>
      <c r="P47" s="47">
        <f t="shared" ca="1" si="24"/>
        <v>175.31431810391663</v>
      </c>
      <c r="Q47" s="47">
        <f t="shared" ca="1" si="24"/>
        <v>182.23789608391752</v>
      </c>
      <c r="R47" s="47">
        <f t="shared" ca="1" si="24"/>
        <v>189.18073595333851</v>
      </c>
      <c r="S47" s="47">
        <f t="shared" ca="1" si="24"/>
        <v>196.26680555539977</v>
      </c>
      <c r="T47" s="47">
        <f t="shared" ca="1" si="24"/>
        <v>203.47873585415908</v>
      </c>
      <c r="U47" s="47">
        <f t="shared" ca="1" si="24"/>
        <v>210.7819107258903</v>
      </c>
      <c r="V47" s="47">
        <f t="shared" ca="1" si="24"/>
        <v>218.19013585372778</v>
      </c>
      <c r="W47" s="47">
        <f t="shared" ca="1" si="24"/>
        <v>225.70225035567739</v>
      </c>
      <c r="X47" s="47">
        <f t="shared" ca="1" si="24"/>
        <v>233.37442457734994</v>
      </c>
    </row>
    <row r="48" spans="1:24" x14ac:dyDescent="0.25">
      <c r="A48" s="9" t="s">
        <v>919</v>
      </c>
      <c r="B48" s="9"/>
      <c r="C48" s="13"/>
      <c r="D48" s="42">
        <f t="shared" ref="D48:X48" si="25">SUM(D$195,D$208,D$215,D$222,D$229,D$237,D$245,D$248)</f>
        <v>86.959000000000003</v>
      </c>
      <c r="E48" s="42">
        <f t="shared" si="25"/>
        <v>108.83199999999999</v>
      </c>
      <c r="F48" s="42">
        <f t="shared" si="25"/>
        <v>107.76500000000001</v>
      </c>
      <c r="G48" s="42">
        <f t="shared" si="25"/>
        <v>125.64100000000001</v>
      </c>
      <c r="H48" s="42">
        <f t="shared" si="25"/>
        <v>127.57400000000001</v>
      </c>
      <c r="I48" s="42">
        <f t="shared" si="25"/>
        <v>139.00000000000003</v>
      </c>
      <c r="J48" s="43">
        <f t="shared" ca="1" si="25"/>
        <v>142.208</v>
      </c>
      <c r="K48" s="43">
        <f t="shared" ca="1" si="25"/>
        <v>150.34899999999999</v>
      </c>
      <c r="L48" s="43">
        <f t="shared" ca="1" si="25"/>
        <v>153.142</v>
      </c>
      <c r="M48" s="43">
        <f t="shared" ca="1" si="25"/>
        <v>156.82700000000003</v>
      </c>
      <c r="N48" s="43">
        <f t="shared" ca="1" si="25"/>
        <v>161.95899999999997</v>
      </c>
      <c r="O48" s="47">
        <f t="shared" ca="1" si="25"/>
        <v>167.05925421276194</v>
      </c>
      <c r="P48" s="47">
        <f t="shared" ca="1" si="25"/>
        <v>172.00021058418787</v>
      </c>
      <c r="Q48" s="47">
        <f t="shared" ca="1" si="25"/>
        <v>177.30732835872027</v>
      </c>
      <c r="R48" s="47">
        <f t="shared" ca="1" si="25"/>
        <v>182.74694688537596</v>
      </c>
      <c r="S48" s="47">
        <f t="shared" ca="1" si="25"/>
        <v>188.28782908692469</v>
      </c>
      <c r="T48" s="47">
        <f t="shared" ca="1" si="25"/>
        <v>193.83965016770483</v>
      </c>
      <c r="U48" s="47">
        <f t="shared" ca="1" si="25"/>
        <v>199.50229648118491</v>
      </c>
      <c r="V48" s="47">
        <f t="shared" ca="1" si="25"/>
        <v>205.20976664182896</v>
      </c>
      <c r="W48" s="47">
        <f t="shared" ca="1" si="25"/>
        <v>210.90139481453139</v>
      </c>
      <c r="X48" s="47">
        <f t="shared" ca="1" si="25"/>
        <v>216.58683336394478</v>
      </c>
    </row>
    <row r="49" spans="1:24" x14ac:dyDescent="0.25">
      <c r="A49" s="9" t="s">
        <v>669</v>
      </c>
      <c r="B49" s="9"/>
      <c r="C49" s="13"/>
      <c r="D49" s="42">
        <f t="shared" ref="D49:X49" ca="1" si="26">SUM(D$47,-D$48,D$342,D$349)</f>
        <v>9.7070000000000007</v>
      </c>
      <c r="E49" s="42">
        <f t="shared" ca="1" si="26"/>
        <v>-20.882999999999992</v>
      </c>
      <c r="F49" s="42">
        <f t="shared" ca="1" si="26"/>
        <v>4.7029999999999887</v>
      </c>
      <c r="G49" s="42">
        <f t="shared" ca="1" si="26"/>
        <v>-19.532000000000004</v>
      </c>
      <c r="H49" s="42">
        <f t="shared" ca="1" si="26"/>
        <v>8.2929999999999833</v>
      </c>
      <c r="I49" s="42">
        <f t="shared" ca="1" si="26"/>
        <v>2.1039999999999708</v>
      </c>
      <c r="J49" s="43">
        <f t="shared" ca="1" si="26"/>
        <v>-0.77400000000000979</v>
      </c>
      <c r="K49" s="43">
        <f t="shared" ca="1" si="26"/>
        <v>-5.4479999999999906</v>
      </c>
      <c r="L49" s="43">
        <f t="shared" ca="1" si="26"/>
        <v>-1.2689999999999655</v>
      </c>
      <c r="M49" s="43">
        <f t="shared" ca="1" si="26"/>
        <v>3.3019999999999543</v>
      </c>
      <c r="N49" s="43">
        <f t="shared" ca="1" si="26"/>
        <v>6.6430000000000211</v>
      </c>
      <c r="O49" s="47">
        <f t="shared" ca="1" si="26"/>
        <v>7.9730602162994533</v>
      </c>
      <c r="P49" s="47">
        <f t="shared" ca="1" si="26"/>
        <v>10.139361217172528</v>
      </c>
      <c r="Q49" s="47">
        <f t="shared" ca="1" si="26"/>
        <v>12.15041509438128</v>
      </c>
      <c r="R49" s="47">
        <f t="shared" ca="1" si="26"/>
        <v>14.060238280014719</v>
      </c>
      <c r="S49" s="47">
        <f t="shared" ca="1" si="26"/>
        <v>16.022165197429253</v>
      </c>
      <c r="T49" s="47">
        <f t="shared" ca="1" si="26"/>
        <v>18.108888333929762</v>
      </c>
      <c r="U49" s="47">
        <f t="shared" ca="1" si="26"/>
        <v>20.185343612257508</v>
      </c>
      <c r="V49" s="47">
        <f t="shared" ca="1" si="26"/>
        <v>22.330844736329365</v>
      </c>
      <c r="W49" s="47">
        <f t="shared" ca="1" si="26"/>
        <v>24.608015574073182</v>
      </c>
      <c r="X49" s="47">
        <f t="shared" ca="1" si="26"/>
        <v>27.068546954317629</v>
      </c>
    </row>
    <row r="50" spans="1:24" x14ac:dyDescent="0.25">
      <c r="A50" s="9" t="s">
        <v>832</v>
      </c>
      <c r="B50" s="9"/>
      <c r="C50" s="13"/>
      <c r="D50" s="42">
        <f t="shared" ref="D50:X50" ca="1" si="27">(D$47-D$161)-(D$48-D$229)</f>
        <v>9.144999999999996</v>
      </c>
      <c r="E50" s="42">
        <f t="shared" ca="1" si="27"/>
        <v>-14.530999999999992</v>
      </c>
      <c r="F50" s="42">
        <f t="shared" ca="1" si="27"/>
        <v>-1.5949999999999989</v>
      </c>
      <c r="G50" s="42">
        <f t="shared" ca="1" si="27"/>
        <v>-6.1000000000000085</v>
      </c>
      <c r="H50" s="42">
        <f t="shared" ca="1" si="27"/>
        <v>-0.4690000000000083</v>
      </c>
      <c r="I50" s="42">
        <f t="shared" ca="1" si="27"/>
        <v>-1.27800000000002</v>
      </c>
      <c r="J50" s="43">
        <f t="shared" ca="1" si="27"/>
        <v>-3.2600000000000193</v>
      </c>
      <c r="K50" s="43">
        <f t="shared" ca="1" si="27"/>
        <v>-4.8259999999999934</v>
      </c>
      <c r="L50" s="43">
        <f t="shared" ca="1" si="27"/>
        <v>8.0000000000381988E-3</v>
      </c>
      <c r="M50" s="43">
        <f t="shared" ca="1" si="27"/>
        <v>5.1669999999999732</v>
      </c>
      <c r="N50" s="43">
        <f t="shared" ca="1" si="27"/>
        <v>8.8270000000000266</v>
      </c>
      <c r="O50" s="47">
        <f t="shared" ca="1" si="27"/>
        <v>10.003993923096715</v>
      </c>
      <c r="P50" s="47">
        <f t="shared" ca="1" si="27"/>
        <v>11.784062266639552</v>
      </c>
      <c r="Q50" s="47">
        <f t="shared" ca="1" si="27"/>
        <v>13.393671900666391</v>
      </c>
      <c r="R50" s="47">
        <f t="shared" ca="1" si="27"/>
        <v>14.822917128830795</v>
      </c>
      <c r="S50" s="47">
        <f t="shared" ca="1" si="27"/>
        <v>16.226213094795526</v>
      </c>
      <c r="T50" s="47">
        <f t="shared" ca="1" si="27"/>
        <v>17.633078853573409</v>
      </c>
      <c r="U50" s="47">
        <f t="shared" ca="1" si="27"/>
        <v>18.948567127970421</v>
      </c>
      <c r="V50" s="47">
        <f t="shared" ca="1" si="27"/>
        <v>20.247936064898369</v>
      </c>
      <c r="W50" s="47">
        <f t="shared" ca="1" si="27"/>
        <v>21.585461656175738</v>
      </c>
      <c r="X50" s="47">
        <f t="shared" ca="1" si="27"/>
        <v>23.006254315394813</v>
      </c>
    </row>
    <row r="51" spans="1:24" x14ac:dyDescent="0.25">
      <c r="A51" s="9" t="s">
        <v>831</v>
      </c>
      <c r="B51" s="9"/>
      <c r="C51" s="13"/>
      <c r="D51" s="42">
        <f t="shared" ref="D51:I51" si="28">D$504</f>
        <v>-0.7100000000000124</v>
      </c>
      <c r="E51" s="42">
        <f t="shared" si="28"/>
        <v>-23.692000000000007</v>
      </c>
      <c r="F51" s="42">
        <f t="shared" si="28"/>
        <v>-13.766999999999978</v>
      </c>
      <c r="G51" s="42">
        <f t="shared" si="28"/>
        <v>-27.042999999999999</v>
      </c>
      <c r="H51" s="42">
        <f t="shared" si="28"/>
        <v>-25.648000000000007</v>
      </c>
      <c r="I51" s="42">
        <f t="shared" si="28"/>
        <v>-19.302000000000007</v>
      </c>
      <c r="J51" s="43">
        <f t="shared" ref="J51:X51" ca="1" si="29">J$504</f>
        <v>-9.9900000000000215</v>
      </c>
      <c r="K51" s="43">
        <f t="shared" ca="1" si="29"/>
        <v>-14.533000000000023</v>
      </c>
      <c r="L51" s="43">
        <f t="shared" ca="1" si="29"/>
        <v>-18.212000000000007</v>
      </c>
      <c r="M51" s="43">
        <f t="shared" ca="1" si="29"/>
        <v>-11.415000000000003</v>
      </c>
      <c r="N51" s="43">
        <f t="shared" ca="1" si="29"/>
        <v>-8.1450000000000209</v>
      </c>
      <c r="O51" s="47">
        <f t="shared" ca="1" si="29"/>
        <v>-3.9166227978313017</v>
      </c>
      <c r="P51" s="47">
        <f t="shared" ca="1" si="29"/>
        <v>-2.1162007458313745</v>
      </c>
      <c r="Q51" s="47">
        <f t="shared" ca="1" si="29"/>
        <v>-0.44545496408439789</v>
      </c>
      <c r="R51" s="47">
        <f t="shared" ca="1" si="29"/>
        <v>1.1750024257246015</v>
      </c>
      <c r="S51" s="47">
        <f t="shared" ca="1" si="29"/>
        <v>2.8588278672888432</v>
      </c>
      <c r="T51" s="47">
        <f t="shared" ca="1" si="29"/>
        <v>4.6593096678128507</v>
      </c>
      <c r="U51" s="47">
        <f t="shared" ca="1" si="29"/>
        <v>6.4958045004838469</v>
      </c>
      <c r="V51" s="47">
        <f t="shared" ca="1" si="29"/>
        <v>8.3681126280356501</v>
      </c>
      <c r="W51" s="47">
        <f t="shared" ca="1" si="29"/>
        <v>10.287730678062015</v>
      </c>
      <c r="X51" s="47">
        <f t="shared" ca="1" si="29"/>
        <v>12.288223774363235</v>
      </c>
    </row>
    <row r="52" spans="1:24" x14ac:dyDescent="0.25">
      <c r="A52" s="55" t="s">
        <v>920</v>
      </c>
      <c r="B52" s="10" t="str">
        <f>$B$42</f>
        <v>Outturn &amp; Forecast only</v>
      </c>
      <c r="C52" s="13"/>
      <c r="D52" s="91" t="str">
        <f ca="1">IF(ROUND('Fiscal Forecasts'!D$178-D$49,3)=0,"OK","ERROR")</f>
        <v>OK</v>
      </c>
      <c r="E52" s="91" t="str">
        <f ca="1">IF(ROUND('Fiscal Forecasts'!E$178-E$49,3)=0,"OK","ERROR")</f>
        <v>OK</v>
      </c>
      <c r="F52" s="91" t="str">
        <f ca="1">IF(ROUND('Fiscal Forecasts'!F$178-F$49,3)-0.001=0,"OK","ERROR")</f>
        <v>OK</v>
      </c>
      <c r="G52" s="91" t="str">
        <f ca="1">IF(ROUND('Fiscal Forecasts'!G$178-G$49,3)=0,"OK","ERROR")</f>
        <v>OK</v>
      </c>
      <c r="H52" s="91" t="str">
        <f ca="1">IF(ROUND('Fiscal Forecasts'!H$178-H$49,3)=0,"OK","ERROR")</f>
        <v>OK</v>
      </c>
      <c r="I52" s="91" t="str">
        <f ca="1">IF(ROUND('Fiscal Forecasts'!I$178-I$49-0.002,3)=0,"OK","ERROR")</f>
        <v>OK</v>
      </c>
      <c r="J52" s="91" t="str">
        <f ca="1">IF(ROUND('Fiscal Forecasts'!J$178-J$49,3)=0,"OK","ERROR")</f>
        <v>OK</v>
      </c>
      <c r="K52" s="91" t="str">
        <f ca="1">IF(ROUND('Fiscal Forecasts'!K$178-K$49,3)=0,"OK","ERROR")</f>
        <v>OK</v>
      </c>
      <c r="L52" s="91" t="str">
        <f ca="1">IF(ROUND('Fiscal Forecasts'!L$178-L$49,3)=0,"OK","ERROR")</f>
        <v>OK</v>
      </c>
      <c r="M52" s="91" t="str">
        <f ca="1">IF(ROUND('Fiscal Forecasts'!M$178-M$49,3)=0,"OK","ERROR")</f>
        <v>OK</v>
      </c>
      <c r="N52" s="91" t="str">
        <f ca="1">IF(ROUND('Fiscal Forecasts'!N$178-N$49,3)=0,"OK","ERROR")</f>
        <v>OK</v>
      </c>
      <c r="O52" s="18"/>
      <c r="P52" s="18"/>
      <c r="Q52" s="18"/>
      <c r="R52" s="18"/>
      <c r="S52" s="18"/>
      <c r="T52" s="18"/>
      <c r="U52" s="18"/>
      <c r="V52" s="18"/>
      <c r="W52" s="18"/>
      <c r="X52" s="18"/>
    </row>
    <row r="53" spans="1:24" x14ac:dyDescent="0.25">
      <c r="A53" s="55" t="s">
        <v>921</v>
      </c>
      <c r="B53" s="9"/>
      <c r="C53" s="13"/>
      <c r="D53" s="91" t="str">
        <f>IF(ROUND(D$48-SUM(D$197,D$229,D$245,D$248,D$251,D$261,D$274,D$284,D$288,D$292,D$302,D$306,D$310,D$314,D$318,D$324,D$328),3)-0.001=0,"OK","ERROR")</f>
        <v>OK</v>
      </c>
      <c r="E53" s="91" t="str">
        <f>IF(ROUND(E$48-SUM(E$197,E$229,E$245,E$248,E$251,E$261,E$274,E$284,E$288,E$292,E$302,E$306,E$310,E$314,E$318,E$324,E$328),3)=0,"OK","ERROR")</f>
        <v>OK</v>
      </c>
      <c r="F53" s="91" t="str">
        <f>IF(ROUND(F$48-SUM(F$197,F$229,F$245,F$248,F$251,F$261,F$274,F$284,F$288,F$292,F$302,F$306,F$310,F$314,F$318,F$324,F$328),3)-0.001=0,"OK","ERROR")</f>
        <v>OK</v>
      </c>
      <c r="G53" s="91" t="str">
        <f>IF(ROUND(G$48-SUM(G$197,G$229,G$245,G$248,G$251,G$261,G$274,G$284,G$288,G$292,G$302,G$306,G$310,G$314,G$318,G$324,G$328),3)=0,"OK","ERROR")</f>
        <v>OK</v>
      </c>
      <c r="H53" s="91" t="str">
        <f>IF(ROUND(H$48-SUM(H$197,H$229,H$245,H$248,H$251,H$261,H$274,H$284,H$288,H$292,H$302,H$306,H$310,H$314,H$318,H$324,H$328),3)=0,"OK","ERROR")</f>
        <v>OK</v>
      </c>
      <c r="I53" s="91" t="str">
        <f>IF(ROUND(I$48-SUM(I$197,I$229,I$245,I$248,I$251,I$261,I$274,I$284,I$288,I$292,I$302,I$306,I$310,I$314,I$318,I$324,I$328)-0.002,3)=0,"OK","ERROR")</f>
        <v>OK</v>
      </c>
      <c r="J53" s="91" t="str">
        <f t="shared" ref="J53:X53" ca="1" si="30">IF(ROUND(J$48-SUM(J$197,J$229,J$245,J$248,J$251,J$261,J$274,J$284,J$288,J$292,J$302,J$306,J$310,J$314,J$318,J$324,J$328),3)=0,"OK","ERROR")</f>
        <v>OK</v>
      </c>
      <c r="K53" s="91" t="str">
        <f t="shared" ca="1" si="30"/>
        <v>OK</v>
      </c>
      <c r="L53" s="91" t="str">
        <f t="shared" ca="1" si="30"/>
        <v>OK</v>
      </c>
      <c r="M53" s="91" t="str">
        <f t="shared" ca="1" si="30"/>
        <v>OK</v>
      </c>
      <c r="N53" s="91" t="str">
        <f t="shared" ca="1" si="30"/>
        <v>OK</v>
      </c>
      <c r="O53" s="91" t="str">
        <f t="shared" ca="1" si="30"/>
        <v>OK</v>
      </c>
      <c r="P53" s="91" t="str">
        <f t="shared" ca="1" si="30"/>
        <v>OK</v>
      </c>
      <c r="Q53" s="91" t="str">
        <f t="shared" ca="1" si="30"/>
        <v>OK</v>
      </c>
      <c r="R53" s="91" t="str">
        <f t="shared" ca="1" si="30"/>
        <v>OK</v>
      </c>
      <c r="S53" s="91" t="str">
        <f t="shared" ca="1" si="30"/>
        <v>OK</v>
      </c>
      <c r="T53" s="91" t="str">
        <f t="shared" ca="1" si="30"/>
        <v>OK</v>
      </c>
      <c r="U53" s="91" t="str">
        <f t="shared" ca="1" si="30"/>
        <v>OK</v>
      </c>
      <c r="V53" s="91" t="str">
        <f t="shared" ca="1" si="30"/>
        <v>OK</v>
      </c>
      <c r="W53" s="91" t="str">
        <f t="shared" ca="1" si="30"/>
        <v>OK</v>
      </c>
      <c r="X53" s="91" t="str">
        <f t="shared" ca="1" si="30"/>
        <v>OK</v>
      </c>
    </row>
    <row r="54" spans="1:24" x14ac:dyDescent="0.25">
      <c r="A54" s="9"/>
      <c r="B54" s="9"/>
      <c r="C54" s="13"/>
      <c r="D54" s="13"/>
      <c r="E54" s="13"/>
      <c r="F54" s="13"/>
      <c r="G54" s="13"/>
      <c r="H54" s="13"/>
      <c r="I54" s="13"/>
      <c r="J54" s="13"/>
      <c r="K54" s="13"/>
      <c r="L54" s="13"/>
      <c r="M54" s="13"/>
      <c r="N54" s="13"/>
      <c r="O54" s="42"/>
      <c r="P54" s="42"/>
      <c r="Q54" s="42"/>
      <c r="R54" s="42"/>
      <c r="S54" s="42"/>
      <c r="T54" s="42"/>
      <c r="U54" s="42"/>
      <c r="V54" s="42"/>
      <c r="W54" s="42"/>
      <c r="X54" s="42"/>
    </row>
    <row r="55" spans="1:24" x14ac:dyDescent="0.25">
      <c r="A55" s="12" t="s">
        <v>1132</v>
      </c>
      <c r="B55" s="9"/>
      <c r="C55" s="13"/>
      <c r="D55" s="114"/>
      <c r="E55" s="114"/>
      <c r="F55" s="114"/>
      <c r="G55" s="114"/>
      <c r="H55" s="114"/>
      <c r="I55" s="114"/>
      <c r="J55" s="114"/>
      <c r="K55" s="114"/>
      <c r="L55" s="114"/>
      <c r="M55" s="114"/>
      <c r="N55" s="114"/>
      <c r="O55" s="18"/>
      <c r="P55" s="18"/>
      <c r="Q55" s="18"/>
      <c r="R55" s="18"/>
      <c r="S55" s="18"/>
      <c r="T55" s="18"/>
      <c r="U55" s="18"/>
      <c r="V55" s="18"/>
      <c r="W55" s="18"/>
      <c r="X55" s="18"/>
    </row>
    <row r="56" spans="1:24" x14ac:dyDescent="0.25">
      <c r="A56" s="9" t="s">
        <v>1133</v>
      </c>
      <c r="B56" s="9"/>
      <c r="C56" s="13"/>
      <c r="D56" s="42">
        <f t="shared" ref="D56:X56" ca="1" si="31">SUM(D$356,D$363,D$372,D$381,D$397,D$406,D$420,D$424,D$429,D$438,D$444,D$450,D$451)</f>
        <v>364.65199999999999</v>
      </c>
      <c r="E56" s="42">
        <f t="shared" ca="1" si="31"/>
        <v>393.4</v>
      </c>
      <c r="F56" s="42">
        <f t="shared" ca="1" si="31"/>
        <v>438.59599999999995</v>
      </c>
      <c r="G56" s="42">
        <f t="shared" ca="1" si="31"/>
        <v>501.84400000000005</v>
      </c>
      <c r="H56" s="42">
        <f t="shared" ca="1" si="31"/>
        <v>536.66599999999994</v>
      </c>
      <c r="I56" s="42">
        <f t="shared" ca="1" si="31"/>
        <v>570.86800000000005</v>
      </c>
      <c r="J56" s="43">
        <f t="shared" ca="1" si="31"/>
        <v>600.50799999999992</v>
      </c>
      <c r="K56" s="43">
        <f t="shared" ca="1" si="31"/>
        <v>619.46400000000006</v>
      </c>
      <c r="L56" s="43">
        <f t="shared" ca="1" si="31"/>
        <v>637.74200000000008</v>
      </c>
      <c r="M56" s="43">
        <f t="shared" ca="1" si="31"/>
        <v>657.05399999999997</v>
      </c>
      <c r="N56" s="43">
        <f t="shared" ca="1" si="31"/>
        <v>676.23599999999999</v>
      </c>
      <c r="O56" s="47">
        <f t="shared" ca="1" si="31"/>
        <v>695.15674131989613</v>
      </c>
      <c r="P56" s="47">
        <f t="shared" ca="1" si="31"/>
        <v>713.88105468694471</v>
      </c>
      <c r="Q56" s="47">
        <f t="shared" ca="1" si="31"/>
        <v>733.19043530846193</v>
      </c>
      <c r="R56" s="47">
        <f t="shared" ca="1" si="31"/>
        <v>753.02911463182897</v>
      </c>
      <c r="S56" s="47">
        <f t="shared" ca="1" si="31"/>
        <v>773.46421762453724</v>
      </c>
      <c r="T56" s="47">
        <f t="shared" ca="1" si="31"/>
        <v>794.52712731911356</v>
      </c>
      <c r="U56" s="47">
        <f t="shared" ca="1" si="31"/>
        <v>816.1797362571109</v>
      </c>
      <c r="V56" s="47">
        <f t="shared" ca="1" si="31"/>
        <v>838.36920155309542</v>
      </c>
      <c r="W56" s="47">
        <f t="shared" ca="1" si="31"/>
        <v>861.09520564368029</v>
      </c>
      <c r="X56" s="47">
        <f t="shared" ca="1" si="31"/>
        <v>884.47127820936134</v>
      </c>
    </row>
    <row r="57" spans="1:24" x14ac:dyDescent="0.25">
      <c r="A57" s="9" t="s">
        <v>1134</v>
      </c>
      <c r="B57" s="9"/>
      <c r="C57" s="13"/>
      <c r="D57" s="42">
        <f t="shared" ref="D57:X57" si="32">SUM(D$70,D$454,D$461,D$465,D$469,D$475,D$480,D$486)</f>
        <v>221.31299999999999</v>
      </c>
      <c r="E57" s="42">
        <f t="shared" si="32"/>
        <v>277.45699999999999</v>
      </c>
      <c r="F57" s="42">
        <f t="shared" si="32"/>
        <v>281.40300000000002</v>
      </c>
      <c r="G57" s="42">
        <f t="shared" si="32"/>
        <v>327.52500000000003</v>
      </c>
      <c r="H57" s="42">
        <f t="shared" si="32"/>
        <v>345.19400000000002</v>
      </c>
      <c r="I57" s="42">
        <f t="shared" si="32"/>
        <v>379.81899999999996</v>
      </c>
      <c r="J57" s="43">
        <f t="shared" si="32"/>
        <v>417.37800000000004</v>
      </c>
      <c r="K57" s="43">
        <f t="shared" si="32"/>
        <v>446.24</v>
      </c>
      <c r="L57" s="43">
        <f t="shared" si="32"/>
        <v>469.96299999999997</v>
      </c>
      <c r="M57" s="43">
        <f t="shared" si="32"/>
        <v>489.21399999999994</v>
      </c>
      <c r="N57" s="43">
        <f t="shared" si="32"/>
        <v>504.34300000000002</v>
      </c>
      <c r="O57" s="47">
        <f t="shared" ca="1" si="32"/>
        <v>517.10654995803122</v>
      </c>
      <c r="P57" s="47">
        <f t="shared" ca="1" si="32"/>
        <v>527.07083909495714</v>
      </c>
      <c r="Q57" s="47">
        <f t="shared" ca="1" si="32"/>
        <v>535.03278472043735</v>
      </c>
      <c r="R57" s="47">
        <f t="shared" ca="1" si="32"/>
        <v>540.95149199368723</v>
      </c>
      <c r="S57" s="47">
        <f t="shared" ca="1" si="32"/>
        <v>544.70326564688412</v>
      </c>
      <c r="T57" s="47">
        <f t="shared" ca="1" si="32"/>
        <v>546.04634430665806</v>
      </c>
      <c r="U57" s="47">
        <f t="shared" ca="1" si="32"/>
        <v>544.85624080614934</v>
      </c>
      <c r="V57" s="47">
        <f t="shared" ca="1" si="32"/>
        <v>541.25015925624689</v>
      </c>
      <c r="W57" s="47">
        <f t="shared" ca="1" si="32"/>
        <v>535.36938120223238</v>
      </c>
      <c r="X57" s="47">
        <f t="shared" ca="1" si="32"/>
        <v>527.18851532492044</v>
      </c>
    </row>
    <row r="58" spans="1:24" x14ac:dyDescent="0.25">
      <c r="A58" s="9" t="s">
        <v>838</v>
      </c>
      <c r="B58" s="9"/>
      <c r="C58" s="13"/>
      <c r="D58" s="65">
        <f t="shared" ref="D58:X58" ca="1" si="33">D$56-D$57</f>
        <v>143.339</v>
      </c>
      <c r="E58" s="65">
        <f t="shared" ca="1" si="33"/>
        <v>115.94299999999998</v>
      </c>
      <c r="F58" s="65">
        <f t="shared" ca="1" si="33"/>
        <v>157.19299999999993</v>
      </c>
      <c r="G58" s="65">
        <f t="shared" ca="1" si="33"/>
        <v>174.31900000000002</v>
      </c>
      <c r="H58" s="65">
        <f t="shared" ca="1" si="33"/>
        <v>191.47199999999992</v>
      </c>
      <c r="I58" s="65">
        <f t="shared" ca="1" si="33"/>
        <v>191.04900000000009</v>
      </c>
      <c r="J58" s="66">
        <f t="shared" ca="1" si="33"/>
        <v>183.12999999999988</v>
      </c>
      <c r="K58" s="66">
        <f t="shared" ca="1" si="33"/>
        <v>173.22400000000005</v>
      </c>
      <c r="L58" s="66">
        <f t="shared" ca="1" si="33"/>
        <v>167.77900000000011</v>
      </c>
      <c r="M58" s="66">
        <f t="shared" ca="1" si="33"/>
        <v>167.84000000000003</v>
      </c>
      <c r="N58" s="66">
        <f t="shared" ca="1" si="33"/>
        <v>171.89299999999997</v>
      </c>
      <c r="O58" s="67">
        <f t="shared" ca="1" si="33"/>
        <v>178.0501913618649</v>
      </c>
      <c r="P58" s="67">
        <f t="shared" ca="1" si="33"/>
        <v>186.81021559198757</v>
      </c>
      <c r="Q58" s="67">
        <f t="shared" ca="1" si="33"/>
        <v>198.15765058802458</v>
      </c>
      <c r="R58" s="67">
        <f t="shared" ca="1" si="33"/>
        <v>212.07762263814175</v>
      </c>
      <c r="S58" s="67">
        <f t="shared" ca="1" si="33"/>
        <v>228.76095197765312</v>
      </c>
      <c r="T58" s="67">
        <f t="shared" ca="1" si="33"/>
        <v>248.4807830124555</v>
      </c>
      <c r="U58" s="67">
        <f t="shared" ca="1" si="33"/>
        <v>271.32349545096156</v>
      </c>
      <c r="V58" s="67">
        <f t="shared" ca="1" si="33"/>
        <v>297.11904229684853</v>
      </c>
      <c r="W58" s="67">
        <f t="shared" ca="1" si="33"/>
        <v>325.72582444144791</v>
      </c>
      <c r="X58" s="67">
        <f t="shared" ca="1" si="33"/>
        <v>357.2827628844409</v>
      </c>
    </row>
    <row r="59" spans="1:24" x14ac:dyDescent="0.25">
      <c r="A59" s="11" t="s">
        <v>1135</v>
      </c>
      <c r="B59" s="10" t="str">
        <f>$B$38</f>
        <v>From Fiscal Forecasts</v>
      </c>
      <c r="C59" s="13"/>
      <c r="D59" s="35">
        <f>'Fiscal Forecasts'!D$145</f>
        <v>6.39</v>
      </c>
      <c r="E59" s="35">
        <f>'Fiscal Forecasts'!E$145</f>
        <v>5.6230000000000002</v>
      </c>
      <c r="F59" s="35">
        <f>'Fiscal Forecasts'!F$145</f>
        <v>5.7240000000000002</v>
      </c>
      <c r="G59" s="35">
        <f>'Fiscal Forecasts'!G$145</f>
        <v>7.2830000000000004</v>
      </c>
      <c r="H59" s="35">
        <f>'Fiscal Forecasts'!H$145</f>
        <v>7.9580000000000002</v>
      </c>
      <c r="I59" s="35">
        <f>'Fiscal Forecasts'!I$145</f>
        <v>9.2309999999999999</v>
      </c>
      <c r="J59" s="17">
        <f>'Fiscal Forecasts'!J$145</f>
        <v>9.4350000000000005</v>
      </c>
      <c r="K59" s="17">
        <f>'Fiscal Forecasts'!K$145</f>
        <v>9.3460000000000001</v>
      </c>
      <c r="L59" s="17">
        <f>'Fiscal Forecasts'!L$145</f>
        <v>9.4849999999999994</v>
      </c>
      <c r="M59" s="17">
        <f>'Fiscal Forecasts'!M$145</f>
        <v>9.5519999999999996</v>
      </c>
      <c r="N59" s="17">
        <f>'Fiscal Forecasts'!N$145</f>
        <v>9.5259999999999998</v>
      </c>
      <c r="O59" s="16">
        <f ca="1">IF(O$6=OFFSET(Assumptions!$B$8,0,$C$1),AVERAGE(L$59/SUM(L$370,L$379),M$59/SUM(M$370,M$379),N$59/SUM(N$370,N$379)),N$59/SUM(N$370,N$379))*SUM(O$370,O$379)</f>
        <v>10.072620250258607</v>
      </c>
      <c r="P59" s="16">
        <f ca="1">IF(P$6=OFFSET(Assumptions!$B$8,0,$C$1),AVERAGE(M$59/SUM(M$370,M$379),N$59/SUM(N$370,N$379),O$59/SUM(O$370,O$379)),O$59/SUM(O$370,O$379))*SUM(P$370,P$379)</f>
        <v>10.499059686650636</v>
      </c>
      <c r="Q59" s="16">
        <f ca="1">IF(Q$6=OFFSET(Assumptions!$B$8,0,$C$1),AVERAGE(N$59/SUM(N$370,N$379),O$59/SUM(O$370,O$379),P$59/SUM(P$370,P$379)),P$59/SUM(P$370,P$379))*SUM(Q$370,Q$379)</f>
        <v>10.926425039567219</v>
      </c>
      <c r="R59" s="16">
        <f ca="1">IF(R$6=OFFSET(Assumptions!$B$8,0,$C$1),AVERAGE(O$59/SUM(O$370,O$379),P$59/SUM(P$370,P$379),Q$59/SUM(Q$370,Q$379)),Q$59/SUM(Q$370,Q$379))*SUM(R$370,R$379)</f>
        <v>11.353752508474253</v>
      </c>
      <c r="S59" s="16">
        <f ca="1">IF(S$6=OFFSET(Assumptions!$B$8,0,$C$1),AVERAGE(P$59/SUM(P$370,P$379),Q$59/SUM(Q$370,Q$379),R$59/SUM(R$370,R$379)),R$59/SUM(R$370,R$379))*SUM(S$370,S$379)</f>
        <v>11.790502403214663</v>
      </c>
      <c r="T59" s="16">
        <f ca="1">IF(T$6=OFFSET(Assumptions!$B$8,0,$C$1),AVERAGE(Q$59/SUM(Q$370,Q$379),R$59/SUM(R$370,R$379),S$59/SUM(S$370,S$379)),S$59/SUM(S$370,S$379))*SUM(T$370,T$379)</f>
        <v>12.236008204399441</v>
      </c>
      <c r="U59" s="16">
        <f ca="1">IF(U$6=OFFSET(Assumptions!$B$8,0,$C$1),AVERAGE(R$59/SUM(R$370,R$379),S$59/SUM(S$370,S$379),T$59/SUM(T$370,T$379)),T$59/SUM(T$370,T$379))*SUM(U$370,U$379)</f>
        <v>12.687453957643454</v>
      </c>
      <c r="V59" s="16">
        <f ca="1">IF(V$6=OFFSET(Assumptions!$B$8,0,$C$1),AVERAGE(S$59/SUM(S$370,S$379),T$59/SUM(T$370,T$379),U$59/SUM(U$370,U$379)),U$59/SUM(U$370,U$379))*SUM(V$370,V$379)</f>
        <v>13.145687110674762</v>
      </c>
      <c r="W59" s="16">
        <f ca="1">IF(W$6=OFFSET(Assumptions!$B$8,0,$C$1),AVERAGE(T$59/SUM(T$370,T$379),U$59/SUM(U$370,U$379),V$59/SUM(V$370,V$379)),V$59/SUM(V$370,V$379))*SUM(W$370,W$379)</f>
        <v>13.610690591336256</v>
      </c>
      <c r="X59" s="16">
        <f ca="1">IF(X$6=OFFSET(Assumptions!$B$8,0,$C$1),AVERAGE(U$59/SUM(U$370,U$379),V$59/SUM(V$370,V$379),W$59/SUM(W$370,W$379)),W$59/SUM(W$370,W$379))*SUM(X$370,X$379)</f>
        <v>14.085968447025619</v>
      </c>
    </row>
    <row r="60" spans="1:24" x14ac:dyDescent="0.25">
      <c r="A60" s="9" t="s">
        <v>839</v>
      </c>
      <c r="B60" s="10"/>
      <c r="C60" s="13"/>
      <c r="D60" s="65">
        <f t="shared" ref="D60:X60" ca="1" si="34">D$58-D$59</f>
        <v>136.94900000000001</v>
      </c>
      <c r="E60" s="65">
        <f t="shared" ca="1" si="34"/>
        <v>110.31999999999998</v>
      </c>
      <c r="F60" s="65">
        <f t="shared" ca="1" si="34"/>
        <v>151.46899999999994</v>
      </c>
      <c r="G60" s="65">
        <f t="shared" ca="1" si="34"/>
        <v>167.03600000000003</v>
      </c>
      <c r="H60" s="65">
        <f t="shared" ca="1" si="34"/>
        <v>183.51399999999992</v>
      </c>
      <c r="I60" s="65">
        <f t="shared" ca="1" si="34"/>
        <v>181.8180000000001</v>
      </c>
      <c r="J60" s="66">
        <f t="shared" ca="1" si="34"/>
        <v>173.69499999999988</v>
      </c>
      <c r="K60" s="66">
        <f t="shared" ca="1" si="34"/>
        <v>163.87800000000004</v>
      </c>
      <c r="L60" s="66">
        <f t="shared" ca="1" si="34"/>
        <v>158.2940000000001</v>
      </c>
      <c r="M60" s="66">
        <f t="shared" ca="1" si="34"/>
        <v>158.28800000000004</v>
      </c>
      <c r="N60" s="66">
        <f t="shared" ca="1" si="34"/>
        <v>162.36699999999996</v>
      </c>
      <c r="O60" s="67">
        <f t="shared" ca="1" si="34"/>
        <v>167.9775711116063</v>
      </c>
      <c r="P60" s="67">
        <f t="shared" ca="1" si="34"/>
        <v>176.31115590533693</v>
      </c>
      <c r="Q60" s="67">
        <f t="shared" ca="1" si="34"/>
        <v>187.23122554845736</v>
      </c>
      <c r="R60" s="67">
        <f t="shared" ca="1" si="34"/>
        <v>200.72387012966749</v>
      </c>
      <c r="S60" s="67">
        <f t="shared" ca="1" si="34"/>
        <v>216.97044957443845</v>
      </c>
      <c r="T60" s="67">
        <f t="shared" ca="1" si="34"/>
        <v>236.24477480805606</v>
      </c>
      <c r="U60" s="67">
        <f t="shared" ca="1" si="34"/>
        <v>258.63604149331809</v>
      </c>
      <c r="V60" s="67">
        <f t="shared" ca="1" si="34"/>
        <v>283.97335518617376</v>
      </c>
      <c r="W60" s="67">
        <f t="shared" ca="1" si="34"/>
        <v>312.11513385011165</v>
      </c>
      <c r="X60" s="67">
        <f t="shared" ca="1" si="34"/>
        <v>343.19679443741529</v>
      </c>
    </row>
    <row r="61" spans="1:24" x14ac:dyDescent="0.25">
      <c r="A61" s="55" t="s">
        <v>1136</v>
      </c>
      <c r="B61" s="10" t="str">
        <f>$B$42</f>
        <v>Outturn &amp; Forecast only</v>
      </c>
      <c r="C61" s="13"/>
      <c r="D61" s="91" t="str">
        <f ca="1">IF(ROUND('Fiscal Forecasts'!D$143-D$58,3)=0,"OK","ERROR")</f>
        <v>OK</v>
      </c>
      <c r="E61" s="91" t="str">
        <f ca="1">IF(ROUND('Fiscal Forecasts'!E$143-E$58,3)=0,"OK","ERROR")</f>
        <v>OK</v>
      </c>
      <c r="F61" s="91" t="str">
        <f ca="1">IF(ROUND('Fiscal Forecasts'!F$143-F$58,3)=0,"OK","ERROR")</f>
        <v>OK</v>
      </c>
      <c r="G61" s="91" t="str">
        <f ca="1">IF(ROUND('Fiscal Forecasts'!G$143-G$58,3)=0,"OK","ERROR")</f>
        <v>OK</v>
      </c>
      <c r="H61" s="91" t="str">
        <f ca="1">IF(ROUND('Fiscal Forecasts'!H$143-H$58,3)=0,"OK","ERROR")</f>
        <v>OK</v>
      </c>
      <c r="I61" s="91" t="str">
        <f ca="1">IF(ROUND('Fiscal Forecasts'!I$143-I$58,3)=0,"OK","ERROR")</f>
        <v>OK</v>
      </c>
      <c r="J61" s="91" t="str">
        <f ca="1">IF(ROUND('Fiscal Forecasts'!J$143-J$58,3)=0,"OK","ERROR")</f>
        <v>OK</v>
      </c>
      <c r="K61" s="91" t="str">
        <f ca="1">IF(ROUND('Fiscal Forecasts'!K$143-K$58,3)=0,"OK","ERROR")</f>
        <v>OK</v>
      </c>
      <c r="L61" s="91" t="str">
        <f ca="1">IF(ROUND('Fiscal Forecasts'!L$143-L$58,3)=0,"OK","ERROR")</f>
        <v>OK</v>
      </c>
      <c r="M61" s="91" t="str">
        <f ca="1">IF(ROUND('Fiscal Forecasts'!M$143-M$58,3)=0,"OK","ERROR")</f>
        <v>OK</v>
      </c>
      <c r="N61" s="91" t="str">
        <f ca="1">IF(ROUND('Fiscal Forecasts'!N$143-N$58,3)=0,"OK","ERROR")</f>
        <v>OK</v>
      </c>
      <c r="O61" s="18"/>
      <c r="P61" s="18"/>
      <c r="Q61" s="18"/>
      <c r="R61" s="18"/>
      <c r="S61" s="18"/>
      <c r="T61" s="18"/>
      <c r="U61" s="18"/>
      <c r="V61" s="18"/>
      <c r="W61" s="18"/>
      <c r="X61" s="18"/>
    </row>
    <row r="62" spans="1:24" x14ac:dyDescent="0.25">
      <c r="A62" s="55" t="s">
        <v>1147</v>
      </c>
      <c r="B62" s="10" t="s">
        <v>1146</v>
      </c>
      <c r="C62" s="13"/>
      <c r="D62" s="36"/>
      <c r="E62" s="36"/>
      <c r="F62" s="36"/>
      <c r="G62" s="36"/>
      <c r="H62" s="36"/>
      <c r="I62" s="36"/>
      <c r="J62" s="19"/>
      <c r="K62" s="19"/>
      <c r="L62" s="19"/>
      <c r="M62" s="19"/>
      <c r="N62" s="19"/>
      <c r="O62" s="91" t="str">
        <f t="shared" ref="O62:X62" ca="1" si="35">IF(ROUND(O$39+O$38-(O$58-N$58),3)=0,"OK","ERROR")</f>
        <v>OK</v>
      </c>
      <c r="P62" s="91" t="str">
        <f t="shared" ca="1" si="35"/>
        <v>OK</v>
      </c>
      <c r="Q62" s="91" t="str">
        <f t="shared" ca="1" si="35"/>
        <v>OK</v>
      </c>
      <c r="R62" s="91" t="str">
        <f t="shared" ca="1" si="35"/>
        <v>OK</v>
      </c>
      <c r="S62" s="91" t="str">
        <f t="shared" ca="1" si="35"/>
        <v>OK</v>
      </c>
      <c r="T62" s="91" t="str">
        <f t="shared" ca="1" si="35"/>
        <v>OK</v>
      </c>
      <c r="U62" s="91" t="str">
        <f t="shared" ca="1" si="35"/>
        <v>OK</v>
      </c>
      <c r="V62" s="91" t="str">
        <f t="shared" ca="1" si="35"/>
        <v>OK</v>
      </c>
      <c r="W62" s="91" t="str">
        <f t="shared" ca="1" si="35"/>
        <v>OK</v>
      </c>
      <c r="X62" s="91" t="str">
        <f t="shared" ca="1" si="35"/>
        <v>OK</v>
      </c>
    </row>
    <row r="63" spans="1:24" x14ac:dyDescent="0.25">
      <c r="A63" s="9" t="s">
        <v>672</v>
      </c>
      <c r="B63" s="9"/>
      <c r="C63" s="13"/>
      <c r="D63" s="42">
        <f t="shared" ref="D63:X63" ca="1" si="36">SUM(D$355,D$362,D$368,D$377,D$397,D$403,D$419,D$423,D$427,D$437,D$441,D$450,D$451)</f>
        <v>201.42400000000004</v>
      </c>
      <c r="E63" s="42">
        <f t="shared" ca="1" si="36"/>
        <v>219.821</v>
      </c>
      <c r="F63" s="42">
        <f t="shared" ca="1" si="36"/>
        <v>239.35500000000002</v>
      </c>
      <c r="G63" s="42">
        <f t="shared" ca="1" si="36"/>
        <v>269.32</v>
      </c>
      <c r="H63" s="42">
        <f t="shared" ca="1" si="36"/>
        <v>294.69400000000002</v>
      </c>
      <c r="I63" s="42">
        <f t="shared" ca="1" si="36"/>
        <v>326.74099999999999</v>
      </c>
      <c r="J63" s="43">
        <f t="shared" ca="1" si="36"/>
        <v>357.79299999999995</v>
      </c>
      <c r="K63" s="43">
        <f t="shared" ca="1" si="36"/>
        <v>372.36100000000005</v>
      </c>
      <c r="L63" s="43">
        <f t="shared" ca="1" si="36"/>
        <v>387.94900000000007</v>
      </c>
      <c r="M63" s="43">
        <f t="shared" ca="1" si="36"/>
        <v>401.86699999999996</v>
      </c>
      <c r="N63" s="43">
        <f t="shared" ca="1" si="36"/>
        <v>416.26400000000001</v>
      </c>
      <c r="O63" s="47">
        <f t="shared" ca="1" si="36"/>
        <v>429.59794674571225</v>
      </c>
      <c r="P63" s="47">
        <f t="shared" ca="1" si="36"/>
        <v>442.49769031547737</v>
      </c>
      <c r="Q63" s="47">
        <f t="shared" ca="1" si="36"/>
        <v>455.80038968882411</v>
      </c>
      <c r="R63" s="47">
        <f t="shared" ca="1" si="36"/>
        <v>469.44179864088153</v>
      </c>
      <c r="S63" s="47">
        <f t="shared" ca="1" si="36"/>
        <v>483.41876438645721</v>
      </c>
      <c r="T63" s="47">
        <f t="shared" ca="1" si="36"/>
        <v>497.7419945803033</v>
      </c>
      <c r="U63" s="47">
        <f t="shared" ca="1" si="36"/>
        <v>512.36823253637829</v>
      </c>
      <c r="V63" s="47">
        <f t="shared" ca="1" si="36"/>
        <v>527.32998898357118</v>
      </c>
      <c r="W63" s="47">
        <f t="shared" ca="1" si="36"/>
        <v>542.71908965668831</v>
      </c>
      <c r="X63" s="47">
        <f t="shared" ca="1" si="36"/>
        <v>558.64907462560075</v>
      </c>
    </row>
    <row r="64" spans="1:24" x14ac:dyDescent="0.25">
      <c r="A64" s="9" t="s">
        <v>674</v>
      </c>
      <c r="B64" s="9"/>
      <c r="C64" s="13"/>
      <c r="D64" s="42">
        <f t="shared" ref="D64:X64" si="37">SUM(D$71,D$454,D$460,D$464,D$468,D$472,D$478,D$485)</f>
        <v>132.88</v>
      </c>
      <c r="E64" s="42">
        <f t="shared" si="37"/>
        <v>172.70499999999998</v>
      </c>
      <c r="F64" s="42">
        <f t="shared" si="37"/>
        <v>178.81700000000001</v>
      </c>
      <c r="G64" s="42">
        <f t="shared" si="37"/>
        <v>224.036</v>
      </c>
      <c r="H64" s="42">
        <f t="shared" si="37"/>
        <v>235.35300000000001</v>
      </c>
      <c r="I64" s="42">
        <f t="shared" si="37"/>
        <v>261.70100000000002</v>
      </c>
      <c r="J64" s="43">
        <f t="shared" si="37"/>
        <v>296.44799999999992</v>
      </c>
      <c r="K64" s="43">
        <f t="shared" si="37"/>
        <v>316.36</v>
      </c>
      <c r="L64" s="43">
        <f t="shared" si="37"/>
        <v>333.11800000000005</v>
      </c>
      <c r="M64" s="43">
        <f t="shared" si="37"/>
        <v>343.65699999999998</v>
      </c>
      <c r="N64" s="43">
        <f t="shared" si="37"/>
        <v>351.35600000000005</v>
      </c>
      <c r="O64" s="47">
        <f t="shared" ca="1" si="37"/>
        <v>356.71688652941276</v>
      </c>
      <c r="P64" s="47">
        <f t="shared" ca="1" si="37"/>
        <v>359.47726888200543</v>
      </c>
      <c r="Q64" s="47">
        <f t="shared" ca="1" si="37"/>
        <v>360.62955316097083</v>
      </c>
      <c r="R64" s="47">
        <f t="shared" ca="1" si="37"/>
        <v>360.21072383301356</v>
      </c>
      <c r="S64" s="47">
        <f t="shared" ca="1" si="37"/>
        <v>358.16552438115991</v>
      </c>
      <c r="T64" s="47">
        <f t="shared" ca="1" si="37"/>
        <v>354.37986624107634</v>
      </c>
      <c r="U64" s="47">
        <f t="shared" ca="1" si="37"/>
        <v>348.820760584894</v>
      </c>
      <c r="V64" s="47">
        <f t="shared" ca="1" si="37"/>
        <v>341.45167229575759</v>
      </c>
      <c r="W64" s="47">
        <f t="shared" ca="1" si="37"/>
        <v>332.23275739480141</v>
      </c>
      <c r="X64" s="47">
        <f t="shared" ca="1" si="37"/>
        <v>321.09419540939632</v>
      </c>
    </row>
    <row r="65" spans="1:24" x14ac:dyDescent="0.25">
      <c r="A65" s="9" t="s">
        <v>676</v>
      </c>
      <c r="B65" s="9"/>
      <c r="C65" s="13"/>
      <c r="D65" s="65">
        <f t="shared" ref="D65:X65" ca="1" si="38">D$63-D$64</f>
        <v>68.54400000000004</v>
      </c>
      <c r="E65" s="65">
        <f t="shared" ca="1" si="38"/>
        <v>47.116000000000014</v>
      </c>
      <c r="F65" s="65">
        <f t="shared" ca="1" si="38"/>
        <v>60.538000000000011</v>
      </c>
      <c r="G65" s="65">
        <f t="shared" ca="1" si="38"/>
        <v>45.283999999999992</v>
      </c>
      <c r="H65" s="65">
        <f t="shared" ca="1" si="38"/>
        <v>59.341000000000008</v>
      </c>
      <c r="I65" s="65">
        <f t="shared" ca="1" si="38"/>
        <v>65.039999999999964</v>
      </c>
      <c r="J65" s="66">
        <f t="shared" ca="1" si="38"/>
        <v>61.345000000000027</v>
      </c>
      <c r="K65" s="66">
        <f t="shared" ca="1" si="38"/>
        <v>56.001000000000033</v>
      </c>
      <c r="L65" s="66">
        <f t="shared" ca="1" si="38"/>
        <v>54.831000000000017</v>
      </c>
      <c r="M65" s="66">
        <f t="shared" ca="1" si="38"/>
        <v>58.20999999999998</v>
      </c>
      <c r="N65" s="66">
        <f t="shared" ca="1" si="38"/>
        <v>64.907999999999959</v>
      </c>
      <c r="O65" s="67">
        <f t="shared" ca="1" si="38"/>
        <v>72.881060216299488</v>
      </c>
      <c r="P65" s="67">
        <f t="shared" ca="1" si="38"/>
        <v>83.020421433471938</v>
      </c>
      <c r="Q65" s="67">
        <f t="shared" ca="1" si="38"/>
        <v>95.170836527853282</v>
      </c>
      <c r="R65" s="67">
        <f t="shared" ca="1" si="38"/>
        <v>109.23107480786797</v>
      </c>
      <c r="S65" s="67">
        <f t="shared" ca="1" si="38"/>
        <v>125.2532400052973</v>
      </c>
      <c r="T65" s="67">
        <f t="shared" ca="1" si="38"/>
        <v>143.36212833922696</v>
      </c>
      <c r="U65" s="67">
        <f t="shared" ca="1" si="38"/>
        <v>163.54747195148428</v>
      </c>
      <c r="V65" s="67">
        <f t="shared" ca="1" si="38"/>
        <v>185.87831668781359</v>
      </c>
      <c r="W65" s="67">
        <f t="shared" ca="1" si="38"/>
        <v>210.4863322618869</v>
      </c>
      <c r="X65" s="67">
        <f t="shared" ca="1" si="38"/>
        <v>237.55487921620443</v>
      </c>
    </row>
    <row r="66" spans="1:24" x14ac:dyDescent="0.25">
      <c r="A66" s="55" t="s">
        <v>1155</v>
      </c>
      <c r="B66" s="10" t="str">
        <f>$B$42</f>
        <v>Outturn &amp; Forecast only</v>
      </c>
      <c r="C66" s="13"/>
      <c r="D66" s="91" t="str">
        <f ca="1">IF(ROUND('Fiscal Forecasts'!D$200-D$65,3)=0,"OK","ERROR")</f>
        <v>OK</v>
      </c>
      <c r="E66" s="91" t="str">
        <f ca="1">IF(ROUND('Fiscal Forecasts'!E$200-E$65,3)=0,"OK","ERROR")</f>
        <v>OK</v>
      </c>
      <c r="F66" s="91" t="str">
        <f ca="1">IF(ROUND('Fiscal Forecasts'!F$200-F$65,3)=0,"OK","ERROR")</f>
        <v>OK</v>
      </c>
      <c r="G66" s="91" t="str">
        <f ca="1">IF(ROUND('Fiscal Forecasts'!G$200-G$65,3)=0,"OK","ERROR")</f>
        <v>OK</v>
      </c>
      <c r="H66" s="91" t="str">
        <f ca="1">IF(ROUND('Fiscal Forecasts'!H$200-H$65,3)=0,"OK","ERROR")</f>
        <v>OK</v>
      </c>
      <c r="I66" s="91" t="str">
        <f ca="1">IF(ROUND('Fiscal Forecasts'!I$200-I$65,3)=0,"OK","ERROR")</f>
        <v>OK</v>
      </c>
      <c r="J66" s="91" t="str">
        <f ca="1">IF(ROUND('Fiscal Forecasts'!J$200-J$65,3)=0,"OK","ERROR")</f>
        <v>OK</v>
      </c>
      <c r="K66" s="91" t="str">
        <f ca="1">IF(ROUND('Fiscal Forecasts'!K$200-K$65,3)=0,"OK","ERROR")</f>
        <v>OK</v>
      </c>
      <c r="L66" s="91" t="str">
        <f ca="1">IF(ROUND('Fiscal Forecasts'!L$200-L$65,3)=0,"OK","ERROR")</f>
        <v>OK</v>
      </c>
      <c r="M66" s="91" t="str">
        <f ca="1">IF(ROUND('Fiscal Forecasts'!M$200-M$65,3)=0,"OK","ERROR")</f>
        <v>OK</v>
      </c>
      <c r="N66" s="91" t="str">
        <f ca="1">IF(ROUND('Fiscal Forecasts'!N$200-N$65,3)=0,"OK","ERROR")</f>
        <v>OK</v>
      </c>
      <c r="O66" s="18"/>
      <c r="P66" s="18"/>
      <c r="Q66" s="18"/>
      <c r="R66" s="18"/>
      <c r="S66" s="18"/>
      <c r="T66" s="18"/>
      <c r="U66" s="18"/>
      <c r="V66" s="18"/>
      <c r="W66" s="18"/>
      <c r="X66" s="18"/>
    </row>
    <row r="67" spans="1:24" x14ac:dyDescent="0.25">
      <c r="A67" s="55" t="s">
        <v>1156</v>
      </c>
      <c r="B67" s="10" t="str">
        <f>$B$62</f>
        <v>Projected Years only</v>
      </c>
      <c r="C67" s="13"/>
      <c r="D67" s="36"/>
      <c r="E67" s="36"/>
      <c r="F67" s="36"/>
      <c r="G67" s="36"/>
      <c r="H67" s="36"/>
      <c r="I67" s="36"/>
      <c r="J67" s="19"/>
      <c r="K67" s="19"/>
      <c r="L67" s="19"/>
      <c r="M67" s="19"/>
      <c r="N67" s="19"/>
      <c r="O67" s="91" t="str">
        <f t="shared" ref="O67:X67" ca="1" si="39">IF(ROUND(O$49-(O$65-N$65),3)=0,"OK","ERROR")</f>
        <v>OK</v>
      </c>
      <c r="P67" s="91" t="str">
        <f t="shared" ca="1" si="39"/>
        <v>OK</v>
      </c>
      <c r="Q67" s="91" t="str">
        <f t="shared" ca="1" si="39"/>
        <v>OK</v>
      </c>
      <c r="R67" s="91" t="str">
        <f t="shared" ca="1" si="39"/>
        <v>OK</v>
      </c>
      <c r="S67" s="91" t="str">
        <f t="shared" ca="1" si="39"/>
        <v>OK</v>
      </c>
      <c r="T67" s="91" t="str">
        <f t="shared" ca="1" si="39"/>
        <v>OK</v>
      </c>
      <c r="U67" s="91" t="str">
        <f t="shared" ca="1" si="39"/>
        <v>OK</v>
      </c>
      <c r="V67" s="91" t="str">
        <f t="shared" ca="1" si="39"/>
        <v>OK</v>
      </c>
      <c r="W67" s="91" t="str">
        <f t="shared" ca="1" si="39"/>
        <v>OK</v>
      </c>
      <c r="X67" s="91" t="str">
        <f t="shared" ca="1" si="39"/>
        <v>OK</v>
      </c>
    </row>
    <row r="68" spans="1:24" x14ac:dyDescent="0.25">
      <c r="A68" s="9"/>
      <c r="B68" s="9"/>
      <c r="C68" s="13"/>
      <c r="D68" s="36"/>
      <c r="E68" s="36"/>
      <c r="F68" s="36"/>
      <c r="G68" s="36"/>
      <c r="H68" s="36"/>
      <c r="I68" s="36"/>
      <c r="J68" s="19"/>
      <c r="K68" s="19"/>
      <c r="L68" s="19"/>
      <c r="M68" s="19"/>
      <c r="N68" s="19"/>
      <c r="O68" s="18"/>
      <c r="P68" s="18"/>
      <c r="Q68" s="18"/>
      <c r="R68" s="18"/>
      <c r="S68" s="18"/>
      <c r="T68" s="18"/>
      <c r="U68" s="18"/>
      <c r="V68" s="18"/>
      <c r="W68" s="18"/>
      <c r="X68" s="18"/>
    </row>
    <row r="69" spans="1:24" x14ac:dyDescent="0.25">
      <c r="A69" s="12" t="s">
        <v>894</v>
      </c>
      <c r="B69" s="9"/>
      <c r="C69" s="13"/>
      <c r="D69" s="36"/>
      <c r="E69" s="36"/>
      <c r="F69" s="36"/>
      <c r="G69" s="36"/>
      <c r="H69" s="36"/>
      <c r="I69" s="36"/>
      <c r="J69" s="36"/>
      <c r="K69" s="36"/>
      <c r="L69" s="36"/>
      <c r="M69" s="36"/>
      <c r="N69" s="36"/>
      <c r="O69" s="13"/>
      <c r="P69" s="13"/>
      <c r="Q69" s="13"/>
      <c r="R69" s="13"/>
      <c r="S69" s="13"/>
      <c r="T69" s="13"/>
      <c r="U69" s="13"/>
      <c r="V69" s="13"/>
      <c r="W69" s="13"/>
      <c r="X69" s="13"/>
    </row>
    <row r="70" spans="1:24" x14ac:dyDescent="0.25">
      <c r="A70" s="9" t="s">
        <v>895</v>
      </c>
      <c r="B70" s="10" t="str">
        <f t="shared" ref="B70:B77" si="40">$B$38</f>
        <v>From Fiscal Forecasts</v>
      </c>
      <c r="C70" s="13"/>
      <c r="D70" s="42">
        <f>'Fiscal Forecasts'!D$137</f>
        <v>110.248</v>
      </c>
      <c r="E70" s="42">
        <f>'Fiscal Forecasts'!E$137</f>
        <v>152.71700000000001</v>
      </c>
      <c r="F70" s="42">
        <f>'Fiscal Forecasts'!F$137</f>
        <v>162.56</v>
      </c>
      <c r="G70" s="42">
        <f>'Fiscal Forecasts'!G$137</f>
        <v>203.965</v>
      </c>
      <c r="H70" s="42">
        <f>'Fiscal Forecasts'!H$137</f>
        <v>226.755</v>
      </c>
      <c r="I70" s="42">
        <f>'Fiscal Forecasts'!I$137</f>
        <v>250.94300000000001</v>
      </c>
      <c r="J70" s="43">
        <f>'Fiscal Forecasts'!J$137</f>
        <v>277.57</v>
      </c>
      <c r="K70" s="43">
        <f>'Fiscal Forecasts'!K$137</f>
        <v>305.07600000000002</v>
      </c>
      <c r="L70" s="43">
        <f>'Fiscal Forecasts'!L$137</f>
        <v>325.91899999999998</v>
      </c>
      <c r="M70" s="43">
        <f>'Fiscal Forecasts'!M$137</f>
        <v>342.61099999999999</v>
      </c>
      <c r="N70" s="43">
        <f>'Fiscal Forecasts'!N$137</f>
        <v>354.2</v>
      </c>
      <c r="O70" s="47">
        <f t="shared" ref="O70:X70" ca="1" si="41">SUM(N$70,O$108)</f>
        <v>359.2994729302942</v>
      </c>
      <c r="P70" s="47">
        <f t="shared" ca="1" si="41"/>
        <v>363.62811671430103</v>
      </c>
      <c r="Q70" s="47">
        <f t="shared" ca="1" si="41"/>
        <v>365.57109332695478</v>
      </c>
      <c r="R70" s="47">
        <f t="shared" ca="1" si="41"/>
        <v>365.13839049529406</v>
      </c>
      <c r="S70" s="47">
        <f t="shared" ca="1" si="41"/>
        <v>362.20141424088871</v>
      </c>
      <c r="T70" s="47">
        <f t="shared" ca="1" si="41"/>
        <v>356.49673228601085</v>
      </c>
      <c r="U70" s="47">
        <f t="shared" ca="1" si="41"/>
        <v>347.93911111971374</v>
      </c>
      <c r="V70" s="47">
        <f t="shared" ca="1" si="41"/>
        <v>336.67401143899843</v>
      </c>
      <c r="W70" s="47">
        <f t="shared" ca="1" si="41"/>
        <v>322.8282863241327</v>
      </c>
      <c r="X70" s="47">
        <f t="shared" ca="1" si="41"/>
        <v>306.3664083544266</v>
      </c>
    </row>
    <row r="71" spans="1:24" x14ac:dyDescent="0.25">
      <c r="A71" s="11" t="s">
        <v>645</v>
      </c>
      <c r="B71" s="10" t="str">
        <f t="shared" si="40"/>
        <v>From Fiscal Forecasts</v>
      </c>
      <c r="C71" s="13"/>
      <c r="D71" s="42">
        <f>'Fiscal Forecasts'!D$147</f>
        <v>91.51</v>
      </c>
      <c r="E71" s="42">
        <f>'Fiscal Forecasts'!E$147</f>
        <v>126.34099999999999</v>
      </c>
      <c r="F71" s="42">
        <f>'Fiscal Forecasts'!F$147</f>
        <v>132.54300000000001</v>
      </c>
      <c r="G71" s="42">
        <f>'Fiscal Forecasts'!G$147</f>
        <v>168.98599999999999</v>
      </c>
      <c r="H71" s="42">
        <f>'Fiscal Forecasts'!H$147</f>
        <v>191.029</v>
      </c>
      <c r="I71" s="42">
        <f>'Fiscal Forecasts'!I$147</f>
        <v>216.34899999999999</v>
      </c>
      <c r="J71" s="43">
        <f>'Fiscal Forecasts'!J$147</f>
        <v>244.69399999999999</v>
      </c>
      <c r="K71" s="43">
        <f>'Fiscal Forecasts'!K$147</f>
        <v>266.68599999999998</v>
      </c>
      <c r="L71" s="43">
        <f>'Fiscal Forecasts'!L$147</f>
        <v>283.69200000000001</v>
      </c>
      <c r="M71" s="43">
        <f>'Fiscal Forecasts'!M$147</f>
        <v>295.63799999999998</v>
      </c>
      <c r="N71" s="43">
        <f>'Fiscal Forecasts'!N$147</f>
        <v>304.26799999999997</v>
      </c>
      <c r="O71" s="47">
        <f t="shared" ref="O71:X71" ca="1" si="42">SUM(N$71,O$518)</f>
        <v>306.6692510684324</v>
      </c>
      <c r="P71" s="47">
        <f t="shared" ca="1" si="42"/>
        <v>308.88813593764814</v>
      </c>
      <c r="Q71" s="47">
        <f t="shared" ca="1" si="42"/>
        <v>309.4426700787393</v>
      </c>
      <c r="R71" s="47">
        <f t="shared" ca="1" si="42"/>
        <v>308.38100231247006</v>
      </c>
      <c r="S71" s="47">
        <f t="shared" ca="1" si="42"/>
        <v>305.63867741820121</v>
      </c>
      <c r="T71" s="47">
        <f t="shared" ca="1" si="42"/>
        <v>301.09974509108542</v>
      </c>
      <c r="U71" s="47">
        <f t="shared" ca="1" si="42"/>
        <v>294.7262920991306</v>
      </c>
      <c r="V71" s="47">
        <f t="shared" ca="1" si="42"/>
        <v>286.48374290131591</v>
      </c>
      <c r="W71" s="47">
        <f t="shared" ca="1" si="42"/>
        <v>276.32844175767571</v>
      </c>
      <c r="X71" s="47">
        <f t="shared" ca="1" si="42"/>
        <v>264.18365258507998</v>
      </c>
    </row>
    <row r="72" spans="1:24" x14ac:dyDescent="0.25">
      <c r="A72" s="11" t="s">
        <v>646</v>
      </c>
      <c r="B72" s="10" t="str">
        <f t="shared" si="40"/>
        <v>From Fiscal Forecasts</v>
      </c>
      <c r="C72" s="13"/>
      <c r="D72" s="35">
        <f>'Fiscal Forecasts'!D$148</f>
        <v>0.251</v>
      </c>
      <c r="E72" s="35">
        <f>'Fiscal Forecasts'!E$148</f>
        <v>5.5E-2</v>
      </c>
      <c r="F72" s="35">
        <f>'Fiscal Forecasts'!F$148</f>
        <v>2.1000000000000001E-2</v>
      </c>
      <c r="G72" s="35">
        <f>'Fiscal Forecasts'!G$148</f>
        <v>0.20799999999999999</v>
      </c>
      <c r="H72" s="35">
        <f>'Fiscal Forecasts'!H$148</f>
        <v>0.96199999999999997</v>
      </c>
      <c r="I72" s="35">
        <f>'Fiscal Forecasts'!I$148</f>
        <v>0.84699999999999998</v>
      </c>
      <c r="J72" s="17">
        <f>'Fiscal Forecasts'!J$148</f>
        <v>5.6289999999999996</v>
      </c>
      <c r="K72" s="17">
        <f>'Fiscal Forecasts'!K$148</f>
        <v>5.2130000000000001</v>
      </c>
      <c r="L72" s="17">
        <f>'Fiscal Forecasts'!L$148</f>
        <v>6.266</v>
      </c>
      <c r="M72" s="17">
        <f>'Fiscal Forecasts'!M$148</f>
        <v>5.5540000000000003</v>
      </c>
      <c r="N72" s="17">
        <f>'Fiscal Forecasts'!N$148</f>
        <v>5.21</v>
      </c>
      <c r="O72" s="16">
        <f t="shared" ref="O72:X72" ca="1" si="43">N$72*(1+O$29)</f>
        <v>5.3142000000000005</v>
      </c>
      <c r="P72" s="16">
        <f t="shared" ca="1" si="43"/>
        <v>5.420484000000001</v>
      </c>
      <c r="Q72" s="16">
        <f t="shared" ca="1" si="43"/>
        <v>5.5288936800000013</v>
      </c>
      <c r="R72" s="16">
        <f t="shared" ca="1" si="43"/>
        <v>5.6394715536000017</v>
      </c>
      <c r="S72" s="16">
        <f t="shared" ca="1" si="43"/>
        <v>5.7522609846720023</v>
      </c>
      <c r="T72" s="16">
        <f t="shared" ca="1" si="43"/>
        <v>5.867306204365442</v>
      </c>
      <c r="U72" s="16">
        <f t="shared" ca="1" si="43"/>
        <v>5.9846523284527509</v>
      </c>
      <c r="V72" s="16">
        <f t="shared" ca="1" si="43"/>
        <v>6.104345375021806</v>
      </c>
      <c r="W72" s="16">
        <f t="shared" ca="1" si="43"/>
        <v>6.226432282522242</v>
      </c>
      <c r="X72" s="16">
        <f t="shared" ca="1" si="43"/>
        <v>6.3509609281726869</v>
      </c>
    </row>
    <row r="73" spans="1:24" x14ac:dyDescent="0.25">
      <c r="A73" s="11" t="s">
        <v>1044</v>
      </c>
      <c r="B73" s="10" t="str">
        <f t="shared" si="40"/>
        <v>From Fiscal Forecasts</v>
      </c>
      <c r="C73" s="13"/>
      <c r="D73" s="35">
        <f>'Fiscal Forecasts'!D$149</f>
        <v>0.90300000000000002</v>
      </c>
      <c r="E73" s="35">
        <f>'Fiscal Forecasts'!E$149</f>
        <v>2.6749999999999998</v>
      </c>
      <c r="F73" s="35">
        <f>'Fiscal Forecasts'!F$149</f>
        <v>2.2170000000000001</v>
      </c>
      <c r="G73" s="35">
        <f>'Fiscal Forecasts'!G$149</f>
        <v>9.99</v>
      </c>
      <c r="H73" s="35">
        <f>'Fiscal Forecasts'!H$149</f>
        <v>3.093</v>
      </c>
      <c r="I73" s="35">
        <f>'Fiscal Forecasts'!I$149</f>
        <v>2.754</v>
      </c>
      <c r="J73" s="17">
        <f>'Fiscal Forecasts'!J$149</f>
        <v>6.6070000000000002</v>
      </c>
      <c r="K73" s="17">
        <f>'Fiscal Forecasts'!K$149</f>
        <v>6.3109999999999999</v>
      </c>
      <c r="L73" s="17">
        <f>'Fiscal Forecasts'!L$149</f>
        <v>7.3639999999999999</v>
      </c>
      <c r="M73" s="17">
        <f>'Fiscal Forecasts'!M$149</f>
        <v>6.6509999999999998</v>
      </c>
      <c r="N73" s="17">
        <f>'Fiscal Forecasts'!N$149</f>
        <v>6.335</v>
      </c>
      <c r="O73" s="16">
        <f ca="1">OFFSET(Assumptions!$B$53,0,$C$1)*O$394</f>
        <v>5.0083082706011082</v>
      </c>
      <c r="P73" s="16">
        <f ca="1">OFFSET(Assumptions!$B$53,0,$C$1)*P$394</f>
        <v>5.303445993985485</v>
      </c>
      <c r="Q73" s="16">
        <f ca="1">OFFSET(Assumptions!$B$53,0,$C$1)*Q$394</f>
        <v>5.6088278429922438</v>
      </c>
      <c r="R73" s="16">
        <f ca="1">OFFSET(Assumptions!$B$53,0,$C$1)*R$394</f>
        <v>5.9223912278876014</v>
      </c>
      <c r="S73" s="16">
        <f ca="1">OFFSET(Assumptions!$B$53,0,$C$1)*S$394</f>
        <v>6.2431275008564224</v>
      </c>
      <c r="T73" s="16">
        <f ca="1">OFFSET(Assumptions!$B$53,0,$C$1)*T$394</f>
        <v>6.5718228075012632</v>
      </c>
      <c r="U73" s="16">
        <f ca="1">OFFSET(Assumptions!$B$53,0,$C$1)*U$394</f>
        <v>6.9066586412970077</v>
      </c>
      <c r="V73" s="16">
        <f ca="1">OFFSET(Assumptions!$B$53,0,$C$1)*V$394</f>
        <v>7.2489560832900279</v>
      </c>
      <c r="W73" s="16">
        <f ca="1">OFFSET(Assumptions!$B$53,0,$C$1)*W$394</f>
        <v>7.6024543097193593</v>
      </c>
      <c r="X73" s="16">
        <f ca="1">OFFSET(Assumptions!$B$53,0,$C$1)*X$394</f>
        <v>7.9713789773345125</v>
      </c>
    </row>
    <row r="74" spans="1:24" x14ac:dyDescent="0.25">
      <c r="A74" s="11" t="s">
        <v>1045</v>
      </c>
      <c r="B74" s="10" t="str">
        <f t="shared" si="40"/>
        <v>From Fiscal Forecasts</v>
      </c>
      <c r="C74" s="13"/>
      <c r="D74" s="35">
        <f>'Fiscal Forecasts'!D$150</f>
        <v>92.590999999999994</v>
      </c>
      <c r="E74" s="35">
        <f>'Fiscal Forecasts'!E$150</f>
        <v>101.77800000000001</v>
      </c>
      <c r="F74" s="35">
        <f>'Fiscal Forecasts'!F$150</f>
        <v>108.423</v>
      </c>
      <c r="G74" s="35">
        <f>'Fiscal Forecasts'!G$150</f>
        <v>121.13800000000001</v>
      </c>
      <c r="H74" s="35">
        <f>'Fiscal Forecasts'!H$150</f>
        <v>135.595</v>
      </c>
      <c r="I74" s="35">
        <f>'Fiscal Forecasts'!I$150</f>
        <v>154.9</v>
      </c>
      <c r="J74" s="17">
        <f>'Fiscal Forecasts'!J$150</f>
        <v>178.327</v>
      </c>
      <c r="K74" s="17">
        <f>'Fiscal Forecasts'!K$150</f>
        <v>184.34800000000001</v>
      </c>
      <c r="L74" s="17">
        <f>'Fiscal Forecasts'!L$150</f>
        <v>192.185</v>
      </c>
      <c r="M74" s="17">
        <f>'Fiscal Forecasts'!M$150</f>
        <v>198.71100000000001</v>
      </c>
      <c r="N74" s="17">
        <f>'Fiscal Forecasts'!N$150</f>
        <v>206.35</v>
      </c>
      <c r="O74" s="16">
        <f t="shared" ref="O74:X74" ca="1" si="44">SUM(O$355,O$368,O$377,O$397,O$403)</f>
        <v>211.19504072049011</v>
      </c>
      <c r="P74" s="16">
        <f t="shared" ca="1" si="44"/>
        <v>217.89289636413051</v>
      </c>
      <c r="Q74" s="16">
        <f t="shared" ca="1" si="44"/>
        <v>224.80707839071698</v>
      </c>
      <c r="R74" s="16">
        <f t="shared" ca="1" si="44"/>
        <v>231.88820532530087</v>
      </c>
      <c r="S74" s="16">
        <f t="shared" ca="1" si="44"/>
        <v>239.11210667478636</v>
      </c>
      <c r="T74" s="16">
        <f t="shared" ca="1" si="44"/>
        <v>246.48584164773231</v>
      </c>
      <c r="U74" s="16">
        <f t="shared" ca="1" si="44"/>
        <v>253.96863580884855</v>
      </c>
      <c r="V74" s="16">
        <f t="shared" ca="1" si="44"/>
        <v>261.58583681645962</v>
      </c>
      <c r="W74" s="16">
        <f t="shared" ca="1" si="44"/>
        <v>269.42234041725624</v>
      </c>
      <c r="X74" s="16">
        <f t="shared" ca="1" si="44"/>
        <v>277.57621770886936</v>
      </c>
    </row>
    <row r="75" spans="1:24" x14ac:dyDescent="0.25">
      <c r="A75" s="11" t="s">
        <v>1046</v>
      </c>
      <c r="B75" s="10" t="str">
        <f t="shared" si="40"/>
        <v>From Fiscal Forecasts</v>
      </c>
      <c r="C75" s="13"/>
      <c r="D75" s="35">
        <f>'Fiscal Forecasts'!D$151</f>
        <v>0.66900000000000004</v>
      </c>
      <c r="E75" s="35">
        <f>'Fiscal Forecasts'!E$151</f>
        <v>1.9E-2</v>
      </c>
      <c r="F75" s="35">
        <f>'Fiscal Forecasts'!F$151</f>
        <v>5.6000000000000001E-2</v>
      </c>
      <c r="G75" s="35">
        <f>'Fiscal Forecasts'!G$151</f>
        <v>0.55100000000000005</v>
      </c>
      <c r="H75" s="35">
        <f>'Fiscal Forecasts'!H$151</f>
        <v>2.5649999999999999</v>
      </c>
      <c r="I75" s="35">
        <f>'Fiscal Forecasts'!I$151</f>
        <v>3.278</v>
      </c>
      <c r="J75" s="17">
        <f>'Fiscal Forecasts'!J$151</f>
        <v>4.8579999999999997</v>
      </c>
      <c r="K75" s="17">
        <f>'Fiscal Forecasts'!K$151</f>
        <v>4.2329999999999997</v>
      </c>
      <c r="L75" s="17">
        <f>'Fiscal Forecasts'!L$151</f>
        <v>4.2619999999999996</v>
      </c>
      <c r="M75" s="17">
        <f>'Fiscal Forecasts'!M$151</f>
        <v>4.2910000000000004</v>
      </c>
      <c r="N75" s="17">
        <f>'Fiscal Forecasts'!N$151</f>
        <v>4.3239999999999998</v>
      </c>
      <c r="O75" s="16">
        <f t="shared" ref="O75:X75" ca="1" si="45">N$75*(1+O$29)</f>
        <v>4.4104799999999997</v>
      </c>
      <c r="P75" s="16">
        <f t="shared" ca="1" si="45"/>
        <v>4.4986895999999996</v>
      </c>
      <c r="Q75" s="16">
        <f t="shared" ca="1" si="45"/>
        <v>4.588663392</v>
      </c>
      <c r="R75" s="16">
        <f t="shared" ca="1" si="45"/>
        <v>4.6804366598399998</v>
      </c>
      <c r="S75" s="16">
        <f t="shared" ca="1" si="45"/>
        <v>4.7740453930367996</v>
      </c>
      <c r="T75" s="16">
        <f t="shared" ca="1" si="45"/>
        <v>4.8695263008975358</v>
      </c>
      <c r="U75" s="16">
        <f t="shared" ca="1" si="45"/>
        <v>4.9669168269154866</v>
      </c>
      <c r="V75" s="16">
        <f t="shared" ca="1" si="45"/>
        <v>5.0662551634537962</v>
      </c>
      <c r="W75" s="16">
        <f t="shared" ca="1" si="45"/>
        <v>5.1675802667228723</v>
      </c>
      <c r="X75" s="16">
        <f t="shared" ca="1" si="45"/>
        <v>5.2709318720573295</v>
      </c>
    </row>
    <row r="76" spans="1:24" x14ac:dyDescent="0.25">
      <c r="A76" s="11" t="s">
        <v>650</v>
      </c>
      <c r="B76" s="10" t="str">
        <f t="shared" si="40"/>
        <v>From Fiscal Forecasts</v>
      </c>
      <c r="C76" s="13"/>
      <c r="D76" s="35">
        <f>'Fiscal Forecasts'!D$152</f>
        <v>46.292999999999999</v>
      </c>
      <c r="E76" s="35">
        <f>'Fiscal Forecasts'!E$152</f>
        <v>46.895000000000003</v>
      </c>
      <c r="F76" s="35">
        <f>'Fiscal Forecasts'!F$152</f>
        <v>61.483999999999995</v>
      </c>
      <c r="G76" s="35">
        <f>'Fiscal Forecasts'!G$152</f>
        <v>65.254999999999995</v>
      </c>
      <c r="H76" s="35">
        <f>'Fiscal Forecasts'!H$152</f>
        <v>67.994000000000014</v>
      </c>
      <c r="I76" s="35">
        <f>'Fiscal Forecasts'!I$152</f>
        <v>78.811999999999998</v>
      </c>
      <c r="J76" s="17">
        <f>'Fiscal Forecasts'!J$152</f>
        <v>90.046999999999997</v>
      </c>
      <c r="K76" s="17">
        <f>'Fiscal Forecasts'!K$152</f>
        <v>93.933000000000007</v>
      </c>
      <c r="L76" s="17">
        <f>'Fiscal Forecasts'!L$152</f>
        <v>100.199</v>
      </c>
      <c r="M76" s="17">
        <f>'Fiscal Forecasts'!M$152</f>
        <v>104.995</v>
      </c>
      <c r="N76" s="17">
        <f>'Fiscal Forecasts'!N$152</f>
        <v>110.628</v>
      </c>
      <c r="O76" s="16">
        <f t="shared" ref="O76:X76" ca="1" si="46">SUM(O$353,O$366,O$375,O$397,O$400,O$75-O$72)</f>
        <v>115.5183207204901</v>
      </c>
      <c r="P76" s="16">
        <f t="shared" ca="1" si="46"/>
        <v>122.28010196413048</v>
      </c>
      <c r="Q76" s="16">
        <f t="shared" ca="1" si="46"/>
        <v>129.27684810271697</v>
      </c>
      <c r="R76" s="16">
        <f t="shared" ca="1" si="46"/>
        <v>136.46117043154086</v>
      </c>
      <c r="S76" s="16">
        <f t="shared" ca="1" si="46"/>
        <v>143.80989108315114</v>
      </c>
      <c r="T76" s="16">
        <f t="shared" ca="1" si="46"/>
        <v>151.34106174426441</v>
      </c>
      <c r="U76" s="16">
        <f t="shared" ca="1" si="46"/>
        <v>159.01290030731127</v>
      </c>
      <c r="V76" s="16">
        <f t="shared" ca="1" si="46"/>
        <v>166.85574660489161</v>
      </c>
      <c r="W76" s="16">
        <f t="shared" ca="1" si="46"/>
        <v>174.95548840145685</v>
      </c>
      <c r="X76" s="16">
        <f t="shared" ca="1" si="46"/>
        <v>183.40918865275401</v>
      </c>
    </row>
    <row r="77" spans="1:24" x14ac:dyDescent="0.25">
      <c r="A77" s="11" t="s">
        <v>651</v>
      </c>
      <c r="B77" s="10" t="str">
        <f t="shared" si="40"/>
        <v>From Fiscal Forecasts</v>
      </c>
      <c r="C77" s="13"/>
      <c r="D77" s="35">
        <f>'Fiscal Forecasts'!D$153</f>
        <v>13.845000000000001</v>
      </c>
      <c r="E77" s="35">
        <f>'Fiscal Forecasts'!E$153</f>
        <v>14.555999999999999</v>
      </c>
      <c r="F77" s="35">
        <f>'Fiscal Forecasts'!F$153</f>
        <v>18.728000000000002</v>
      </c>
      <c r="G77" s="35">
        <f>'Fiscal Forecasts'!G$153</f>
        <v>26.103000000000002</v>
      </c>
      <c r="H77" s="35">
        <f>'Fiscal Forecasts'!H$153</f>
        <v>36.540999999999997</v>
      </c>
      <c r="I77" s="35">
        <f>'Fiscal Forecasts'!I$153</f>
        <v>40.387999999999998</v>
      </c>
      <c r="J77" s="17">
        <f>'Fiscal Forecasts'!J$153</f>
        <v>35.066000000000003</v>
      </c>
      <c r="K77" s="17">
        <f>'Fiscal Forecasts'!K$153</f>
        <v>29.248000000000001</v>
      </c>
      <c r="L77" s="17">
        <f>'Fiscal Forecasts'!L$153</f>
        <v>32.091999999999999</v>
      </c>
      <c r="M77" s="17">
        <f>'Fiscal Forecasts'!M$153</f>
        <v>33.713999999999999</v>
      </c>
      <c r="N77" s="17">
        <f>'Fiscal Forecasts'!N$153</f>
        <v>35.417999999999999</v>
      </c>
      <c r="O77" s="16">
        <f t="shared" ref="O77:X77" si="47">SUM(O$401:O$402)</f>
        <v>35.354999999999997</v>
      </c>
      <c r="P77" s="16">
        <f t="shared" si="47"/>
        <v>35.272999999999996</v>
      </c>
      <c r="Q77" s="16">
        <f t="shared" si="47"/>
        <v>35.171999999999997</v>
      </c>
      <c r="R77" s="16">
        <f t="shared" si="47"/>
        <v>35.049999999999997</v>
      </c>
      <c r="S77" s="16">
        <f t="shared" si="47"/>
        <v>34.905999999999999</v>
      </c>
      <c r="T77" s="16">
        <f t="shared" si="47"/>
        <v>34.728999999999999</v>
      </c>
      <c r="U77" s="16">
        <f t="shared" si="47"/>
        <v>34.519999999999996</v>
      </c>
      <c r="V77" s="16">
        <f t="shared" si="47"/>
        <v>34.274000000000001</v>
      </c>
      <c r="W77" s="16">
        <f t="shared" si="47"/>
        <v>33.989999999999995</v>
      </c>
      <c r="X77" s="16">
        <f t="shared" si="47"/>
        <v>33.668999999999997</v>
      </c>
    </row>
    <row r="78" spans="1:24" x14ac:dyDescent="0.25">
      <c r="A78" s="9" t="s">
        <v>896</v>
      </c>
      <c r="B78" s="9"/>
      <c r="C78" s="13"/>
      <c r="D78" s="65">
        <f t="shared" ref="D78:X78" si="48">SUM(D$71,D$72,D$76,D$77)-SUM(D$73,D$74,D$75)</f>
        <v>57.736000000000004</v>
      </c>
      <c r="E78" s="65">
        <f t="shared" si="48"/>
        <v>83.375</v>
      </c>
      <c r="F78" s="65">
        <f t="shared" si="48"/>
        <v>102.08000000000001</v>
      </c>
      <c r="G78" s="65">
        <f t="shared" si="48"/>
        <v>128.87299999999996</v>
      </c>
      <c r="H78" s="65">
        <f t="shared" si="48"/>
        <v>155.27300000000002</v>
      </c>
      <c r="I78" s="65">
        <f t="shared" si="48"/>
        <v>175.46399999999997</v>
      </c>
      <c r="J78" s="66">
        <f t="shared" si="48"/>
        <v>185.64400000000003</v>
      </c>
      <c r="K78" s="66">
        <f t="shared" si="48"/>
        <v>200.18799999999996</v>
      </c>
      <c r="L78" s="66">
        <f t="shared" si="48"/>
        <v>218.43800000000002</v>
      </c>
      <c r="M78" s="66">
        <f t="shared" si="48"/>
        <v>230.24799999999993</v>
      </c>
      <c r="N78" s="66">
        <f t="shared" si="48"/>
        <v>238.51499999999993</v>
      </c>
      <c r="O78" s="92">
        <f t="shared" ca="1" si="48"/>
        <v>242.24294279783129</v>
      </c>
      <c r="P78" s="92">
        <f t="shared" ca="1" si="48"/>
        <v>244.16668994366265</v>
      </c>
      <c r="Q78" s="92">
        <f t="shared" ca="1" si="48"/>
        <v>244.41584223574705</v>
      </c>
      <c r="R78" s="92">
        <f t="shared" ca="1" si="48"/>
        <v>243.04061108458248</v>
      </c>
      <c r="S78" s="92">
        <f t="shared" ca="1" si="48"/>
        <v>239.97754991734473</v>
      </c>
      <c r="T78" s="92">
        <f t="shared" ca="1" si="48"/>
        <v>235.10992228358418</v>
      </c>
      <c r="U78" s="92">
        <f t="shared" ca="1" si="48"/>
        <v>228.40163345783355</v>
      </c>
      <c r="V78" s="92">
        <f t="shared" ca="1" si="48"/>
        <v>219.81678681802595</v>
      </c>
      <c r="W78" s="92">
        <f t="shared" ca="1" si="48"/>
        <v>209.30798744795635</v>
      </c>
      <c r="X78" s="92">
        <f t="shared" ca="1" si="48"/>
        <v>196.79427360774548</v>
      </c>
    </row>
    <row r="79" spans="1:24" x14ac:dyDescent="0.25">
      <c r="A79" s="11" t="s">
        <v>653</v>
      </c>
      <c r="B79" s="10" t="str">
        <f>$B$38</f>
        <v>From Fiscal Forecasts</v>
      </c>
      <c r="C79" s="13"/>
      <c r="D79" s="35">
        <f>'Fiscal Forecasts'!D$155</f>
        <v>6.931</v>
      </c>
      <c r="E79" s="35">
        <f>'Fiscal Forecasts'!E$155</f>
        <v>11.111000000000001</v>
      </c>
      <c r="F79" s="35">
        <f>'Fiscal Forecasts'!F$155</f>
        <v>11.836</v>
      </c>
      <c r="G79" s="35">
        <f>'Fiscal Forecasts'!G$155</f>
        <v>14.345000000000001</v>
      </c>
      <c r="H79" s="35">
        <f>'Fiscal Forecasts'!H$155</f>
        <v>48.11</v>
      </c>
      <c r="I79" s="35">
        <f>'Fiscal Forecasts'!I$155</f>
        <v>56.47</v>
      </c>
      <c r="J79" s="17">
        <f>'Fiscal Forecasts'!J$155</f>
        <v>62.162999999999997</v>
      </c>
      <c r="K79" s="17">
        <f>'Fiscal Forecasts'!K$155</f>
        <v>67.882999999999996</v>
      </c>
      <c r="L79" s="17">
        <f>'Fiscal Forecasts'!L$155</f>
        <v>73.34</v>
      </c>
      <c r="M79" s="17">
        <f>'Fiscal Forecasts'!M$155</f>
        <v>78.39</v>
      </c>
      <c r="N79" s="17">
        <f>'Fiscal Forecasts'!N$155</f>
        <v>82.649000000000001</v>
      </c>
      <c r="O79" s="16">
        <f t="shared" ref="O79:X79" ca="1" si="49">N$79+O$80-N$80</f>
        <v>84.811425450562993</v>
      </c>
      <c r="P79" s="16">
        <f t="shared" ca="1" si="49"/>
        <v>87.041151233088783</v>
      </c>
      <c r="Q79" s="16">
        <f t="shared" ca="1" si="49"/>
        <v>89.275718359475107</v>
      </c>
      <c r="R79" s="16">
        <f t="shared" ca="1" si="49"/>
        <v>91.510087401571781</v>
      </c>
      <c r="S79" s="16">
        <f t="shared" ca="1" si="49"/>
        <v>93.793723523637368</v>
      </c>
      <c r="T79" s="16">
        <f t="shared" ca="1" si="49"/>
        <v>96.12314169277056</v>
      </c>
      <c r="U79" s="16">
        <f t="shared" ca="1" si="49"/>
        <v>98.483618115721697</v>
      </c>
      <c r="V79" s="16">
        <f t="shared" ca="1" si="49"/>
        <v>100.87958384620518</v>
      </c>
      <c r="W79" s="16">
        <f t="shared" ca="1" si="49"/>
        <v>103.31094961895703</v>
      </c>
      <c r="X79" s="16">
        <f t="shared" ca="1" si="49"/>
        <v>105.79603706222977</v>
      </c>
    </row>
    <row r="80" spans="1:24" x14ac:dyDescent="0.25">
      <c r="A80" s="11" t="s">
        <v>1170</v>
      </c>
      <c r="B80" s="10" t="str">
        <f>$B$38</f>
        <v>From Fiscal Forecasts</v>
      </c>
      <c r="C80" s="13"/>
      <c r="D80" s="35">
        <f>'Fiscal Forecasts'!D$156</f>
        <v>0</v>
      </c>
      <c r="E80" s="35">
        <f>'Fiscal Forecasts'!E$156</f>
        <v>0</v>
      </c>
      <c r="F80" s="35">
        <f>'Fiscal Forecasts'!F$156</f>
        <v>0</v>
      </c>
      <c r="G80" s="35">
        <f>'Fiscal Forecasts'!G$156</f>
        <v>0</v>
      </c>
      <c r="H80" s="35">
        <f>'Fiscal Forecasts'!H$156</f>
        <v>30.574000000000002</v>
      </c>
      <c r="I80" s="35">
        <f>'Fiscal Forecasts'!I$156</f>
        <v>33.290999999999997</v>
      </c>
      <c r="J80" s="17">
        <f>'Fiscal Forecasts'!J$156</f>
        <v>36.505000000000003</v>
      </c>
      <c r="K80" s="17">
        <f>'Fiscal Forecasts'!K$156</f>
        <v>40.314999999999998</v>
      </c>
      <c r="L80" s="17">
        <f>'Fiscal Forecasts'!L$156</f>
        <v>44.011000000000003</v>
      </c>
      <c r="M80" s="17">
        <f>'Fiscal Forecasts'!M$156</f>
        <v>48.152999999999999</v>
      </c>
      <c r="N80" s="17">
        <f>'Fiscal Forecasts'!N$156</f>
        <v>51.787999999999997</v>
      </c>
      <c r="O80" s="16">
        <f t="shared" ref="O80:X80" ca="1" si="50">N$80+O$404-N$404</f>
        <v>53.950425450562982</v>
      </c>
      <c r="P80" s="16">
        <f t="shared" ca="1" si="50"/>
        <v>56.180151233088779</v>
      </c>
      <c r="Q80" s="16">
        <f t="shared" ca="1" si="50"/>
        <v>58.414718359475103</v>
      </c>
      <c r="R80" s="16">
        <f t="shared" ca="1" si="50"/>
        <v>60.649087401571769</v>
      </c>
      <c r="S80" s="16">
        <f t="shared" ca="1" si="50"/>
        <v>62.932723523637343</v>
      </c>
      <c r="T80" s="16">
        <f t="shared" ca="1" si="50"/>
        <v>65.262141692770541</v>
      </c>
      <c r="U80" s="16">
        <f t="shared" ca="1" si="50"/>
        <v>67.622618115721679</v>
      </c>
      <c r="V80" s="16">
        <f t="shared" ca="1" si="50"/>
        <v>70.018583846205175</v>
      </c>
      <c r="W80" s="16">
        <f t="shared" ca="1" si="50"/>
        <v>72.449949618957021</v>
      </c>
      <c r="X80" s="16">
        <f t="shared" ca="1" si="50"/>
        <v>74.935037062229767</v>
      </c>
    </row>
    <row r="81" spans="1:24" x14ac:dyDescent="0.25">
      <c r="A81" s="9" t="s">
        <v>830</v>
      </c>
      <c r="B81" s="9"/>
      <c r="C81" s="13"/>
      <c r="D81" s="65">
        <f t="shared" ref="D81:X81" si="51">SUM(D$78,D$79)-SUM(D$77,D$80)</f>
        <v>50.822000000000003</v>
      </c>
      <c r="E81" s="65">
        <f t="shared" si="51"/>
        <v>79.930000000000007</v>
      </c>
      <c r="F81" s="65">
        <f t="shared" si="51"/>
        <v>95.188000000000017</v>
      </c>
      <c r="G81" s="65">
        <f t="shared" si="51"/>
        <v>117.11499999999995</v>
      </c>
      <c r="H81" s="65">
        <f t="shared" si="51"/>
        <v>136.26800000000003</v>
      </c>
      <c r="I81" s="65">
        <f t="shared" si="51"/>
        <v>158.25499999999997</v>
      </c>
      <c r="J81" s="66">
        <f t="shared" si="51"/>
        <v>176.23600000000002</v>
      </c>
      <c r="K81" s="66">
        <f t="shared" si="51"/>
        <v>198.50799999999998</v>
      </c>
      <c r="L81" s="66">
        <f t="shared" si="51"/>
        <v>215.67500000000001</v>
      </c>
      <c r="M81" s="66">
        <f t="shared" si="51"/>
        <v>226.77099999999993</v>
      </c>
      <c r="N81" s="66">
        <f t="shared" si="51"/>
        <v>233.95799999999994</v>
      </c>
      <c r="O81" s="92">
        <f t="shared" ca="1" si="51"/>
        <v>237.74894279783129</v>
      </c>
      <c r="P81" s="92">
        <f t="shared" ca="1" si="51"/>
        <v>239.7546899436627</v>
      </c>
      <c r="Q81" s="92">
        <f t="shared" ca="1" si="51"/>
        <v>240.10484223574704</v>
      </c>
      <c r="R81" s="92">
        <f t="shared" ca="1" si="51"/>
        <v>238.85161108458249</v>
      </c>
      <c r="S81" s="92">
        <f t="shared" ca="1" si="51"/>
        <v>235.93254991734477</v>
      </c>
      <c r="T81" s="92">
        <f t="shared" ca="1" si="51"/>
        <v>231.24192228358419</v>
      </c>
      <c r="U81" s="92">
        <f t="shared" ca="1" si="51"/>
        <v>224.74263345783356</v>
      </c>
      <c r="V81" s="92">
        <f t="shared" ca="1" si="51"/>
        <v>216.40378681802599</v>
      </c>
      <c r="W81" s="92">
        <f t="shared" ca="1" si="51"/>
        <v>206.17898744795633</v>
      </c>
      <c r="X81" s="92">
        <f t="shared" ca="1" si="51"/>
        <v>193.98627360774546</v>
      </c>
    </row>
    <row r="82" spans="1:24" x14ac:dyDescent="0.25">
      <c r="A82" s="9" t="s">
        <v>656</v>
      </c>
      <c r="B82" s="9"/>
      <c r="C82" s="13"/>
      <c r="D82" s="65">
        <f t="shared" ref="D82:X82" si="52">SUM(D$81,D$73)-D$76</f>
        <v>5.4320000000000022</v>
      </c>
      <c r="E82" s="65">
        <f t="shared" si="52"/>
        <v>35.71</v>
      </c>
      <c r="F82" s="65">
        <f t="shared" si="52"/>
        <v>35.921000000000021</v>
      </c>
      <c r="G82" s="65">
        <f t="shared" si="52"/>
        <v>61.849999999999952</v>
      </c>
      <c r="H82" s="65">
        <f t="shared" si="52"/>
        <v>71.367000000000004</v>
      </c>
      <c r="I82" s="65">
        <f t="shared" si="52"/>
        <v>82.19699999999996</v>
      </c>
      <c r="J82" s="66">
        <f t="shared" si="52"/>
        <v>92.796000000000021</v>
      </c>
      <c r="K82" s="66">
        <f t="shared" si="52"/>
        <v>110.88599999999998</v>
      </c>
      <c r="L82" s="66">
        <f t="shared" si="52"/>
        <v>122.84000000000002</v>
      </c>
      <c r="M82" s="66">
        <f t="shared" si="52"/>
        <v>128.42699999999994</v>
      </c>
      <c r="N82" s="66">
        <f t="shared" si="52"/>
        <v>129.66499999999996</v>
      </c>
      <c r="O82" s="92">
        <f t="shared" ca="1" si="52"/>
        <v>127.2389303479423</v>
      </c>
      <c r="P82" s="92">
        <f t="shared" ca="1" si="52"/>
        <v>122.77803397351771</v>
      </c>
      <c r="Q82" s="92">
        <f t="shared" ca="1" si="52"/>
        <v>116.43682197602232</v>
      </c>
      <c r="R82" s="92">
        <f t="shared" ca="1" si="52"/>
        <v>108.31283188092922</v>
      </c>
      <c r="S82" s="92">
        <f t="shared" ca="1" si="52"/>
        <v>98.365786335050046</v>
      </c>
      <c r="T82" s="92">
        <f t="shared" ca="1" si="52"/>
        <v>86.472683346821043</v>
      </c>
      <c r="U82" s="92">
        <f t="shared" ca="1" si="52"/>
        <v>72.636391791819307</v>
      </c>
      <c r="V82" s="92">
        <f t="shared" ca="1" si="52"/>
        <v>56.796996296424425</v>
      </c>
      <c r="W82" s="92">
        <f t="shared" ca="1" si="52"/>
        <v>38.825953356218832</v>
      </c>
      <c r="X82" s="92">
        <f t="shared" ca="1" si="52"/>
        <v>18.548463932325973</v>
      </c>
    </row>
    <row r="83" spans="1:24" x14ac:dyDescent="0.25">
      <c r="A83" s="55" t="s">
        <v>897</v>
      </c>
      <c r="B83" s="10" t="str">
        <f>$B$42</f>
        <v>Outturn &amp; Forecast only</v>
      </c>
      <c r="C83" s="13"/>
      <c r="D83" s="91" t="str">
        <f>IF(ROUND('Fiscal Forecasts'!D$158-D$82,3)=0,"OK","ERROR")</f>
        <v>OK</v>
      </c>
      <c r="E83" s="91" t="str">
        <f>IF(ROUND('Fiscal Forecasts'!E$158-E$82,3)=0,"OK","ERROR")</f>
        <v>OK</v>
      </c>
      <c r="F83" s="91" t="str">
        <f>IF(ROUND('Fiscal Forecasts'!F$158-F$82,3)=0,"OK","ERROR")</f>
        <v>OK</v>
      </c>
      <c r="G83" s="91" t="str">
        <f>IF(ROUND('Fiscal Forecasts'!G$158-G$82,3)=0,"OK","ERROR")</f>
        <v>OK</v>
      </c>
      <c r="H83" s="91" t="str">
        <f>IF(ROUND('Fiscal Forecasts'!H$158-H$82,3)=0,"OK","ERROR")</f>
        <v>OK</v>
      </c>
      <c r="I83" s="91" t="str">
        <f>IF(ROUND('Fiscal Forecasts'!I$158-I$82,3)=0,"OK","ERROR")</f>
        <v>OK</v>
      </c>
      <c r="J83" s="91" t="str">
        <f>IF(ROUND('Fiscal Forecasts'!J$158-J$82,3)=0,"OK","ERROR")</f>
        <v>OK</v>
      </c>
      <c r="K83" s="91" t="str">
        <f>IF(ROUND('Fiscal Forecasts'!K$158-K$82,3)=0,"OK","ERROR")</f>
        <v>OK</v>
      </c>
      <c r="L83" s="91" t="str">
        <f>IF(ROUND('Fiscal Forecasts'!L$158-L$82,3)=0,"OK","ERROR")</f>
        <v>OK</v>
      </c>
      <c r="M83" s="91" t="str">
        <f>IF(ROUND('Fiscal Forecasts'!M$158-M$82,3)=0,"OK","ERROR")</f>
        <v>OK</v>
      </c>
      <c r="N83" s="91" t="str">
        <f>IF(ROUND('Fiscal Forecasts'!N$158-N$82,3)=0,"OK","ERROR")</f>
        <v>OK</v>
      </c>
      <c r="O83" s="18"/>
      <c r="P83" s="18"/>
      <c r="Q83" s="18"/>
      <c r="R83" s="18"/>
      <c r="S83" s="18"/>
      <c r="T83" s="18"/>
      <c r="U83" s="18"/>
      <c r="V83" s="18"/>
      <c r="W83" s="18"/>
      <c r="X83" s="18"/>
    </row>
    <row r="84" spans="1:24" x14ac:dyDescent="0.25">
      <c r="A84" s="11" t="s">
        <v>898</v>
      </c>
      <c r="B84" s="10" t="str">
        <f>$B$38</f>
        <v>From Fiscal Forecasts</v>
      </c>
      <c r="C84" s="13"/>
      <c r="D84" s="35">
        <f>'Fiscal Forecasts'!D$160</f>
        <v>6.4809999999999999</v>
      </c>
      <c r="E84" s="35">
        <f>'Fiscal Forecasts'!E$160</f>
        <v>21.887999999999998</v>
      </c>
      <c r="F84" s="35">
        <f>'Fiscal Forecasts'!F$160</f>
        <v>30.420999999999999</v>
      </c>
      <c r="G84" s="35">
        <f>'Fiscal Forecasts'!G$160</f>
        <v>45.088000000000001</v>
      </c>
      <c r="H84" s="35">
        <f>'Fiscal Forecasts'!H$160</f>
        <v>53.109000000000002</v>
      </c>
      <c r="I84" s="35">
        <f>'Fiscal Forecasts'!I$160</f>
        <v>38.475999999999999</v>
      </c>
      <c r="J84" s="17">
        <f>'Fiscal Forecasts'!J$160</f>
        <v>33.716999999999999</v>
      </c>
      <c r="K84" s="17">
        <f>'Fiscal Forecasts'!K$160</f>
        <v>26.771999999999998</v>
      </c>
      <c r="L84" s="17">
        <f>'Fiscal Forecasts'!L$160</f>
        <v>20.100000000000001</v>
      </c>
      <c r="M84" s="17">
        <f>'Fiscal Forecasts'!M$160</f>
        <v>20.100000000000001</v>
      </c>
      <c r="N84" s="17">
        <f>'Fiscal Forecasts'!N$160</f>
        <v>20.100000000000001</v>
      </c>
      <c r="O84" s="16">
        <f t="shared" ref="O84:X84" ca="1" si="53">N$84*(1+O$29)</f>
        <v>20.502000000000002</v>
      </c>
      <c r="P84" s="16">
        <f t="shared" ca="1" si="53"/>
        <v>20.912040000000005</v>
      </c>
      <c r="Q84" s="16">
        <f t="shared" ca="1" si="53"/>
        <v>21.330280800000004</v>
      </c>
      <c r="R84" s="16">
        <f t="shared" ca="1" si="53"/>
        <v>21.756886416000004</v>
      </c>
      <c r="S84" s="16">
        <f t="shared" ca="1" si="53"/>
        <v>22.192024144320005</v>
      </c>
      <c r="T84" s="16">
        <f t="shared" ca="1" si="53"/>
        <v>22.635864627206406</v>
      </c>
      <c r="U84" s="16">
        <f t="shared" ca="1" si="53"/>
        <v>23.088581919750535</v>
      </c>
      <c r="V84" s="16">
        <f t="shared" ca="1" si="53"/>
        <v>23.550353558145545</v>
      </c>
      <c r="W84" s="16">
        <f t="shared" ca="1" si="53"/>
        <v>24.021360629308457</v>
      </c>
      <c r="X84" s="16">
        <f t="shared" ca="1" si="53"/>
        <v>24.501787841894625</v>
      </c>
    </row>
    <row r="85" spans="1:24" x14ac:dyDescent="0.25">
      <c r="A85" s="55" t="s">
        <v>659</v>
      </c>
      <c r="B85" s="9"/>
      <c r="C85" s="13"/>
      <c r="D85" s="65">
        <f t="shared" ref="D85:X85" si="54">SUM(D$71,D$72)-SUM(D$73,D$84)</f>
        <v>84.37700000000001</v>
      </c>
      <c r="E85" s="65">
        <f t="shared" si="54"/>
        <v>101.833</v>
      </c>
      <c r="F85" s="65">
        <f t="shared" si="54"/>
        <v>99.925999999999988</v>
      </c>
      <c r="G85" s="65">
        <f t="shared" si="54"/>
        <v>114.11599999999999</v>
      </c>
      <c r="H85" s="65">
        <f t="shared" si="54"/>
        <v>135.78899999999999</v>
      </c>
      <c r="I85" s="65">
        <f t="shared" si="54"/>
        <v>175.96600000000001</v>
      </c>
      <c r="J85" s="66">
        <f t="shared" si="54"/>
        <v>209.99899999999997</v>
      </c>
      <c r="K85" s="66">
        <f t="shared" si="54"/>
        <v>238.816</v>
      </c>
      <c r="L85" s="66">
        <f t="shared" si="54"/>
        <v>262.49400000000003</v>
      </c>
      <c r="M85" s="66">
        <f t="shared" si="54"/>
        <v>274.44099999999997</v>
      </c>
      <c r="N85" s="66">
        <f t="shared" si="54"/>
        <v>283.04299999999995</v>
      </c>
      <c r="O85" s="92">
        <f t="shared" ca="1" si="54"/>
        <v>286.47314279783131</v>
      </c>
      <c r="P85" s="92">
        <f t="shared" ca="1" si="54"/>
        <v>288.09313394366262</v>
      </c>
      <c r="Q85" s="92">
        <f t="shared" ca="1" si="54"/>
        <v>288.03245511574704</v>
      </c>
      <c r="R85" s="92">
        <f t="shared" ca="1" si="54"/>
        <v>286.34119622218248</v>
      </c>
      <c r="S85" s="92">
        <f t="shared" ca="1" si="54"/>
        <v>282.95578675769679</v>
      </c>
      <c r="T85" s="92">
        <f t="shared" ca="1" si="54"/>
        <v>277.75936386074318</v>
      </c>
      <c r="U85" s="92">
        <f t="shared" ca="1" si="54"/>
        <v>270.71570386653582</v>
      </c>
      <c r="V85" s="92">
        <f t="shared" ca="1" si="54"/>
        <v>261.78877863490214</v>
      </c>
      <c r="W85" s="92">
        <f t="shared" ca="1" si="54"/>
        <v>250.93105910117012</v>
      </c>
      <c r="X85" s="92">
        <f t="shared" ca="1" si="54"/>
        <v>238.06144669402354</v>
      </c>
    </row>
    <row r="86" spans="1:24" x14ac:dyDescent="0.25">
      <c r="A86" s="9"/>
      <c r="B86" s="9"/>
      <c r="C86" s="13"/>
      <c r="D86" s="36"/>
      <c r="E86" s="36"/>
      <c r="F86" s="36"/>
      <c r="G86" s="36"/>
      <c r="H86" s="36"/>
      <c r="I86" s="36"/>
      <c r="J86" s="19"/>
      <c r="K86" s="19"/>
      <c r="L86" s="19"/>
      <c r="M86" s="19"/>
      <c r="N86" s="19"/>
      <c r="O86" s="18"/>
      <c r="P86" s="18"/>
      <c r="Q86" s="18"/>
      <c r="R86" s="18"/>
      <c r="S86" s="18"/>
      <c r="T86" s="18"/>
      <c r="U86" s="18"/>
      <c r="V86" s="18"/>
      <c r="W86" s="18"/>
      <c r="X86" s="18"/>
    </row>
    <row r="87" spans="1:24" x14ac:dyDescent="0.25">
      <c r="A87" s="12" t="s">
        <v>1048</v>
      </c>
      <c r="B87" s="9"/>
      <c r="C87" s="13"/>
      <c r="D87" s="36"/>
      <c r="E87" s="36"/>
      <c r="F87" s="36"/>
      <c r="G87" s="36"/>
      <c r="H87" s="36"/>
      <c r="I87" s="36"/>
      <c r="J87" s="19"/>
      <c r="K87" s="19"/>
      <c r="L87" s="19"/>
      <c r="M87" s="19"/>
      <c r="N87" s="19"/>
      <c r="O87" s="18"/>
      <c r="P87" s="18"/>
      <c r="Q87" s="18"/>
      <c r="R87" s="18"/>
      <c r="S87" s="18"/>
      <c r="T87" s="18"/>
      <c r="U87" s="18"/>
      <c r="V87" s="18"/>
      <c r="W87" s="18"/>
      <c r="X87" s="18"/>
    </row>
    <row r="88" spans="1:24" x14ac:dyDescent="0.25">
      <c r="A88" s="11" t="s">
        <v>574</v>
      </c>
      <c r="B88" s="10" t="str">
        <f>$B$38</f>
        <v>From Fiscal Forecasts</v>
      </c>
      <c r="C88" s="13"/>
      <c r="D88" s="35">
        <f>'Fiscal Forecasts'!D$74</f>
        <v>83.016999999999996</v>
      </c>
      <c r="E88" s="35">
        <f>'Fiscal Forecasts'!E$74</f>
        <v>83.156000000000006</v>
      </c>
      <c r="F88" s="35">
        <f>'Fiscal Forecasts'!F$74</f>
        <v>95.382000000000005</v>
      </c>
      <c r="G88" s="35">
        <f>'Fiscal Forecasts'!G$74</f>
        <v>102.712</v>
      </c>
      <c r="H88" s="35">
        <f>'Fiscal Forecasts'!H$74</f>
        <v>110.78700000000001</v>
      </c>
      <c r="I88" s="35">
        <f>'Fiscal Forecasts'!I$74</f>
        <v>116.042</v>
      </c>
      <c r="J88" s="17">
        <f>'Fiscal Forecasts'!J$74</f>
        <v>121.328</v>
      </c>
      <c r="K88" s="17">
        <f>'Fiscal Forecasts'!K$74</f>
        <v>122.887</v>
      </c>
      <c r="L88" s="17">
        <f>'Fiscal Forecasts'!L$74</f>
        <v>131.096</v>
      </c>
      <c r="M88" s="17">
        <f>'Fiscal Forecasts'!M$74</f>
        <v>138.239</v>
      </c>
      <c r="N88" s="17">
        <f>'Fiscal Forecasts'!N$74</f>
        <v>145.541</v>
      </c>
      <c r="O88" s="16">
        <f t="shared" ref="O88:X88" ca="1" si="55">(O$489-O$385+O$141)</f>
        <v>151.09837350612511</v>
      </c>
      <c r="P88" s="16">
        <f t="shared" ca="1" si="55"/>
        <v>157.26363368341887</v>
      </c>
      <c r="Q88" s="16">
        <f t="shared" ca="1" si="55"/>
        <v>163.66152400156537</v>
      </c>
      <c r="R88" s="16">
        <f t="shared" ca="1" si="55"/>
        <v>170.09394244765312</v>
      </c>
      <c r="S88" s="16">
        <f t="shared" ca="1" si="55"/>
        <v>176.65559011328375</v>
      </c>
      <c r="T88" s="16">
        <f t="shared" ca="1" si="55"/>
        <v>183.34833573537901</v>
      </c>
      <c r="U88" s="16">
        <f t="shared" ca="1" si="55"/>
        <v>190.13476110159522</v>
      </c>
      <c r="V88" s="16">
        <f t="shared" ca="1" si="55"/>
        <v>197.02207339143527</v>
      </c>
      <c r="W88" s="16">
        <f t="shared" ca="1" si="55"/>
        <v>204.00959554257619</v>
      </c>
      <c r="X88" s="16">
        <f t="shared" ca="1" si="55"/>
        <v>211.14540203345899</v>
      </c>
    </row>
    <row r="89" spans="1:24" x14ac:dyDescent="0.25">
      <c r="A89" s="11" t="s">
        <v>575</v>
      </c>
      <c r="B89" s="10" t="str">
        <f>$B$38</f>
        <v>From Fiscal Forecasts</v>
      </c>
      <c r="C89" s="13"/>
      <c r="D89" s="35">
        <f>'Fiscal Forecasts'!D$75</f>
        <v>5.1870000000000003</v>
      </c>
      <c r="E89" s="35">
        <f>'Fiscal Forecasts'!E$75</f>
        <v>5.2939999999999996</v>
      </c>
      <c r="F89" s="35">
        <f>'Fiscal Forecasts'!F$75</f>
        <v>6.4240000000000004</v>
      </c>
      <c r="G89" s="35">
        <f>'Fiscal Forecasts'!G$75</f>
        <v>7.8029999999999999</v>
      </c>
      <c r="H89" s="35">
        <f>'Fiscal Forecasts'!H$75</f>
        <v>7.6310000000000002</v>
      </c>
      <c r="I89" s="35">
        <f>'Fiscal Forecasts'!I$75</f>
        <v>7.484</v>
      </c>
      <c r="J89" s="17">
        <f>'Fiscal Forecasts'!J$75</f>
        <v>7.9989999999999997</v>
      </c>
      <c r="K89" s="17">
        <f>'Fiscal Forecasts'!K$75</f>
        <v>8.6050000000000004</v>
      </c>
      <c r="L89" s="17">
        <f>'Fiscal Forecasts'!L$75</f>
        <v>9.2100000000000009</v>
      </c>
      <c r="M89" s="17">
        <f>'Fiscal Forecasts'!M$75</f>
        <v>9.8490000000000002</v>
      </c>
      <c r="N89" s="17">
        <f>'Fiscal Forecasts'!N$75</f>
        <v>10.413</v>
      </c>
      <c r="O89" s="16">
        <f t="shared" ref="O89:X89" ca="1" si="56">SUM(O$146,O$148,O$149,O$151)</f>
        <v>11.624343197189001</v>
      </c>
      <c r="P89" s="16">
        <f t="shared" ca="1" si="56"/>
        <v>12.357999630779686</v>
      </c>
      <c r="Q89" s="16">
        <f t="shared" ca="1" si="56"/>
        <v>13.175966787549914</v>
      </c>
      <c r="R89" s="16">
        <f t="shared" ca="1" si="56"/>
        <v>14.032442985481318</v>
      </c>
      <c r="S89" s="16">
        <f t="shared" ca="1" si="56"/>
        <v>14.959409050031137</v>
      </c>
      <c r="T89" s="16">
        <f t="shared" ca="1" si="56"/>
        <v>15.929322116477383</v>
      </c>
      <c r="U89" s="16">
        <f t="shared" ca="1" si="56"/>
        <v>16.978729004015072</v>
      </c>
      <c r="V89" s="16">
        <f t="shared" ca="1" si="56"/>
        <v>17.901857933544228</v>
      </c>
      <c r="W89" s="16">
        <f t="shared" ca="1" si="56"/>
        <v>18.601225007730122</v>
      </c>
      <c r="X89" s="16">
        <f t="shared" ca="1" si="56"/>
        <v>19.244960779862286</v>
      </c>
    </row>
    <row r="90" spans="1:24" x14ac:dyDescent="0.25">
      <c r="A90" s="11" t="s">
        <v>530</v>
      </c>
      <c r="B90" s="10" t="str">
        <f>$B$38</f>
        <v>From Fiscal Forecasts</v>
      </c>
      <c r="C90" s="13"/>
      <c r="D90" s="35">
        <f>'Fiscal Forecasts'!D$76</f>
        <v>19.763999999999999</v>
      </c>
      <c r="E90" s="35">
        <f>'Fiscal Forecasts'!E$76</f>
        <v>18.289000000000001</v>
      </c>
      <c r="F90" s="35">
        <f>'Fiscal Forecasts'!F$76</f>
        <v>17.731999999999999</v>
      </c>
      <c r="G90" s="35">
        <f>'Fiscal Forecasts'!G$76</f>
        <v>17.834</v>
      </c>
      <c r="H90" s="35">
        <f>'Fiscal Forecasts'!H$76</f>
        <v>22.283999999999999</v>
      </c>
      <c r="I90" s="35">
        <f>'Fiscal Forecasts'!I$76</f>
        <v>24.359000000000002</v>
      </c>
      <c r="J90" s="17">
        <f>'Fiscal Forecasts'!J$76</f>
        <v>27.206</v>
      </c>
      <c r="K90" s="17">
        <f>'Fiscal Forecasts'!K$76</f>
        <v>27.605</v>
      </c>
      <c r="L90" s="17">
        <f>'Fiscal Forecasts'!L$76</f>
        <v>28.786999999999999</v>
      </c>
      <c r="M90" s="17">
        <f>'Fiscal Forecasts'!M$76</f>
        <v>29.917000000000002</v>
      </c>
      <c r="N90" s="17">
        <f>'Fiscal Forecasts'!N$76</f>
        <v>30.298999999999999</v>
      </c>
      <c r="O90" s="16">
        <f t="shared" ref="O90:X90" ca="1" si="57">O$155</f>
        <v>31.517025502224552</v>
      </c>
      <c r="P90" s="16">
        <f t="shared" ca="1" si="57"/>
        <v>32.834131196395788</v>
      </c>
      <c r="Q90" s="16">
        <f t="shared" ca="1" si="57"/>
        <v>34.154889165926434</v>
      </c>
      <c r="R90" s="16">
        <f t="shared" ca="1" si="57"/>
        <v>35.475773927409826</v>
      </c>
      <c r="S90" s="16">
        <f t="shared" ca="1" si="57"/>
        <v>36.824653359169588</v>
      </c>
      <c r="T90" s="16">
        <f t="shared" ca="1" si="57"/>
        <v>38.199401650237419</v>
      </c>
      <c r="U90" s="16">
        <f t="shared" ca="1" si="57"/>
        <v>39.59293518274719</v>
      </c>
      <c r="V90" s="16">
        <f t="shared" ca="1" si="57"/>
        <v>41.007289806661774</v>
      </c>
      <c r="W90" s="16">
        <f t="shared" ca="1" si="57"/>
        <v>42.441198296769436</v>
      </c>
      <c r="X90" s="16">
        <f t="shared" ca="1" si="57"/>
        <v>43.90572355563144</v>
      </c>
    </row>
    <row r="91" spans="1:24" x14ac:dyDescent="0.25">
      <c r="A91" s="11" t="s">
        <v>576</v>
      </c>
      <c r="B91" s="10" t="str">
        <f>$B$38</f>
        <v>From Fiscal Forecasts</v>
      </c>
      <c r="C91" s="13"/>
      <c r="D91" s="35">
        <f>'Fiscal Forecasts'!D$77</f>
        <v>2.528</v>
      </c>
      <c r="E91" s="35">
        <f>'Fiscal Forecasts'!E$77</f>
        <v>2.3069999999999999</v>
      </c>
      <c r="F91" s="35">
        <f>'Fiscal Forecasts'!F$77</f>
        <v>1.67</v>
      </c>
      <c r="G91" s="35">
        <f>'Fiscal Forecasts'!G$77</f>
        <v>1.9610000000000001</v>
      </c>
      <c r="H91" s="35">
        <f>'Fiscal Forecasts'!H$77</f>
        <v>3.6110000000000002</v>
      </c>
      <c r="I91" s="35">
        <f>'Fiscal Forecasts'!I$77</f>
        <v>5.2830000000000004</v>
      </c>
      <c r="J91" s="17">
        <f>'Fiscal Forecasts'!J$77</f>
        <v>6.0940000000000003</v>
      </c>
      <c r="K91" s="17">
        <f>'Fiscal Forecasts'!K$77</f>
        <v>5.6040000000000001</v>
      </c>
      <c r="L91" s="17">
        <f>'Fiscal Forecasts'!L$77</f>
        <v>4.6559999999999997</v>
      </c>
      <c r="M91" s="17">
        <f>'Fiscal Forecasts'!M$77</f>
        <v>4.6390000000000002</v>
      </c>
      <c r="N91" s="17">
        <f>'Fiscal Forecasts'!N$77</f>
        <v>4.9080000000000004</v>
      </c>
      <c r="O91" s="16">
        <f t="shared" ref="O91:X91" ca="1" si="58">SUM(O$158,O$160,O$162:O$164,O$341)</f>
        <v>6.9626776990843595</v>
      </c>
      <c r="P91" s="16">
        <f t="shared" ca="1" si="58"/>
        <v>7.096944455830168</v>
      </c>
      <c r="Q91" s="16">
        <f t="shared" ca="1" si="58"/>
        <v>7.2342034416784191</v>
      </c>
      <c r="R91" s="16">
        <f t="shared" ca="1" si="58"/>
        <v>7.3741305167375675</v>
      </c>
      <c r="S91" s="16">
        <f t="shared" ca="1" si="58"/>
        <v>7.5165717741497984</v>
      </c>
      <c r="T91" s="16">
        <f t="shared" ca="1" si="58"/>
        <v>7.6509193443429977</v>
      </c>
      <c r="U91" s="16">
        <f t="shared" ca="1" si="58"/>
        <v>7.7874269024508687</v>
      </c>
      <c r="V91" s="16">
        <f t="shared" ca="1" si="58"/>
        <v>7.926034612833865</v>
      </c>
      <c r="W91" s="16">
        <f t="shared" ca="1" si="58"/>
        <v>8.0672401452018629</v>
      </c>
      <c r="X91" s="16">
        <f t="shared" ca="1" si="58"/>
        <v>8.2119143950204592</v>
      </c>
    </row>
    <row r="92" spans="1:24" x14ac:dyDescent="0.25">
      <c r="A92" s="11" t="s">
        <v>577</v>
      </c>
      <c r="B92" s="10" t="str">
        <f>$B$38</f>
        <v>From Fiscal Forecasts</v>
      </c>
      <c r="C92" s="13"/>
      <c r="D92" s="35">
        <f>'Fiscal Forecasts'!D$78</f>
        <v>4.5629999999999997</v>
      </c>
      <c r="E92" s="35">
        <f>'Fiscal Forecasts'!E$78</f>
        <v>4.5439999999999996</v>
      </c>
      <c r="F92" s="35">
        <f>'Fiscal Forecasts'!F$78</f>
        <v>4.8140000000000001</v>
      </c>
      <c r="G92" s="35">
        <f>'Fiscal Forecasts'!G$78</f>
        <v>4.8019999999999996</v>
      </c>
      <c r="H92" s="35">
        <f>'Fiscal Forecasts'!H$78</f>
        <v>4.9219999999999997</v>
      </c>
      <c r="I92" s="35">
        <f>'Fiscal Forecasts'!I$78</f>
        <v>6.5350000000000001</v>
      </c>
      <c r="J92" s="17">
        <f>'Fiscal Forecasts'!J$78</f>
        <v>6.6260000000000003</v>
      </c>
      <c r="K92" s="17">
        <f>'Fiscal Forecasts'!K$78</f>
        <v>6.0540000000000003</v>
      </c>
      <c r="L92" s="17">
        <f>'Fiscal Forecasts'!L$78</f>
        <v>6.3639999999999999</v>
      </c>
      <c r="M92" s="17">
        <f>'Fiscal Forecasts'!M$78</f>
        <v>6.4029999999999996</v>
      </c>
      <c r="N92" s="17">
        <f>'Fiscal Forecasts'!N$78</f>
        <v>6.6180000000000003</v>
      </c>
      <c r="O92" s="16">
        <f t="shared" ref="O92:X92" ca="1" si="59">SUM(O$173,O$179)</f>
        <v>5.957937142686907</v>
      </c>
      <c r="P92" s="16">
        <f t="shared" ca="1" si="59"/>
        <v>6.1667266413542272</v>
      </c>
      <c r="Q92" s="16">
        <f t="shared" ca="1" si="59"/>
        <v>6.3787635746558369</v>
      </c>
      <c r="R92" s="16">
        <f t="shared" ca="1" si="59"/>
        <v>6.5944233547183666</v>
      </c>
      <c r="S92" s="16">
        <f t="shared" ca="1" si="59"/>
        <v>6.8151050446889379</v>
      </c>
      <c r="T92" s="16">
        <f t="shared" ca="1" si="59"/>
        <v>7.0360323772641662</v>
      </c>
      <c r="U92" s="16">
        <f t="shared" ca="1" si="59"/>
        <v>7.2562037724334445</v>
      </c>
      <c r="V92" s="16">
        <f t="shared" ca="1" si="59"/>
        <v>7.4750218963047637</v>
      </c>
      <c r="W92" s="16">
        <f t="shared" ca="1" si="59"/>
        <v>7.6927036798367174</v>
      </c>
      <c r="X92" s="16">
        <f t="shared" ca="1" si="59"/>
        <v>7.9134964364881988</v>
      </c>
    </row>
    <row r="93" spans="1:24" x14ac:dyDescent="0.25">
      <c r="A93" s="9" t="s">
        <v>578</v>
      </c>
      <c r="B93" s="9"/>
      <c r="C93" s="13"/>
      <c r="D93" s="65">
        <f t="shared" ref="D93:X93" si="60">SUM(D$88:D$92)</f>
        <v>115.059</v>
      </c>
      <c r="E93" s="65">
        <f t="shared" si="60"/>
        <v>113.59</v>
      </c>
      <c r="F93" s="65">
        <f t="shared" si="60"/>
        <v>126.02200000000002</v>
      </c>
      <c r="G93" s="65">
        <f t="shared" si="60"/>
        <v>135.11199999999999</v>
      </c>
      <c r="H93" s="65">
        <f t="shared" si="60"/>
        <v>149.23499999999999</v>
      </c>
      <c r="I93" s="65">
        <f t="shared" si="60"/>
        <v>159.70299999999997</v>
      </c>
      <c r="J93" s="66">
        <f t="shared" si="60"/>
        <v>169.25299999999999</v>
      </c>
      <c r="K93" s="66">
        <f t="shared" si="60"/>
        <v>170.755</v>
      </c>
      <c r="L93" s="66">
        <f t="shared" si="60"/>
        <v>180.11300000000003</v>
      </c>
      <c r="M93" s="66">
        <f t="shared" si="60"/>
        <v>189.047</v>
      </c>
      <c r="N93" s="66">
        <f t="shared" si="60"/>
        <v>197.779</v>
      </c>
      <c r="O93" s="92">
        <f t="shared" ca="1" si="60"/>
        <v>207.16035704730996</v>
      </c>
      <c r="P93" s="92">
        <f t="shared" ca="1" si="60"/>
        <v>215.71943560777873</v>
      </c>
      <c r="Q93" s="92">
        <f t="shared" ca="1" si="60"/>
        <v>224.60534697137598</v>
      </c>
      <c r="R93" s="92">
        <f t="shared" ca="1" si="60"/>
        <v>233.5707132320002</v>
      </c>
      <c r="S93" s="92">
        <f t="shared" ca="1" si="60"/>
        <v>242.77132934132322</v>
      </c>
      <c r="T93" s="92">
        <f t="shared" ca="1" si="60"/>
        <v>252.16401122370101</v>
      </c>
      <c r="U93" s="92">
        <f t="shared" ca="1" si="60"/>
        <v>261.75005596324178</v>
      </c>
      <c r="V93" s="92">
        <f t="shared" ca="1" si="60"/>
        <v>271.33227764077992</v>
      </c>
      <c r="W93" s="92">
        <f t="shared" ca="1" si="60"/>
        <v>280.8119626721143</v>
      </c>
      <c r="X93" s="92">
        <f t="shared" ca="1" si="60"/>
        <v>290.42149720046137</v>
      </c>
    </row>
    <row r="94" spans="1:24" x14ac:dyDescent="0.25">
      <c r="A94" s="11" t="s">
        <v>534</v>
      </c>
      <c r="B94" s="10" t="str">
        <f>$B$38</f>
        <v>From Fiscal Forecasts</v>
      </c>
      <c r="C94" s="13"/>
      <c r="D94" s="35">
        <f>'Fiscal Forecasts'!D$80</f>
        <v>27.981999999999999</v>
      </c>
      <c r="E94" s="35">
        <f>'Fiscal Forecasts'!E$80</f>
        <v>42.945</v>
      </c>
      <c r="F94" s="35">
        <f>'Fiscal Forecasts'!F$80</f>
        <v>35.515000000000001</v>
      </c>
      <c r="G94" s="35">
        <f>'Fiscal Forecasts'!G$80</f>
        <v>44.273000000000003</v>
      </c>
      <c r="H94" s="35">
        <f>'Fiscal Forecasts'!H$80</f>
        <v>39.17</v>
      </c>
      <c r="I94" s="35">
        <f>'Fiscal Forecasts'!I$80</f>
        <v>42.335000000000001</v>
      </c>
      <c r="J94" s="17">
        <f>'Fiscal Forecasts'!J$80</f>
        <v>46.25</v>
      </c>
      <c r="K94" s="17">
        <f>'Fiscal Forecasts'!K$80</f>
        <v>47.412999999999997</v>
      </c>
      <c r="L94" s="17">
        <f>'Fiscal Forecasts'!L$80</f>
        <v>48.414999999999999</v>
      </c>
      <c r="M94" s="17">
        <f>'Fiscal Forecasts'!M$80</f>
        <v>49.828000000000003</v>
      </c>
      <c r="N94" s="17">
        <f>'Fiscal Forecasts'!N$80</f>
        <v>51.317</v>
      </c>
      <c r="O94" s="16">
        <f t="shared" ref="O94:X94" ca="1" si="61">O$194</f>
        <v>52.716537878014769</v>
      </c>
      <c r="P94" s="16">
        <f t="shared" ca="1" si="61"/>
        <v>54.97496932655698</v>
      </c>
      <c r="Q94" s="16">
        <f t="shared" ca="1" si="61"/>
        <v>57.336481433380918</v>
      </c>
      <c r="R94" s="16">
        <f t="shared" ca="1" si="61"/>
        <v>59.784834344606928</v>
      </c>
      <c r="S94" s="16">
        <f t="shared" ca="1" si="61"/>
        <v>62.321710620668796</v>
      </c>
      <c r="T94" s="16">
        <f t="shared" ca="1" si="61"/>
        <v>64.903902206045629</v>
      </c>
      <c r="U94" s="16">
        <f t="shared" ca="1" si="61"/>
        <v>67.58738423613697</v>
      </c>
      <c r="V94" s="16">
        <f t="shared" ca="1" si="61"/>
        <v>70.30501559046796</v>
      </c>
      <c r="W94" s="16">
        <f t="shared" ca="1" si="61"/>
        <v>72.993209551386627</v>
      </c>
      <c r="X94" s="16">
        <f t="shared" ca="1" si="61"/>
        <v>75.659959432481941</v>
      </c>
    </row>
    <row r="95" spans="1:24" x14ac:dyDescent="0.25">
      <c r="A95" s="11" t="s">
        <v>579</v>
      </c>
      <c r="B95" s="10" t="str">
        <f>$B$38</f>
        <v>From Fiscal Forecasts</v>
      </c>
      <c r="C95" s="13"/>
      <c r="D95" s="35">
        <f>'Fiscal Forecasts'!D$81</f>
        <v>72.078999999999994</v>
      </c>
      <c r="E95" s="35">
        <f>'Fiscal Forecasts'!E$81</f>
        <v>77.191999999999993</v>
      </c>
      <c r="F95" s="35">
        <f>'Fiscal Forecasts'!F$81</f>
        <v>84.256</v>
      </c>
      <c r="G95" s="35">
        <f>'Fiscal Forecasts'!G$81</f>
        <v>92.965000000000003</v>
      </c>
      <c r="H95" s="35">
        <f>'Fiscal Forecasts'!H$81</f>
        <v>99.414000000000001</v>
      </c>
      <c r="I95" s="35">
        <f>'Fiscal Forecasts'!I$81</f>
        <v>111.095</v>
      </c>
      <c r="J95" s="17">
        <f ca="1">'Fiscal Forecasts'!J$81+IF(OFFSET(Assumptions!$B$56,0,$C$1)="Yes",SUM(Allocation!C$14:C$24),0)</f>
        <v>120.33</v>
      </c>
      <c r="K95" s="17">
        <f ca="1">'Fiscal Forecasts'!K$81+IF(OFFSET(Assumptions!$B$56,0,$C$1)="Yes",SUM(Allocation!D$14:D$24),0)</f>
        <v>116.934</v>
      </c>
      <c r="L95" s="17">
        <f ca="1">'Fiscal Forecasts'!L$81+IF(OFFSET(Assumptions!$B$56,0,$C$1)="Yes",SUM(Allocation!E$14:E$24),0)</f>
        <v>118.45699999999999</v>
      </c>
      <c r="M95" s="17">
        <f ca="1">'Fiscal Forecasts'!M$81+IF(OFFSET(Assumptions!$B$56,0,$C$1)="Yes",SUM(Allocation!F$14:F$24),0)</f>
        <v>117.18600000000001</v>
      </c>
      <c r="N95" s="17">
        <f ca="1">'Fiscal Forecasts'!N$81+IF(OFFSET(Assumptions!$B$56,0,$C$1)="Yes",SUM(Allocation!G$14:G$24),0)</f>
        <v>116.807</v>
      </c>
      <c r="O95" s="16">
        <f t="shared" ref="O95:X95" ca="1" si="62">SUM(O$212,O$226,O$240)-SUM(O$115,O$272,O$282,O$322,O$475-N$475,O$480-N$480)</f>
        <v>116.79671856403286</v>
      </c>
      <c r="P95" s="16">
        <f t="shared" ca="1" si="62"/>
        <v>117.79277160384858</v>
      </c>
      <c r="Q95" s="16">
        <f t="shared" ca="1" si="62"/>
        <v>119.05561024636972</v>
      </c>
      <c r="R95" s="16">
        <f t="shared" ca="1" si="62"/>
        <v>120.39127076904113</v>
      </c>
      <c r="S95" s="16">
        <f t="shared" ca="1" si="62"/>
        <v>121.73627497427508</v>
      </c>
      <c r="T95" s="16">
        <f t="shared" ca="1" si="62"/>
        <v>123.03427223271825</v>
      </c>
      <c r="U95" s="16">
        <f t="shared" ca="1" si="62"/>
        <v>124.42166775942131</v>
      </c>
      <c r="V95" s="16">
        <f t="shared" ca="1" si="62"/>
        <v>126.01808613623763</v>
      </c>
      <c r="W95" s="16">
        <f t="shared" ca="1" si="62"/>
        <v>127.70820348767606</v>
      </c>
      <c r="X95" s="16">
        <f t="shared" ca="1" si="62"/>
        <v>129.44681316755364</v>
      </c>
    </row>
    <row r="96" spans="1:24" x14ac:dyDescent="0.25">
      <c r="A96" s="11" t="s">
        <v>580</v>
      </c>
      <c r="B96" s="10" t="str">
        <f>$B$38</f>
        <v>From Fiscal Forecasts</v>
      </c>
      <c r="C96" s="13"/>
      <c r="D96" s="35">
        <f>'Fiscal Forecasts'!D$82</f>
        <v>4.0250000000000004</v>
      </c>
      <c r="E96" s="35">
        <f>'Fiscal Forecasts'!E$82</f>
        <v>3.8490000000000002</v>
      </c>
      <c r="F96" s="35">
        <f>'Fiscal Forecasts'!F$82</f>
        <v>3.1469999999999998</v>
      </c>
      <c r="G96" s="35">
        <f>'Fiscal Forecasts'!G$82</f>
        <v>3.2509999999999999</v>
      </c>
      <c r="H96" s="35">
        <f>'Fiscal Forecasts'!H$82</f>
        <v>6.1260000000000003</v>
      </c>
      <c r="I96" s="35">
        <f>'Fiscal Forecasts'!I$82</f>
        <v>8.5790000000000006</v>
      </c>
      <c r="J96" s="17">
        <f>'Fiscal Forecasts'!J$82</f>
        <v>8.5350000000000001</v>
      </c>
      <c r="K96" s="17">
        <f>'Fiscal Forecasts'!K$82</f>
        <v>9.2810000000000006</v>
      </c>
      <c r="L96" s="17">
        <f>'Fiscal Forecasts'!L$82</f>
        <v>10.356999999999999</v>
      </c>
      <c r="M96" s="17">
        <f>'Fiscal Forecasts'!M$82</f>
        <v>10.997</v>
      </c>
      <c r="N96" s="17">
        <f>'Fiscal Forecasts'!N$82</f>
        <v>12.266999999999999</v>
      </c>
      <c r="O96" s="16">
        <f t="shared" ref="O96:X96" ca="1" si="63">(2*N$70-SUM(O$93,O$106,O$107)+SUM(O$94,O$95,O$97,O$109,O$356-N$356))/(2/O$234-1)</f>
        <v>15.137197720461797</v>
      </c>
      <c r="P96" s="16">
        <f t="shared" ca="1" si="63"/>
        <v>15.391531519904621</v>
      </c>
      <c r="Q96" s="16">
        <f t="shared" ca="1" si="63"/>
        <v>15.579884004636083</v>
      </c>
      <c r="R96" s="16">
        <f t="shared" ca="1" si="63"/>
        <v>15.667162665900618</v>
      </c>
      <c r="S96" s="16">
        <f t="shared" ca="1" si="63"/>
        <v>15.649760452154137</v>
      </c>
      <c r="T96" s="16">
        <f t="shared" ca="1" si="63"/>
        <v>15.464416508808224</v>
      </c>
      <c r="U96" s="16">
        <f t="shared" ca="1" si="63"/>
        <v>15.158234722504986</v>
      </c>
      <c r="V96" s="16">
        <f t="shared" ca="1" si="63"/>
        <v>14.732510836990526</v>
      </c>
      <c r="W96" s="16">
        <f t="shared" ca="1" si="63"/>
        <v>14.193099581166285</v>
      </c>
      <c r="X96" s="16">
        <f t="shared" ca="1" si="63"/>
        <v>13.5419680095441</v>
      </c>
    </row>
    <row r="97" spans="1:24" x14ac:dyDescent="0.25">
      <c r="A97" s="11" t="s">
        <v>1125</v>
      </c>
      <c r="B97" s="9"/>
      <c r="C97" s="13"/>
      <c r="D97" s="35">
        <f t="shared" ref="D97:I97" si="64">SUM(D$245,D$248)</f>
        <v>0</v>
      </c>
      <c r="E97" s="35">
        <f t="shared" si="64"/>
        <v>0</v>
      </c>
      <c r="F97" s="35">
        <f t="shared" si="64"/>
        <v>0</v>
      </c>
      <c r="G97" s="35">
        <f t="shared" si="64"/>
        <v>0</v>
      </c>
      <c r="H97" s="35">
        <f t="shared" si="64"/>
        <v>0</v>
      </c>
      <c r="I97" s="35">
        <f t="shared" si="64"/>
        <v>0</v>
      </c>
      <c r="J97" s="17">
        <f t="shared" ref="J97:X97" ca="1" si="65">SUM(J$245,J$248)</f>
        <v>-2.7</v>
      </c>
      <c r="K97" s="17">
        <f t="shared" ca="1" si="65"/>
        <v>0.82</v>
      </c>
      <c r="L97" s="17">
        <f t="shared" ca="1" si="65"/>
        <v>2.1190000000000002</v>
      </c>
      <c r="M97" s="17">
        <f t="shared" ca="1" si="65"/>
        <v>4.7690000000000001</v>
      </c>
      <c r="N97" s="17">
        <f t="shared" ca="1" si="65"/>
        <v>7.3029999999999999</v>
      </c>
      <c r="O97" s="16">
        <f t="shared" ca="1" si="65"/>
        <v>10.302999999999999</v>
      </c>
      <c r="P97" s="16">
        <f t="shared" ca="1" si="65"/>
        <v>12.774999999999999</v>
      </c>
      <c r="Q97" s="16">
        <f t="shared" ca="1" si="65"/>
        <v>15.321159999999999</v>
      </c>
      <c r="R97" s="16">
        <f t="shared" ca="1" si="65"/>
        <v>17.943704799999999</v>
      </c>
      <c r="S97" s="16">
        <f t="shared" ca="1" si="65"/>
        <v>20.644925944000001</v>
      </c>
      <c r="T97" s="16">
        <f t="shared" ca="1" si="65"/>
        <v>23.427183722320002</v>
      </c>
      <c r="U97" s="16">
        <f t="shared" ca="1" si="65"/>
        <v>26.292909233989604</v>
      </c>
      <c r="V97" s="16">
        <f t="shared" ca="1" si="65"/>
        <v>29.244606511009295</v>
      </c>
      <c r="W97" s="16">
        <f t="shared" ca="1" si="65"/>
        <v>32.284854706339573</v>
      </c>
      <c r="X97" s="16">
        <f t="shared" ca="1" si="65"/>
        <v>35.416310347529759</v>
      </c>
    </row>
    <row r="98" spans="1:24" x14ac:dyDescent="0.25">
      <c r="A98" s="9" t="s">
        <v>1157</v>
      </c>
      <c r="B98" s="9"/>
      <c r="C98" s="13"/>
      <c r="D98" s="65">
        <f t="shared" ref="D98:X98" si="66">SUM(D$94:D$97)</f>
        <v>104.086</v>
      </c>
      <c r="E98" s="65">
        <f t="shared" si="66"/>
        <v>123.986</v>
      </c>
      <c r="F98" s="65">
        <f t="shared" si="66"/>
        <v>122.91800000000001</v>
      </c>
      <c r="G98" s="65">
        <f t="shared" si="66"/>
        <v>140.489</v>
      </c>
      <c r="H98" s="65">
        <f t="shared" si="66"/>
        <v>144.71</v>
      </c>
      <c r="I98" s="65">
        <f t="shared" si="66"/>
        <v>162.00900000000001</v>
      </c>
      <c r="J98" s="66">
        <f t="shared" ca="1" si="66"/>
        <v>172.41499999999999</v>
      </c>
      <c r="K98" s="66">
        <f t="shared" ca="1" si="66"/>
        <v>174.44799999999998</v>
      </c>
      <c r="L98" s="66">
        <f t="shared" ca="1" si="66"/>
        <v>179.34799999999998</v>
      </c>
      <c r="M98" s="66">
        <f t="shared" ca="1" si="66"/>
        <v>182.78000000000003</v>
      </c>
      <c r="N98" s="66">
        <f t="shared" ca="1" si="66"/>
        <v>187.69399999999999</v>
      </c>
      <c r="O98" s="92">
        <f t="shared" ca="1" si="66"/>
        <v>194.95345416250942</v>
      </c>
      <c r="P98" s="92">
        <f t="shared" ca="1" si="66"/>
        <v>200.93427245031017</v>
      </c>
      <c r="Q98" s="92">
        <f t="shared" ca="1" si="66"/>
        <v>207.29313568438673</v>
      </c>
      <c r="R98" s="92">
        <f t="shared" ca="1" si="66"/>
        <v>213.78697257954866</v>
      </c>
      <c r="S98" s="92">
        <f t="shared" ca="1" si="66"/>
        <v>220.35267199109802</v>
      </c>
      <c r="T98" s="92">
        <f t="shared" ca="1" si="66"/>
        <v>226.82977466989212</v>
      </c>
      <c r="U98" s="92">
        <f t="shared" ca="1" si="66"/>
        <v>233.46019595205289</v>
      </c>
      <c r="V98" s="92">
        <f t="shared" ca="1" si="66"/>
        <v>240.30021907470541</v>
      </c>
      <c r="W98" s="92">
        <f t="shared" ca="1" si="66"/>
        <v>247.17936732656852</v>
      </c>
      <c r="X98" s="92">
        <f t="shared" ca="1" si="66"/>
        <v>254.06505095710943</v>
      </c>
    </row>
    <row r="99" spans="1:24" x14ac:dyDescent="0.25">
      <c r="A99" s="9" t="s">
        <v>1142</v>
      </c>
      <c r="B99" s="9"/>
      <c r="C99" s="13"/>
      <c r="D99" s="65">
        <f t="shared" ref="D99:X99" si="67">D$93-D$98</f>
        <v>10.972999999999999</v>
      </c>
      <c r="E99" s="65">
        <f t="shared" si="67"/>
        <v>-10.396000000000001</v>
      </c>
      <c r="F99" s="65">
        <f t="shared" si="67"/>
        <v>3.1040000000000134</v>
      </c>
      <c r="G99" s="65">
        <f t="shared" si="67"/>
        <v>-5.3770000000000095</v>
      </c>
      <c r="H99" s="65">
        <f t="shared" si="67"/>
        <v>4.5249999999999773</v>
      </c>
      <c r="I99" s="65">
        <f t="shared" si="67"/>
        <v>-2.30600000000004</v>
      </c>
      <c r="J99" s="66">
        <f t="shared" ca="1" si="67"/>
        <v>-3.1620000000000061</v>
      </c>
      <c r="K99" s="66">
        <f t="shared" ca="1" si="67"/>
        <v>-3.6929999999999836</v>
      </c>
      <c r="L99" s="66">
        <f t="shared" ca="1" si="67"/>
        <v>0.7650000000000432</v>
      </c>
      <c r="M99" s="66">
        <f t="shared" ca="1" si="67"/>
        <v>6.2669999999999675</v>
      </c>
      <c r="N99" s="66">
        <f t="shared" ca="1" si="67"/>
        <v>10.085000000000008</v>
      </c>
      <c r="O99" s="92">
        <f t="shared" ca="1" si="67"/>
        <v>12.206902884800542</v>
      </c>
      <c r="P99" s="92">
        <f t="shared" ca="1" si="67"/>
        <v>14.78516315746856</v>
      </c>
      <c r="Q99" s="92">
        <f t="shared" ca="1" si="67"/>
        <v>17.312211286989253</v>
      </c>
      <c r="R99" s="92">
        <f t="shared" ca="1" si="67"/>
        <v>19.783740652451542</v>
      </c>
      <c r="S99" s="92">
        <f t="shared" ca="1" si="67"/>
        <v>22.418657350225203</v>
      </c>
      <c r="T99" s="92">
        <f t="shared" ca="1" si="67"/>
        <v>25.334236553808893</v>
      </c>
      <c r="U99" s="92">
        <f t="shared" ca="1" si="67"/>
        <v>28.289860011188892</v>
      </c>
      <c r="V99" s="92">
        <f t="shared" ca="1" si="67"/>
        <v>31.032058566074511</v>
      </c>
      <c r="W99" s="92">
        <f t="shared" ca="1" si="67"/>
        <v>33.632595345545781</v>
      </c>
      <c r="X99" s="92">
        <f t="shared" ca="1" si="67"/>
        <v>36.35644624335194</v>
      </c>
    </row>
    <row r="100" spans="1:24" x14ac:dyDescent="0.25">
      <c r="A100" s="11" t="s">
        <v>1126</v>
      </c>
      <c r="B100" s="10" t="str">
        <f>$B$38</f>
        <v>From Fiscal Forecasts</v>
      </c>
      <c r="C100" s="13"/>
      <c r="D100" s="35">
        <f>-'Fiscal Forecasts'!D$85</f>
        <v>8.4640000000000004</v>
      </c>
      <c r="E100" s="35">
        <f>-'Fiscal Forecasts'!E$85</f>
        <v>9.0709999999999997</v>
      </c>
      <c r="F100" s="35">
        <f>-'Fiscal Forecasts'!F$85</f>
        <v>9.3930000000000007</v>
      </c>
      <c r="G100" s="35">
        <f>-'Fiscal Forecasts'!G$85</f>
        <v>10.571999999999999</v>
      </c>
      <c r="H100" s="35">
        <f>-'Fiscal Forecasts'!H$85</f>
        <v>14.271000000000001</v>
      </c>
      <c r="I100" s="35">
        <f>-'Fiscal Forecasts'!I$85</f>
        <v>16.948</v>
      </c>
      <c r="J100" s="17">
        <f>-'Fiscal Forecasts'!J$85</f>
        <v>15.737</v>
      </c>
      <c r="K100" s="17">
        <f>-'Fiscal Forecasts'!K$85</f>
        <v>17.817</v>
      </c>
      <c r="L100" s="17">
        <f>-'Fiscal Forecasts'!L$85</f>
        <v>15.276999999999999</v>
      </c>
      <c r="M100" s="17">
        <f>-'Fiscal Forecasts'!M$85</f>
        <v>14.224</v>
      </c>
      <c r="N100" s="17">
        <f>-'Fiscal Forecasts'!N$85</f>
        <v>12.698</v>
      </c>
      <c r="O100" s="16">
        <f t="shared" ref="O100:X100" ca="1" si="68">SUM(O$429-N$429,O$218)</f>
        <v>11.714747316313188</v>
      </c>
      <c r="P100" s="16">
        <f t="shared" ca="1" si="68"/>
        <v>11.739327932043718</v>
      </c>
      <c r="Q100" s="16">
        <f t="shared" ca="1" si="68"/>
        <v>11.800890311107777</v>
      </c>
      <c r="R100" s="16">
        <f t="shared" ca="1" si="68"/>
        <v>11.870370881610375</v>
      </c>
      <c r="S100" s="16">
        <f t="shared" ca="1" si="68"/>
        <v>11.941204662617775</v>
      </c>
      <c r="T100" s="16">
        <f t="shared" ca="1" si="68"/>
        <v>12.013338886677428</v>
      </c>
      <c r="U100" s="16">
        <f t="shared" ca="1" si="68"/>
        <v>12.086516977663774</v>
      </c>
      <c r="V100" s="16">
        <f t="shared" ca="1" si="68"/>
        <v>12.160825440625404</v>
      </c>
      <c r="W100" s="16">
        <f t="shared" ca="1" si="68"/>
        <v>12.236270015643228</v>
      </c>
      <c r="X100" s="16">
        <f t="shared" ca="1" si="68"/>
        <v>12.313189112753307</v>
      </c>
    </row>
    <row r="101" spans="1:24" x14ac:dyDescent="0.25">
      <c r="A101" s="11" t="s">
        <v>1163</v>
      </c>
      <c r="B101" s="10" t="str">
        <f>$B$38</f>
        <v>From Fiscal Forecasts</v>
      </c>
      <c r="C101" s="13"/>
      <c r="D101" s="35">
        <f>-'Fiscal Forecasts'!D$86</f>
        <v>-3.8039999999999998</v>
      </c>
      <c r="E101" s="35">
        <f>-'Fiscal Forecasts'!E$86</f>
        <v>14.148999999999999</v>
      </c>
      <c r="F101" s="35">
        <f>-'Fiscal Forecasts'!F$86</f>
        <v>-4.1890000000000001</v>
      </c>
      <c r="G101" s="35">
        <f>-'Fiscal Forecasts'!G$86</f>
        <v>4.9859999999999998</v>
      </c>
      <c r="H101" s="35">
        <f>-'Fiscal Forecasts'!H$86</f>
        <v>4.9059999999999997</v>
      </c>
      <c r="I101" s="35">
        <f>-'Fiscal Forecasts'!I$86</f>
        <v>10.231999999999999</v>
      </c>
      <c r="J101" s="17">
        <f>-'Fiscal Forecasts'!J$86</f>
        <v>6.375</v>
      </c>
      <c r="K101" s="17">
        <f>-'Fiscal Forecasts'!K$86</f>
        <v>4.6929999999999996</v>
      </c>
      <c r="L101" s="17">
        <f>-'Fiscal Forecasts'!L$86</f>
        <v>-3.2610000000000001</v>
      </c>
      <c r="M101" s="17">
        <f>-'Fiscal Forecasts'!M$86</f>
        <v>-0.20200000000000001</v>
      </c>
      <c r="N101" s="17">
        <f>-'Fiscal Forecasts'!N$86</f>
        <v>-0.113</v>
      </c>
      <c r="O101" s="16">
        <f t="shared" ref="O101:X101" ca="1" si="69">SUM(O$372-N$372,O$381-N$381,O$397-N$397)-SUM(O$340,O$343:O$345)</f>
        <v>-2.6260628699416904</v>
      </c>
      <c r="P101" s="16">
        <f t="shared" ca="1" si="69"/>
        <v>-0.5560093800008179</v>
      </c>
      <c r="Q101" s="16">
        <f t="shared" ca="1" si="69"/>
        <v>-0.61888529475448895</v>
      </c>
      <c r="R101" s="16">
        <f t="shared" ca="1" si="69"/>
        <v>-0.72918476219052053</v>
      </c>
      <c r="S101" s="16">
        <f t="shared" ca="1" si="69"/>
        <v>-0.85783984643032163</v>
      </c>
      <c r="T101" s="16">
        <f t="shared" ca="1" si="69"/>
        <v>-0.96735590032054652</v>
      </c>
      <c r="U101" s="16">
        <f t="shared" ca="1" si="69"/>
        <v>-1.114387345815155</v>
      </c>
      <c r="V101" s="16">
        <f t="shared" ca="1" si="69"/>
        <v>-1.3422295341735193</v>
      </c>
      <c r="W101" s="16">
        <f t="shared" ca="1" si="69"/>
        <v>-1.6041744214994882</v>
      </c>
      <c r="X101" s="16">
        <f t="shared" ca="1" si="69"/>
        <v>-1.8210006160178978</v>
      </c>
    </row>
    <row r="102" spans="1:24" x14ac:dyDescent="0.25">
      <c r="A102" s="11" t="s">
        <v>1164</v>
      </c>
      <c r="B102" s="10" t="str">
        <f>$B$38</f>
        <v>From Fiscal Forecasts</v>
      </c>
      <c r="C102" s="13"/>
      <c r="D102" s="35">
        <f>-'Fiscal Forecasts'!D$87</f>
        <v>0.79100000000000004</v>
      </c>
      <c r="E102" s="35">
        <f>-'Fiscal Forecasts'!E$87</f>
        <v>0.85499999999999998</v>
      </c>
      <c r="F102" s="35">
        <f>-'Fiscal Forecasts'!F$87</f>
        <v>0.89800000000000002</v>
      </c>
      <c r="G102" s="35">
        <f>-'Fiscal Forecasts'!G$87</f>
        <v>0.71</v>
      </c>
      <c r="H102" s="35">
        <f>-'Fiscal Forecasts'!H$87</f>
        <v>0.86799999999999999</v>
      </c>
      <c r="I102" s="35">
        <f>-'Fiscal Forecasts'!I$87</f>
        <v>0.86</v>
      </c>
      <c r="J102" s="17">
        <f>-'Fiscal Forecasts'!J$87</f>
        <v>0.91400000000000003</v>
      </c>
      <c r="K102" s="17">
        <f>-'Fiscal Forecasts'!K$87</f>
        <v>0.74299999999999999</v>
      </c>
      <c r="L102" s="17">
        <f>-'Fiscal Forecasts'!L$87</f>
        <v>0.621</v>
      </c>
      <c r="M102" s="17">
        <f>-'Fiscal Forecasts'!M$87</f>
        <v>0.59199999999999997</v>
      </c>
      <c r="N102" s="17">
        <f>-'Fiscal Forecasts'!N$87</f>
        <v>0.622</v>
      </c>
      <c r="O102" s="16">
        <f t="shared" ref="O102:X102" ca="1" si="70">SUM(O$444-N$444,O$115)</f>
        <v>0.86540356501818028</v>
      </c>
      <c r="P102" s="16">
        <f t="shared" ca="1" si="70"/>
        <v>0.87623288155166745</v>
      </c>
      <c r="Q102" s="16">
        <f t="shared" ca="1" si="70"/>
        <v>0.88727878441582397</v>
      </c>
      <c r="R102" s="16">
        <f t="shared" ca="1" si="70"/>
        <v>0.89854560533726402</v>
      </c>
      <c r="S102" s="16">
        <f t="shared" ca="1" si="70"/>
        <v>0.91003776267713388</v>
      </c>
      <c r="T102" s="16">
        <f t="shared" ca="1" si="70"/>
        <v>0.92175976316379893</v>
      </c>
      <c r="U102" s="16">
        <f t="shared" ca="1" si="70"/>
        <v>0.93371620366019847</v>
      </c>
      <c r="V102" s="16">
        <f t="shared" ca="1" si="70"/>
        <v>0.94591177296652651</v>
      </c>
      <c r="W102" s="16">
        <f t="shared" ca="1" si="70"/>
        <v>0.95835125365897966</v>
      </c>
      <c r="X102" s="16">
        <f t="shared" ca="1" si="70"/>
        <v>0.97103952396528281</v>
      </c>
    </row>
    <row r="103" spans="1:24" x14ac:dyDescent="0.25">
      <c r="A103" s="11" t="s">
        <v>1165</v>
      </c>
      <c r="B103" s="10" t="str">
        <f>$B$38</f>
        <v>From Fiscal Forecasts</v>
      </c>
      <c r="C103" s="13"/>
      <c r="D103" s="35">
        <f>-'Fiscal Forecasts'!D$88</f>
        <v>1.9019999999999999</v>
      </c>
      <c r="E103" s="35">
        <f>-'Fiscal Forecasts'!E$88</f>
        <v>1.29</v>
      </c>
      <c r="F103" s="35">
        <f>-'Fiscal Forecasts'!F$88</f>
        <v>5.6630000000000003</v>
      </c>
      <c r="G103" s="35">
        <f>-'Fiscal Forecasts'!G$88</f>
        <v>12.958</v>
      </c>
      <c r="H103" s="35">
        <f>-'Fiscal Forecasts'!H$88</f>
        <v>8.2149999999999999</v>
      </c>
      <c r="I103" s="35">
        <f>-'Fiscal Forecasts'!I$88</f>
        <v>-0.151</v>
      </c>
      <c r="J103" s="17">
        <f>-'Fiscal Forecasts'!J$88</f>
        <v>-6.0140000000000002</v>
      </c>
      <c r="K103" s="17">
        <f>-'Fiscal Forecasts'!K$88</f>
        <v>-2.7429999999999999</v>
      </c>
      <c r="L103" s="17">
        <f>-'Fiscal Forecasts'!L$88</f>
        <v>3.83</v>
      </c>
      <c r="M103" s="17">
        <f>-'Fiscal Forecasts'!M$88</f>
        <v>4.2050000000000001</v>
      </c>
      <c r="N103" s="17">
        <f>-'Fiscal Forecasts'!N$88</f>
        <v>3.948</v>
      </c>
      <c r="O103" s="16">
        <f t="shared" ref="O103:X103" ca="1" si="71">SUM(O$406-N$406,O$411,-O$413)</f>
        <v>3.4696511861953203</v>
      </c>
      <c r="P103" s="16">
        <f t="shared" ca="1" si="71"/>
        <v>2.9442632046461332</v>
      </c>
      <c r="Q103" s="16">
        <f t="shared" ca="1" si="71"/>
        <v>2.956684471526438</v>
      </c>
      <c r="R103" s="16">
        <f t="shared" ca="1" si="71"/>
        <v>2.9615199859409089</v>
      </c>
      <c r="S103" s="16">
        <f t="shared" ca="1" si="71"/>
        <v>3.015597420692532</v>
      </c>
      <c r="T103" s="16">
        <f t="shared" ca="1" si="71"/>
        <v>3.0619226309681102</v>
      </c>
      <c r="U103" s="16">
        <f t="shared" ca="1" si="71"/>
        <v>3.0975157276296006</v>
      </c>
      <c r="V103" s="16">
        <f t="shared" ca="1" si="71"/>
        <v>3.1394517818057759</v>
      </c>
      <c r="W103" s="16">
        <f t="shared" ca="1" si="71"/>
        <v>3.1915403977656345</v>
      </c>
      <c r="X103" s="16">
        <f t="shared" ca="1" si="71"/>
        <v>3.2762647608818378</v>
      </c>
    </row>
    <row r="104" spans="1:24" x14ac:dyDescent="0.25">
      <c r="A104" s="11" t="s">
        <v>1166</v>
      </c>
      <c r="B104" s="10" t="str">
        <f>$B$38</f>
        <v>From Fiscal Forecasts</v>
      </c>
      <c r="C104" s="13"/>
      <c r="D104" s="35">
        <f>-'Fiscal Forecasts'!D$89</f>
        <v>-0.13600000000000001</v>
      </c>
      <c r="E104" s="35">
        <f>-'Fiscal Forecasts'!E$89</f>
        <v>0.28599999999999998</v>
      </c>
      <c r="F104" s="35">
        <f>-'Fiscal Forecasts'!F$89</f>
        <v>0.39200000000000002</v>
      </c>
      <c r="G104" s="35">
        <f>-'Fiscal Forecasts'!G$89</f>
        <v>0.44800000000000001</v>
      </c>
      <c r="H104" s="35">
        <f>-'Fiscal Forecasts'!H$89</f>
        <v>0.20200000000000001</v>
      </c>
      <c r="I104" s="35">
        <f>-'Fiscal Forecasts'!I$89</f>
        <v>0.39700000000000002</v>
      </c>
      <c r="J104" s="17">
        <f>-'Fiscal Forecasts'!J$89</f>
        <v>0.45600000000000002</v>
      </c>
      <c r="K104" s="17">
        <f>-'Fiscal Forecasts'!K$89</f>
        <v>0.26600000000000001</v>
      </c>
      <c r="L104" s="17">
        <f>-'Fiscal Forecasts'!L$89</f>
        <v>0.193</v>
      </c>
      <c r="M104" s="17">
        <f>-'Fiscal Forecasts'!M$89</f>
        <v>0.26800000000000002</v>
      </c>
      <c r="N104" s="17">
        <f>-'Fiscal Forecasts'!N$89</f>
        <v>8.7999999999999995E-2</v>
      </c>
      <c r="O104" s="16">
        <f t="shared" ref="O104:X104" ca="1" si="72">SUM(O$438-N$438,-O$350)</f>
        <v>0.1328558682668792</v>
      </c>
      <c r="P104" s="16">
        <f t="shared" ca="1" si="72"/>
        <v>0.13052759215871396</v>
      </c>
      <c r="Q104" s="16">
        <f t="shared" ca="1" si="72"/>
        <v>0.12832011727515197</v>
      </c>
      <c r="R104" s="16">
        <f t="shared" ca="1" si="72"/>
        <v>0.12625748403581546</v>
      </c>
      <c r="S104" s="16">
        <f t="shared" ca="1" si="72"/>
        <v>0.1241343169194109</v>
      </c>
      <c r="T104" s="16">
        <f t="shared" ca="1" si="72"/>
        <v>0.12196822618779574</v>
      </c>
      <c r="U104" s="16">
        <f t="shared" ca="1" si="72"/>
        <v>0.11982419770520558</v>
      </c>
      <c r="V104" s="16">
        <f t="shared" ca="1" si="72"/>
        <v>0.11768663252061806</v>
      </c>
      <c r="W104" s="16">
        <f t="shared" ca="1" si="72"/>
        <v>0.1155590240249198</v>
      </c>
      <c r="X104" s="16">
        <f t="shared" ca="1" si="72"/>
        <v>0.11336741536922484</v>
      </c>
    </row>
    <row r="105" spans="1:24" x14ac:dyDescent="0.25">
      <c r="A105" s="11" t="s">
        <v>1130</v>
      </c>
      <c r="B105" s="9"/>
      <c r="C105" s="13"/>
      <c r="D105" s="35">
        <f t="shared" ref="D105:J105" si="73">SUM(D$450-C$450,D$451-C$451)</f>
        <v>0</v>
      </c>
      <c r="E105" s="35">
        <f t="shared" si="73"/>
        <v>0</v>
      </c>
      <c r="F105" s="35">
        <f t="shared" si="73"/>
        <v>0</v>
      </c>
      <c r="G105" s="35">
        <f t="shared" si="73"/>
        <v>0</v>
      </c>
      <c r="H105" s="35">
        <f t="shared" si="73"/>
        <v>0</v>
      </c>
      <c r="I105" s="35">
        <f t="shared" si="73"/>
        <v>0</v>
      </c>
      <c r="J105" s="17">
        <f t="shared" si="73"/>
        <v>-1.5</v>
      </c>
      <c r="K105" s="17">
        <f t="shared" ref="K105" si="74">SUM(K$450-J$450,K$451-J$451)</f>
        <v>1.6600000000000001</v>
      </c>
      <c r="L105" s="17">
        <f t="shared" ref="L105" si="75">SUM(L$450-K$450,L$451-K$451)</f>
        <v>3.0419999999999998</v>
      </c>
      <c r="M105" s="17">
        <f t="shared" ref="M105" si="76">SUM(M$450-L$450,M$451-L$451)</f>
        <v>3.3770000000000002</v>
      </c>
      <c r="N105" s="17">
        <f t="shared" ref="N105" si="77">SUM(N$450-M$450,N$451-M$451)</f>
        <v>3.9310000000000005</v>
      </c>
      <c r="O105" s="16">
        <f t="shared" ref="O105:X105" ca="1" si="78">SUM(O$450-N$450,O$451-N$451)</f>
        <v>3.625</v>
      </c>
      <c r="P105" s="16">
        <f t="shared" ca="1" si="78"/>
        <v>3.7337500000000006</v>
      </c>
      <c r="Q105" s="16">
        <f t="shared" ca="1" si="78"/>
        <v>3.8457624999999993</v>
      </c>
      <c r="R105" s="16">
        <f t="shared" ca="1" si="78"/>
        <v>3.9611353750000013</v>
      </c>
      <c r="S105" s="16">
        <f t="shared" ca="1" si="78"/>
        <v>4.0799694362499999</v>
      </c>
      <c r="T105" s="16">
        <f t="shared" ca="1" si="78"/>
        <v>4.2023685193375044</v>
      </c>
      <c r="U105" s="16">
        <f t="shared" ca="1" si="78"/>
        <v>4.3284395749176241</v>
      </c>
      <c r="V105" s="16">
        <f t="shared" ca="1" si="78"/>
        <v>4.4582927621651578</v>
      </c>
      <c r="W105" s="16">
        <f t="shared" ca="1" si="78"/>
        <v>4.5920415450301135</v>
      </c>
      <c r="X105" s="16">
        <f t="shared" ca="1" si="78"/>
        <v>4.7298027913810117</v>
      </c>
    </row>
    <row r="106" spans="1:24" x14ac:dyDescent="0.25">
      <c r="A106" s="9" t="s">
        <v>1158</v>
      </c>
      <c r="B106" s="9"/>
      <c r="C106" s="13"/>
      <c r="D106" s="65">
        <f t="shared" ref="D106:X106" si="79">-SUM(D$100:D$105)</f>
        <v>-7.2170000000000005</v>
      </c>
      <c r="E106" s="65">
        <f t="shared" si="79"/>
        <v>-25.651</v>
      </c>
      <c r="F106" s="65">
        <f t="shared" si="79"/>
        <v>-12.157</v>
      </c>
      <c r="G106" s="65">
        <f t="shared" si="79"/>
        <v>-29.673999999999999</v>
      </c>
      <c r="H106" s="65">
        <f t="shared" si="79"/>
        <v>-28.462</v>
      </c>
      <c r="I106" s="65">
        <f t="shared" si="79"/>
        <v>-28.285999999999998</v>
      </c>
      <c r="J106" s="66">
        <f t="shared" si="79"/>
        <v>-15.968000000000004</v>
      </c>
      <c r="K106" s="66">
        <f t="shared" si="79"/>
        <v>-22.435999999999996</v>
      </c>
      <c r="L106" s="66">
        <f t="shared" si="79"/>
        <v>-19.701999999999998</v>
      </c>
      <c r="M106" s="66">
        <f t="shared" si="79"/>
        <v>-22.464000000000002</v>
      </c>
      <c r="N106" s="66">
        <f t="shared" si="79"/>
        <v>-21.174000000000003</v>
      </c>
      <c r="O106" s="92">
        <f t="shared" ca="1" si="79"/>
        <v>-17.18159506585188</v>
      </c>
      <c r="P106" s="92">
        <f t="shared" ca="1" si="79"/>
        <v>-18.868092230399416</v>
      </c>
      <c r="Q106" s="92">
        <f t="shared" ca="1" si="79"/>
        <v>-19.000050889570701</v>
      </c>
      <c r="R106" s="92">
        <f t="shared" ca="1" si="79"/>
        <v>-19.088644569733844</v>
      </c>
      <c r="S106" s="92">
        <f t="shared" ca="1" si="79"/>
        <v>-19.213103752726532</v>
      </c>
      <c r="T106" s="92">
        <f t="shared" ca="1" si="79"/>
        <v>-19.354002126014091</v>
      </c>
      <c r="U106" s="92">
        <f t="shared" ca="1" si="79"/>
        <v>-19.45162533576125</v>
      </c>
      <c r="V106" s="92">
        <f t="shared" ca="1" si="79"/>
        <v>-19.479938855909964</v>
      </c>
      <c r="W106" s="92">
        <f t="shared" ca="1" si="79"/>
        <v>-19.489587814623391</v>
      </c>
      <c r="X106" s="92">
        <f t="shared" ca="1" si="79"/>
        <v>-19.582662988332768</v>
      </c>
    </row>
    <row r="107" spans="1:24" x14ac:dyDescent="0.25">
      <c r="A107" s="11" t="s">
        <v>590</v>
      </c>
      <c r="B107" s="10" t="str">
        <f>$B$38</f>
        <v>From Fiscal Forecasts</v>
      </c>
      <c r="C107" s="13"/>
      <c r="D107" s="35">
        <f>'Fiscal Forecasts'!D$92</f>
        <v>0.437</v>
      </c>
      <c r="E107" s="35">
        <f>'Fiscal Forecasts'!E$92</f>
        <v>1.2090000000000001</v>
      </c>
      <c r="F107" s="35">
        <f>'Fiscal Forecasts'!F$92</f>
        <v>0.23400000000000001</v>
      </c>
      <c r="G107" s="35">
        <f>'Fiscal Forecasts'!G$92</f>
        <v>0.80500000000000005</v>
      </c>
      <c r="H107" s="35">
        <f>'Fiscal Forecasts'!H$92</f>
        <v>-5.8999999999999997E-2</v>
      </c>
      <c r="I107" s="35">
        <f>'Fiscal Forecasts'!I$92</f>
        <v>-2.4E-2</v>
      </c>
      <c r="J107" s="17">
        <f>'Fiscal Forecasts'!J$92</f>
        <v>8.8999999999999996E-2</v>
      </c>
      <c r="K107" s="17">
        <f>'Fiscal Forecasts'!K$92</f>
        <v>9.0999999999999998E-2</v>
      </c>
      <c r="L107" s="17">
        <f>'Fiscal Forecasts'!L$92</f>
        <v>9.1999999999999998E-2</v>
      </c>
      <c r="M107" s="17">
        <f>'Fiscal Forecasts'!M$92</f>
        <v>9.1999999999999998E-2</v>
      </c>
      <c r="N107" s="17">
        <f>'Fiscal Forecasts'!N$92</f>
        <v>9.2999999999999999E-2</v>
      </c>
      <c r="O107" s="16">
        <f t="shared" ref="O107:X107" ca="1" si="80">O$454-N$454</f>
        <v>0.18867999999999974</v>
      </c>
      <c r="P107" s="16">
        <f t="shared" ca="1" si="80"/>
        <v>0.19245360000000034</v>
      </c>
      <c r="Q107" s="16">
        <f t="shared" ca="1" si="80"/>
        <v>0.19630267199999984</v>
      </c>
      <c r="R107" s="16">
        <f t="shared" ca="1" si="80"/>
        <v>0.20022872544000059</v>
      </c>
      <c r="S107" s="16">
        <f t="shared" ca="1" si="80"/>
        <v>0.20423329994880035</v>
      </c>
      <c r="T107" s="16">
        <f t="shared" ca="1" si="80"/>
        <v>0.20831796594777607</v>
      </c>
      <c r="U107" s="16">
        <f t="shared" ca="1" si="80"/>
        <v>0.21248432526673255</v>
      </c>
      <c r="V107" s="16">
        <f t="shared" ca="1" si="80"/>
        <v>0.21673401177206664</v>
      </c>
      <c r="W107" s="16">
        <f t="shared" ca="1" si="80"/>
        <v>0.22106869200750801</v>
      </c>
      <c r="X107" s="16">
        <f t="shared" ca="1" si="80"/>
        <v>0.22549006584765863</v>
      </c>
    </row>
    <row r="108" spans="1:24" x14ac:dyDescent="0.25">
      <c r="A108" s="11" t="s">
        <v>1159</v>
      </c>
      <c r="B108" s="10" t="str">
        <f>$B$38</f>
        <v>From Fiscal Forecasts</v>
      </c>
      <c r="C108" s="13"/>
      <c r="D108" s="35">
        <f>SUM('Fiscal Forecasts'!D$93:D$96)</f>
        <v>-2.5789999999999997</v>
      </c>
      <c r="E108" s="35">
        <f>SUM('Fiscal Forecasts'!E$93:E$96)</f>
        <v>36.155999999999999</v>
      </c>
      <c r="F108" s="35">
        <f>SUM('Fiscal Forecasts'!F$93:F$96)</f>
        <v>7.3529999999999998</v>
      </c>
      <c r="G108" s="35">
        <f>SUM('Fiscal Forecasts'!G$93:G$96)</f>
        <v>33.409000000000006</v>
      </c>
      <c r="H108" s="35">
        <f>SUM('Fiscal Forecasts'!H$93:H$96)</f>
        <v>24.929000000000002</v>
      </c>
      <c r="I108" s="35">
        <f>SUM('Fiscal Forecasts'!I$93:I$96)</f>
        <v>28.588000000000001</v>
      </c>
      <c r="J108" s="17">
        <f>SUM('Fiscal Forecasts'!J$93:J$96)</f>
        <v>25.192000000000004</v>
      </c>
      <c r="K108" s="17">
        <f>SUM('Fiscal Forecasts'!K$93:K$96)</f>
        <v>26.640000000000004</v>
      </c>
      <c r="L108" s="17">
        <f>SUM('Fiscal Forecasts'!L$93:L$96)</f>
        <v>20.073999999999998</v>
      </c>
      <c r="M108" s="17">
        <f>SUM('Fiscal Forecasts'!M$93:M$96)</f>
        <v>15.950000000000001</v>
      </c>
      <c r="N108" s="17">
        <f>SUM('Fiscal Forecasts'!N$93:N$96)</f>
        <v>11.384</v>
      </c>
      <c r="O108" s="16">
        <f t="shared" ref="O108:X108" ca="1" si="81">O$356-N$356-SUM(O$99,O$106,O$107)</f>
        <v>5.0994729302942279</v>
      </c>
      <c r="P108" s="16">
        <f t="shared" ca="1" si="81"/>
        <v>4.3286437840068537</v>
      </c>
      <c r="Q108" s="16">
        <f t="shared" ca="1" si="81"/>
        <v>1.9429766126537675</v>
      </c>
      <c r="R108" s="16">
        <f t="shared" ca="1" si="81"/>
        <v>-0.43270283166071799</v>
      </c>
      <c r="S108" s="16">
        <f t="shared" ca="1" si="81"/>
        <v>-2.9369762544053408</v>
      </c>
      <c r="T108" s="16">
        <f t="shared" ca="1" si="81"/>
        <v>-5.7046819548778434</v>
      </c>
      <c r="U108" s="16">
        <f t="shared" ca="1" si="81"/>
        <v>-8.5576211662971211</v>
      </c>
      <c r="V108" s="16">
        <f t="shared" ca="1" si="81"/>
        <v>-11.265099680715297</v>
      </c>
      <c r="W108" s="16">
        <f t="shared" ca="1" si="81"/>
        <v>-13.845725114865745</v>
      </c>
      <c r="X108" s="16">
        <f t="shared" ca="1" si="81"/>
        <v>-16.461877969706112</v>
      </c>
    </row>
    <row r="109" spans="1:24" x14ac:dyDescent="0.25">
      <c r="A109" s="11" t="s">
        <v>1167</v>
      </c>
      <c r="B109" s="10" t="str">
        <f>$B$38</f>
        <v>From Fiscal Forecasts</v>
      </c>
      <c r="C109" s="13"/>
      <c r="D109" s="35">
        <f>-'Fiscal Forecasts'!D$97</f>
        <v>0.504</v>
      </c>
      <c r="E109" s="35">
        <f>-'Fiscal Forecasts'!E$97</f>
        <v>0.47899999999999998</v>
      </c>
      <c r="F109" s="35">
        <f>-'Fiscal Forecasts'!F$97</f>
        <v>0.373</v>
      </c>
      <c r="G109" s="35">
        <f>-'Fiscal Forecasts'!G$97</f>
        <v>0.30399999999999999</v>
      </c>
      <c r="H109" s="35">
        <f>-'Fiscal Forecasts'!H$97</f>
        <v>0.372</v>
      </c>
      <c r="I109" s="35">
        <f>-'Fiscal Forecasts'!I$97</f>
        <v>0.505</v>
      </c>
      <c r="J109" s="17">
        <f>-'Fiscal Forecasts'!J$97</f>
        <v>0.438</v>
      </c>
      <c r="K109" s="17">
        <f>-'Fiscal Forecasts'!K$97</f>
        <v>0.46200000000000002</v>
      </c>
      <c r="L109" s="17">
        <f>-'Fiscal Forecasts'!L$97</f>
        <v>0.46300000000000002</v>
      </c>
      <c r="M109" s="17">
        <f>-'Fiscal Forecasts'!M$97</f>
        <v>0.504</v>
      </c>
      <c r="N109" s="17">
        <f>-'Fiscal Forecasts'!N$97</f>
        <v>0.52600000000000002</v>
      </c>
      <c r="O109" s="16">
        <f t="shared" ref="O109:X109" ca="1" si="82">O$38-O$40</f>
        <v>0.47501635990689384</v>
      </c>
      <c r="P109" s="16">
        <f t="shared" ca="1" si="82"/>
        <v>0.49512688763084811</v>
      </c>
      <c r="Q109" s="16">
        <f t="shared" ca="1" si="82"/>
        <v>0.51528108080491808</v>
      </c>
      <c r="R109" s="16">
        <f t="shared" ca="1" si="82"/>
        <v>0.5354334874007326</v>
      </c>
      <c r="S109" s="16">
        <f t="shared" ca="1" si="82"/>
        <v>0.55603024773069565</v>
      </c>
      <c r="T109" s="16">
        <f t="shared" ca="1" si="82"/>
        <v>0.57703992929699566</v>
      </c>
      <c r="U109" s="16">
        <f t="shared" ca="1" si="82"/>
        <v>0.5983297340422794</v>
      </c>
      <c r="V109" s="16">
        <f t="shared" ca="1" si="82"/>
        <v>0.61993962689374504</v>
      </c>
      <c r="W109" s="16">
        <f t="shared" ca="1" si="82"/>
        <v>0.64186880274271907</v>
      </c>
      <c r="X109" s="16">
        <f t="shared" ca="1" si="82"/>
        <v>0.66428250953843782</v>
      </c>
    </row>
    <row r="110" spans="1:24" x14ac:dyDescent="0.25">
      <c r="A110" s="9" t="s">
        <v>1160</v>
      </c>
      <c r="B110" s="9"/>
      <c r="C110" s="13"/>
      <c r="D110" s="65">
        <f t="shared" ref="D110:X110" si="83">(D$107+D$108-D$109)</f>
        <v>-2.6459999999999999</v>
      </c>
      <c r="E110" s="65">
        <f t="shared" si="83"/>
        <v>36.886000000000003</v>
      </c>
      <c r="F110" s="65">
        <f t="shared" si="83"/>
        <v>7.2139999999999995</v>
      </c>
      <c r="G110" s="65">
        <f t="shared" si="83"/>
        <v>33.910000000000004</v>
      </c>
      <c r="H110" s="65">
        <f t="shared" si="83"/>
        <v>24.498000000000001</v>
      </c>
      <c r="I110" s="65">
        <f t="shared" si="83"/>
        <v>28.059000000000001</v>
      </c>
      <c r="J110" s="66">
        <f t="shared" si="83"/>
        <v>24.843000000000004</v>
      </c>
      <c r="K110" s="66">
        <f t="shared" si="83"/>
        <v>26.269000000000005</v>
      </c>
      <c r="L110" s="66">
        <f t="shared" si="83"/>
        <v>19.702999999999996</v>
      </c>
      <c r="M110" s="66">
        <f t="shared" si="83"/>
        <v>15.538000000000002</v>
      </c>
      <c r="N110" s="66">
        <f t="shared" si="83"/>
        <v>10.951000000000001</v>
      </c>
      <c r="O110" s="92">
        <f t="shared" ca="1" si="83"/>
        <v>4.8131365703873339</v>
      </c>
      <c r="P110" s="92">
        <f t="shared" ca="1" si="83"/>
        <v>4.0259704963760061</v>
      </c>
      <c r="Q110" s="92">
        <f t="shared" ca="1" si="83"/>
        <v>1.6239982038488492</v>
      </c>
      <c r="R110" s="92">
        <f t="shared" ca="1" si="83"/>
        <v>-0.76790759362145</v>
      </c>
      <c r="S110" s="92">
        <f t="shared" ca="1" si="83"/>
        <v>-3.2887732021872362</v>
      </c>
      <c r="T110" s="92">
        <f t="shared" ca="1" si="83"/>
        <v>-6.0734039182270632</v>
      </c>
      <c r="U110" s="92">
        <f t="shared" ca="1" si="83"/>
        <v>-8.9434665750726676</v>
      </c>
      <c r="V110" s="92">
        <f t="shared" ca="1" si="83"/>
        <v>-11.668305295836975</v>
      </c>
      <c r="W110" s="92">
        <f t="shared" ca="1" si="83"/>
        <v>-14.266525225600956</v>
      </c>
      <c r="X110" s="92">
        <f t="shared" ca="1" si="83"/>
        <v>-16.900670413396892</v>
      </c>
    </row>
    <row r="111" spans="1:24" x14ac:dyDescent="0.25">
      <c r="A111" s="9" t="s">
        <v>597</v>
      </c>
      <c r="B111" s="9"/>
      <c r="C111" s="13"/>
      <c r="D111" s="65">
        <f t="shared" ref="D111:X111" si="84">SUM(D$99,D$106,D$110)</f>
        <v>1.1099999999999985</v>
      </c>
      <c r="E111" s="65">
        <f t="shared" si="84"/>
        <v>0.83900000000000574</v>
      </c>
      <c r="F111" s="65">
        <f t="shared" si="84"/>
        <v>-1.8389999999999871</v>
      </c>
      <c r="G111" s="65">
        <f t="shared" si="84"/>
        <v>-1.1410000000000053</v>
      </c>
      <c r="H111" s="65">
        <f t="shared" si="84"/>
        <v>0.56099999999997863</v>
      </c>
      <c r="I111" s="65">
        <f t="shared" si="84"/>
        <v>-2.5330000000000368</v>
      </c>
      <c r="J111" s="66">
        <f t="shared" ca="1" si="84"/>
        <v>5.7129999999999939</v>
      </c>
      <c r="K111" s="66">
        <f t="shared" ca="1" si="84"/>
        <v>0.14000000000002544</v>
      </c>
      <c r="L111" s="66">
        <f t="shared" ca="1" si="84"/>
        <v>0.76600000000004087</v>
      </c>
      <c r="M111" s="66">
        <f t="shared" ca="1" si="84"/>
        <v>-0.65900000000003267</v>
      </c>
      <c r="N111" s="66">
        <f t="shared" ca="1" si="84"/>
        <v>-0.13799999999999457</v>
      </c>
      <c r="O111" s="92">
        <f t="shared" ca="1" si="84"/>
        <v>-0.16155561066400459</v>
      </c>
      <c r="P111" s="92">
        <f t="shared" ca="1" si="84"/>
        <v>-5.6958576554849927E-2</v>
      </c>
      <c r="Q111" s="92">
        <f t="shared" ca="1" si="84"/>
        <v>-6.3841398732598975E-2</v>
      </c>
      <c r="R111" s="92">
        <f t="shared" ca="1" si="84"/>
        <v>-7.281151090375293E-2</v>
      </c>
      <c r="S111" s="92">
        <f t="shared" ca="1" si="84"/>
        <v>-8.3219604688565152E-2</v>
      </c>
      <c r="T111" s="92">
        <f t="shared" ca="1" si="84"/>
        <v>-9.3169490432261526E-2</v>
      </c>
      <c r="U111" s="92">
        <f t="shared" ca="1" si="84"/>
        <v>-0.105231899645025</v>
      </c>
      <c r="V111" s="92">
        <f t="shared" ca="1" si="84"/>
        <v>-0.11618558567242765</v>
      </c>
      <c r="W111" s="92">
        <f t="shared" ca="1" si="84"/>
        <v>-0.12351769467856677</v>
      </c>
      <c r="X111" s="92">
        <f t="shared" ca="1" si="84"/>
        <v>-0.1268871583777198</v>
      </c>
    </row>
    <row r="112" spans="1:24" x14ac:dyDescent="0.25">
      <c r="A112" s="12" t="s">
        <v>1141</v>
      </c>
      <c r="B112" s="9"/>
      <c r="C112" s="13"/>
      <c r="D112" s="36"/>
      <c r="E112" s="36"/>
      <c r="F112" s="36"/>
      <c r="G112" s="36"/>
      <c r="H112" s="36"/>
      <c r="I112" s="36"/>
      <c r="J112" s="19"/>
      <c r="K112" s="19"/>
      <c r="L112" s="19"/>
      <c r="M112" s="19"/>
      <c r="N112" s="19"/>
      <c r="O112" s="18"/>
      <c r="P112" s="18"/>
      <c r="Q112" s="18"/>
      <c r="R112" s="18"/>
      <c r="S112" s="18"/>
      <c r="T112" s="18"/>
      <c r="U112" s="18"/>
      <c r="V112" s="18"/>
      <c r="W112" s="18"/>
      <c r="X112" s="18"/>
    </row>
    <row r="113" spans="1:24" x14ac:dyDescent="0.25">
      <c r="A113" s="9" t="s">
        <v>1161</v>
      </c>
      <c r="B113" s="9"/>
      <c r="C113" s="13"/>
      <c r="D113" s="42">
        <f t="shared" ref="D113:X113" si="85">SUM(D$346,D$350,-D$38)</f>
        <v>-7.3769999999999989</v>
      </c>
      <c r="E113" s="42">
        <f t="shared" si="85"/>
        <v>-7.1269999999999998</v>
      </c>
      <c r="F113" s="42">
        <f t="shared" si="85"/>
        <v>20.545999999999999</v>
      </c>
      <c r="G113" s="42">
        <f t="shared" si="85"/>
        <v>-7.6029999999999998</v>
      </c>
      <c r="H113" s="42">
        <f t="shared" si="85"/>
        <v>14.132000000000001</v>
      </c>
      <c r="I113" s="42">
        <f t="shared" si="85"/>
        <v>4.3490000000000002</v>
      </c>
      <c r="J113" s="43">
        <f t="shared" si="85"/>
        <v>8.9680000000000017</v>
      </c>
      <c r="K113" s="43">
        <f t="shared" si="85"/>
        <v>5.41</v>
      </c>
      <c r="L113" s="43">
        <f t="shared" si="85"/>
        <v>5.6450000000000005</v>
      </c>
      <c r="M113" s="43">
        <f t="shared" si="85"/>
        <v>6.0649999999999995</v>
      </c>
      <c r="N113" s="43">
        <f t="shared" si="85"/>
        <v>6.6349999999999998</v>
      </c>
      <c r="O113" s="47">
        <f t="shared" ca="1" si="85"/>
        <v>6.9867364514005148</v>
      </c>
      <c r="P113" s="47">
        <f t="shared" ca="1" si="85"/>
        <v>7.383365985753354</v>
      </c>
      <c r="Q113" s="47">
        <f t="shared" ca="1" si="85"/>
        <v>7.8010630154507101</v>
      </c>
      <c r="R113" s="47">
        <f t="shared" ca="1" si="85"/>
        <v>8.2386236557164452</v>
      </c>
      <c r="S113" s="47">
        <f t="shared" ca="1" si="85"/>
        <v>8.694942810242793</v>
      </c>
      <c r="T113" s="47">
        <f t="shared" ca="1" si="85"/>
        <v>9.1712841317286049</v>
      </c>
      <c r="U113" s="47">
        <f t="shared" ca="1" si="85"/>
        <v>9.6686540346067691</v>
      </c>
      <c r="V113" s="47">
        <f t="shared" ca="1" si="85"/>
        <v>10.182613191857303</v>
      </c>
      <c r="W113" s="47">
        <f t="shared" ca="1" si="85"/>
        <v>10.711883349592151</v>
      </c>
      <c r="X113" s="47">
        <f t="shared" ca="1" si="85"/>
        <v>11.260510673872137</v>
      </c>
    </row>
    <row r="114" spans="1:24" x14ac:dyDescent="0.25">
      <c r="A114" s="11" t="s">
        <v>536</v>
      </c>
      <c r="B114" s="10"/>
      <c r="C114" s="13"/>
      <c r="D114" s="35">
        <f t="shared" ref="D114:N114" si="86">D$218</f>
        <v>4.5540000000000003</v>
      </c>
      <c r="E114" s="35">
        <f t="shared" si="86"/>
        <v>5.2940000000000005</v>
      </c>
      <c r="F114" s="35">
        <f t="shared" si="86"/>
        <v>5.5660000000000007</v>
      </c>
      <c r="G114" s="35">
        <f t="shared" si="86"/>
        <v>6.1520000000000001</v>
      </c>
      <c r="H114" s="35">
        <f t="shared" si="86"/>
        <v>6.6009999999999991</v>
      </c>
      <c r="I114" s="35">
        <f t="shared" si="86"/>
        <v>7.6210000000000004</v>
      </c>
      <c r="J114" s="17">
        <f t="shared" si="86"/>
        <v>8.06</v>
      </c>
      <c r="K114" s="17">
        <f t="shared" si="86"/>
        <v>8.4239999999999995</v>
      </c>
      <c r="L114" s="17">
        <f t="shared" si="86"/>
        <v>8.7170000000000005</v>
      </c>
      <c r="M114" s="17">
        <f t="shared" si="86"/>
        <v>9.0640000000000001</v>
      </c>
      <c r="N114" s="17">
        <f t="shared" si="86"/>
        <v>9.2050000000000001</v>
      </c>
      <c r="O114" s="16">
        <f t="shared" ref="O114:X114" ca="1" si="87">O$218</f>
        <v>9.2337767255345771</v>
      </c>
      <c r="P114" s="16">
        <f t="shared" ca="1" si="87"/>
        <v>9.2625053385363252</v>
      </c>
      <c r="Q114" s="16">
        <f t="shared" ca="1" si="87"/>
        <v>9.291610423013152</v>
      </c>
      <c r="R114" s="16">
        <f t="shared" ca="1" si="87"/>
        <v>9.3211784522143883</v>
      </c>
      <c r="S114" s="16">
        <f t="shared" ca="1" si="87"/>
        <v>9.3512196339142797</v>
      </c>
      <c r="T114" s="16">
        <f t="shared" ca="1" si="87"/>
        <v>9.3817434538140496</v>
      </c>
      <c r="U114" s="16">
        <f t="shared" ca="1" si="87"/>
        <v>9.4127563469539659</v>
      </c>
      <c r="V114" s="16">
        <f t="shared" ca="1" si="87"/>
        <v>9.4442656664558218</v>
      </c>
      <c r="W114" s="16">
        <f t="shared" ca="1" si="87"/>
        <v>9.4762787469463063</v>
      </c>
      <c r="X114" s="16">
        <f t="shared" ca="1" si="87"/>
        <v>9.508806719157846</v>
      </c>
    </row>
    <row r="115" spans="1:24" x14ac:dyDescent="0.25">
      <c r="A115" s="11" t="s">
        <v>1228</v>
      </c>
      <c r="B115" s="10" t="str">
        <f t="shared" ref="B115:B120" si="88">$B$38</f>
        <v>From Fiscal Forecasts</v>
      </c>
      <c r="C115" s="13"/>
      <c r="D115" s="35">
        <f>-'Fiscal Forecasts'!D$104</f>
        <v>-1.5799999999999996</v>
      </c>
      <c r="E115" s="35">
        <f>-'Fiscal Forecasts'!E$104</f>
        <v>2.726</v>
      </c>
      <c r="F115" s="35">
        <f>-'Fiscal Forecasts'!F$104</f>
        <v>1.0489999999999999</v>
      </c>
      <c r="G115" s="35">
        <f>-'Fiscal Forecasts'!G$104</f>
        <v>-0.26900000000000002</v>
      </c>
      <c r="H115" s="35">
        <f>-'Fiscal Forecasts'!H$104</f>
        <v>0.73399999999999999</v>
      </c>
      <c r="I115" s="35">
        <f>-'Fiscal Forecasts'!I$104</f>
        <v>1.1950000000000001</v>
      </c>
      <c r="J115" s="17">
        <f>-'Fiscal Forecasts'!J$104</f>
        <v>0.84399999999999997</v>
      </c>
      <c r="K115" s="17">
        <f>-'Fiscal Forecasts'!K$104</f>
        <v>1.556</v>
      </c>
      <c r="L115" s="17">
        <f>-'Fiscal Forecasts'!L$104</f>
        <v>0.83</v>
      </c>
      <c r="M115" s="17">
        <f>-'Fiscal Forecasts'!M$104</f>
        <v>0.81299999999999994</v>
      </c>
      <c r="N115" s="17">
        <f>-'Fiscal Forecasts'!N$104</f>
        <v>0.81</v>
      </c>
      <c r="O115" s="16">
        <f ca="1">IF(O$6=OFFSET(Assumptions!$B$8,0,$C$1),AVERAGE(L$115/L$444,M$115/M$444,N$115/N$444),N$115/N$444)*O$444</f>
        <v>0.81740356501818023</v>
      </c>
      <c r="P115" s="16">
        <f ca="1">IF(P$6=OFFSET(Assumptions!$B$8,0,$C$1),AVERAGE(M$115/M$444,N$115/N$444,O$115/O$444),O$115/O$444)*P$444</f>
        <v>0.82727288155166734</v>
      </c>
      <c r="Q115" s="16">
        <f ca="1">IF(Q$6=OFFSET(Assumptions!$B$8,0,$C$1),AVERAGE(N$115/N$444,O$115/O$444,P$115/P$444),P$115/P$444)*Q$444</f>
        <v>0.83733958441582412</v>
      </c>
      <c r="R115" s="16">
        <f ca="1">IF(R$6=OFFSET(Assumptions!$B$8,0,$C$1),AVERAGE(O$115/O$444,P$115/P$444,Q$115/Q$444),Q$115/Q$444)*R$444</f>
        <v>0.84760762133726408</v>
      </c>
      <c r="S115" s="16">
        <f ca="1">IF(S$6=OFFSET(Assumptions!$B$8,0,$C$1),AVERAGE(P$115/P$444,Q$115/Q$444,R$115/R$444),R$115/R$444)*S$444</f>
        <v>0.85808101899713307</v>
      </c>
      <c r="T115" s="16">
        <f ca="1">IF(T$6=OFFSET(Assumptions!$B$8,0,$C$1),AVERAGE(Q$115/Q$444,R$115/R$444,S$115/S$444),S$115/S$444)*T$444</f>
        <v>0.86876388461019916</v>
      </c>
      <c r="U115" s="16">
        <f ca="1">IF(U$6=OFFSET(Assumptions!$B$8,0,$C$1),AVERAGE(R$115/R$444,S$115/S$444,T$115/T$444),T$115/T$444)*U$444</f>
        <v>0.87966040753552655</v>
      </c>
      <c r="V115" s="16">
        <f ca="1">IF(V$6=OFFSET(Assumptions!$B$8,0,$C$1),AVERAGE(S$115/S$444,T$115/T$444,U$115/U$444),U$115/U$444)*V$444</f>
        <v>0.89077486091936064</v>
      </c>
      <c r="W115" s="16">
        <f ca="1">IF(W$6=OFFSET(Assumptions!$B$8,0,$C$1),AVERAGE(T$115/T$444,U$115/U$444,V$115/V$444),V$115/V$444)*W$444</f>
        <v>0.90211160337087126</v>
      </c>
      <c r="X115" s="16">
        <f ca="1">IF(X$6=OFFSET(Assumptions!$B$8,0,$C$1),AVERAGE(U$115/U$444,V$115/V$444,W$115/W$444),W$115/W$444)*X$444</f>
        <v>0.91367508067141212</v>
      </c>
    </row>
    <row r="116" spans="1:24" x14ac:dyDescent="0.25">
      <c r="A116" s="11" t="s">
        <v>603</v>
      </c>
      <c r="B116" s="10" t="str">
        <f t="shared" si="88"/>
        <v>From Fiscal Forecasts</v>
      </c>
      <c r="C116" s="13"/>
      <c r="D116" s="35">
        <f>-'Fiscal Forecasts'!D$105</f>
        <v>0.76300000000000001</v>
      </c>
      <c r="E116" s="35">
        <f>-'Fiscal Forecasts'!E$105</f>
        <v>1.2789999999999999</v>
      </c>
      <c r="F116" s="35">
        <f>-'Fiscal Forecasts'!F$105</f>
        <v>1.0389999999999999</v>
      </c>
      <c r="G116" s="35">
        <f>-'Fiscal Forecasts'!G$105</f>
        <v>0.85799999999999998</v>
      </c>
      <c r="H116" s="35">
        <f>-'Fiscal Forecasts'!H$105</f>
        <v>0.73799999999999999</v>
      </c>
      <c r="I116" s="35">
        <f>-'Fiscal Forecasts'!I$105</f>
        <v>0.71899999999999997</v>
      </c>
      <c r="J116" s="17">
        <f>-'Fiscal Forecasts'!J$105</f>
        <v>0.61199999999999999</v>
      </c>
      <c r="K116" s="17">
        <f>-'Fiscal Forecasts'!K$105</f>
        <v>0.68100000000000005</v>
      </c>
      <c r="L116" s="17">
        <f>-'Fiscal Forecasts'!L$105</f>
        <v>0.67400000000000004</v>
      </c>
      <c r="M116" s="17">
        <f>-'Fiscal Forecasts'!M$105</f>
        <v>0.65</v>
      </c>
      <c r="N116" s="17">
        <f>-'Fiscal Forecasts'!N$105</f>
        <v>0.66300000000000003</v>
      </c>
      <c r="O116" s="16">
        <f t="shared" ref="O116:X116" si="89">O$411</f>
        <v>0.65600000000000003</v>
      </c>
      <c r="P116" s="16">
        <f t="shared" si="89"/>
        <v>0.67400000000000004</v>
      </c>
      <c r="Q116" s="16">
        <f t="shared" si="89"/>
        <v>0.69299999999999995</v>
      </c>
      <c r="R116" s="16">
        <f t="shared" si="89"/>
        <v>0.71099999999999997</v>
      </c>
      <c r="S116" s="16">
        <f t="shared" si="89"/>
        <v>0.72699999999999998</v>
      </c>
      <c r="T116" s="16">
        <f t="shared" si="89"/>
        <v>0.74199999999999999</v>
      </c>
      <c r="U116" s="16">
        <f t="shared" si="89"/>
        <v>0.75600000000000001</v>
      </c>
      <c r="V116" s="16">
        <f t="shared" si="89"/>
        <v>0.76900000000000002</v>
      </c>
      <c r="W116" s="16">
        <f t="shared" si="89"/>
        <v>0.78300000000000003</v>
      </c>
      <c r="X116" s="16">
        <f t="shared" si="89"/>
        <v>0.79700000000000004</v>
      </c>
    </row>
    <row r="117" spans="1:24" x14ac:dyDescent="0.25">
      <c r="A117" s="11" t="s">
        <v>1171</v>
      </c>
      <c r="B117" s="10" t="str">
        <f t="shared" si="88"/>
        <v>From Fiscal Forecasts</v>
      </c>
      <c r="C117" s="13"/>
      <c r="D117" s="35">
        <f>-'Fiscal Forecasts'!D$106</f>
        <v>4.1000000000000002E-2</v>
      </c>
      <c r="E117" s="35">
        <f>-'Fiscal Forecasts'!E$106</f>
        <v>5.2999999999999999E-2</v>
      </c>
      <c r="F117" s="35">
        <f>-'Fiscal Forecasts'!F$106</f>
        <v>1E-3</v>
      </c>
      <c r="G117" s="35">
        <f>-'Fiscal Forecasts'!G$106</f>
        <v>3.7999999999999999E-2</v>
      </c>
      <c r="H117" s="35">
        <f>-'Fiscal Forecasts'!H$106</f>
        <v>9.7000000000000003E-2</v>
      </c>
      <c r="I117" s="35">
        <f>-'Fiscal Forecasts'!I$106</f>
        <v>0.123</v>
      </c>
      <c r="J117" s="17">
        <f>-'Fiscal Forecasts'!J$106</f>
        <v>-3.1E-2</v>
      </c>
      <c r="K117" s="17">
        <f>-'Fiscal Forecasts'!K$106</f>
        <v>-4.7E-2</v>
      </c>
      <c r="L117" s="17">
        <f>-'Fiscal Forecasts'!L$106</f>
        <v>-3.1E-2</v>
      </c>
      <c r="M117" s="17">
        <f>-'Fiscal Forecasts'!M$106</f>
        <v>1.0999999999999999E-2</v>
      </c>
      <c r="N117" s="17">
        <f>-'Fiscal Forecasts'!N$106</f>
        <v>0.01</v>
      </c>
      <c r="O117" s="16">
        <f ca="1">IF(O$6=OFFSET(Assumptions!$B$8,0,$C$1),OFFSET(Assumptions!$B$9,0,$C$1),N$117)</f>
        <v>0</v>
      </c>
      <c r="P117" s="16">
        <f ca="1">IF(P$6=OFFSET(Assumptions!$B$8,0,$C$1),OFFSET(Assumptions!$B$9,0,$C$1),O$117)</f>
        <v>0</v>
      </c>
      <c r="Q117" s="16">
        <f ca="1">IF(Q$6=OFFSET(Assumptions!$B$8,0,$C$1),OFFSET(Assumptions!$B$9,0,$C$1),P$117)</f>
        <v>0</v>
      </c>
      <c r="R117" s="16">
        <f ca="1">IF(R$6=OFFSET(Assumptions!$B$8,0,$C$1),OFFSET(Assumptions!$B$9,0,$C$1),Q$117)</f>
        <v>0</v>
      </c>
      <c r="S117" s="16">
        <f ca="1">IF(S$6=OFFSET(Assumptions!$B$8,0,$C$1),OFFSET(Assumptions!$B$9,0,$C$1),R$117)</f>
        <v>0</v>
      </c>
      <c r="T117" s="16">
        <f ca="1">IF(T$6=OFFSET(Assumptions!$B$8,0,$C$1),OFFSET(Assumptions!$B$9,0,$C$1),S$117)</f>
        <v>0</v>
      </c>
      <c r="U117" s="16">
        <f ca="1">IF(U$6=OFFSET(Assumptions!$B$8,0,$C$1),OFFSET(Assumptions!$B$9,0,$C$1),T$117)</f>
        <v>0</v>
      </c>
      <c r="V117" s="16">
        <f ca="1">IF(V$6=OFFSET(Assumptions!$B$8,0,$C$1),OFFSET(Assumptions!$B$9,0,$C$1),U$117)</f>
        <v>0</v>
      </c>
      <c r="W117" s="16">
        <f ca="1">IF(W$6=OFFSET(Assumptions!$B$8,0,$C$1),OFFSET(Assumptions!$B$9,0,$C$1),V$117)</f>
        <v>0</v>
      </c>
      <c r="X117" s="16">
        <f ca="1">IF(X$6=OFFSET(Assumptions!$B$8,0,$C$1),OFFSET(Assumptions!$B$9,0,$C$1),W$117)</f>
        <v>0</v>
      </c>
    </row>
    <row r="118" spans="1:24" x14ac:dyDescent="0.25">
      <c r="A118" s="11" t="s">
        <v>605</v>
      </c>
      <c r="B118" s="10" t="str">
        <f t="shared" si="88"/>
        <v>From Fiscal Forecasts</v>
      </c>
      <c r="C118" s="13"/>
      <c r="D118" s="35">
        <f>-'Fiscal Forecasts'!D$107</f>
        <v>1.768</v>
      </c>
      <c r="E118" s="35">
        <f>-'Fiscal Forecasts'!E$107</f>
        <v>2.351</v>
      </c>
      <c r="F118" s="35">
        <f>-'Fiscal Forecasts'!F$107</f>
        <v>1.8680000000000001</v>
      </c>
      <c r="G118" s="35">
        <f>-'Fiscal Forecasts'!G$107</f>
        <v>1.696</v>
      </c>
      <c r="H118" s="35">
        <f>-'Fiscal Forecasts'!H$107</f>
        <v>3.5249999999999999</v>
      </c>
      <c r="I118" s="35">
        <f>-'Fiscal Forecasts'!I$107</f>
        <v>3.8380000000000001</v>
      </c>
      <c r="J118" s="17">
        <f>-'Fiscal Forecasts'!J$107</f>
        <v>4.0350000000000001</v>
      </c>
      <c r="K118" s="17">
        <f>-'Fiscal Forecasts'!K$107</f>
        <v>3.0369999999999999</v>
      </c>
      <c r="L118" s="17">
        <f>-'Fiscal Forecasts'!L$107</f>
        <v>3.3239999999999998</v>
      </c>
      <c r="M118" s="17">
        <f>-'Fiscal Forecasts'!M$107</f>
        <v>3.6920000000000002</v>
      </c>
      <c r="N118" s="17">
        <f>-'Fiscal Forecasts'!N$107</f>
        <v>3.85</v>
      </c>
      <c r="O118" s="16">
        <f t="shared" ref="O118:X118" ca="1" si="90">O$475-N$475</f>
        <v>4.2940415667566612</v>
      </c>
      <c r="P118" s="16">
        <f t="shared" ca="1" si="90"/>
        <v>4.6745198695422658</v>
      </c>
      <c r="Q118" s="16">
        <f t="shared" ca="1" si="90"/>
        <v>4.9931983149520676</v>
      </c>
      <c r="R118" s="16">
        <f t="shared" ca="1" si="90"/>
        <v>5.2719906953987135</v>
      </c>
      <c r="S118" s="16">
        <f t="shared" ca="1" si="90"/>
        <v>5.5463118745630595</v>
      </c>
      <c r="T118" s="16">
        <f t="shared" ca="1" si="90"/>
        <v>5.8402675851831418</v>
      </c>
      <c r="U118" s="16">
        <f t="shared" ca="1" si="90"/>
        <v>6.0898671107307507</v>
      </c>
      <c r="V118" s="16">
        <f t="shared" ca="1" si="90"/>
        <v>6.3129879384634364</v>
      </c>
      <c r="W118" s="16">
        <f t="shared" ca="1" si="90"/>
        <v>6.5465401488230697</v>
      </c>
      <c r="X118" s="16">
        <f t="shared" ca="1" si="90"/>
        <v>6.7831238224722483</v>
      </c>
    </row>
    <row r="119" spans="1:24" x14ac:dyDescent="0.25">
      <c r="A119" s="11" t="s">
        <v>606</v>
      </c>
      <c r="B119" s="10" t="str">
        <f t="shared" si="88"/>
        <v>From Fiscal Forecasts</v>
      </c>
      <c r="C119" s="13"/>
      <c r="D119" s="35">
        <f>-'Fiscal Forecasts'!D$108</f>
        <v>0</v>
      </c>
      <c r="E119" s="35">
        <f>-'Fiscal Forecasts'!E$108</f>
        <v>0</v>
      </c>
      <c r="F119" s="35">
        <f>-'Fiscal Forecasts'!F$108</f>
        <v>0</v>
      </c>
      <c r="G119" s="35">
        <f>-'Fiscal Forecasts'!G$108</f>
        <v>0</v>
      </c>
      <c r="H119" s="35">
        <f>-'Fiscal Forecasts'!H$108</f>
        <v>-0.39500000000000002</v>
      </c>
      <c r="I119" s="35">
        <f>-'Fiscal Forecasts'!I$108</f>
        <v>-0.61399999999999999</v>
      </c>
      <c r="J119" s="17">
        <f>-'Fiscal Forecasts'!J$108</f>
        <v>-1.2769999999999999</v>
      </c>
      <c r="K119" s="17">
        <f>-'Fiscal Forecasts'!K$108</f>
        <v>-1.145</v>
      </c>
      <c r="L119" s="17">
        <f>-'Fiscal Forecasts'!L$108</f>
        <v>-0.88600000000000001</v>
      </c>
      <c r="M119" s="17">
        <f>-'Fiscal Forecasts'!M$108</f>
        <v>-0.64300000000000002</v>
      </c>
      <c r="N119" s="17">
        <f>-'Fiscal Forecasts'!N$108</f>
        <v>-0.64900000000000002</v>
      </c>
      <c r="O119" s="16">
        <f t="shared" ref="O119:X119" ca="1" si="91">O$469-N$469</f>
        <v>-0.40904000000000007</v>
      </c>
      <c r="P119" s="16">
        <f t="shared" ca="1" si="91"/>
        <v>-0.37950079999999975</v>
      </c>
      <c r="Q119" s="16">
        <f t="shared" ca="1" si="91"/>
        <v>-0.34937081599999997</v>
      </c>
      <c r="R119" s="16">
        <f t="shared" ca="1" si="91"/>
        <v>-0.3186382323200001</v>
      </c>
      <c r="S119" s="16">
        <f t="shared" ca="1" si="91"/>
        <v>-0.2872909969663997</v>
      </c>
      <c r="T119" s="16">
        <f t="shared" ca="1" si="91"/>
        <v>-0.25531681690572761</v>
      </c>
      <c r="U119" s="16">
        <f t="shared" ca="1" si="91"/>
        <v>-0.2227031532438426</v>
      </c>
      <c r="V119" s="16">
        <f t="shared" ca="1" si="91"/>
        <v>-0.18943721630871924</v>
      </c>
      <c r="W119" s="16">
        <f t="shared" ca="1" si="91"/>
        <v>-0.15550596063489364</v>
      </c>
      <c r="X119" s="16">
        <f t="shared" ca="1" si="91"/>
        <v>-0.12089607984759154</v>
      </c>
    </row>
    <row r="120" spans="1:24" x14ac:dyDescent="0.25">
      <c r="A120" s="11" t="s">
        <v>607</v>
      </c>
      <c r="B120" s="10" t="str">
        <f t="shared" si="88"/>
        <v>From Fiscal Forecasts</v>
      </c>
      <c r="C120" s="13"/>
      <c r="D120" s="35">
        <f>-'Fiscal Forecasts'!D$109</f>
        <v>-0.57099999999999995</v>
      </c>
      <c r="E120" s="35">
        <f>-'Fiscal Forecasts'!E$109</f>
        <v>0.80400000000000005</v>
      </c>
      <c r="F120" s="35">
        <f>-'Fiscal Forecasts'!F$109</f>
        <v>-0.73299999999999998</v>
      </c>
      <c r="G120" s="35">
        <f>-'Fiscal Forecasts'!G$109</f>
        <v>-0.79</v>
      </c>
      <c r="H120" s="35">
        <f>-'Fiscal Forecasts'!H$109</f>
        <v>-6.0999999999999999E-2</v>
      </c>
      <c r="I120" s="35">
        <f>-'Fiscal Forecasts'!I$109</f>
        <v>-6.0999999999999999E-2</v>
      </c>
      <c r="J120" s="17">
        <f>-'Fiscal Forecasts'!J$109</f>
        <v>0.05</v>
      </c>
      <c r="K120" s="17">
        <f>-'Fiscal Forecasts'!K$109</f>
        <v>4.9000000000000002E-2</v>
      </c>
      <c r="L120" s="17">
        <f>-'Fiscal Forecasts'!L$109</f>
        <v>4.8000000000000001E-2</v>
      </c>
      <c r="M120" s="17">
        <f>-'Fiscal Forecasts'!M$109</f>
        <v>4.5999999999999999E-2</v>
      </c>
      <c r="N120" s="17">
        <f>-'Fiscal Forecasts'!N$109</f>
        <v>4.4999999999999998E-2</v>
      </c>
      <c r="O120" s="16">
        <f t="shared" ref="O120:X120" ca="1" si="92">O$480-N$480</f>
        <v>-0.19022764830508443</v>
      </c>
      <c r="P120" s="16">
        <f t="shared" ca="1" si="92"/>
        <v>-0.19206557203389885</v>
      </c>
      <c r="Q120" s="16">
        <f t="shared" ca="1" si="92"/>
        <v>-0.19448453389830522</v>
      </c>
      <c r="R120" s="16">
        <f t="shared" ca="1" si="92"/>
        <v>-0.19883866525423732</v>
      </c>
      <c r="S120" s="16">
        <f t="shared" ca="1" si="92"/>
        <v>-0.20029004237288106</v>
      </c>
      <c r="T120" s="16">
        <f t="shared" ca="1" si="92"/>
        <v>-0.2007738347457626</v>
      </c>
      <c r="U120" s="16">
        <f t="shared" ca="1" si="92"/>
        <v>-0.19400074152542324</v>
      </c>
      <c r="V120" s="16">
        <f t="shared" ca="1" si="92"/>
        <v>-0.1915817796610173</v>
      </c>
      <c r="W120" s="16">
        <f t="shared" ca="1" si="92"/>
        <v>-0.18867902542372894</v>
      </c>
      <c r="X120" s="16">
        <f t="shared" ca="1" si="92"/>
        <v>-0.18529247881355948</v>
      </c>
    </row>
    <row r="121" spans="1:24" x14ac:dyDescent="0.25">
      <c r="A121" s="9" t="s">
        <v>1143</v>
      </c>
      <c r="B121" s="9"/>
      <c r="C121" s="13"/>
      <c r="D121" s="65">
        <f t="shared" ref="D121:X121" si="93">-SUM(D$114:D$120)</f>
        <v>-4.9750000000000005</v>
      </c>
      <c r="E121" s="65">
        <f t="shared" si="93"/>
        <v>-12.507</v>
      </c>
      <c r="F121" s="65">
        <f t="shared" si="93"/>
        <v>-8.7899999999999991</v>
      </c>
      <c r="G121" s="65">
        <f t="shared" si="93"/>
        <v>-7.6849999999999996</v>
      </c>
      <c r="H121" s="65">
        <f t="shared" si="93"/>
        <v>-11.238999999999999</v>
      </c>
      <c r="I121" s="65">
        <f t="shared" si="93"/>
        <v>-12.820999999999998</v>
      </c>
      <c r="J121" s="66">
        <f t="shared" si="93"/>
        <v>-12.293000000000001</v>
      </c>
      <c r="K121" s="66">
        <f t="shared" si="93"/>
        <v>-12.555</v>
      </c>
      <c r="L121" s="66">
        <f t="shared" si="93"/>
        <v>-12.676</v>
      </c>
      <c r="M121" s="66">
        <f t="shared" si="93"/>
        <v>-13.632999999999999</v>
      </c>
      <c r="N121" s="66">
        <f t="shared" si="93"/>
        <v>-13.933999999999999</v>
      </c>
      <c r="O121" s="92">
        <f t="shared" ca="1" si="93"/>
        <v>-14.401954209004336</v>
      </c>
      <c r="P121" s="92">
        <f t="shared" ca="1" si="93"/>
        <v>-14.866731717596361</v>
      </c>
      <c r="Q121" s="92">
        <f t="shared" ca="1" si="93"/>
        <v>-15.271292972482737</v>
      </c>
      <c r="R121" s="92">
        <f t="shared" ca="1" si="93"/>
        <v>-15.634299871376129</v>
      </c>
      <c r="S121" s="92">
        <f t="shared" ca="1" si="93"/>
        <v>-15.995031488135194</v>
      </c>
      <c r="T121" s="92">
        <f t="shared" ca="1" si="93"/>
        <v>-16.376684271955899</v>
      </c>
      <c r="U121" s="92">
        <f t="shared" ca="1" si="93"/>
        <v>-16.721579970450982</v>
      </c>
      <c r="V121" s="92">
        <f t="shared" ca="1" si="93"/>
        <v>-17.036009469868883</v>
      </c>
      <c r="W121" s="92">
        <f t="shared" ca="1" si="93"/>
        <v>-17.363745513081625</v>
      </c>
      <c r="X121" s="92">
        <f t="shared" ca="1" si="93"/>
        <v>-17.696417063640361</v>
      </c>
    </row>
    <row r="122" spans="1:24" x14ac:dyDescent="0.25">
      <c r="A122" s="11" t="s">
        <v>609</v>
      </c>
      <c r="B122" s="10" t="str">
        <f t="shared" ref="B122:B127" si="94">$B$38</f>
        <v>From Fiscal Forecasts</v>
      </c>
      <c r="C122" s="13"/>
      <c r="D122" s="35">
        <f>'Fiscal Forecasts'!D$111</f>
        <v>4.1879999999999997</v>
      </c>
      <c r="E122" s="35">
        <f>'Fiscal Forecasts'!E$111</f>
        <v>0.63100000000000001</v>
      </c>
      <c r="F122" s="35">
        <f>'Fiscal Forecasts'!F$111</f>
        <v>1.4810000000000001</v>
      </c>
      <c r="G122" s="35">
        <f>'Fiscal Forecasts'!G$111</f>
        <v>5.0270000000000001</v>
      </c>
      <c r="H122" s="35">
        <f>'Fiscal Forecasts'!H$111</f>
        <v>1.155</v>
      </c>
      <c r="I122" s="35">
        <f>'Fiscal Forecasts'!I$111</f>
        <v>3.3050000000000002</v>
      </c>
      <c r="J122" s="17">
        <f>'Fiscal Forecasts'!J$111</f>
        <v>-2.56</v>
      </c>
      <c r="K122" s="17">
        <f>'Fiscal Forecasts'!K$111</f>
        <v>1.3380000000000001</v>
      </c>
      <c r="L122" s="17">
        <f>'Fiscal Forecasts'!L$111</f>
        <v>-0.01</v>
      </c>
      <c r="M122" s="17">
        <f>'Fiscal Forecasts'!M$111</f>
        <v>1.1919999999999999</v>
      </c>
      <c r="N122" s="17">
        <f>'Fiscal Forecasts'!N$111</f>
        <v>1.5449999999999999</v>
      </c>
      <c r="O122" s="16">
        <f t="shared" ref="O122:X122" ca="1" si="95">O$363-N$363</f>
        <v>4.2002421011101845</v>
      </c>
      <c r="P122" s="16">
        <f t="shared" ca="1" si="95"/>
        <v>1.8150547992839776</v>
      </c>
      <c r="Q122" s="16">
        <f t="shared" ca="1" si="95"/>
        <v>1.8637758813322876</v>
      </c>
      <c r="R122" s="16">
        <f t="shared" ca="1" si="95"/>
        <v>1.8869478208642079</v>
      </c>
      <c r="S122" s="16">
        <f t="shared" ca="1" si="95"/>
        <v>1.9269300777456166</v>
      </c>
      <c r="T122" s="16">
        <f t="shared" ca="1" si="95"/>
        <v>1.9663144849072296</v>
      </c>
      <c r="U122" s="16">
        <f t="shared" ca="1" si="95"/>
        <v>1.9991291365301436</v>
      </c>
      <c r="V122" s="16">
        <f t="shared" ca="1" si="95"/>
        <v>2.0348328280565013</v>
      </c>
      <c r="W122" s="16">
        <f t="shared" ca="1" si="95"/>
        <v>2.0730834485657184</v>
      </c>
      <c r="X122" s="16">
        <f t="shared" ca="1" si="95"/>
        <v>2.1219787327612138</v>
      </c>
    </row>
    <row r="123" spans="1:24" x14ac:dyDescent="0.25">
      <c r="A123" s="11" t="s">
        <v>610</v>
      </c>
      <c r="B123" s="10" t="str">
        <f t="shared" si="94"/>
        <v>From Fiscal Forecasts</v>
      </c>
      <c r="C123" s="13"/>
      <c r="D123" s="35">
        <f>'Fiscal Forecasts'!D$112</f>
        <v>3.6999999999999998E-2</v>
      </c>
      <c r="E123" s="35">
        <f>'Fiscal Forecasts'!E$112</f>
        <v>2.1000000000000001E-2</v>
      </c>
      <c r="F123" s="35">
        <f>'Fiscal Forecasts'!F$112</f>
        <v>1.1259999999999999</v>
      </c>
      <c r="G123" s="35">
        <f>'Fiscal Forecasts'!G$112</f>
        <v>0.19700000000000001</v>
      </c>
      <c r="H123" s="35">
        <f>'Fiscal Forecasts'!H$112</f>
        <v>0.183</v>
      </c>
      <c r="I123" s="35">
        <f>'Fiscal Forecasts'!I$112</f>
        <v>0.21099999999999999</v>
      </c>
      <c r="J123" s="17">
        <f>'Fiscal Forecasts'!J$112</f>
        <v>-1.05</v>
      </c>
      <c r="K123" s="17">
        <f>'Fiscal Forecasts'!K$112</f>
        <v>-1.0189999999999999</v>
      </c>
      <c r="L123" s="17">
        <f>'Fiscal Forecasts'!L$112</f>
        <v>-6.7000000000000004E-2</v>
      </c>
      <c r="M123" s="17">
        <f>'Fiscal Forecasts'!M$112</f>
        <v>-0.34699999999999998</v>
      </c>
      <c r="N123" s="17">
        <f>'Fiscal Forecasts'!N$112</f>
        <v>-3.6999999999999998E-2</v>
      </c>
      <c r="O123" s="16">
        <f t="shared" ref="O123:X123" ca="1" si="96">O$413-O$341</f>
        <v>0.33801009791106412</v>
      </c>
      <c r="P123" s="16">
        <f t="shared" ca="1" si="96"/>
        <v>0.35180265179958148</v>
      </c>
      <c r="Q123" s="16">
        <f t="shared" ca="1" si="96"/>
        <v>0.35957955635343375</v>
      </c>
      <c r="R123" s="16">
        <f t="shared" ca="1" si="96"/>
        <v>0.36235710120209463</v>
      </c>
      <c r="S123" s="16">
        <f t="shared" ca="1" si="96"/>
        <v>0.35997539336294582</v>
      </c>
      <c r="T123" s="16">
        <f t="shared" ca="1" si="96"/>
        <v>0.35144569798214537</v>
      </c>
      <c r="U123" s="16">
        <f t="shared" ca="1" si="96"/>
        <v>0.33481560878051553</v>
      </c>
      <c r="V123" s="16">
        <f t="shared" ca="1" si="96"/>
        <v>0.31307080266007081</v>
      </c>
      <c r="W123" s="16">
        <f t="shared" ca="1" si="96"/>
        <v>0.28921156816507315</v>
      </c>
      <c r="X123" s="16">
        <f t="shared" ca="1" si="96"/>
        <v>0.26117868180295678</v>
      </c>
    </row>
    <row r="124" spans="1:24" x14ac:dyDescent="0.25">
      <c r="A124" s="11" t="s">
        <v>611</v>
      </c>
      <c r="B124" s="10" t="str">
        <f t="shared" si="94"/>
        <v>From Fiscal Forecasts</v>
      </c>
      <c r="C124" s="13"/>
      <c r="D124" s="35">
        <f>'Fiscal Forecasts'!D$113</f>
        <v>0.17499999999999999</v>
      </c>
      <c r="E124" s="35">
        <f>'Fiscal Forecasts'!E$113</f>
        <v>0.254</v>
      </c>
      <c r="F124" s="35">
        <f>'Fiscal Forecasts'!F$113</f>
        <v>0.42099999999999999</v>
      </c>
      <c r="G124" s="35">
        <f>'Fiscal Forecasts'!G$113</f>
        <v>0.874</v>
      </c>
      <c r="H124" s="35">
        <f>'Fiscal Forecasts'!H$113</f>
        <v>-2.7E-2</v>
      </c>
      <c r="I124" s="35">
        <f>'Fiscal Forecasts'!I$113</f>
        <v>-0.18</v>
      </c>
      <c r="J124" s="17">
        <f>'Fiscal Forecasts'!J$113</f>
        <v>0.54400000000000004</v>
      </c>
      <c r="K124" s="17">
        <f>'Fiscal Forecasts'!K$113</f>
        <v>0.112</v>
      </c>
      <c r="L124" s="17">
        <f>'Fiscal Forecasts'!L$113</f>
        <v>4.2000000000000003E-2</v>
      </c>
      <c r="M124" s="17">
        <f>'Fiscal Forecasts'!M$113</f>
        <v>-7.0999999999999994E-2</v>
      </c>
      <c r="N124" s="17">
        <f>'Fiscal Forecasts'!N$113</f>
        <v>-9.2999999999999999E-2</v>
      </c>
      <c r="O124" s="16">
        <f t="shared" ref="O124:X124" ca="1" si="97">O$420-N$420</f>
        <v>3.4920000000000062E-2</v>
      </c>
      <c r="P124" s="16">
        <f t="shared" ca="1" si="97"/>
        <v>3.5618399999999717E-2</v>
      </c>
      <c r="Q124" s="16">
        <f t="shared" ca="1" si="97"/>
        <v>3.6330768000000013E-2</v>
      </c>
      <c r="R124" s="16">
        <f t="shared" ca="1" si="97"/>
        <v>3.7057383360000085E-2</v>
      </c>
      <c r="S124" s="16">
        <f t="shared" ca="1" si="97"/>
        <v>3.7798531027199989E-2</v>
      </c>
      <c r="T124" s="16">
        <f t="shared" ca="1" si="97"/>
        <v>3.855450164774421E-2</v>
      </c>
      <c r="U124" s="16">
        <f t="shared" ca="1" si="97"/>
        <v>3.9325591680698935E-2</v>
      </c>
      <c r="V124" s="16">
        <f t="shared" ca="1" si="97"/>
        <v>4.0112103514312825E-2</v>
      </c>
      <c r="W124" s="16">
        <f t="shared" ca="1" si="97"/>
        <v>4.0914345584599054E-2</v>
      </c>
      <c r="X124" s="16">
        <f t="shared" ca="1" si="97"/>
        <v>4.1732632496291E-2</v>
      </c>
    </row>
    <row r="125" spans="1:24" x14ac:dyDescent="0.25">
      <c r="A125" s="11" t="s">
        <v>612</v>
      </c>
      <c r="B125" s="10" t="str">
        <f t="shared" si="94"/>
        <v>From Fiscal Forecasts</v>
      </c>
      <c r="C125" s="13"/>
      <c r="D125" s="35">
        <f>'Fiscal Forecasts'!D$114</f>
        <v>3.5999999999999997E-2</v>
      </c>
      <c r="E125" s="35">
        <f>'Fiscal Forecasts'!E$114</f>
        <v>0.108</v>
      </c>
      <c r="F125" s="35">
        <f>'Fiscal Forecasts'!F$114</f>
        <v>6.3E-2</v>
      </c>
      <c r="G125" s="35">
        <f>'Fiscal Forecasts'!G$114</f>
        <v>0.30299999999999999</v>
      </c>
      <c r="H125" s="35">
        <f>'Fiscal Forecasts'!H$114</f>
        <v>0.113</v>
      </c>
      <c r="I125" s="35">
        <f>'Fiscal Forecasts'!I$114</f>
        <v>0.30499999999999999</v>
      </c>
      <c r="J125" s="17">
        <f>'Fiscal Forecasts'!J$114</f>
        <v>0.58199999999999996</v>
      </c>
      <c r="K125" s="17">
        <f>'Fiscal Forecasts'!K$114</f>
        <v>-0.17799999999999999</v>
      </c>
      <c r="L125" s="17">
        <f>'Fiscal Forecasts'!L$114</f>
        <v>0.109</v>
      </c>
      <c r="M125" s="17">
        <f>'Fiscal Forecasts'!M$114</f>
        <v>0.107</v>
      </c>
      <c r="N125" s="17">
        <f>'Fiscal Forecasts'!N$114</f>
        <v>1.4999999999999999E-2</v>
      </c>
      <c r="O125" s="16">
        <f t="shared" ref="O125:X125" ca="1" si="98">O$424-N$424</f>
        <v>5.4840000000000444E-2</v>
      </c>
      <c r="P125" s="16">
        <f t="shared" ca="1" si="98"/>
        <v>5.5936799999999565E-2</v>
      </c>
      <c r="Q125" s="16">
        <f t="shared" ca="1" si="98"/>
        <v>5.7055536000000018E-2</v>
      </c>
      <c r="R125" s="16">
        <f t="shared" ca="1" si="98"/>
        <v>5.8196646719999912E-2</v>
      </c>
      <c r="S125" s="16">
        <f t="shared" ca="1" si="98"/>
        <v>5.9360579654399892E-2</v>
      </c>
      <c r="T125" s="16">
        <f t="shared" ca="1" si="98"/>
        <v>6.0547791247488547E-2</v>
      </c>
      <c r="U125" s="16">
        <f t="shared" ca="1" si="98"/>
        <v>6.1758747072437892E-2</v>
      </c>
      <c r="V125" s="16">
        <f t="shared" ca="1" si="98"/>
        <v>6.2993922013887094E-2</v>
      </c>
      <c r="W125" s="16">
        <f t="shared" ca="1" si="98"/>
        <v>6.4253800454164178E-2</v>
      </c>
      <c r="X125" s="16">
        <f t="shared" ca="1" si="98"/>
        <v>6.5538876463246964E-2</v>
      </c>
    </row>
    <row r="126" spans="1:24" x14ac:dyDescent="0.25">
      <c r="A126" s="11" t="s">
        <v>1168</v>
      </c>
      <c r="B126" s="10" t="str">
        <f t="shared" si="94"/>
        <v>From Fiscal Forecasts</v>
      </c>
      <c r="C126" s="13"/>
      <c r="D126" s="35">
        <f>-'Fiscal Forecasts'!D$115</f>
        <v>9.7000000000000003E-2</v>
      </c>
      <c r="E126" s="35">
        <f>-'Fiscal Forecasts'!E$115</f>
        <v>6.8000000000000005E-2</v>
      </c>
      <c r="F126" s="35">
        <f>-'Fiscal Forecasts'!F$115</f>
        <v>-0.04</v>
      </c>
      <c r="G126" s="35">
        <f>-'Fiscal Forecasts'!G$115</f>
        <v>0.81899999999999995</v>
      </c>
      <c r="H126" s="35">
        <f>-'Fiscal Forecasts'!H$115</f>
        <v>0.24399999999999999</v>
      </c>
      <c r="I126" s="35">
        <f>-'Fiscal Forecasts'!I$115</f>
        <v>-0.158</v>
      </c>
      <c r="J126" s="17">
        <f>-'Fiscal Forecasts'!J$115</f>
        <v>0.183</v>
      </c>
      <c r="K126" s="17">
        <f>-'Fiscal Forecasts'!K$115</f>
        <v>7.0000000000000001E-3</v>
      </c>
      <c r="L126" s="17">
        <f>-'Fiscal Forecasts'!L$115</f>
        <v>9.0999999999999998E-2</v>
      </c>
      <c r="M126" s="17">
        <f>-'Fiscal Forecasts'!M$115</f>
        <v>2.4E-2</v>
      </c>
      <c r="N126" s="17">
        <f>-'Fiscal Forecasts'!N$115</f>
        <v>6.4000000000000001E-2</v>
      </c>
      <c r="O126" s="16">
        <f t="shared" ref="O126:X126" ca="1" si="99">O$465-N$465</f>
        <v>8.9760000000000506E-2</v>
      </c>
      <c r="P126" s="16">
        <f t="shared" ca="1" si="99"/>
        <v>9.1555199999998838E-2</v>
      </c>
      <c r="Q126" s="16">
        <f t="shared" ca="1" si="99"/>
        <v>9.3386304000000031E-2</v>
      </c>
      <c r="R126" s="16">
        <f t="shared" ca="1" si="99"/>
        <v>9.5254030079999552E-2</v>
      </c>
      <c r="S126" s="16">
        <f t="shared" ca="1" si="99"/>
        <v>9.7159110681600325E-2</v>
      </c>
      <c r="T126" s="16">
        <f t="shared" ca="1" si="99"/>
        <v>9.9102292895232758E-2</v>
      </c>
      <c r="U126" s="16">
        <f t="shared" ca="1" si="99"/>
        <v>0.10108433875313683</v>
      </c>
      <c r="V126" s="16">
        <f t="shared" ca="1" si="99"/>
        <v>0.10310602552820036</v>
      </c>
      <c r="W126" s="16">
        <f t="shared" ca="1" si="99"/>
        <v>0.10516814603876323</v>
      </c>
      <c r="X126" s="16">
        <f t="shared" ca="1" si="99"/>
        <v>0.10727150895953841</v>
      </c>
    </row>
    <row r="127" spans="1:24" x14ac:dyDescent="0.25">
      <c r="A127" s="11" t="s">
        <v>1169</v>
      </c>
      <c r="B127" s="10" t="str">
        <f t="shared" si="94"/>
        <v>From Fiscal Forecasts</v>
      </c>
      <c r="C127" s="13"/>
      <c r="D127" s="35">
        <f>-'Fiscal Forecasts'!D$116</f>
        <v>2.5710000000000002</v>
      </c>
      <c r="E127" s="35">
        <f>-'Fiscal Forecasts'!E$116</f>
        <v>0.95599999999999996</v>
      </c>
      <c r="F127" s="35">
        <f>-'Fiscal Forecasts'!F$116</f>
        <v>1.8320000000000001</v>
      </c>
      <c r="G127" s="35">
        <f>-'Fiscal Forecasts'!G$116</f>
        <v>1.849</v>
      </c>
      <c r="H127" s="35">
        <f>-'Fiscal Forecasts'!H$116</f>
        <v>3.2770000000000001</v>
      </c>
      <c r="I127" s="35">
        <f>-'Fiscal Forecasts'!I$116</f>
        <v>1.3859999999999999</v>
      </c>
      <c r="J127" s="17">
        <f>-'Fiscal Forecasts'!J$116</f>
        <v>-3.661</v>
      </c>
      <c r="K127" s="17">
        <f>-'Fiscal Forecasts'!K$116</f>
        <v>-0.70799999999999996</v>
      </c>
      <c r="L127" s="17">
        <f>-'Fiscal Forecasts'!L$116</f>
        <v>-0.61799999999999999</v>
      </c>
      <c r="M127" s="17">
        <f>-'Fiscal Forecasts'!M$116</f>
        <v>-0.40500000000000003</v>
      </c>
      <c r="N127" s="17">
        <f>-'Fiscal Forecasts'!N$116</f>
        <v>8.1000000000000003E-2</v>
      </c>
      <c r="O127" s="16">
        <f t="shared" ref="O127:X127" ca="1" si="100">SUM(O$461-N$461,O$486-N$486)</f>
        <v>3.6908631092854733</v>
      </c>
      <c r="P127" s="16">
        <f t="shared" ca="1" si="100"/>
        <v>1.2486830554107087</v>
      </c>
      <c r="Q127" s="16">
        <f t="shared" ca="1" si="100"/>
        <v>1.2799370717726362</v>
      </c>
      <c r="R127" s="16">
        <f t="shared" ca="1" si="100"/>
        <v>1.301413551566224</v>
      </c>
      <c r="S127" s="16">
        <f t="shared" ca="1" si="100"/>
        <v>1.3286266617480607</v>
      </c>
      <c r="T127" s="16">
        <f t="shared" ca="1" si="100"/>
        <v>1.3561634222771737</v>
      </c>
      <c r="U127" s="16">
        <f t="shared" ca="1" si="100"/>
        <v>1.3807857858069852</v>
      </c>
      <c r="V127" s="16">
        <f t="shared" ca="1" si="100"/>
        <v>1.4072091510187086</v>
      </c>
      <c r="W127" s="16">
        <f t="shared" ca="1" si="100"/>
        <v>1.4363550600407855</v>
      </c>
      <c r="X127" s="16">
        <f t="shared" ca="1" si="100"/>
        <v>1.4713152537757992</v>
      </c>
    </row>
    <row r="128" spans="1:24" x14ac:dyDescent="0.25">
      <c r="A128" s="9" t="s">
        <v>615</v>
      </c>
      <c r="B128" s="9"/>
      <c r="C128" s="13"/>
      <c r="D128" s="65">
        <f t="shared" ref="D128:X128" si="101">SUM(D$122:D$125)-SUM(D$126:D$127)</f>
        <v>1.7679999999999989</v>
      </c>
      <c r="E128" s="65">
        <f t="shared" si="101"/>
        <v>-1.0000000000000009E-2</v>
      </c>
      <c r="F128" s="65">
        <f t="shared" si="101"/>
        <v>1.2990000000000002</v>
      </c>
      <c r="G128" s="65">
        <f t="shared" si="101"/>
        <v>3.7329999999999997</v>
      </c>
      <c r="H128" s="65">
        <f t="shared" si="101"/>
        <v>-2.0969999999999995</v>
      </c>
      <c r="I128" s="65">
        <f t="shared" si="101"/>
        <v>2.4130000000000003</v>
      </c>
      <c r="J128" s="66">
        <f t="shared" si="101"/>
        <v>0.99399999999999977</v>
      </c>
      <c r="K128" s="66">
        <f t="shared" si="101"/>
        <v>0.95400000000000018</v>
      </c>
      <c r="L128" s="66">
        <f t="shared" si="101"/>
        <v>0.60099999999999998</v>
      </c>
      <c r="M128" s="66">
        <f t="shared" si="101"/>
        <v>1.262</v>
      </c>
      <c r="N128" s="66">
        <f t="shared" si="101"/>
        <v>1.2849999999999999</v>
      </c>
      <c r="O128" s="92">
        <f t="shared" ca="1" si="101"/>
        <v>0.84738908973577542</v>
      </c>
      <c r="P128" s="92">
        <f t="shared" ca="1" si="101"/>
        <v>0.91817439567285097</v>
      </c>
      <c r="Q128" s="92">
        <f t="shared" ca="1" si="101"/>
        <v>0.94341836591308503</v>
      </c>
      <c r="R128" s="92">
        <f t="shared" ca="1" si="101"/>
        <v>0.94789137050007888</v>
      </c>
      <c r="S128" s="92">
        <f t="shared" ca="1" si="101"/>
        <v>0.95827880936050125</v>
      </c>
      <c r="T128" s="92">
        <f t="shared" ca="1" si="101"/>
        <v>0.96159676061220134</v>
      </c>
      <c r="U128" s="92">
        <f t="shared" ca="1" si="101"/>
        <v>0.95315895950367402</v>
      </c>
      <c r="V128" s="92">
        <f t="shared" ca="1" si="101"/>
        <v>0.94069447969786291</v>
      </c>
      <c r="W128" s="92">
        <f t="shared" ca="1" si="101"/>
        <v>0.92593995669000595</v>
      </c>
      <c r="X128" s="92">
        <f t="shared" ca="1" si="101"/>
        <v>0.9118421607883711</v>
      </c>
    </row>
    <row r="129" spans="1:24" x14ac:dyDescent="0.25">
      <c r="A129" s="9" t="s">
        <v>1144</v>
      </c>
      <c r="B129" s="9"/>
      <c r="C129" s="13"/>
      <c r="D129" s="65">
        <f t="shared" ref="D129:X129" si="102">SUM(D$99,D$113,D$121,D$128)</f>
        <v>0.38899999999999846</v>
      </c>
      <c r="E129" s="65">
        <f t="shared" si="102"/>
        <v>-30.040000000000003</v>
      </c>
      <c r="F129" s="65">
        <f t="shared" si="102"/>
        <v>16.159000000000013</v>
      </c>
      <c r="G129" s="65">
        <f t="shared" si="102"/>
        <v>-16.932000000000009</v>
      </c>
      <c r="H129" s="65">
        <f t="shared" si="102"/>
        <v>5.3209999999999802</v>
      </c>
      <c r="I129" s="65">
        <f t="shared" si="102"/>
        <v>-8.3650000000000375</v>
      </c>
      <c r="J129" s="66">
        <f t="shared" ca="1" si="102"/>
        <v>-5.4930000000000057</v>
      </c>
      <c r="K129" s="66">
        <f t="shared" ca="1" si="102"/>
        <v>-9.8839999999999826</v>
      </c>
      <c r="L129" s="66">
        <f t="shared" ca="1" si="102"/>
        <v>-5.6649999999999565</v>
      </c>
      <c r="M129" s="66">
        <f t="shared" ca="1" si="102"/>
        <v>-3.900000000003212E-2</v>
      </c>
      <c r="N129" s="66">
        <f t="shared" ca="1" si="102"/>
        <v>4.0710000000000068</v>
      </c>
      <c r="O129" s="92">
        <f t="shared" ca="1" si="102"/>
        <v>5.6390742169324959</v>
      </c>
      <c r="P129" s="92">
        <f t="shared" ca="1" si="102"/>
        <v>8.2199718212984045</v>
      </c>
      <c r="Q129" s="92">
        <f t="shared" ca="1" si="102"/>
        <v>10.785399695870311</v>
      </c>
      <c r="R129" s="92">
        <f t="shared" ca="1" si="102"/>
        <v>13.335955807291937</v>
      </c>
      <c r="S129" s="92">
        <f t="shared" ca="1" si="102"/>
        <v>16.076847481693303</v>
      </c>
      <c r="T129" s="92">
        <f t="shared" ca="1" si="102"/>
        <v>19.090433174193802</v>
      </c>
      <c r="U129" s="92">
        <f t="shared" ca="1" si="102"/>
        <v>22.190093034848353</v>
      </c>
      <c r="V129" s="92">
        <f t="shared" ca="1" si="102"/>
        <v>25.119356767760792</v>
      </c>
      <c r="W129" s="92">
        <f t="shared" ca="1" si="102"/>
        <v>27.90667313874631</v>
      </c>
      <c r="X129" s="92">
        <f t="shared" ca="1" si="102"/>
        <v>30.832382014372083</v>
      </c>
    </row>
    <row r="130" spans="1:24" x14ac:dyDescent="0.25">
      <c r="A130" s="55" t="s">
        <v>1162</v>
      </c>
      <c r="B130" s="9"/>
      <c r="C130" s="13"/>
      <c r="D130" s="91" t="str">
        <f t="shared" ref="D130:X130" ca="1" si="103">IF(ROUND(D$39-D$129,3)=0,"OK","ERROR")</f>
        <v>OK</v>
      </c>
      <c r="E130" s="91" t="str">
        <f t="shared" ca="1" si="103"/>
        <v>OK</v>
      </c>
      <c r="F130" s="91" t="str">
        <f t="shared" ca="1" si="103"/>
        <v>OK</v>
      </c>
      <c r="G130" s="91" t="str">
        <f t="shared" ca="1" si="103"/>
        <v>OK</v>
      </c>
      <c r="H130" s="91" t="str">
        <f t="shared" ca="1" si="103"/>
        <v>OK</v>
      </c>
      <c r="I130" s="91" t="str">
        <f t="shared" ca="1" si="103"/>
        <v>OK</v>
      </c>
      <c r="J130" s="91" t="str">
        <f t="shared" ca="1" si="103"/>
        <v>OK</v>
      </c>
      <c r="K130" s="91" t="str">
        <f t="shared" ca="1" si="103"/>
        <v>OK</v>
      </c>
      <c r="L130" s="91" t="str">
        <f t="shared" ca="1" si="103"/>
        <v>OK</v>
      </c>
      <c r="M130" s="91" t="str">
        <f t="shared" ca="1" si="103"/>
        <v>OK</v>
      </c>
      <c r="N130" s="91" t="str">
        <f t="shared" ca="1" si="103"/>
        <v>OK</v>
      </c>
      <c r="O130" s="91" t="str">
        <f t="shared" ca="1" si="103"/>
        <v>OK</v>
      </c>
      <c r="P130" s="91" t="str">
        <f t="shared" ca="1" si="103"/>
        <v>OK</v>
      </c>
      <c r="Q130" s="91" t="str">
        <f t="shared" ca="1" si="103"/>
        <v>OK</v>
      </c>
      <c r="R130" s="91" t="str">
        <f t="shared" ca="1" si="103"/>
        <v>OK</v>
      </c>
      <c r="S130" s="91" t="str">
        <f t="shared" ca="1" si="103"/>
        <v>OK</v>
      </c>
      <c r="T130" s="91" t="str">
        <f t="shared" ca="1" si="103"/>
        <v>OK</v>
      </c>
      <c r="U130" s="91" t="str">
        <f t="shared" ca="1" si="103"/>
        <v>OK</v>
      </c>
      <c r="V130" s="91" t="str">
        <f t="shared" ca="1" si="103"/>
        <v>OK</v>
      </c>
      <c r="W130" s="91" t="str">
        <f t="shared" ca="1" si="103"/>
        <v>OK</v>
      </c>
      <c r="X130" s="91" t="str">
        <f t="shared" ca="1" si="103"/>
        <v>OK</v>
      </c>
    </row>
    <row r="131" spans="1:24" x14ac:dyDescent="0.25">
      <c r="A131" s="9"/>
      <c r="B131" s="9"/>
      <c r="C131" s="13"/>
      <c r="D131" s="36"/>
      <c r="E131" s="36"/>
      <c r="F131" s="36"/>
      <c r="G131" s="36"/>
      <c r="H131" s="36"/>
      <c r="I131" s="36"/>
      <c r="J131" s="19"/>
      <c r="K131" s="19"/>
      <c r="L131" s="19"/>
      <c r="M131" s="19"/>
      <c r="N131" s="19"/>
      <c r="O131" s="18"/>
      <c r="P131" s="18"/>
      <c r="Q131" s="18"/>
      <c r="R131" s="18"/>
      <c r="S131" s="18"/>
      <c r="T131" s="18"/>
      <c r="U131" s="18"/>
      <c r="V131" s="18"/>
      <c r="W131" s="18"/>
      <c r="X131" s="18"/>
    </row>
    <row r="132" spans="1:24" x14ac:dyDescent="0.25">
      <c r="A132" s="12" t="s">
        <v>847</v>
      </c>
      <c r="B132" s="9"/>
      <c r="C132" s="13"/>
      <c r="D132" s="40"/>
      <c r="E132" s="40"/>
      <c r="F132" s="40"/>
      <c r="G132" s="40"/>
      <c r="H132" s="40"/>
      <c r="I132" s="40"/>
    </row>
    <row r="133" spans="1:24" x14ac:dyDescent="0.25">
      <c r="A133" s="9" t="s">
        <v>694</v>
      </c>
      <c r="B133" s="9"/>
      <c r="C133" s="13"/>
      <c r="D133" s="40"/>
      <c r="E133" s="40"/>
      <c r="F133" s="40"/>
      <c r="G133" s="40"/>
      <c r="H133" s="40"/>
      <c r="I133" s="40"/>
    </row>
    <row r="134" spans="1:24" x14ac:dyDescent="0.25">
      <c r="A134" s="11" t="s">
        <v>848</v>
      </c>
      <c r="B134" s="10" t="str">
        <f t="shared" ref="B134:B139" si="104">$B$38</f>
        <v>From Fiscal Forecasts</v>
      </c>
      <c r="C134" s="13"/>
      <c r="D134" s="35">
        <f>'Fiscal Forecasts'!D$220</f>
        <v>32.878999999999998</v>
      </c>
      <c r="E134" s="35">
        <f>'Fiscal Forecasts'!E$220</f>
        <v>34.963000000000001</v>
      </c>
      <c r="F134" s="35">
        <f>'Fiscal Forecasts'!F$220</f>
        <v>38.164000000000001</v>
      </c>
      <c r="G134" s="35">
        <f>'Fiscal Forecasts'!G$220</f>
        <v>42.448</v>
      </c>
      <c r="H134" s="35">
        <f>'Fiscal Forecasts'!H$220</f>
        <v>47.386000000000003</v>
      </c>
      <c r="I134" s="35">
        <f>'Fiscal Forecasts'!I$220</f>
        <v>52.283000000000001</v>
      </c>
      <c r="J134" s="17">
        <f>'Fiscal Forecasts'!J$220</f>
        <v>52.734000000000002</v>
      </c>
      <c r="K134" s="17">
        <f>'Fiscal Forecasts'!K$220</f>
        <v>55.243000000000002</v>
      </c>
      <c r="L134" s="17">
        <f>'Fiscal Forecasts'!L$220</f>
        <v>58.265999999999998</v>
      </c>
      <c r="M134" s="17">
        <f>'Fiscal Forecasts'!M$220</f>
        <v>61.514000000000003</v>
      </c>
      <c r="N134" s="17">
        <f>'Fiscal Forecasts'!N$220</f>
        <v>65.031999999999996</v>
      </c>
      <c r="O134" s="16">
        <f ca="1">N$134*(1+O$17)*(1+IF(O$6&lt;OFFSET(Assumptions!$B$8,0,$C$1)+OFFSET(Assumptions!$B$29,0,$C$1)="Yes",OFFSET(Assumptions!$B$30,0,$C$1),1)*O$26)</f>
        <v>67.666933667365313</v>
      </c>
      <c r="P134" s="16">
        <f ca="1">O$134*(1+P$17)*(1+IF(P$6&lt;OFFSET(Assumptions!$B$8,0,$C$1)+OFFSET(Assumptions!$B$29,0,$C$1)="Yes",OFFSET(Assumptions!$B$30,0,$C$1),1)*P$26)</f>
        <v>70.382669882235248</v>
      </c>
      <c r="Q134" s="16">
        <f ca="1">P$134*(1+Q$17)*(1+IF(Q$6&lt;OFFSET(Assumptions!$B$8,0,$C$1)+OFFSET(Assumptions!$B$29,0,$C$1)="Yes",OFFSET(Assumptions!$B$30,0,$C$1),1)*Q$26)</f>
        <v>73.180737795712076</v>
      </c>
      <c r="R134" s="16">
        <f ca="1">Q$134*(1+R$17)*(1+IF(R$6&lt;OFFSET(Assumptions!$B$8,0,$C$1)+OFFSET(Assumptions!$B$29,0,$C$1)="Yes",OFFSET(Assumptions!$B$30,0,$C$1),1)*R$26)</f>
        <v>76.062339138307749</v>
      </c>
      <c r="S134" s="16">
        <f ca="1">R$134*(1+S$17)*(1+IF(S$6&lt;OFFSET(Assumptions!$B$8,0,$C$1)+OFFSET(Assumptions!$B$29,0,$C$1)="Yes",OFFSET(Assumptions!$B$30,0,$C$1),1)*S$26)</f>
        <v>79.007478813698654</v>
      </c>
      <c r="T134" s="16">
        <f ca="1">S$134*(1+T$17)*(1+IF(T$6&lt;OFFSET(Assumptions!$B$8,0,$C$1)+OFFSET(Assumptions!$B$29,0,$C$1)="Yes",OFFSET(Assumptions!$B$30,0,$C$1),1)*T$26)</f>
        <v>82.011662275416356</v>
      </c>
      <c r="U134" s="16">
        <f ca="1">T$134*(1+U$17)*(1+IF(U$6&lt;OFFSET(Assumptions!$B$8,0,$C$1)+OFFSET(Assumptions!$B$29,0,$C$1)="Yes",OFFSET(Assumptions!$B$30,0,$C$1),1)*U$26)</f>
        <v>85.055900671755111</v>
      </c>
      <c r="V134" s="16">
        <f ca="1">U$134*(1+V$17)*(1+IF(V$6&lt;OFFSET(Assumptions!$B$8,0,$C$1)+OFFSET(Assumptions!$B$29,0,$C$1)="Yes",OFFSET(Assumptions!$B$30,0,$C$1),1)*V$26)</f>
        <v>88.145908604954769</v>
      </c>
      <c r="W134" s="16">
        <f ca="1">V$134*(1+W$17)*(1+IF(W$6&lt;OFFSET(Assumptions!$B$8,0,$C$1)+OFFSET(Assumptions!$B$29,0,$C$1)="Yes",OFFSET(Assumptions!$B$30,0,$C$1),1)*W$26)</f>
        <v>91.281570952177546</v>
      </c>
      <c r="X134" s="16">
        <f ca="1">W$134*(1+X$17)*(1+IF(X$6&lt;OFFSET(Assumptions!$B$8,0,$C$1)+OFFSET(Assumptions!$B$29,0,$C$1)="Yes",OFFSET(Assumptions!$B$30,0,$C$1),1)*X$26)</f>
        <v>94.486516589216393</v>
      </c>
    </row>
    <row r="135" spans="1:24" x14ac:dyDescent="0.25">
      <c r="A135" s="11" t="s">
        <v>849</v>
      </c>
      <c r="B135" s="10" t="str">
        <f t="shared" si="104"/>
        <v>From Fiscal Forecasts</v>
      </c>
      <c r="C135" s="13"/>
      <c r="D135" s="35">
        <f>'Fiscal Forecasts'!D$221</f>
        <v>8.3160000000000007</v>
      </c>
      <c r="E135" s="35">
        <f>'Fiscal Forecasts'!E$221</f>
        <v>8.1910000000000007</v>
      </c>
      <c r="F135" s="35">
        <f>'Fiscal Forecasts'!F$221</f>
        <v>10.183999999999999</v>
      </c>
      <c r="G135" s="35">
        <f>'Fiscal Forecasts'!G$221</f>
        <v>12.015000000000001</v>
      </c>
      <c r="H135" s="35">
        <f>'Fiscal Forecasts'!H$221</f>
        <v>11.71</v>
      </c>
      <c r="I135" s="35">
        <f>'Fiscal Forecasts'!I$221</f>
        <v>14.042999999999999</v>
      </c>
      <c r="J135" s="17">
        <f>'Fiscal Forecasts'!J$221</f>
        <v>13.619</v>
      </c>
      <c r="K135" s="17">
        <f>'Fiscal Forecasts'!K$221</f>
        <v>13.744</v>
      </c>
      <c r="L135" s="17">
        <f>'Fiscal Forecasts'!L$221</f>
        <v>13.545</v>
      </c>
      <c r="M135" s="17">
        <f>'Fiscal Forecasts'!M$221</f>
        <v>13.956</v>
      </c>
      <c r="N135" s="17">
        <f>'Fiscal Forecasts'!N$221</f>
        <v>14.414</v>
      </c>
      <c r="O135" s="16">
        <f ca="1">N$135*(1+O$17)*(1+IF(O$6&lt;OFFSET(Assumptions!$B$8,0,$C$1)+OFFSET(Assumptions!$B$29,0,$C$1)="Yes",OFFSET(Assumptions!$B$30,0,$C$1),1)*O$26)</f>
        <v>14.998019157974591</v>
      </c>
      <c r="P135" s="16">
        <f ca="1">O$135*(1+P$17)*(1+IF(P$6&lt;OFFSET(Assumptions!$B$8,0,$C$1)+OFFSET(Assumptions!$B$29,0,$C$1)="Yes",OFFSET(Assumptions!$B$30,0,$C$1),1)*P$26)</f>
        <v>15.599947774673065</v>
      </c>
      <c r="Q135" s="16">
        <f ca="1">P$135*(1+Q$17)*(1+IF(Q$6&lt;OFFSET(Assumptions!$B$8,0,$C$1)+OFFSET(Assumptions!$B$29,0,$C$1)="Yes",OFFSET(Assumptions!$B$30,0,$C$1),1)*Q$26)</f>
        <v>16.220124778376704</v>
      </c>
      <c r="R135" s="16">
        <f ca="1">Q$135*(1+R$17)*(1+IF(R$6&lt;OFFSET(Assumptions!$B$8,0,$C$1)+OFFSET(Assumptions!$B$29,0,$C$1)="Yes",OFFSET(Assumptions!$B$30,0,$C$1),1)*R$26)</f>
        <v>16.858816526318858</v>
      </c>
      <c r="S135" s="16">
        <f ca="1">R$135*(1+S$17)*(1+IF(S$6&lt;OFFSET(Assumptions!$B$8,0,$C$1)+OFFSET(Assumptions!$B$29,0,$C$1)="Yes",OFFSET(Assumptions!$B$30,0,$C$1),1)*S$26)</f>
        <v>17.511591210798567</v>
      </c>
      <c r="T135" s="16">
        <f ca="1">S$135*(1+T$17)*(1+IF(T$6&lt;OFFSET(Assumptions!$B$8,0,$C$1)+OFFSET(Assumptions!$B$29,0,$C$1)="Yes",OFFSET(Assumptions!$B$30,0,$C$1),1)*T$26)</f>
        <v>18.17745263928299</v>
      </c>
      <c r="U135" s="16">
        <f ca="1">T$135*(1+U$17)*(1+IF(U$6&lt;OFFSET(Assumptions!$B$8,0,$C$1)+OFFSET(Assumptions!$B$29,0,$C$1)="Yes",OFFSET(Assumptions!$B$30,0,$C$1),1)*U$26)</f>
        <v>18.852192032886553</v>
      </c>
      <c r="V135" s="16">
        <f ca="1">U$135*(1+V$17)*(1+IF(V$6&lt;OFFSET(Assumptions!$B$8,0,$C$1)+OFFSET(Assumptions!$B$29,0,$C$1)="Yes",OFFSET(Assumptions!$B$30,0,$C$1),1)*V$26)</f>
        <v>19.537076003072613</v>
      </c>
      <c r="W135" s="16">
        <f ca="1">V$135*(1+W$17)*(1+IF(W$6&lt;OFFSET(Assumptions!$B$8,0,$C$1)+OFFSET(Assumptions!$B$29,0,$C$1)="Yes",OFFSET(Assumptions!$B$30,0,$C$1),1)*W$26)</f>
        <v>20.232079033471017</v>
      </c>
      <c r="X135" s="16">
        <f ca="1">W$135*(1+X$17)*(1+IF(X$6&lt;OFFSET(Assumptions!$B$8,0,$C$1)+OFFSET(Assumptions!$B$29,0,$C$1)="Yes",OFFSET(Assumptions!$B$30,0,$C$1),1)*X$26)</f>
        <v>20.942438339847538</v>
      </c>
    </row>
    <row r="136" spans="1:24" x14ac:dyDescent="0.25">
      <c r="A136" s="11" t="s">
        <v>852</v>
      </c>
      <c r="B136" s="10" t="str">
        <f t="shared" si="104"/>
        <v>From Fiscal Forecasts</v>
      </c>
      <c r="C136" s="64" cm="1">
        <f t="array" aca="1" ref="C136" ca="1">SUMPRODUCT(OFFSET($N$136,0,0,1,-OFFSET(Assumptions!$B$33,0,$C$1))/OFFSET($N$13,0,0,1,-OFFSET(Assumptions!$B$33,0,$C$1)))/OFFSET(Assumptions!$B$33,0,$C$1)</f>
        <v>4.2272263426074277E-2</v>
      </c>
      <c r="D136" s="35">
        <f>'Fiscal Forecasts'!D$222</f>
        <v>15.199</v>
      </c>
      <c r="E136" s="35">
        <f>'Fiscal Forecasts'!E$222</f>
        <v>12.103999999999999</v>
      </c>
      <c r="F136" s="35">
        <f>'Fiscal Forecasts'!F$222</f>
        <v>15.768000000000001</v>
      </c>
      <c r="G136" s="35">
        <f>'Fiscal Forecasts'!G$222</f>
        <v>19.896000000000001</v>
      </c>
      <c r="H136" s="35">
        <f>'Fiscal Forecasts'!H$222</f>
        <v>17.978000000000002</v>
      </c>
      <c r="I136" s="35">
        <f>'Fiscal Forecasts'!I$222</f>
        <v>16.908999999999999</v>
      </c>
      <c r="J136" s="17">
        <f>'Fiscal Forecasts'!J$222</f>
        <v>16.321999999999999</v>
      </c>
      <c r="K136" s="17">
        <f>'Fiscal Forecasts'!K$222</f>
        <v>16.748000000000001</v>
      </c>
      <c r="L136" s="17">
        <f>'Fiscal Forecasts'!L$222</f>
        <v>19.547000000000001</v>
      </c>
      <c r="M136" s="17">
        <f>'Fiscal Forecasts'!M$222</f>
        <v>20.765999999999998</v>
      </c>
      <c r="N136" s="17">
        <f>'Fiscal Forecasts'!N$222</f>
        <v>22.405999999999999</v>
      </c>
      <c r="O136" s="16">
        <f ca="1">(N$136/N$13+MIN(ABS($C$136-N$136/N$13),OFFSET(Assumptions!$B$34,0,$C$1))*SIGN($C$136-N$136/N$13))*O$13</f>
        <v>23.111792604654376</v>
      </c>
      <c r="P136" s="16">
        <f ca="1">(O$136/O$13+MIN(ABS($C$136-O$136/O$13),OFFSET(Assumptions!$B$34,0,$C$1))*SIGN($C$136-O$136/O$13))*P$13</f>
        <v>24.09751422280257</v>
      </c>
      <c r="Q136" s="16">
        <f ca="1">(P$136/P$13+MIN(ABS($C$136-P$136/P$13),OFFSET(Assumptions!$B$34,0,$C$1))*SIGN($C$136-P$136/P$13))*Q$13</f>
        <v>25.085376111894224</v>
      </c>
      <c r="R136" s="16">
        <f ca="1">(Q$136/Q$13+MIN(ABS($C$136-Q$136/Q$13),OFFSET(Assumptions!$B$34,0,$C$1))*SIGN($C$136-Q$136/Q$13))*R$13</f>
        <v>26.07315043148829</v>
      </c>
      <c r="S136" s="16">
        <f ca="1">(R$136/R$13+MIN(ABS($C$136-R$136/R$13),OFFSET(Assumptions!$B$34,0,$C$1))*SIGN($C$136-R$136/R$13))*S$13</f>
        <v>27.082704839992381</v>
      </c>
      <c r="T136" s="16">
        <f ca="1">(S$136/S$13+MIN(ABS($C$136-S$136/S$13),OFFSET(Assumptions!$B$34,0,$C$1))*SIGN($C$136-S$136/S$13))*T$13</f>
        <v>28.112498667115254</v>
      </c>
      <c r="U136" s="16">
        <f ca="1">(T$136/T$13+MIN(ABS($C$136-T$136/T$13),OFFSET(Assumptions!$B$34,0,$C$1))*SIGN($C$136-T$136/T$13))*U$13</f>
        <v>29.15602278899015</v>
      </c>
      <c r="V136" s="16">
        <f ca="1">(U$136/U$13+MIN(ABS($C$136-U$136/U$13),OFFSET(Assumptions!$B$34,0,$C$1))*SIGN($C$136-U$136/U$13))*V$13</f>
        <v>30.215236094674967</v>
      </c>
      <c r="W136" s="16">
        <f ca="1">(V$136/V$13+MIN(ABS($C$136-V$136/V$13),OFFSET(Assumptions!$B$34,0,$C$1))*SIGN($C$136-V$136/V$13))*W$13</f>
        <v>31.290099121603866</v>
      </c>
      <c r="X136" s="16">
        <f ca="1">(W$136/W$13+MIN(ABS($C$136-W$136/W$13),OFFSET(Assumptions!$B$34,0,$C$1))*SIGN($C$136-W$136/W$13))*X$13</f>
        <v>32.388711531712751</v>
      </c>
    </row>
    <row r="137" spans="1:24" x14ac:dyDescent="0.25">
      <c r="A137" s="11" t="s">
        <v>853</v>
      </c>
      <c r="B137" s="10" t="str">
        <f t="shared" si="104"/>
        <v>From Fiscal Forecasts</v>
      </c>
      <c r="C137" s="64" cm="1">
        <f t="array" aca="1" ref="C137" ca="1">SUMPRODUCT(OFFSET($N$137,0,0,1,-OFFSET(Assumptions!$B$33,0,$C$1))/OFFSET($N$13,0,0,1,-OFFSET(Assumptions!$B$33,0,$C$1)))/OFFSET(Assumptions!$B$33,0,$C$1)</f>
        <v>6.9331116486344269E-2</v>
      </c>
      <c r="D137" s="35">
        <f>'Fiscal Forecasts'!D$223</f>
        <v>21.861999999999998</v>
      </c>
      <c r="E137" s="35">
        <f>'Fiscal Forecasts'!E$223</f>
        <v>21.748999999999999</v>
      </c>
      <c r="F137" s="35">
        <f>'Fiscal Forecasts'!F$223</f>
        <v>25.562000000000001</v>
      </c>
      <c r="G137" s="35">
        <f>'Fiscal Forecasts'!G$223</f>
        <v>26.123999999999999</v>
      </c>
      <c r="H137" s="35">
        <f>'Fiscal Forecasts'!H$223</f>
        <v>28.13</v>
      </c>
      <c r="I137" s="35">
        <f>'Fiscal Forecasts'!I$223</f>
        <v>29.277999999999999</v>
      </c>
      <c r="J137" s="17">
        <f>'Fiscal Forecasts'!J$223</f>
        <v>29.81</v>
      </c>
      <c r="K137" s="17">
        <f>'Fiscal Forecasts'!K$223</f>
        <v>30.504999999999999</v>
      </c>
      <c r="L137" s="17">
        <f>'Fiscal Forecasts'!L$223</f>
        <v>32.298999999999999</v>
      </c>
      <c r="M137" s="17">
        <f>'Fiscal Forecasts'!M$223</f>
        <v>34.191000000000003</v>
      </c>
      <c r="N137" s="17">
        <f>'Fiscal Forecasts'!N$223</f>
        <v>35.695</v>
      </c>
      <c r="O137" s="16">
        <f ca="1">(N$137/N$13+MIN(ABS($C$137-N$137/N$13),OFFSET(Assumptions!$B$34,0,$C$1))*SIGN($C$137-N$137/N$13))*O$13</f>
        <v>37.508519862937639</v>
      </c>
      <c r="P137" s="16">
        <f ca="1">(O$137/O$13+MIN(ABS($C$137-O$137/O$13),OFFSET(Assumptions!$B$34,0,$C$1))*SIGN($C$137-O$137/O$13))*P$13</f>
        <v>39.393291670045947</v>
      </c>
      <c r="Q137" s="16">
        <f ca="1">(P$137/P$13+MIN(ABS($C$137-P$137/P$13),OFFSET(Assumptions!$B$34,0,$C$1))*SIGN($C$137-P$137/P$13))*Q$13</f>
        <v>41.142749225127339</v>
      </c>
      <c r="R137" s="16">
        <f ca="1">(Q$137/Q$13+MIN(ABS($C$137-Q$137/Q$13),OFFSET(Assumptions!$B$34,0,$C$1))*SIGN($C$137-Q$137/Q$13))*R$13</f>
        <v>42.762806701674812</v>
      </c>
      <c r="S137" s="16">
        <f ca="1">(R$137/R$13+MIN(ABS($C$137-R$137/R$13),OFFSET(Assumptions!$B$34,0,$C$1))*SIGN($C$137-R$137/R$13))*S$13</f>
        <v>44.418585896410953</v>
      </c>
      <c r="T137" s="16">
        <f ca="1">(S$137/S$13+MIN(ABS($C$137-S$137/S$13),OFFSET(Assumptions!$B$34,0,$C$1))*SIGN($C$137-S$137/S$13))*T$13</f>
        <v>46.107559942242041</v>
      </c>
      <c r="U137" s="16">
        <f ca="1">(T$137/T$13+MIN(ABS($C$137-T$137/T$13),OFFSET(Assumptions!$B$34,0,$C$1))*SIGN($C$137-T$137/T$13))*U$13</f>
        <v>47.819053167026226</v>
      </c>
      <c r="V137" s="16">
        <f ca="1">(U$137/U$13+MIN(ABS($C$137-U$137/U$13),OFFSET(Assumptions!$B$34,0,$C$1))*SIGN($C$137-U$137/U$13))*V$13</f>
        <v>49.556278362188671</v>
      </c>
      <c r="W137" s="16">
        <f ca="1">(V$137/V$13+MIN(ABS($C$137-V$137/V$13),OFFSET(Assumptions!$B$34,0,$C$1))*SIGN($C$137-V$137/V$13))*W$13</f>
        <v>51.319170804822953</v>
      </c>
      <c r="X137" s="16">
        <f ca="1">(W$137/W$13+MIN(ABS($C$137-W$137/W$13),OFFSET(Assumptions!$B$34,0,$C$1))*SIGN($C$137-W$137/W$13))*X$13</f>
        <v>53.12101482275223</v>
      </c>
    </row>
    <row r="138" spans="1:24" x14ac:dyDescent="0.25">
      <c r="A138" s="11" t="s">
        <v>854</v>
      </c>
      <c r="B138" s="10" t="str">
        <f t="shared" si="104"/>
        <v>From Fiscal Forecasts</v>
      </c>
      <c r="C138" s="64" cm="1">
        <f t="array" aca="1" ref="C138" ca="1">SUMPRODUCT(OFFSET($N$138,0,0,1,-OFFSET(Assumptions!$B$33,0,$C$1))/OFFSET($N$13,0,0,1,-OFFSET(Assumptions!$B$33,0,$C$1)))/OFFSET(Assumptions!$B$33,0,$C$1)</f>
        <v>1.0544383130732245E-2</v>
      </c>
      <c r="D138" s="35">
        <f>'Fiscal Forecasts'!D$224</f>
        <v>3.8820000000000001</v>
      </c>
      <c r="E138" s="35">
        <f>'Fiscal Forecasts'!E$224</f>
        <v>3.819</v>
      </c>
      <c r="F138" s="35">
        <f>'Fiscal Forecasts'!F$224</f>
        <v>4.306</v>
      </c>
      <c r="G138" s="35">
        <f>'Fiscal Forecasts'!G$224</f>
        <v>3.823</v>
      </c>
      <c r="H138" s="35">
        <f>'Fiscal Forecasts'!H$224</f>
        <v>2.976</v>
      </c>
      <c r="I138" s="35">
        <f>'Fiscal Forecasts'!I$224</f>
        <v>4.0730000000000004</v>
      </c>
      <c r="J138" s="17">
        <f>'Fiscal Forecasts'!J$224</f>
        <v>4.2720000000000002</v>
      </c>
      <c r="K138" s="17">
        <f>'Fiscal Forecasts'!K$224</f>
        <v>4.5709999999999997</v>
      </c>
      <c r="L138" s="17">
        <f>'Fiscal Forecasts'!L$224</f>
        <v>5.05</v>
      </c>
      <c r="M138" s="17">
        <f>'Fiscal Forecasts'!M$224</f>
        <v>5.6630000000000003</v>
      </c>
      <c r="N138" s="17">
        <f>'Fiscal Forecasts'!N$224</f>
        <v>6.093</v>
      </c>
      <c r="O138" s="16">
        <f ca="1">(N$138/N$13+MIN(ABS($C$138-N$138/N$13),OFFSET(Assumptions!$B$34,0,$C$1))*SIGN($C$138-N$138/N$13))*O$13</f>
        <v>6.0825296956577661</v>
      </c>
      <c r="P138" s="16">
        <f ca="1">(O$138/O$13+MIN(ABS($C$138-O$138/O$13),OFFSET(Assumptions!$B$34,0,$C$1))*SIGN($C$138-O$138/O$13))*P$13</f>
        <v>6.0569230620472281</v>
      </c>
      <c r="Q138" s="16">
        <f ca="1">(P$138/P$13+MIN(ABS($C$138-P$138/P$13),OFFSET(Assumptions!$B$34,0,$C$1))*SIGN($C$138-P$138/P$13))*Q$13</f>
        <v>6.257290129848518</v>
      </c>
      <c r="R138" s="16">
        <f ca="1">(Q$138/Q$13+MIN(ABS($C$138-Q$138/Q$13),OFFSET(Assumptions!$B$34,0,$C$1))*SIGN($C$138-Q$138/Q$13))*R$13</f>
        <v>6.503680316423524</v>
      </c>
      <c r="S138" s="16">
        <f ca="1">(R$138/R$13+MIN(ABS($C$138-R$138/R$13),OFFSET(Assumptions!$B$34,0,$C$1))*SIGN($C$138-R$138/R$13))*S$13</f>
        <v>6.7555033230908412</v>
      </c>
      <c r="T138" s="16">
        <f ca="1">(S$138/S$13+MIN(ABS($C$138-S$138/S$13),OFFSET(Assumptions!$B$34,0,$C$1))*SIGN($C$138-S$138/S$13))*T$13</f>
        <v>7.0123748454269004</v>
      </c>
      <c r="U138" s="16">
        <f ca="1">(T$138/T$13+MIN(ABS($C$138-T$138/T$13),OFFSET(Assumptions!$B$34,0,$C$1))*SIGN($C$138-T$138/T$13))*U$13</f>
        <v>7.2726712491539551</v>
      </c>
      <c r="V138" s="16">
        <f ca="1">(U$138/U$13+MIN(ABS($C$138-U$138/U$13),OFFSET(Assumptions!$B$34,0,$C$1))*SIGN($C$138-U$138/U$13))*V$13</f>
        <v>7.536881159083241</v>
      </c>
      <c r="W138" s="16">
        <f ca="1">(V$138/V$13+MIN(ABS($C$138-V$138/V$13),OFFSET(Assumptions!$B$34,0,$C$1))*SIGN($C$138-V$138/V$13))*W$13</f>
        <v>7.8049947316819113</v>
      </c>
      <c r="X138" s="16">
        <f ca="1">(W$138/W$13+MIN(ABS($C$138-W$138/W$13),OFFSET(Assumptions!$B$34,0,$C$1))*SIGN($C$138-W$138/W$13))*X$13</f>
        <v>8.0790323446577013</v>
      </c>
    </row>
    <row r="139" spans="1:24" x14ac:dyDescent="0.25">
      <c r="A139" s="11" t="s">
        <v>700</v>
      </c>
      <c r="B139" s="10" t="str">
        <f t="shared" si="104"/>
        <v>From Fiscal Forecasts</v>
      </c>
      <c r="C139" s="64"/>
      <c r="D139" s="35">
        <f>'Fiscal Forecasts'!D$225</f>
        <v>3.585</v>
      </c>
      <c r="E139" s="35">
        <f>'Fiscal Forecasts'!E$225</f>
        <v>3.6949999999999998</v>
      </c>
      <c r="F139" s="35">
        <f>'Fiscal Forecasts'!F$225</f>
        <v>3.3780000000000001</v>
      </c>
      <c r="G139" s="35">
        <f>'Fiscal Forecasts'!G$225</f>
        <v>3.5670000000000002</v>
      </c>
      <c r="H139" s="35">
        <f>'Fiscal Forecasts'!H$225</f>
        <v>3.532</v>
      </c>
      <c r="I139" s="35">
        <f>'Fiscal Forecasts'!I$225</f>
        <v>3.3140000000000001</v>
      </c>
      <c r="J139" s="17">
        <f>'Fiscal Forecasts'!J$225</f>
        <v>3.403</v>
      </c>
      <c r="K139" s="17">
        <f>'Fiscal Forecasts'!K$225</f>
        <v>3.399</v>
      </c>
      <c r="L139" s="17">
        <f>'Fiscal Forecasts'!L$225</f>
        <v>3.39</v>
      </c>
      <c r="M139" s="17">
        <f>'Fiscal Forecasts'!M$225</f>
        <v>3.39</v>
      </c>
      <c r="N139" s="17">
        <f>'Fiscal Forecasts'!N$225</f>
        <v>3.4140000000000001</v>
      </c>
      <c r="O139" s="16">
        <f t="shared" ref="O139:X139" ca="1" si="105">N$139*(1+O$19)*(1+O$29)</f>
        <v>3.5254182749113085</v>
      </c>
      <c r="P139" s="16">
        <f t="shared" ca="1" si="105"/>
        <v>3.6378905766677603</v>
      </c>
      <c r="Q139" s="16">
        <f t="shared" ca="1" si="105"/>
        <v>3.7517149994902392</v>
      </c>
      <c r="R139" s="16">
        <f t="shared" ca="1" si="105"/>
        <v>3.8658702725971064</v>
      </c>
      <c r="S139" s="16">
        <f t="shared" ca="1" si="105"/>
        <v>3.9809623053354337</v>
      </c>
      <c r="T139" s="16">
        <f t="shared" ca="1" si="105"/>
        <v>4.096721368764916</v>
      </c>
      <c r="U139" s="16">
        <f t="shared" ca="1" si="105"/>
        <v>4.2146608693789736</v>
      </c>
      <c r="V139" s="16">
        <f t="shared" ca="1" si="105"/>
        <v>4.3341912410765806</v>
      </c>
      <c r="W139" s="16">
        <f t="shared" ca="1" si="105"/>
        <v>4.4536100740016673</v>
      </c>
      <c r="X139" s="16">
        <f t="shared" ca="1" si="105"/>
        <v>4.5741774460329756</v>
      </c>
    </row>
    <row r="140" spans="1:24" x14ac:dyDescent="0.25">
      <c r="A140" s="9" t="s">
        <v>908</v>
      </c>
      <c r="B140" s="10"/>
      <c r="C140" s="13"/>
      <c r="D140" s="65">
        <f t="shared" ref="D140:X140" si="106">SUM(D$134:D$139)</f>
        <v>85.722999999999999</v>
      </c>
      <c r="E140" s="65">
        <f t="shared" si="106"/>
        <v>84.521000000000001</v>
      </c>
      <c r="F140" s="65">
        <f t="shared" si="106"/>
        <v>97.361999999999995</v>
      </c>
      <c r="G140" s="65">
        <f t="shared" si="106"/>
        <v>107.87299999999999</v>
      </c>
      <c r="H140" s="65">
        <f t="shared" si="106"/>
        <v>111.712</v>
      </c>
      <c r="I140" s="65">
        <f t="shared" si="106"/>
        <v>119.89999999999998</v>
      </c>
      <c r="J140" s="66">
        <f t="shared" si="106"/>
        <v>120.16000000000003</v>
      </c>
      <c r="K140" s="66">
        <f t="shared" si="106"/>
        <v>124.21</v>
      </c>
      <c r="L140" s="66">
        <f t="shared" si="106"/>
        <v>132.09699999999998</v>
      </c>
      <c r="M140" s="66">
        <f t="shared" si="106"/>
        <v>139.47999999999999</v>
      </c>
      <c r="N140" s="66">
        <f t="shared" si="106"/>
        <v>147.05399999999997</v>
      </c>
      <c r="O140" s="67">
        <f t="shared" ca="1" si="106"/>
        <v>152.89321326350102</v>
      </c>
      <c r="P140" s="67">
        <f t="shared" ca="1" si="106"/>
        <v>159.16823718847181</v>
      </c>
      <c r="Q140" s="67">
        <f t="shared" ca="1" si="106"/>
        <v>165.63799304044909</v>
      </c>
      <c r="R140" s="67">
        <f t="shared" ca="1" si="106"/>
        <v>172.12666338681035</v>
      </c>
      <c r="S140" s="67">
        <f t="shared" ca="1" si="106"/>
        <v>178.75682638932682</v>
      </c>
      <c r="T140" s="67">
        <f t="shared" ca="1" si="106"/>
        <v>185.51826973824845</v>
      </c>
      <c r="U140" s="67">
        <f t="shared" ca="1" si="106"/>
        <v>192.37050077919096</v>
      </c>
      <c r="V140" s="67">
        <f t="shared" ca="1" si="106"/>
        <v>199.32557146505084</v>
      </c>
      <c r="W140" s="67">
        <f t="shared" ca="1" si="106"/>
        <v>206.38152471775896</v>
      </c>
      <c r="X140" s="67">
        <f t="shared" ca="1" si="106"/>
        <v>213.59189107421957</v>
      </c>
    </row>
    <row r="141" spans="1:24" x14ac:dyDescent="0.25">
      <c r="A141" s="11" t="s">
        <v>855</v>
      </c>
      <c r="B141" s="10" t="str">
        <f>$B$38</f>
        <v>From Fiscal Forecasts</v>
      </c>
      <c r="C141" s="64" cm="1">
        <f t="array" aca="1" ref="C141" ca="1">SUMPRODUCT(OFFSET($N$141,0,0,1,-OFFSET(Assumptions!$B$33,0,$C$1))/OFFSET($N$13,0,0,1,-OFFSET(Assumptions!$B$33,0,$C$1)))/OFFSET(Assumptions!$B$33,0,$C$1)</f>
        <v>-1.8075933684058583E-3</v>
      </c>
      <c r="D141" s="35">
        <f>D$140-'Fiscal Forecasts'!D$163</f>
        <v>-0.74500000000000455</v>
      </c>
      <c r="E141" s="35">
        <f>E$140-'Fiscal Forecasts'!E$163</f>
        <v>-0.58100000000000307</v>
      </c>
      <c r="F141" s="35">
        <f>F$140-'Fiscal Forecasts'!F$163</f>
        <v>-0.62100000000000932</v>
      </c>
      <c r="G141" s="35">
        <f>G$140-'Fiscal Forecasts'!G$163</f>
        <v>-0.58500000000000796</v>
      </c>
      <c r="H141" s="35">
        <f>H$140-'Fiscal Forecasts'!H$163</f>
        <v>-0.6460000000000008</v>
      </c>
      <c r="I141" s="35">
        <f>I$140-'Fiscal Forecasts'!I$163</f>
        <v>-0.66600000000002524</v>
      </c>
      <c r="J141" s="17">
        <f>J$140-'Fiscal Forecasts'!J$163</f>
        <v>-0.73399999999998045</v>
      </c>
      <c r="K141" s="17">
        <f>K$140-'Fiscal Forecasts'!K$163</f>
        <v>-0.83400000000000318</v>
      </c>
      <c r="L141" s="17">
        <f>L$140-'Fiscal Forecasts'!L$163</f>
        <v>-0.92100000000002069</v>
      </c>
      <c r="M141" s="17">
        <f>M$140-'Fiscal Forecasts'!M$163</f>
        <v>-1.0110000000000241</v>
      </c>
      <c r="N141" s="17">
        <f>N$140-'Fiscal Forecasts'!N$163</f>
        <v>-1.146000000000015</v>
      </c>
      <c r="O141" s="16">
        <f ca="1">(N$141/N$13+MIN(ABS($C$141-N$141/N$13),OFFSET(Assumptions!$B$34,0,$C$1))*SIGN($C$141-N$141/N$13))*O$13</f>
        <v>-0.98827741072355701</v>
      </c>
      <c r="P141" s="16">
        <f ca="1">(O$141/O$13+MIN(ABS($C$141-O$141/O$13),OFFSET(Assumptions!$B$34,0,$C$1))*SIGN($C$141-O$141/O$13))*P$13</f>
        <v>-1.0304275989474487</v>
      </c>
      <c r="Q141" s="16">
        <f ca="1">(P$141/P$13+MIN(ABS($C$141-P$141/P$13),OFFSET(Assumptions!$B$34,0,$C$1))*SIGN($C$141-P$141/P$13))*Q$13</f>
        <v>-1.0726693067458899</v>
      </c>
      <c r="R141" s="16">
        <f ca="1">(Q$141/Q$13+MIN(ABS($C$141-Q$141/Q$13),OFFSET(Assumptions!$B$34,0,$C$1))*SIGN($C$141-Q$141/Q$13))*R$13</f>
        <v>-1.1149072700075997</v>
      </c>
      <c r="S141" s="16">
        <f ca="1">(R$141/R$13+MIN(ABS($C$141-R$141/R$13),OFFSET(Assumptions!$B$34,0,$C$1))*SIGN($C$141-R$141/R$13))*S$13</f>
        <v>-1.1580765660413503</v>
      </c>
      <c r="T141" s="16">
        <f ca="1">(S$141/S$13+MIN(ABS($C$141-S$141/S$13),OFFSET(Assumptions!$B$34,0,$C$1))*SIGN($C$141-S$141/S$13))*T$13</f>
        <v>-1.2021113146416447</v>
      </c>
      <c r="U141" s="16">
        <f ca="1">(T$141/T$13+MIN(ABS($C$141-T$141/T$13),OFFSET(Assumptions!$B$34,0,$C$1))*SIGN($C$141-T$141/T$13))*U$13</f>
        <v>-1.246733180839354</v>
      </c>
      <c r="V141" s="16">
        <f ca="1">(U$141/U$13+MIN(ABS($C$141-U$141/U$13),OFFSET(Assumptions!$B$34,0,$C$1))*SIGN($C$141-U$141/U$13))*V$13</f>
        <v>-1.2920259281849373</v>
      </c>
      <c r="W141" s="16">
        <f ca="1">(V$141/V$13+MIN(ABS($C$141-V$141/V$13),OFFSET(Assumptions!$B$34,0,$C$1))*SIGN($C$141-V$141/V$13))*W$13</f>
        <v>-1.3379878692297809</v>
      </c>
      <c r="X141" s="16">
        <f ca="1">(W$141/W$13+MIN(ABS($C$141-W$141/W$13),OFFSET(Assumptions!$B$34,0,$C$1))*SIGN($C$141-W$141/W$13))*X$13</f>
        <v>-1.3849653515317173</v>
      </c>
    </row>
    <row r="142" spans="1:24" x14ac:dyDescent="0.25">
      <c r="A142" s="9" t="s">
        <v>856</v>
      </c>
      <c r="B142" s="9"/>
      <c r="C142" s="13"/>
      <c r="D142" s="65">
        <f t="shared" ref="D142:X142" si="107">D$140-D$141</f>
        <v>86.468000000000004</v>
      </c>
      <c r="E142" s="65">
        <f t="shared" si="107"/>
        <v>85.102000000000004</v>
      </c>
      <c r="F142" s="65">
        <f t="shared" si="107"/>
        <v>97.983000000000004</v>
      </c>
      <c r="G142" s="65">
        <f t="shared" si="107"/>
        <v>108.458</v>
      </c>
      <c r="H142" s="65">
        <f t="shared" si="107"/>
        <v>112.358</v>
      </c>
      <c r="I142" s="65">
        <f t="shared" si="107"/>
        <v>120.566</v>
      </c>
      <c r="J142" s="66">
        <f t="shared" si="107"/>
        <v>120.89400000000001</v>
      </c>
      <c r="K142" s="66">
        <f t="shared" si="107"/>
        <v>125.044</v>
      </c>
      <c r="L142" s="66">
        <f t="shared" si="107"/>
        <v>133.018</v>
      </c>
      <c r="M142" s="66">
        <f t="shared" si="107"/>
        <v>140.49100000000001</v>
      </c>
      <c r="N142" s="66">
        <f t="shared" si="107"/>
        <v>148.19999999999999</v>
      </c>
      <c r="O142" s="67">
        <f t="shared" ca="1" si="107"/>
        <v>153.88149067422458</v>
      </c>
      <c r="P142" s="67">
        <f t="shared" ca="1" si="107"/>
        <v>160.19866478741926</v>
      </c>
      <c r="Q142" s="67">
        <f t="shared" ca="1" si="107"/>
        <v>166.71066234719498</v>
      </c>
      <c r="R142" s="67">
        <f t="shared" ca="1" si="107"/>
        <v>173.24157065681794</v>
      </c>
      <c r="S142" s="67">
        <f t="shared" ca="1" si="107"/>
        <v>179.91490295536818</v>
      </c>
      <c r="T142" s="67">
        <f t="shared" ca="1" si="107"/>
        <v>186.7203810528901</v>
      </c>
      <c r="U142" s="67">
        <f t="shared" ca="1" si="107"/>
        <v>193.61723396003032</v>
      </c>
      <c r="V142" s="67">
        <f t="shared" ca="1" si="107"/>
        <v>200.61759739323577</v>
      </c>
      <c r="W142" s="67">
        <f t="shared" ca="1" si="107"/>
        <v>207.71951258698874</v>
      </c>
      <c r="X142" s="67">
        <f t="shared" ca="1" si="107"/>
        <v>214.97685642575129</v>
      </c>
    </row>
    <row r="143" spans="1:24" x14ac:dyDescent="0.25">
      <c r="A143" s="9"/>
      <c r="B143" s="9"/>
      <c r="C143" s="13"/>
      <c r="D143" s="68"/>
      <c r="E143" s="68"/>
      <c r="F143" s="68"/>
      <c r="G143" s="68"/>
      <c r="H143" s="68"/>
      <c r="I143" s="68"/>
      <c r="J143" s="69"/>
      <c r="K143" s="69"/>
      <c r="L143" s="69"/>
      <c r="M143" s="69"/>
      <c r="N143" s="69"/>
      <c r="O143" s="70"/>
      <c r="P143" s="70"/>
      <c r="Q143" s="70"/>
      <c r="R143" s="70"/>
      <c r="S143" s="70"/>
      <c r="T143" s="70"/>
      <c r="U143" s="70"/>
      <c r="V143" s="70"/>
      <c r="W143" s="70"/>
      <c r="X143" s="70"/>
    </row>
    <row r="144" spans="1:24" x14ac:dyDescent="0.25">
      <c r="A144" s="9" t="s">
        <v>702</v>
      </c>
      <c r="B144" s="9"/>
      <c r="C144" s="13"/>
      <c r="D144" s="68"/>
      <c r="E144" s="68"/>
      <c r="F144" s="68"/>
      <c r="G144" s="68"/>
      <c r="H144" s="68"/>
      <c r="I144" s="68"/>
      <c r="J144" s="69"/>
      <c r="K144" s="69"/>
      <c r="L144" s="69"/>
      <c r="M144" s="69"/>
      <c r="N144" s="69"/>
      <c r="O144" s="70"/>
      <c r="P144" s="70"/>
      <c r="Q144" s="70"/>
      <c r="R144" s="70"/>
      <c r="S144" s="70"/>
      <c r="T144" s="70"/>
      <c r="U144" s="70"/>
      <c r="V144" s="70"/>
      <c r="W144" s="70"/>
      <c r="X144" s="70"/>
    </row>
    <row r="145" spans="1:24" x14ac:dyDescent="0.25">
      <c r="A145" s="11" t="s">
        <v>857</v>
      </c>
      <c r="B145" s="10" t="str">
        <f>$B$38</f>
        <v>From Fiscal Forecasts</v>
      </c>
      <c r="C145" s="13"/>
      <c r="D145" s="35">
        <f>'Fiscal Forecasts'!D$229</f>
        <v>0.84599999999999997</v>
      </c>
      <c r="E145" s="35">
        <f>'Fiscal Forecasts'!E$229</f>
        <v>1.0429999999999999</v>
      </c>
      <c r="F145" s="35">
        <f>'Fiscal Forecasts'!F$229</f>
        <v>1.6339999999999999</v>
      </c>
      <c r="G145" s="35">
        <f>'Fiscal Forecasts'!G$229</f>
        <v>3.0059999999999998</v>
      </c>
      <c r="H145" s="35">
        <f>'Fiscal Forecasts'!H$229</f>
        <v>1.5820000000000001</v>
      </c>
      <c r="I145" s="35">
        <f>'Fiscal Forecasts'!I$229</f>
        <v>1.69</v>
      </c>
      <c r="J145" s="17">
        <f>'Fiscal Forecasts'!J$229</f>
        <v>2.4350000000000001</v>
      </c>
      <c r="K145" s="17">
        <f>'Fiscal Forecasts'!K$229</f>
        <v>2.2149999999999999</v>
      </c>
      <c r="L145" s="17">
        <f>'Fiscal Forecasts'!L$229</f>
        <v>2.1240000000000001</v>
      </c>
      <c r="M145" s="17">
        <f>'Fiscal Forecasts'!M$229</f>
        <v>2.073</v>
      </c>
      <c r="N145" s="17">
        <f>'Fiscal Forecasts'!N$229</f>
        <v>2.0630000000000002</v>
      </c>
      <c r="O145" s="16">
        <f t="shared" ref="O145:X145" si="108">N$145</f>
        <v>2.0630000000000002</v>
      </c>
      <c r="P145" s="16">
        <f t="shared" si="108"/>
        <v>2.0630000000000002</v>
      </c>
      <c r="Q145" s="16">
        <f t="shared" si="108"/>
        <v>2.0630000000000002</v>
      </c>
      <c r="R145" s="16">
        <f t="shared" si="108"/>
        <v>2.0630000000000002</v>
      </c>
      <c r="S145" s="16">
        <f t="shared" si="108"/>
        <v>2.0630000000000002</v>
      </c>
      <c r="T145" s="16">
        <f t="shared" si="108"/>
        <v>2.0630000000000002</v>
      </c>
      <c r="U145" s="16">
        <f t="shared" si="108"/>
        <v>2.0630000000000002</v>
      </c>
      <c r="V145" s="16">
        <f t="shared" si="108"/>
        <v>2.0630000000000002</v>
      </c>
      <c r="W145" s="16">
        <f t="shared" si="108"/>
        <v>2.0630000000000002</v>
      </c>
      <c r="X145" s="16">
        <f t="shared" si="108"/>
        <v>2.0630000000000002</v>
      </c>
    </row>
    <row r="146" spans="1:24" x14ac:dyDescent="0.25">
      <c r="A146" s="11" t="s">
        <v>858</v>
      </c>
      <c r="B146" s="10" t="str">
        <f>$B$38</f>
        <v>From Fiscal Forecasts</v>
      </c>
      <c r="C146" s="13"/>
      <c r="D146" s="35">
        <f>'Fiscal Forecasts'!D$164-D$145</f>
        <v>1.1310000000000002</v>
      </c>
      <c r="E146" s="35">
        <f>'Fiscal Forecasts'!E$164-E$145</f>
        <v>1.0770000000000002</v>
      </c>
      <c r="F146" s="35">
        <f>'Fiscal Forecasts'!F$164-F$145</f>
        <v>1.1110000000000002</v>
      </c>
      <c r="G146" s="35">
        <f>'Fiscal Forecasts'!G$164-G$145</f>
        <v>1.3210000000000002</v>
      </c>
      <c r="H146" s="35">
        <f>'Fiscal Forecasts'!H$164-H$145</f>
        <v>1.7099999999999997</v>
      </c>
      <c r="I146" s="35">
        <f>'Fiscal Forecasts'!I$164-I$145</f>
        <v>1.899</v>
      </c>
      <c r="J146" s="17">
        <f>'Fiscal Forecasts'!J$164-J$145</f>
        <v>1.871</v>
      </c>
      <c r="K146" s="17">
        <f>'Fiscal Forecasts'!K$164-K$145</f>
        <v>2.202</v>
      </c>
      <c r="L146" s="17">
        <f>'Fiscal Forecasts'!L$164-L$145</f>
        <v>2.3009999999999997</v>
      </c>
      <c r="M146" s="17">
        <f>'Fiscal Forecasts'!M$164-M$145</f>
        <v>2.347</v>
      </c>
      <c r="N146" s="17">
        <f>'Fiscal Forecasts'!N$164-N$145</f>
        <v>2.3879999999999995</v>
      </c>
      <c r="O146" s="16">
        <f t="shared" ref="O146:X146" ca="1" si="109">N$146*(1+O$19)*(1+O$29)</f>
        <v>2.4659340481804928</v>
      </c>
      <c r="P146" s="16">
        <f t="shared" ca="1" si="109"/>
        <v>2.5446053594266576</v>
      </c>
      <c r="Q146" s="16">
        <f t="shared" ca="1" si="109"/>
        <v>2.6242224425256846</v>
      </c>
      <c r="R146" s="16">
        <f t="shared" ca="1" si="109"/>
        <v>2.7040709463860235</v>
      </c>
      <c r="S146" s="16">
        <f t="shared" ca="1" si="109"/>
        <v>2.7845746880905122</v>
      </c>
      <c r="T146" s="16">
        <f t="shared" ca="1" si="109"/>
        <v>2.8655449995930327</v>
      </c>
      <c r="U146" s="16">
        <f t="shared" ca="1" si="109"/>
        <v>2.9480404675093674</v>
      </c>
      <c r="V146" s="16">
        <f t="shared" ca="1" si="109"/>
        <v>3.0316487064120867</v>
      </c>
      <c r="W146" s="16">
        <f t="shared" ca="1" si="109"/>
        <v>3.1151789269818311</v>
      </c>
      <c r="X146" s="16">
        <f t="shared" ca="1" si="109"/>
        <v>3.1995125193692844</v>
      </c>
    </row>
    <row r="147" spans="1:24" x14ac:dyDescent="0.25">
      <c r="A147" s="9" t="s">
        <v>859</v>
      </c>
      <c r="B147" s="9"/>
      <c r="C147" s="13"/>
      <c r="D147" s="65">
        <f t="shared" ref="D147:X147" si="110">SUM(D$145:D$146)</f>
        <v>1.9770000000000003</v>
      </c>
      <c r="E147" s="65">
        <f t="shared" si="110"/>
        <v>2.12</v>
      </c>
      <c r="F147" s="65">
        <f t="shared" si="110"/>
        <v>2.7450000000000001</v>
      </c>
      <c r="G147" s="65">
        <f t="shared" si="110"/>
        <v>4.327</v>
      </c>
      <c r="H147" s="65">
        <f t="shared" si="110"/>
        <v>3.2919999999999998</v>
      </c>
      <c r="I147" s="65">
        <f t="shared" si="110"/>
        <v>3.589</v>
      </c>
      <c r="J147" s="66">
        <f t="shared" si="110"/>
        <v>4.306</v>
      </c>
      <c r="K147" s="66">
        <f t="shared" si="110"/>
        <v>4.4169999999999998</v>
      </c>
      <c r="L147" s="66">
        <f t="shared" si="110"/>
        <v>4.4249999999999998</v>
      </c>
      <c r="M147" s="66">
        <f t="shared" si="110"/>
        <v>4.42</v>
      </c>
      <c r="N147" s="66">
        <f t="shared" si="110"/>
        <v>4.4509999999999996</v>
      </c>
      <c r="O147" s="67">
        <f t="shared" ca="1" si="110"/>
        <v>4.5289340481804929</v>
      </c>
      <c r="P147" s="67">
        <f t="shared" ca="1" si="110"/>
        <v>4.6076053594266577</v>
      </c>
      <c r="Q147" s="67">
        <f t="shared" ca="1" si="110"/>
        <v>4.6872224425256848</v>
      </c>
      <c r="R147" s="67">
        <f t="shared" ca="1" si="110"/>
        <v>4.7670709463860241</v>
      </c>
      <c r="S147" s="67">
        <f t="shared" ca="1" si="110"/>
        <v>4.8475746880905124</v>
      </c>
      <c r="T147" s="67">
        <f t="shared" ca="1" si="110"/>
        <v>4.9285449995930328</v>
      </c>
      <c r="U147" s="67">
        <f t="shared" ca="1" si="110"/>
        <v>5.0110404675093676</v>
      </c>
      <c r="V147" s="67">
        <f t="shared" ca="1" si="110"/>
        <v>5.0946487064120873</v>
      </c>
      <c r="W147" s="67">
        <f t="shared" ca="1" si="110"/>
        <v>5.1781789269818308</v>
      </c>
      <c r="X147" s="67">
        <f t="shared" ca="1" si="110"/>
        <v>5.2625125193692845</v>
      </c>
    </row>
    <row r="148" spans="1:24" x14ac:dyDescent="0.25">
      <c r="A148" s="11" t="s">
        <v>703</v>
      </c>
      <c r="B148" s="10" t="str">
        <f>$B$38</f>
        <v>From Fiscal Forecasts</v>
      </c>
      <c r="C148" s="13"/>
      <c r="D148" s="35">
        <f>'Fiscal Forecasts'!D$228</f>
        <v>3.0139999999999998</v>
      </c>
      <c r="E148" s="35">
        <f>'Fiscal Forecasts'!E$228</f>
        <v>3.032</v>
      </c>
      <c r="F148" s="35">
        <f>'Fiscal Forecasts'!F$228</f>
        <v>3.27</v>
      </c>
      <c r="G148" s="35">
        <f>'Fiscal Forecasts'!G$228</f>
        <v>3.4609999999999999</v>
      </c>
      <c r="H148" s="35">
        <f>'Fiscal Forecasts'!H$228</f>
        <v>3.855</v>
      </c>
      <c r="I148" s="35">
        <f>'Fiscal Forecasts'!I$228</f>
        <v>4.1449999999999996</v>
      </c>
      <c r="J148" s="17">
        <f>'Fiscal Forecasts'!J$228</f>
        <v>4.2649999999999997</v>
      </c>
      <c r="K148" s="17">
        <f>'Fiscal Forecasts'!K$228</f>
        <v>4.7149999999999999</v>
      </c>
      <c r="L148" s="17">
        <f>'Fiscal Forecasts'!L$228</f>
        <v>5.2039999999999997</v>
      </c>
      <c r="M148" s="17">
        <f>'Fiscal Forecasts'!M$228</f>
        <v>5.7030000000000003</v>
      </c>
      <c r="N148" s="17">
        <f>'Fiscal Forecasts'!N$228</f>
        <v>6.2389999999999999</v>
      </c>
      <c r="O148" s="16">
        <f>N$148*(Exogenous!Z$26-Exogenous!Z$27)/(Exogenous!Y$26-Exogenous!Y$27)</f>
        <v>6.7922214680442501</v>
      </c>
      <c r="P148" s="16">
        <f>O$148*(Exogenous!AA$26-Exogenous!AA$27)/(Exogenous!Z$26-Exogenous!Z$27)</f>
        <v>7.3773643877749224</v>
      </c>
      <c r="Q148" s="16">
        <f>P$148*(Exogenous!AB$26-Exogenous!AB$27)/(Exogenous!AA$26-Exogenous!AA$27)</f>
        <v>8.0450326288791469</v>
      </c>
      <c r="R148" s="16">
        <f>Q$148*(Exogenous!AC$26-Exogenous!AC$27)/(Exogenous!AB$26-Exogenous!AB$27)</f>
        <v>8.7507730414661591</v>
      </c>
      <c r="S148" s="16">
        <f>R$148*(Exogenous!AD$26-Exogenous!AD$27)/(Exogenous!AC$26-Exogenous!AC$27)</f>
        <v>9.5257663808887454</v>
      </c>
      <c r="T148" s="16">
        <f>S$148*(Exogenous!AE$26-Exogenous!AE$27)/(Exogenous!AD$26-Exogenous!AD$27)</f>
        <v>10.34282594471633</v>
      </c>
      <c r="U148" s="16">
        <f>T$148*(Exogenous!AF$26-Exogenous!AF$27)/(Exogenous!AE$26-Exogenous!AE$27)</f>
        <v>11.236500181765395</v>
      </c>
      <c r="V148" s="16">
        <f>U$148*(Exogenous!AG$26-Exogenous!AG$27)/(Exogenous!AF$26-Exogenous!AF$27)</f>
        <v>12.001795802679197</v>
      </c>
      <c r="W148" s="16">
        <f>V$148*(Exogenous!AH$26-Exogenous!AH$27)/(Exogenous!AG$26-Exogenous!AG$27)</f>
        <v>12.543476849089375</v>
      </c>
      <c r="X148" s="16">
        <f>W$148*(Exogenous!AI$26-Exogenous!AI$27)/(Exogenous!AH$26-Exogenous!AH$27)</f>
        <v>13.028010010466666</v>
      </c>
    </row>
    <row r="149" spans="1:24" x14ac:dyDescent="0.25">
      <c r="A149" s="11" t="s">
        <v>860</v>
      </c>
      <c r="B149" s="10" t="str">
        <f>$B$38</f>
        <v>From Fiscal Forecasts</v>
      </c>
      <c r="C149" s="13"/>
      <c r="D149" s="35">
        <f>'Fiscal Forecasts'!D$10-SUM(D$147:D$148)</f>
        <v>1.0369999999999999</v>
      </c>
      <c r="E149" s="35">
        <f>'Fiscal Forecasts'!E$10-SUM(E$147:E$148)</f>
        <v>1.117</v>
      </c>
      <c r="F149" s="35">
        <f>'Fiscal Forecasts'!F$10-SUM(F$147:F$148)</f>
        <v>1.0229999999999997</v>
      </c>
      <c r="G149" s="35">
        <f>'Fiscal Forecasts'!G$10-SUM(G$147:G$148)</f>
        <v>1.1059999999999999</v>
      </c>
      <c r="H149" s="35">
        <f>'Fiscal Forecasts'!H$10-SUM(H$147:H$148)</f>
        <v>1.2599999999999998</v>
      </c>
      <c r="I149" s="35">
        <f>'Fiscal Forecasts'!I$10-SUM(I$147:I$148)</f>
        <v>1.6920000000000002</v>
      </c>
      <c r="J149" s="17">
        <f>'Fiscal Forecasts'!J$10-SUM(J$147:J$148)</f>
        <v>1.8849999999999998</v>
      </c>
      <c r="K149" s="17">
        <f>'Fiscal Forecasts'!K$10-SUM(K$147:K$148)</f>
        <v>1.8740000000000006</v>
      </c>
      <c r="L149" s="17">
        <f>'Fiscal Forecasts'!L$10-SUM(L$147:L$148)</f>
        <v>1.9410000000000007</v>
      </c>
      <c r="M149" s="17">
        <f>'Fiscal Forecasts'!M$10-SUM(M$147:M$148)</f>
        <v>2.0509999999999984</v>
      </c>
      <c r="N149" s="17">
        <f>'Fiscal Forecasts'!N$10-SUM(N$147:N$148)</f>
        <v>2.120000000000001</v>
      </c>
      <c r="O149" s="16">
        <f t="shared" ref="O149:X149" ca="1" si="111">N$149*(1+O$19)*(1+O$29)</f>
        <v>2.1891876809642583</v>
      </c>
      <c r="P149" s="16">
        <f t="shared" ca="1" si="111"/>
        <v>2.2590298835781066</v>
      </c>
      <c r="Q149" s="16">
        <f t="shared" ca="1" si="111"/>
        <v>2.3297117161450824</v>
      </c>
      <c r="R149" s="16">
        <f t="shared" ca="1" si="111"/>
        <v>2.4005989976291358</v>
      </c>
      <c r="S149" s="16">
        <f t="shared" ca="1" si="111"/>
        <v>2.4720679810518811</v>
      </c>
      <c r="T149" s="16">
        <f t="shared" ca="1" si="111"/>
        <v>2.543951172168021</v>
      </c>
      <c r="U149" s="16">
        <f t="shared" ca="1" si="111"/>
        <v>2.6171883547403119</v>
      </c>
      <c r="V149" s="16">
        <f t="shared" ca="1" si="111"/>
        <v>2.6914134244529437</v>
      </c>
      <c r="W149" s="16">
        <f t="shared" ca="1" si="111"/>
        <v>2.7655692316589144</v>
      </c>
      <c r="X149" s="16">
        <f t="shared" ca="1" si="111"/>
        <v>2.840438250026335</v>
      </c>
    </row>
    <row r="150" spans="1:24" x14ac:dyDescent="0.25">
      <c r="A150" s="9" t="s">
        <v>909</v>
      </c>
      <c r="B150" s="9"/>
      <c r="C150" s="13"/>
      <c r="D150" s="65">
        <f t="shared" ref="D150:X150" si="112">SUM(D$147:D$149)</f>
        <v>6.0279999999999996</v>
      </c>
      <c r="E150" s="65">
        <f t="shared" si="112"/>
        <v>6.2690000000000001</v>
      </c>
      <c r="F150" s="65">
        <f t="shared" si="112"/>
        <v>7.0380000000000003</v>
      </c>
      <c r="G150" s="65">
        <f t="shared" si="112"/>
        <v>8.8940000000000001</v>
      </c>
      <c r="H150" s="65">
        <f t="shared" si="112"/>
        <v>8.407</v>
      </c>
      <c r="I150" s="65">
        <f t="shared" si="112"/>
        <v>9.4260000000000002</v>
      </c>
      <c r="J150" s="66">
        <f t="shared" si="112"/>
        <v>10.456</v>
      </c>
      <c r="K150" s="66">
        <f t="shared" si="112"/>
        <v>11.006</v>
      </c>
      <c r="L150" s="66">
        <f t="shared" si="112"/>
        <v>11.57</v>
      </c>
      <c r="M150" s="66">
        <f t="shared" si="112"/>
        <v>12.173999999999999</v>
      </c>
      <c r="N150" s="66">
        <f t="shared" si="112"/>
        <v>12.81</v>
      </c>
      <c r="O150" s="67">
        <f t="shared" ca="1" si="112"/>
        <v>13.510343197189</v>
      </c>
      <c r="P150" s="67">
        <f t="shared" ca="1" si="112"/>
        <v>14.243999630779687</v>
      </c>
      <c r="Q150" s="67">
        <f t="shared" ca="1" si="112"/>
        <v>15.061966787549915</v>
      </c>
      <c r="R150" s="67">
        <f t="shared" ca="1" si="112"/>
        <v>15.918442985481319</v>
      </c>
      <c r="S150" s="67">
        <f t="shared" ca="1" si="112"/>
        <v>16.84540905003114</v>
      </c>
      <c r="T150" s="67">
        <f t="shared" ca="1" si="112"/>
        <v>17.815322116477383</v>
      </c>
      <c r="U150" s="67">
        <f t="shared" ca="1" si="112"/>
        <v>18.864729004015071</v>
      </c>
      <c r="V150" s="67">
        <f t="shared" ca="1" si="112"/>
        <v>19.787857933544228</v>
      </c>
      <c r="W150" s="67">
        <f t="shared" ca="1" si="112"/>
        <v>20.487225007730121</v>
      </c>
      <c r="X150" s="67">
        <f t="shared" ca="1" si="112"/>
        <v>21.130960779862285</v>
      </c>
    </row>
    <row r="151" spans="1:24" x14ac:dyDescent="0.25">
      <c r="A151" s="11" t="s">
        <v>861</v>
      </c>
      <c r="B151" s="10" t="str">
        <f>$B$38</f>
        <v>From Fiscal Forecasts</v>
      </c>
      <c r="C151" s="13"/>
      <c r="D151" s="35">
        <f>'Fiscal Forecasts'!D$374</f>
        <v>0</v>
      </c>
      <c r="E151" s="35">
        <f>'Fiscal Forecasts'!E$374</f>
        <v>0</v>
      </c>
      <c r="F151" s="35">
        <f>'Fiscal Forecasts'!F$374</f>
        <v>0.33600000000000002</v>
      </c>
      <c r="G151" s="35">
        <f>'Fiscal Forecasts'!G$374</f>
        <v>2.0960000000000001</v>
      </c>
      <c r="H151" s="35">
        <f>'Fiscal Forecasts'!H$374</f>
        <v>0.83199999999999996</v>
      </c>
      <c r="I151" s="35">
        <f>'Fiscal Forecasts'!I$374</f>
        <v>0.21</v>
      </c>
      <c r="J151" s="17">
        <f>'Fiscal Forecasts'!J$374</f>
        <v>0.27900000000000003</v>
      </c>
      <c r="K151" s="17">
        <f>'Fiscal Forecasts'!K$374</f>
        <v>0.33</v>
      </c>
      <c r="L151" s="17">
        <f>'Fiscal Forecasts'!L$374</f>
        <v>0.28299999999999997</v>
      </c>
      <c r="M151" s="17">
        <f>'Fiscal Forecasts'!M$374</f>
        <v>0.23</v>
      </c>
      <c r="N151" s="17">
        <f>'Fiscal Forecasts'!N$374</f>
        <v>0.17699999999999999</v>
      </c>
      <c r="O151" s="16">
        <f t="shared" ref="O151:X151" si="113">N$151</f>
        <v>0.17699999999999999</v>
      </c>
      <c r="P151" s="16">
        <f t="shared" si="113"/>
        <v>0.17699999999999999</v>
      </c>
      <c r="Q151" s="16">
        <f t="shared" si="113"/>
        <v>0.17699999999999999</v>
      </c>
      <c r="R151" s="16">
        <f t="shared" si="113"/>
        <v>0.17699999999999999</v>
      </c>
      <c r="S151" s="16">
        <f t="shared" si="113"/>
        <v>0.17699999999999999</v>
      </c>
      <c r="T151" s="16">
        <f t="shared" si="113"/>
        <v>0.17699999999999999</v>
      </c>
      <c r="U151" s="16">
        <f t="shared" si="113"/>
        <v>0.17699999999999999</v>
      </c>
      <c r="V151" s="16">
        <f t="shared" si="113"/>
        <v>0.17699999999999999</v>
      </c>
      <c r="W151" s="16">
        <f t="shared" si="113"/>
        <v>0.17699999999999999</v>
      </c>
      <c r="X151" s="16">
        <f t="shared" si="113"/>
        <v>0.17699999999999999</v>
      </c>
    </row>
    <row r="152" spans="1:24" x14ac:dyDescent="0.25">
      <c r="A152" s="9"/>
      <c r="B152" s="9"/>
      <c r="C152" s="13"/>
      <c r="D152" s="68"/>
      <c r="E152" s="68"/>
      <c r="F152" s="68"/>
      <c r="G152" s="68"/>
      <c r="H152" s="68"/>
      <c r="I152" s="68"/>
      <c r="J152" s="69"/>
      <c r="K152" s="69"/>
      <c r="L152" s="69"/>
      <c r="M152" s="69"/>
      <c r="N152" s="69"/>
      <c r="O152" s="70"/>
      <c r="P152" s="70"/>
      <c r="Q152" s="70"/>
      <c r="R152" s="70"/>
      <c r="S152" s="70"/>
      <c r="T152" s="70"/>
      <c r="U152" s="70"/>
      <c r="V152" s="70"/>
      <c r="W152" s="70"/>
      <c r="X152" s="70"/>
    </row>
    <row r="153" spans="1:24" x14ac:dyDescent="0.25">
      <c r="A153" s="9" t="s">
        <v>530</v>
      </c>
      <c r="B153" s="9"/>
      <c r="C153" s="13"/>
      <c r="D153" s="68"/>
      <c r="E153" s="68"/>
      <c r="F153" s="68"/>
      <c r="G153" s="68"/>
      <c r="H153" s="68"/>
      <c r="I153" s="68"/>
      <c r="J153" s="69"/>
      <c r="K153" s="69"/>
      <c r="L153" s="69"/>
      <c r="M153" s="69"/>
      <c r="N153" s="69"/>
      <c r="O153" s="70"/>
      <c r="P153" s="70"/>
      <c r="Q153" s="70"/>
      <c r="R153" s="70"/>
      <c r="S153" s="70"/>
      <c r="T153" s="70"/>
      <c r="U153" s="70"/>
      <c r="V153" s="70"/>
      <c r="W153" s="70"/>
      <c r="X153" s="70"/>
    </row>
    <row r="154" spans="1:24" x14ac:dyDescent="0.25">
      <c r="A154" s="9" t="s">
        <v>862</v>
      </c>
      <c r="B154" s="10" t="str">
        <f>$B$38</f>
        <v>From Fiscal Forecasts</v>
      </c>
      <c r="C154" s="13"/>
      <c r="D154" s="68">
        <f>'Fiscal Forecasts'!D165</f>
        <v>1.583</v>
      </c>
      <c r="E154" s="68">
        <f>'Fiscal Forecasts'!E165</f>
        <v>1.5529999999999999</v>
      </c>
      <c r="F154" s="68">
        <f>'Fiscal Forecasts'!F165</f>
        <v>1.5429999999999999</v>
      </c>
      <c r="G154" s="68">
        <f>'Fiscal Forecasts'!G165</f>
        <v>1.3859999999999999</v>
      </c>
      <c r="H154" s="68">
        <f>'Fiscal Forecasts'!H165</f>
        <v>1.631</v>
      </c>
      <c r="I154" s="68">
        <f>'Fiscal Forecasts'!I165</f>
        <v>1.798</v>
      </c>
      <c r="J154" s="69">
        <f>'Fiscal Forecasts'!J165</f>
        <v>2.21</v>
      </c>
      <c r="K154" s="69">
        <f>'Fiscal Forecasts'!K165</f>
        <v>2.3940000000000001</v>
      </c>
      <c r="L154" s="69">
        <f>'Fiscal Forecasts'!L165</f>
        <v>2.3420000000000001</v>
      </c>
      <c r="M154" s="69">
        <f>'Fiscal Forecasts'!M165</f>
        <v>2.427</v>
      </c>
      <c r="N154" s="69">
        <f>'Fiscal Forecasts'!N165</f>
        <v>2.4420000000000002</v>
      </c>
      <c r="O154" s="47">
        <f t="shared" ref="O154:X154" ca="1" si="114">N$154*(1+O$19)*(1+O$29)</f>
        <v>2.5216963759031681</v>
      </c>
      <c r="P154" s="47">
        <f t="shared" ca="1" si="114"/>
        <v>2.6021466866498741</v>
      </c>
      <c r="Q154" s="47">
        <f t="shared" ca="1" si="114"/>
        <v>2.6835641560501355</v>
      </c>
      <c r="R154" s="47">
        <f t="shared" ca="1" si="114"/>
        <v>2.7652182793445026</v>
      </c>
      <c r="S154" s="47">
        <f t="shared" ca="1" si="114"/>
        <v>2.8475424574191939</v>
      </c>
      <c r="T154" s="47">
        <f t="shared" ca="1" si="114"/>
        <v>2.9303437558652385</v>
      </c>
      <c r="U154" s="47">
        <f t="shared" ca="1" si="114"/>
        <v>3.014704699186717</v>
      </c>
      <c r="V154" s="47">
        <f t="shared" ca="1" si="114"/>
        <v>3.1002035766575884</v>
      </c>
      <c r="W154" s="47">
        <f t="shared" ca="1" si="114"/>
        <v>3.1856226715618248</v>
      </c>
      <c r="X154" s="47">
        <f t="shared" ca="1" si="114"/>
        <v>3.2718633049831651</v>
      </c>
    </row>
    <row r="155" spans="1:24" x14ac:dyDescent="0.25">
      <c r="A155" s="9" t="s">
        <v>910</v>
      </c>
      <c r="B155" s="10" t="str">
        <f>$B$38</f>
        <v>From Fiscal Forecasts</v>
      </c>
      <c r="C155" s="13"/>
      <c r="D155" s="68">
        <f>'Fiscal Forecasts'!D11</f>
        <v>19.795999999999999</v>
      </c>
      <c r="E155" s="68">
        <f>'Fiscal Forecasts'!E11</f>
        <v>18.437000000000001</v>
      </c>
      <c r="F155" s="68">
        <f>'Fiscal Forecasts'!F11</f>
        <v>18.5</v>
      </c>
      <c r="G155" s="68">
        <f>'Fiscal Forecasts'!G11</f>
        <v>17.442</v>
      </c>
      <c r="H155" s="68">
        <f>'Fiscal Forecasts'!H11</f>
        <v>21.954000000000001</v>
      </c>
      <c r="I155" s="68">
        <f>'Fiscal Forecasts'!I11</f>
        <v>25.135000000000002</v>
      </c>
      <c r="J155" s="69">
        <f>'Fiscal Forecasts'!J11</f>
        <v>26.361999999999998</v>
      </c>
      <c r="K155" s="69">
        <f>'Fiscal Forecasts'!K11</f>
        <v>27.553999999999998</v>
      </c>
      <c r="L155" s="69">
        <f>'Fiscal Forecasts'!L11</f>
        <v>28.504000000000001</v>
      </c>
      <c r="M155" s="69">
        <f>'Fiscal Forecasts'!M11</f>
        <v>29.87</v>
      </c>
      <c r="N155" s="69">
        <f>'Fiscal Forecasts'!N11</f>
        <v>30.238</v>
      </c>
      <c r="O155" s="47">
        <f t="shared" ref="O155:X155" ca="1" si="115">O$154+(N$155-N$154)*(1+O$14)</f>
        <v>31.517025502224552</v>
      </c>
      <c r="P155" s="47">
        <f t="shared" ca="1" si="115"/>
        <v>32.834131196395788</v>
      </c>
      <c r="Q155" s="47">
        <f t="shared" ca="1" si="115"/>
        <v>34.154889165926434</v>
      </c>
      <c r="R155" s="47">
        <f t="shared" ca="1" si="115"/>
        <v>35.475773927409826</v>
      </c>
      <c r="S155" s="47">
        <f t="shared" ca="1" si="115"/>
        <v>36.824653359169588</v>
      </c>
      <c r="T155" s="47">
        <f t="shared" ca="1" si="115"/>
        <v>38.199401650237419</v>
      </c>
      <c r="U155" s="47">
        <f t="shared" ca="1" si="115"/>
        <v>39.59293518274719</v>
      </c>
      <c r="V155" s="47">
        <f t="shared" ca="1" si="115"/>
        <v>41.007289806661774</v>
      </c>
      <c r="W155" s="47">
        <f t="shared" ca="1" si="115"/>
        <v>42.441198296769436</v>
      </c>
      <c r="X155" s="47">
        <f t="shared" ca="1" si="115"/>
        <v>43.90572355563144</v>
      </c>
    </row>
    <row r="156" spans="1:24" x14ac:dyDescent="0.25">
      <c r="A156" s="9"/>
      <c r="B156" s="9"/>
      <c r="C156" s="13"/>
      <c r="D156" s="68"/>
      <c r="E156" s="68"/>
      <c r="F156" s="68"/>
      <c r="G156" s="68"/>
      <c r="H156" s="68"/>
      <c r="I156" s="68"/>
      <c r="J156" s="69"/>
      <c r="K156" s="69"/>
      <c r="L156" s="69"/>
      <c r="M156" s="69"/>
      <c r="N156" s="69"/>
      <c r="O156" s="70"/>
      <c r="P156" s="70"/>
      <c r="Q156" s="70"/>
      <c r="R156" s="70"/>
      <c r="S156" s="70"/>
      <c r="T156" s="70"/>
      <c r="U156" s="70"/>
      <c r="V156" s="70"/>
      <c r="W156" s="70"/>
      <c r="X156" s="70"/>
    </row>
    <row r="157" spans="1:24" x14ac:dyDescent="0.25">
      <c r="A157" s="9" t="s">
        <v>531</v>
      </c>
      <c r="B157" s="9"/>
      <c r="C157" s="13"/>
      <c r="D157" s="68"/>
      <c r="E157" s="68"/>
      <c r="F157" s="68"/>
      <c r="G157" s="68"/>
      <c r="H157" s="68"/>
      <c r="I157" s="68"/>
      <c r="J157" s="69"/>
      <c r="K157" s="69"/>
      <c r="L157" s="69"/>
      <c r="M157" s="69"/>
      <c r="N157" s="69"/>
      <c r="O157" s="70"/>
      <c r="P157" s="70"/>
      <c r="Q157" s="70"/>
      <c r="R157" s="70"/>
      <c r="S157" s="70"/>
      <c r="T157" s="70"/>
      <c r="U157" s="70"/>
      <c r="V157" s="70"/>
      <c r="W157" s="70"/>
      <c r="X157" s="70"/>
    </row>
    <row r="158" spans="1:24" x14ac:dyDescent="0.25">
      <c r="A158" s="11" t="s">
        <v>867</v>
      </c>
      <c r="B158" s="9"/>
      <c r="C158" s="13"/>
      <c r="D158" s="35">
        <f ca="1">OFFSET(Assumptions!$B$47,0,$C$1)*D$384</f>
        <v>0.43208000000000002</v>
      </c>
      <c r="E158" s="35">
        <f ca="1">OFFSET(Assumptions!$B$47,0,$C$1)*E$384</f>
        <v>0.35332000000000002</v>
      </c>
      <c r="F158" s="35">
        <f ca="1">OFFSET(Assumptions!$B$47,0,$C$1)*F$384</f>
        <v>0.32647999999999999</v>
      </c>
      <c r="G158" s="35">
        <f ca="1">OFFSET(Assumptions!$B$47,0,$C$1)*G$384</f>
        <v>0.47387999999999997</v>
      </c>
      <c r="H158" s="35">
        <f ca="1">OFFSET(Assumptions!$B$47,0,$C$1)*H$384</f>
        <v>0.58079999999999998</v>
      </c>
      <c r="I158" s="35">
        <f ca="1">OFFSET(Assumptions!$B$47,0,$C$1)*I$384</f>
        <v>0.72996000000000005</v>
      </c>
      <c r="J158" s="17">
        <f ca="1">OFFSET(Assumptions!$B$47,0,$C$1)*J$384</f>
        <v>0.75020000000000009</v>
      </c>
      <c r="K158" s="17">
        <f ca="1">OFFSET(Assumptions!$B$47,0,$C$1)*K$384</f>
        <v>0.78011999999999992</v>
      </c>
      <c r="L158" s="17">
        <f ca="1">OFFSET(Assumptions!$B$47,0,$C$1)*L$384</f>
        <v>0.82235999999999998</v>
      </c>
      <c r="M158" s="17">
        <f ca="1">OFFSET(Assumptions!$B$47,0,$C$1)*M$384</f>
        <v>0.87692000000000003</v>
      </c>
      <c r="N158" s="17">
        <f ca="1">OFFSET(Assumptions!$B$47,0,$C$1)*N$384</f>
        <v>0.93104000000000009</v>
      </c>
      <c r="O158" s="16">
        <f ca="1">OFFSET(Assumptions!$B$47,0,$C$1)*O$384</f>
        <v>0.98719612249771271</v>
      </c>
      <c r="P158" s="16">
        <f ca="1">OFFSET(Assumptions!$B$47,0,$C$1)*P$384</f>
        <v>1.0459652386232476</v>
      </c>
      <c r="Q158" s="16">
        <f ca="1">OFFSET(Assumptions!$B$47,0,$C$1)*Q$384</f>
        <v>1.106944082263164</v>
      </c>
      <c r="R158" s="16">
        <f ca="1">OFFSET(Assumptions!$B$47,0,$C$1)*R$384</f>
        <v>1.1698163808582145</v>
      </c>
      <c r="S158" s="16">
        <f ca="1">OFFSET(Assumptions!$B$47,0,$C$1)*S$384</f>
        <v>1.2342598212523019</v>
      </c>
      <c r="T158" s="16">
        <f ca="1">OFFSET(Assumptions!$B$47,0,$C$1)*T$384</f>
        <v>1.3002348226020972</v>
      </c>
      <c r="U158" s="16">
        <f ca="1">OFFSET(Assumptions!$B$47,0,$C$1)*U$384</f>
        <v>1.3676609893111076</v>
      </c>
      <c r="V158" s="16">
        <f ca="1">OFFSET(Assumptions!$B$47,0,$C$1)*V$384</f>
        <v>1.4364580783544572</v>
      </c>
      <c r="W158" s="16">
        <f ca="1">OFFSET(Assumptions!$B$47,0,$C$1)*W$384</f>
        <v>1.5071179028560633</v>
      </c>
      <c r="X158" s="16">
        <f ca="1">OFFSET(Assumptions!$B$47,0,$C$1)*X$384</f>
        <v>1.580445928207433</v>
      </c>
    </row>
    <row r="159" spans="1:24" x14ac:dyDescent="0.25">
      <c r="A159" s="11" t="s">
        <v>863</v>
      </c>
      <c r="B159" s="9"/>
      <c r="C159" s="13"/>
      <c r="D159" s="35">
        <f t="shared" ref="D159:X159" si="116">D$413</f>
        <v>0.39400000000000002</v>
      </c>
      <c r="E159" s="35">
        <f t="shared" si="116"/>
        <v>0.33100000000000002</v>
      </c>
      <c r="F159" s="35">
        <f t="shared" si="116"/>
        <v>0.23499999999999999</v>
      </c>
      <c r="G159" s="35">
        <f t="shared" si="116"/>
        <v>0.28000000000000003</v>
      </c>
      <c r="H159" s="35">
        <f t="shared" si="116"/>
        <v>0.57699999999999996</v>
      </c>
      <c r="I159" s="35">
        <f t="shared" si="116"/>
        <v>0.63400000000000001</v>
      </c>
      <c r="J159" s="17">
        <f t="shared" si="116"/>
        <v>0.502</v>
      </c>
      <c r="K159" s="17">
        <f t="shared" si="116"/>
        <v>0.41299999999999998</v>
      </c>
      <c r="L159" s="17">
        <f t="shared" si="116"/>
        <v>0.42899999999999999</v>
      </c>
      <c r="M159" s="17">
        <f t="shared" si="116"/>
        <v>0.46100000000000002</v>
      </c>
      <c r="N159" s="17">
        <f t="shared" si="116"/>
        <v>0.48599999999999999</v>
      </c>
      <c r="O159" s="16">
        <f t="shared" si="116"/>
        <v>0.50700000000000001</v>
      </c>
      <c r="P159" s="16">
        <f t="shared" si="116"/>
        <v>0.52800000000000002</v>
      </c>
      <c r="Q159" s="16">
        <f t="shared" si="116"/>
        <v>0.54300000000000004</v>
      </c>
      <c r="R159" s="16">
        <f t="shared" si="116"/>
        <v>0.55300000000000005</v>
      </c>
      <c r="S159" s="16">
        <f t="shared" si="116"/>
        <v>0.55800000000000005</v>
      </c>
      <c r="T159" s="16">
        <f t="shared" si="116"/>
        <v>0.55700000000000005</v>
      </c>
      <c r="U159" s="16">
        <f t="shared" si="116"/>
        <v>0.54800000000000004</v>
      </c>
      <c r="V159" s="16">
        <f t="shared" si="116"/>
        <v>0.53400000000000003</v>
      </c>
      <c r="W159" s="16">
        <f t="shared" si="116"/>
        <v>0.51800000000000002</v>
      </c>
      <c r="X159" s="16">
        <f t="shared" si="116"/>
        <v>0.498</v>
      </c>
    </row>
    <row r="160" spans="1:24" x14ac:dyDescent="0.25">
      <c r="A160" s="11" t="s">
        <v>864</v>
      </c>
      <c r="B160" s="10" t="str">
        <f>$B$38</f>
        <v>From Fiscal Forecasts</v>
      </c>
      <c r="C160" s="13"/>
      <c r="D160" s="35">
        <f ca="1">'Fiscal Forecasts'!D$166-SUM(D$158:D$159)</f>
        <v>0.23392000000000002</v>
      </c>
      <c r="E160" s="35">
        <f ca="1">'Fiscal Forecasts'!E$166-SUM(E$158:E$159)</f>
        <v>0.16567999999999994</v>
      </c>
      <c r="F160" s="35">
        <f ca="1">'Fiscal Forecasts'!F$166-SUM(F$158:F$159)</f>
        <v>0.15451999999999999</v>
      </c>
      <c r="G160" s="35">
        <f ca="1">'Fiscal Forecasts'!G$166-SUM(G$158:G$159)</f>
        <v>0.10411999999999999</v>
      </c>
      <c r="H160" s="35">
        <f ca="1">'Fiscal Forecasts'!H$166-SUM(H$158:H$159)</f>
        <v>1.7042000000000002</v>
      </c>
      <c r="I160" s="35">
        <f ca="1">'Fiscal Forecasts'!I$166-SUM(I$158:I$159)</f>
        <v>3.0770399999999998</v>
      </c>
      <c r="J160" s="17">
        <f ca="1">'Fiscal Forecasts'!J$166-SUM(J$158:J$159)</f>
        <v>2.8267999999999995</v>
      </c>
      <c r="K160" s="17">
        <f ca="1">'Fiscal Forecasts'!K$166-SUM(K$158:K$159)</f>
        <v>2.5228800000000002</v>
      </c>
      <c r="L160" s="17">
        <f ca="1">'Fiscal Forecasts'!L$166-SUM(L$158:L$159)</f>
        <v>2.5806399999999998</v>
      </c>
      <c r="M160" s="17">
        <f ca="1">'Fiscal Forecasts'!M$166-SUM(M$158:M$159)</f>
        <v>2.8080799999999999</v>
      </c>
      <c r="N160" s="17">
        <f ca="1">'Fiscal Forecasts'!N$166-SUM(N$158:N$159)</f>
        <v>2.9759599999999997</v>
      </c>
      <c r="O160" s="16">
        <f t="shared" ref="O160:X160" ca="1" si="117">N$160*AVERAGE(1+O$29,O$234/N$234)</f>
        <v>3.0109788121259271</v>
      </c>
      <c r="P160" s="16">
        <f t="shared" ca="1" si="117"/>
        <v>3.0463909577499391</v>
      </c>
      <c r="Q160" s="16">
        <f t="shared" ca="1" si="117"/>
        <v>3.0822007575886547</v>
      </c>
      <c r="R160" s="16">
        <f t="shared" ca="1" si="117"/>
        <v>3.1184125790569905</v>
      </c>
      <c r="S160" s="16">
        <f t="shared" ca="1" si="117"/>
        <v>3.1550308367678506</v>
      </c>
      <c r="T160" s="16">
        <f t="shared" ca="1" si="117"/>
        <v>3.1865811451355293</v>
      </c>
      <c r="U160" s="16">
        <f t="shared" ca="1" si="117"/>
        <v>3.2184469565868845</v>
      </c>
      <c r="V160" s="16">
        <f t="shared" ca="1" si="117"/>
        <v>3.2506314261527534</v>
      </c>
      <c r="W160" s="16">
        <f t="shared" ca="1" si="117"/>
        <v>3.283137740414281</v>
      </c>
      <c r="X160" s="16">
        <f t="shared" ca="1" si="117"/>
        <v>3.3159691178184239</v>
      </c>
    </row>
    <row r="161" spans="1:24" x14ac:dyDescent="0.25">
      <c r="A161" s="9" t="s">
        <v>865</v>
      </c>
      <c r="B161" s="9"/>
      <c r="C161" s="13"/>
      <c r="D161" s="65">
        <f t="shared" ref="D161:X161" ca="1" si="118">SUM(D$158:D$160)</f>
        <v>1.06</v>
      </c>
      <c r="E161" s="65">
        <f t="shared" ca="1" si="118"/>
        <v>0.85</v>
      </c>
      <c r="F161" s="65">
        <f t="shared" ca="1" si="118"/>
        <v>0.71599999999999997</v>
      </c>
      <c r="G161" s="65">
        <f t="shared" ca="1" si="118"/>
        <v>0.85799999999999998</v>
      </c>
      <c r="H161" s="65">
        <f t="shared" ca="1" si="118"/>
        <v>2.8620000000000001</v>
      </c>
      <c r="I161" s="65">
        <f t="shared" ca="1" si="118"/>
        <v>4.4409999999999998</v>
      </c>
      <c r="J161" s="66">
        <f t="shared" ca="1" si="118"/>
        <v>4.0789999999999997</v>
      </c>
      <c r="K161" s="66">
        <f t="shared" ca="1" si="118"/>
        <v>3.7160000000000002</v>
      </c>
      <c r="L161" s="66">
        <f t="shared" ca="1" si="118"/>
        <v>3.8319999999999999</v>
      </c>
      <c r="M161" s="66">
        <f t="shared" ca="1" si="118"/>
        <v>4.1459999999999999</v>
      </c>
      <c r="N161" s="66">
        <f t="shared" ca="1" si="118"/>
        <v>4.3929999999999998</v>
      </c>
      <c r="O161" s="67">
        <f t="shared" ca="1" si="118"/>
        <v>4.50517493462364</v>
      </c>
      <c r="P161" s="67">
        <f t="shared" ca="1" si="118"/>
        <v>4.6203561963731872</v>
      </c>
      <c r="Q161" s="67">
        <f t="shared" ca="1" si="118"/>
        <v>4.7321448398518182</v>
      </c>
      <c r="R161" s="67">
        <f t="shared" ca="1" si="118"/>
        <v>4.8412289599152052</v>
      </c>
      <c r="S161" s="67">
        <f t="shared" ca="1" si="118"/>
        <v>4.9472906580201528</v>
      </c>
      <c r="T161" s="67">
        <f t="shared" ca="1" si="118"/>
        <v>5.0438159677376264</v>
      </c>
      <c r="U161" s="67">
        <f t="shared" ca="1" si="118"/>
        <v>5.1341079458979921</v>
      </c>
      <c r="V161" s="67">
        <f t="shared" ca="1" si="118"/>
        <v>5.2210895045072103</v>
      </c>
      <c r="W161" s="67">
        <f t="shared" ca="1" si="118"/>
        <v>5.3082556432703445</v>
      </c>
      <c r="X161" s="67">
        <f t="shared" ca="1" si="118"/>
        <v>5.3944150460258573</v>
      </c>
    </row>
    <row r="162" spans="1:24" x14ac:dyDescent="0.25">
      <c r="A162" s="11" t="s">
        <v>707</v>
      </c>
      <c r="B162" s="10" t="str">
        <f>$B$38</f>
        <v>From Fiscal Forecasts</v>
      </c>
      <c r="C162" s="13"/>
      <c r="D162" s="35">
        <f>'Fiscal Forecasts'!D$233</f>
        <v>1.016</v>
      </c>
      <c r="E162" s="35">
        <f>'Fiscal Forecasts'!E$233</f>
        <v>0.94699999999999995</v>
      </c>
      <c r="F162" s="35">
        <f>'Fiscal Forecasts'!F$233</f>
        <v>0.78500000000000003</v>
      </c>
      <c r="G162" s="35">
        <f>'Fiscal Forecasts'!G$233</f>
        <v>0.82699999999999996</v>
      </c>
      <c r="H162" s="35">
        <f>'Fiscal Forecasts'!H$233</f>
        <v>2.097</v>
      </c>
      <c r="I162" s="35">
        <f>'Fiscal Forecasts'!I$233</f>
        <v>3.56</v>
      </c>
      <c r="J162" s="17">
        <f>'Fiscal Forecasts'!J$233</f>
        <v>4.0650000000000004</v>
      </c>
      <c r="K162" s="17">
        <f>'Fiscal Forecasts'!K$233</f>
        <v>4.1219999999999999</v>
      </c>
      <c r="L162" s="17">
        <f>'Fiscal Forecasts'!L$233</f>
        <v>4.16</v>
      </c>
      <c r="M162" s="17">
        <f>'Fiscal Forecasts'!M$233</f>
        <v>4.2519999999999998</v>
      </c>
      <c r="N162" s="17">
        <f>'Fiscal Forecasts'!N$233</f>
        <v>4.5149999999999997</v>
      </c>
      <c r="O162" s="16">
        <f t="shared" ref="O162:X162" ca="1" si="119">N$162*AVERAGE(1+O$29,O$234/N$234)</f>
        <v>4.5681290530613854</v>
      </c>
      <c r="P162" s="16">
        <f t="shared" ca="1" si="119"/>
        <v>4.6218548549849379</v>
      </c>
      <c r="Q162" s="16">
        <f t="shared" ca="1" si="119"/>
        <v>4.6761839609782312</v>
      </c>
      <c r="R162" s="16">
        <f t="shared" ca="1" si="119"/>
        <v>4.7311229970975122</v>
      </c>
      <c r="S162" s="16">
        <f t="shared" ca="1" si="119"/>
        <v>4.7866786610058085</v>
      </c>
      <c r="T162" s="16">
        <f t="shared" ca="1" si="119"/>
        <v>4.8345454476158665</v>
      </c>
      <c r="U162" s="16">
        <f t="shared" ca="1" si="119"/>
        <v>4.8828909020920248</v>
      </c>
      <c r="V162" s="16">
        <f t="shared" ca="1" si="119"/>
        <v>4.931719811112945</v>
      </c>
      <c r="W162" s="16">
        <f t="shared" ca="1" si="119"/>
        <v>4.9810370092240746</v>
      </c>
      <c r="X162" s="16">
        <f t="shared" ca="1" si="119"/>
        <v>5.0308473793163158</v>
      </c>
    </row>
    <row r="163" spans="1:24" x14ac:dyDescent="0.25">
      <c r="A163" s="11" t="s">
        <v>904</v>
      </c>
      <c r="B163" s="10" t="str">
        <f>$B$38</f>
        <v>From Fiscal Forecasts</v>
      </c>
      <c r="C163" s="13"/>
      <c r="D163" s="35">
        <f>'Fiscal Forecasts'!D$234</f>
        <v>1.014</v>
      </c>
      <c r="E163" s="35">
        <f>'Fiscal Forecasts'!E$234</f>
        <v>0.95299999999999996</v>
      </c>
      <c r="F163" s="35">
        <f>'Fiscal Forecasts'!F$234</f>
        <v>0.79100000000000004</v>
      </c>
      <c r="G163" s="35">
        <f>'Fiscal Forecasts'!G$234</f>
        <v>0.95699999999999996</v>
      </c>
      <c r="H163" s="35">
        <f>'Fiscal Forecasts'!H$234</f>
        <v>0.67500000000000004</v>
      </c>
      <c r="I163" s="35">
        <f>'Fiscal Forecasts'!I$234</f>
        <v>0.22800000000000001</v>
      </c>
      <c r="J163" s="17">
        <f>'Fiscal Forecasts'!J$234</f>
        <v>0.124</v>
      </c>
      <c r="K163" s="17">
        <f>'Fiscal Forecasts'!K$234</f>
        <v>8.4000000000000005E-2</v>
      </c>
      <c r="L163" s="17">
        <f>'Fiscal Forecasts'!L$234</f>
        <v>7.6999999999999999E-2</v>
      </c>
      <c r="M163" s="17">
        <f>'Fiscal Forecasts'!M$234</f>
        <v>8.8999999999999996E-2</v>
      </c>
      <c r="N163" s="17">
        <f>'Fiscal Forecasts'!N$234</f>
        <v>0.1</v>
      </c>
      <c r="O163" s="16">
        <f t="shared" ref="O163:X163" ca="1" si="120">N$163*AVERAGE(1+O$29,O$234/N$234)</f>
        <v>0.10117672321287677</v>
      </c>
      <c r="P163" s="16">
        <f t="shared" ca="1" si="120"/>
        <v>0.1023666634548159</v>
      </c>
      <c r="Q163" s="16">
        <f t="shared" ca="1" si="120"/>
        <v>0.10356996591313912</v>
      </c>
      <c r="R163" s="16">
        <f t="shared" ca="1" si="120"/>
        <v>0.10478677734435243</v>
      </c>
      <c r="S163" s="16">
        <f t="shared" ca="1" si="120"/>
        <v>0.10601724609093707</v>
      </c>
      <c r="T163" s="16">
        <f t="shared" ca="1" si="120"/>
        <v>0.10707741855184645</v>
      </c>
      <c r="U163" s="16">
        <f t="shared" ca="1" si="120"/>
        <v>0.10814819273736492</v>
      </c>
      <c r="V163" s="16">
        <f t="shared" ca="1" si="120"/>
        <v>0.10922967466473857</v>
      </c>
      <c r="W163" s="16">
        <f t="shared" ca="1" si="120"/>
        <v>0.11032197141138596</v>
      </c>
      <c r="X163" s="16">
        <f t="shared" ca="1" si="120"/>
        <v>0.11142519112549981</v>
      </c>
    </row>
    <row r="164" spans="1:24" x14ac:dyDescent="0.25">
      <c r="A164" s="11" t="s">
        <v>866</v>
      </c>
      <c r="B164" s="10" t="str">
        <f>$B$38</f>
        <v>From Fiscal Forecasts</v>
      </c>
      <c r="C164" s="13"/>
      <c r="D164" s="35">
        <f>'Fiscal Forecasts'!D$235</f>
        <v>-0.44400000000000001</v>
      </c>
      <c r="E164" s="35">
        <f>'Fiscal Forecasts'!E$235</f>
        <v>-0.45</v>
      </c>
      <c r="F164" s="35">
        <f>'Fiscal Forecasts'!F$235</f>
        <v>-0.34899999999999998</v>
      </c>
      <c r="G164" s="35">
        <f>'Fiscal Forecasts'!G$235</f>
        <v>-0.35</v>
      </c>
      <c r="H164" s="35">
        <f>'Fiscal Forecasts'!H$235</f>
        <v>-0.622</v>
      </c>
      <c r="I164" s="35">
        <f>'Fiscal Forecasts'!I$235</f>
        <v>-1.109</v>
      </c>
      <c r="J164" s="17">
        <f>'Fiscal Forecasts'!J$235</f>
        <v>-1.3979999999999999</v>
      </c>
      <c r="K164" s="17">
        <f>'Fiscal Forecasts'!K$235</f>
        <v>-1.514</v>
      </c>
      <c r="L164" s="17">
        <f>'Fiscal Forecasts'!L$235</f>
        <v>-1.61</v>
      </c>
      <c r="M164" s="17">
        <f>'Fiscal Forecasts'!M$235</f>
        <v>-1.732</v>
      </c>
      <c r="N164" s="17">
        <f>'Fiscal Forecasts'!N$235</f>
        <v>-1.8520000000000001</v>
      </c>
      <c r="O164" s="16">
        <f t="shared" ref="O164:X164" ca="1" si="121">N$164*O$162/N$162</f>
        <v>-1.8737929139024778</v>
      </c>
      <c r="P164" s="16">
        <f t="shared" ca="1" si="121"/>
        <v>-1.8958306071831907</v>
      </c>
      <c r="Q164" s="16">
        <f t="shared" ca="1" si="121"/>
        <v>-1.9181157687113368</v>
      </c>
      <c r="R164" s="16">
        <f t="shared" ca="1" si="121"/>
        <v>-1.9406511164174074</v>
      </c>
      <c r="S164" s="16">
        <f t="shared" ca="1" si="121"/>
        <v>-1.9634393976041549</v>
      </c>
      <c r="T164" s="16">
        <f t="shared" ca="1" si="121"/>
        <v>-1.9830737915801961</v>
      </c>
      <c r="U164" s="16">
        <f t="shared" ca="1" si="121"/>
        <v>-2.0029045294959982</v>
      </c>
      <c r="V164" s="16">
        <f t="shared" ca="1" si="121"/>
        <v>-2.0229335747909585</v>
      </c>
      <c r="W164" s="16">
        <f t="shared" ca="1" si="121"/>
        <v>-2.043162910538868</v>
      </c>
      <c r="X164" s="16">
        <f t="shared" ca="1" si="121"/>
        <v>-2.063594539644257</v>
      </c>
    </row>
    <row r="165" spans="1:24" x14ac:dyDescent="0.25">
      <c r="A165" s="9" t="s">
        <v>911</v>
      </c>
      <c r="B165" s="9"/>
      <c r="C165" s="13"/>
      <c r="D165" s="65">
        <f t="shared" ref="D165:X165" ca="1" si="122">SUM(D$161:D$164)</f>
        <v>2.6459999999999999</v>
      </c>
      <c r="E165" s="65">
        <f t="shared" ca="1" si="122"/>
        <v>2.2999999999999998</v>
      </c>
      <c r="F165" s="65">
        <f t="shared" ca="1" si="122"/>
        <v>1.9429999999999998</v>
      </c>
      <c r="G165" s="65">
        <f t="shared" ca="1" si="122"/>
        <v>2.2919999999999998</v>
      </c>
      <c r="H165" s="65">
        <f t="shared" ca="1" si="122"/>
        <v>5.0119999999999996</v>
      </c>
      <c r="I165" s="65">
        <f t="shared" ca="1" si="122"/>
        <v>7.1199999999999992</v>
      </c>
      <c r="J165" s="66">
        <f t="shared" ca="1" si="122"/>
        <v>6.870000000000001</v>
      </c>
      <c r="K165" s="66">
        <f t="shared" ca="1" si="122"/>
        <v>6.4079999999999995</v>
      </c>
      <c r="L165" s="66">
        <f t="shared" ca="1" si="122"/>
        <v>6.4590000000000005</v>
      </c>
      <c r="M165" s="66">
        <f t="shared" ca="1" si="122"/>
        <v>6.7549999999999999</v>
      </c>
      <c r="N165" s="66">
        <f t="shared" ca="1" si="122"/>
        <v>7.1559999999999988</v>
      </c>
      <c r="O165" s="67">
        <f t="shared" ca="1" si="122"/>
        <v>7.3006877969954251</v>
      </c>
      <c r="P165" s="67">
        <f t="shared" ca="1" si="122"/>
        <v>7.4487471076297513</v>
      </c>
      <c r="Q165" s="67">
        <f t="shared" ca="1" si="122"/>
        <v>7.5937829980318519</v>
      </c>
      <c r="R165" s="67">
        <f t="shared" ca="1" si="122"/>
        <v>7.7364876179396633</v>
      </c>
      <c r="S165" s="67">
        <f t="shared" ca="1" si="122"/>
        <v>7.8765471675127436</v>
      </c>
      <c r="T165" s="67">
        <f t="shared" ca="1" si="122"/>
        <v>8.0023650423251418</v>
      </c>
      <c r="U165" s="67">
        <f t="shared" ca="1" si="122"/>
        <v>8.1222425112313843</v>
      </c>
      <c r="V165" s="67">
        <f t="shared" ca="1" si="122"/>
        <v>8.2391054154939365</v>
      </c>
      <c r="W165" s="67">
        <f t="shared" ca="1" si="122"/>
        <v>8.3564517133669369</v>
      </c>
      <c r="X165" s="67">
        <f t="shared" ca="1" si="122"/>
        <v>8.4730930768234156</v>
      </c>
    </row>
    <row r="166" spans="1:24" x14ac:dyDescent="0.25">
      <c r="A166" s="9"/>
      <c r="B166" s="9"/>
      <c r="C166" s="13"/>
      <c r="D166" s="40"/>
      <c r="E166" s="40"/>
      <c r="F166" s="40"/>
      <c r="G166" s="40"/>
      <c r="H166" s="40"/>
      <c r="I166" s="40"/>
    </row>
    <row r="167" spans="1:24" x14ac:dyDescent="0.25">
      <c r="A167" s="9" t="s">
        <v>902</v>
      </c>
      <c r="B167" s="9"/>
      <c r="C167" s="13"/>
      <c r="D167" s="40"/>
      <c r="E167" s="40"/>
      <c r="F167" s="40"/>
      <c r="G167" s="40"/>
      <c r="H167" s="40"/>
      <c r="I167" s="40"/>
    </row>
    <row r="168" spans="1:24" x14ac:dyDescent="0.25">
      <c r="A168" s="11" t="s">
        <v>899</v>
      </c>
      <c r="B168" s="9"/>
      <c r="C168" s="13"/>
      <c r="D168" s="35">
        <f ca="1">OFFSET(Assumptions!$B$48,0,$C$1)*D$384</f>
        <v>0.54010000000000002</v>
      </c>
      <c r="E168" s="35">
        <f ca="1">OFFSET(Assumptions!$B$48,0,$C$1)*E$384</f>
        <v>0.44165000000000004</v>
      </c>
      <c r="F168" s="35">
        <f ca="1">OFFSET(Assumptions!$B$48,0,$C$1)*F$384</f>
        <v>0.40810000000000002</v>
      </c>
      <c r="G168" s="35">
        <f ca="1">OFFSET(Assumptions!$B$48,0,$C$1)*G$384</f>
        <v>0.59235000000000004</v>
      </c>
      <c r="H168" s="35">
        <f ca="1">OFFSET(Assumptions!$B$48,0,$C$1)*H$384</f>
        <v>0.72600000000000009</v>
      </c>
      <c r="I168" s="35">
        <f ca="1">OFFSET(Assumptions!$B$48,0,$C$1)*I$384</f>
        <v>0.91245000000000009</v>
      </c>
      <c r="J168" s="17">
        <f ca="1">OFFSET(Assumptions!$B$48,0,$C$1)*J$384</f>
        <v>0.93775000000000008</v>
      </c>
      <c r="K168" s="17">
        <f ca="1">OFFSET(Assumptions!$B$48,0,$C$1)*K$384</f>
        <v>0.97515000000000007</v>
      </c>
      <c r="L168" s="17">
        <f ca="1">OFFSET(Assumptions!$B$48,0,$C$1)*L$384</f>
        <v>1.0279500000000001</v>
      </c>
      <c r="M168" s="17">
        <f ca="1">OFFSET(Assumptions!$B$48,0,$C$1)*M$384</f>
        <v>1.0961500000000002</v>
      </c>
      <c r="N168" s="17">
        <f ca="1">OFFSET(Assumptions!$B$48,0,$C$1)*N$384</f>
        <v>1.1638000000000002</v>
      </c>
      <c r="O168" s="16">
        <f ca="1">OFFSET(Assumptions!$B$48,0,$C$1)*O$384</f>
        <v>1.2339951531221409</v>
      </c>
      <c r="P168" s="16">
        <f ca="1">OFFSET(Assumptions!$B$48,0,$C$1)*P$384</f>
        <v>1.3074565482790597</v>
      </c>
      <c r="Q168" s="16">
        <f ca="1">OFFSET(Assumptions!$B$48,0,$C$1)*Q$384</f>
        <v>1.3836801028289551</v>
      </c>
      <c r="R168" s="16">
        <f ca="1">OFFSET(Assumptions!$B$48,0,$C$1)*R$384</f>
        <v>1.4622704760727681</v>
      </c>
      <c r="S168" s="16">
        <f ca="1">OFFSET(Assumptions!$B$48,0,$C$1)*S$384</f>
        <v>1.5428247765653775</v>
      </c>
      <c r="T168" s="16">
        <f ca="1">OFFSET(Assumptions!$B$48,0,$C$1)*T$384</f>
        <v>1.6252935282526217</v>
      </c>
      <c r="U168" s="16">
        <f ca="1">OFFSET(Assumptions!$B$48,0,$C$1)*U$384</f>
        <v>1.7095762366388845</v>
      </c>
      <c r="V168" s="16">
        <f ca="1">OFFSET(Assumptions!$B$48,0,$C$1)*V$384</f>
        <v>1.7955725979430714</v>
      </c>
      <c r="W168" s="16">
        <f ca="1">OFFSET(Assumptions!$B$48,0,$C$1)*W$384</f>
        <v>1.8838973785700792</v>
      </c>
      <c r="X168" s="16">
        <f ca="1">OFFSET(Assumptions!$B$48,0,$C$1)*X$384</f>
        <v>1.9755574102592912</v>
      </c>
    </row>
    <row r="169" spans="1:24" x14ac:dyDescent="0.25">
      <c r="A169" s="11" t="s">
        <v>900</v>
      </c>
      <c r="B169" s="10" t="str">
        <f>$B$38</f>
        <v>From Fiscal Forecasts</v>
      </c>
      <c r="C169" s="13"/>
      <c r="D169" s="35">
        <f ca="1">'Fiscal Forecasts'!D$238-D$168</f>
        <v>0.92290000000000005</v>
      </c>
      <c r="E169" s="35">
        <f ca="1">'Fiscal Forecasts'!E$238-E$168</f>
        <v>0.89434999999999998</v>
      </c>
      <c r="F169" s="35">
        <f ca="1">'Fiscal Forecasts'!F$238-F$168</f>
        <v>0.68590000000000007</v>
      </c>
      <c r="G169" s="35">
        <f ca="1">'Fiscal Forecasts'!G$238-G$168</f>
        <v>0.79864999999999997</v>
      </c>
      <c r="H169" s="35">
        <f ca="1">'Fiscal Forecasts'!H$238-H$168</f>
        <v>1.3620000000000001</v>
      </c>
      <c r="I169" s="35">
        <f ca="1">'Fiscal Forecasts'!I$238-I$168</f>
        <v>0.79554999999999987</v>
      </c>
      <c r="J169" s="17">
        <f ca="1">'Fiscal Forecasts'!J$238-J$168</f>
        <v>0.59024999999999994</v>
      </c>
      <c r="K169" s="17">
        <f ca="1">'Fiscal Forecasts'!K$238-K$168</f>
        <v>0.60784999999999989</v>
      </c>
      <c r="L169" s="17">
        <f ca="1">'Fiscal Forecasts'!L$238-L$168</f>
        <v>0.61004999999999976</v>
      </c>
      <c r="M169" s="17">
        <f ca="1">'Fiscal Forecasts'!M$238-M$168</f>
        <v>0.64484999999999992</v>
      </c>
      <c r="N169" s="17">
        <f ca="1">'Fiscal Forecasts'!N$238-N$168</f>
        <v>0.72419999999999973</v>
      </c>
      <c r="O169" s="16">
        <f t="shared" ref="O169:X169" ca="1" si="123">N$169*(1+O$19)*(1+O$29)</f>
        <v>0.74783477290297851</v>
      </c>
      <c r="P169" s="16">
        <f t="shared" ca="1" si="123"/>
        <v>0.77169313287135066</v>
      </c>
      <c r="Q169" s="16">
        <f t="shared" ca="1" si="123"/>
        <v>0.79583831360012602</v>
      </c>
      <c r="R169" s="16">
        <f t="shared" ca="1" si="123"/>
        <v>0.82005367645425398</v>
      </c>
      <c r="S169" s="16">
        <f t="shared" ca="1" si="123"/>
        <v>0.84446775088574089</v>
      </c>
      <c r="T169" s="16">
        <f t="shared" ca="1" si="123"/>
        <v>0.86902332022833928</v>
      </c>
      <c r="U169" s="16">
        <f t="shared" ca="1" si="123"/>
        <v>0.89404141816176042</v>
      </c>
      <c r="V169" s="16">
        <f t="shared" ca="1" si="123"/>
        <v>0.91939698207019815</v>
      </c>
      <c r="W169" s="16">
        <f t="shared" ca="1" si="123"/>
        <v>0.94472888564499247</v>
      </c>
      <c r="X169" s="16">
        <f t="shared" ca="1" si="123"/>
        <v>0.970304424843901</v>
      </c>
    </row>
    <row r="170" spans="1:24" x14ac:dyDescent="0.25">
      <c r="A170" s="9" t="s">
        <v>901</v>
      </c>
      <c r="B170" s="10"/>
      <c r="C170" s="13"/>
      <c r="D170" s="65">
        <f t="shared" ref="D170:X170" ca="1" si="124">SUM(D$168:D$169)</f>
        <v>1.4630000000000001</v>
      </c>
      <c r="E170" s="65">
        <f t="shared" ca="1" si="124"/>
        <v>1.3360000000000001</v>
      </c>
      <c r="F170" s="65">
        <f t="shared" ca="1" si="124"/>
        <v>1.0940000000000001</v>
      </c>
      <c r="G170" s="65">
        <f t="shared" ca="1" si="124"/>
        <v>1.391</v>
      </c>
      <c r="H170" s="65">
        <f t="shared" ca="1" si="124"/>
        <v>2.0880000000000001</v>
      </c>
      <c r="I170" s="65">
        <f t="shared" ca="1" si="124"/>
        <v>1.708</v>
      </c>
      <c r="J170" s="66">
        <f t="shared" ca="1" si="124"/>
        <v>1.528</v>
      </c>
      <c r="K170" s="66">
        <f t="shared" ca="1" si="124"/>
        <v>1.583</v>
      </c>
      <c r="L170" s="66">
        <f t="shared" ca="1" si="124"/>
        <v>1.6379999999999999</v>
      </c>
      <c r="M170" s="66">
        <f t="shared" ca="1" si="124"/>
        <v>1.7410000000000001</v>
      </c>
      <c r="N170" s="66">
        <f t="shared" ca="1" si="124"/>
        <v>1.8879999999999999</v>
      </c>
      <c r="O170" s="67">
        <f t="shared" ca="1" si="124"/>
        <v>1.9818299260251195</v>
      </c>
      <c r="P170" s="67">
        <f t="shared" ca="1" si="124"/>
        <v>2.0791496811504104</v>
      </c>
      <c r="Q170" s="67">
        <f t="shared" ca="1" si="124"/>
        <v>2.1795184164290813</v>
      </c>
      <c r="R170" s="67">
        <f t="shared" ca="1" si="124"/>
        <v>2.2823241525270221</v>
      </c>
      <c r="S170" s="67">
        <f t="shared" ca="1" si="124"/>
        <v>2.3872925274511183</v>
      </c>
      <c r="T170" s="67">
        <f t="shared" ca="1" si="124"/>
        <v>2.494316848480961</v>
      </c>
      <c r="U170" s="67">
        <f t="shared" ca="1" si="124"/>
        <v>2.6036176548006447</v>
      </c>
      <c r="V170" s="67">
        <f t="shared" ca="1" si="124"/>
        <v>2.7149695800132694</v>
      </c>
      <c r="W170" s="67">
        <f t="shared" ca="1" si="124"/>
        <v>2.8286262642150719</v>
      </c>
      <c r="X170" s="67">
        <f t="shared" ca="1" si="124"/>
        <v>2.9458618351031922</v>
      </c>
    </row>
    <row r="171" spans="1:24" x14ac:dyDescent="0.25">
      <c r="A171" s="11" t="s">
        <v>707</v>
      </c>
      <c r="B171" s="9"/>
      <c r="C171" s="13"/>
      <c r="D171" s="35">
        <f>'Fiscal Forecasts'!D$239</f>
        <v>0.42399999999999999</v>
      </c>
      <c r="E171" s="35">
        <f>'Fiscal Forecasts'!E$239</f>
        <v>0.39500000000000002</v>
      </c>
      <c r="F171" s="35">
        <f>'Fiscal Forecasts'!F$239</f>
        <v>0.44700000000000001</v>
      </c>
      <c r="G171" s="35">
        <f>'Fiscal Forecasts'!G$239</f>
        <v>0.52200000000000002</v>
      </c>
      <c r="H171" s="35">
        <f>'Fiscal Forecasts'!H$239</f>
        <v>0.60499999999999998</v>
      </c>
      <c r="I171" s="35">
        <f>'Fiscal Forecasts'!I$239</f>
        <v>0.63</v>
      </c>
      <c r="J171" s="17">
        <f>'Fiscal Forecasts'!J$239</f>
        <v>0.67100000000000004</v>
      </c>
      <c r="K171" s="17">
        <f>'Fiscal Forecasts'!K$239</f>
        <v>0.50600000000000001</v>
      </c>
      <c r="L171" s="17">
        <f>'Fiscal Forecasts'!L$239</f>
        <v>0.50700000000000001</v>
      </c>
      <c r="M171" s="17">
        <f>'Fiscal Forecasts'!M$239</f>
        <v>0.51200000000000001</v>
      </c>
      <c r="N171" s="17">
        <f>'Fiscal Forecasts'!N$239</f>
        <v>0.52200000000000002</v>
      </c>
      <c r="O171" s="16">
        <f>N$171*Exogenous!Z$29/Exogenous!Y$29</f>
        <v>0.55993653052481185</v>
      </c>
      <c r="P171" s="16">
        <f>O$171*Exogenous!AA$29/Exogenous!Z$29</f>
        <v>0.59921687753195196</v>
      </c>
      <c r="Q171" s="16">
        <f>P$171*Exogenous!AB$29/Exogenous!AA$29</f>
        <v>0.6405431792135341</v>
      </c>
      <c r="R171" s="16">
        <f>Q$171*Exogenous!AC$29/Exogenous!AB$29</f>
        <v>0.68088904174981446</v>
      </c>
      <c r="S171" s="16">
        <f>R$171*Exogenous!AD$29/Exogenous!AC$29</f>
        <v>0.71901058242729976</v>
      </c>
      <c r="T171" s="16">
        <f>S$171*Exogenous!AE$29/Exogenous!AD$29</f>
        <v>0.76070892538747026</v>
      </c>
      <c r="U171" s="16">
        <f>T$171*Exogenous!AF$29/Exogenous!AE$29</f>
        <v>0.81012945848256734</v>
      </c>
      <c r="V171" s="16">
        <f>U$171*Exogenous!AG$29/Exogenous!AF$29</f>
        <v>0.86678899566931389</v>
      </c>
      <c r="W171" s="16">
        <f>V$171*Exogenous!AH$29/Exogenous!AG$29</f>
        <v>0.92792583455579747</v>
      </c>
      <c r="X171" s="16">
        <f>W$171*Exogenous!AI$29/Exogenous!AH$29</f>
        <v>0.99167656096189905</v>
      </c>
    </row>
    <row r="172" spans="1:24" x14ac:dyDescent="0.25">
      <c r="A172" s="11" t="s">
        <v>903</v>
      </c>
      <c r="B172" s="9"/>
      <c r="C172" s="13"/>
      <c r="D172" s="35">
        <f>'Fiscal Forecasts'!D$240</f>
        <v>-0.81699999999999995</v>
      </c>
      <c r="E172" s="35">
        <f>'Fiscal Forecasts'!E$240</f>
        <v>-0.82499999999999996</v>
      </c>
      <c r="F172" s="35">
        <f>'Fiscal Forecasts'!F$240</f>
        <v>-0.63800000000000001</v>
      </c>
      <c r="G172" s="35">
        <f>'Fiscal Forecasts'!G$240</f>
        <v>-0.66500000000000004</v>
      </c>
      <c r="H172" s="35">
        <f>'Fiscal Forecasts'!H$240</f>
        <v>-1.35</v>
      </c>
      <c r="I172" s="35">
        <f>'Fiscal Forecasts'!I$240</f>
        <v>-0.90800000000000003</v>
      </c>
      <c r="J172" s="17">
        <f>'Fiscal Forecasts'!J$240</f>
        <v>-0.69599999999999995</v>
      </c>
      <c r="K172" s="17">
        <f>'Fiscal Forecasts'!K$240</f>
        <v>-0.73499999999999999</v>
      </c>
      <c r="L172" s="17">
        <f>'Fiscal Forecasts'!L$240</f>
        <v>-0.75900000000000001</v>
      </c>
      <c r="M172" s="17">
        <f>'Fiscal Forecasts'!M$240</f>
        <v>-0.80900000000000005</v>
      </c>
      <c r="N172" s="17">
        <f>'Fiscal Forecasts'!N$240</f>
        <v>-0.91200000000000003</v>
      </c>
      <c r="O172" s="16">
        <f t="shared" ref="O172:X172" si="125">N$172*O$171/N$171</f>
        <v>-0.9782799153996713</v>
      </c>
      <c r="P172" s="16">
        <f t="shared" si="125"/>
        <v>-1.0469076481018011</v>
      </c>
      <c r="Q172" s="16">
        <f t="shared" si="125"/>
        <v>-1.1191099223041057</v>
      </c>
      <c r="R172" s="16">
        <f t="shared" si="125"/>
        <v>-1.1895992453559978</v>
      </c>
      <c r="S172" s="16">
        <f t="shared" si="125"/>
        <v>-1.256202396884478</v>
      </c>
      <c r="T172" s="16">
        <f t="shared" si="125"/>
        <v>-1.3290546742401783</v>
      </c>
      <c r="U172" s="16">
        <f t="shared" si="125"/>
        <v>-1.4153985941304628</v>
      </c>
      <c r="V172" s="16">
        <f t="shared" si="125"/>
        <v>-1.5143899694452383</v>
      </c>
      <c r="W172" s="16">
        <f t="shared" si="125"/>
        <v>-1.6212037569250717</v>
      </c>
      <c r="X172" s="16">
        <f t="shared" si="125"/>
        <v>-1.7325843363932032</v>
      </c>
    </row>
    <row r="173" spans="1:24" x14ac:dyDescent="0.25">
      <c r="A173" s="9" t="s">
        <v>912</v>
      </c>
      <c r="B173" s="9"/>
      <c r="C173" s="13"/>
      <c r="D173" s="65">
        <f t="shared" ref="D173:X173" ca="1" si="126">SUM(D$170:D$172)</f>
        <v>1.07</v>
      </c>
      <c r="E173" s="65">
        <f t="shared" ca="1" si="126"/>
        <v>0.90600000000000014</v>
      </c>
      <c r="F173" s="65">
        <f t="shared" ca="1" si="126"/>
        <v>0.90300000000000014</v>
      </c>
      <c r="G173" s="65">
        <f t="shared" ca="1" si="126"/>
        <v>1.248</v>
      </c>
      <c r="H173" s="65">
        <f t="shared" ca="1" si="126"/>
        <v>1.343</v>
      </c>
      <c r="I173" s="65">
        <f t="shared" ca="1" si="126"/>
        <v>1.4300000000000002</v>
      </c>
      <c r="J173" s="66">
        <f t="shared" ca="1" si="126"/>
        <v>1.5029999999999999</v>
      </c>
      <c r="K173" s="66">
        <f t="shared" ca="1" si="126"/>
        <v>1.3540000000000001</v>
      </c>
      <c r="L173" s="66">
        <f t="shared" ca="1" si="126"/>
        <v>1.3860000000000001</v>
      </c>
      <c r="M173" s="66">
        <f t="shared" ca="1" si="126"/>
        <v>1.444</v>
      </c>
      <c r="N173" s="66">
        <f t="shared" ca="1" si="126"/>
        <v>1.4980000000000002</v>
      </c>
      <c r="O173" s="67">
        <f t="shared" ca="1" si="126"/>
        <v>1.5634865411502599</v>
      </c>
      <c r="P173" s="67">
        <f t="shared" ca="1" si="126"/>
        <v>1.631458910580561</v>
      </c>
      <c r="Q173" s="67">
        <f t="shared" ca="1" si="126"/>
        <v>1.7009516733385095</v>
      </c>
      <c r="R173" s="67">
        <f t="shared" ca="1" si="126"/>
        <v>1.7736139489208387</v>
      </c>
      <c r="S173" s="67">
        <f t="shared" ca="1" si="126"/>
        <v>1.85010071299394</v>
      </c>
      <c r="T173" s="67">
        <f t="shared" ca="1" si="126"/>
        <v>1.9259710996282531</v>
      </c>
      <c r="U173" s="67">
        <f t="shared" ca="1" si="126"/>
        <v>1.9983485191527492</v>
      </c>
      <c r="V173" s="67">
        <f t="shared" ca="1" si="126"/>
        <v>2.0673686062373449</v>
      </c>
      <c r="W173" s="67">
        <f t="shared" ca="1" si="126"/>
        <v>2.1353483418457975</v>
      </c>
      <c r="X173" s="67">
        <f t="shared" ca="1" si="126"/>
        <v>2.2049540596718882</v>
      </c>
    </row>
    <row r="174" spans="1:24" x14ac:dyDescent="0.25">
      <c r="B174" s="9"/>
      <c r="C174" s="13"/>
      <c r="D174" s="40"/>
      <c r="E174" s="40"/>
      <c r="F174" s="40"/>
      <c r="G174" s="40"/>
      <c r="H174" s="40"/>
      <c r="I174" s="40"/>
    </row>
    <row r="175" spans="1:24" x14ac:dyDescent="0.25">
      <c r="A175" s="9" t="s">
        <v>532</v>
      </c>
      <c r="B175" s="9"/>
      <c r="C175" s="13"/>
      <c r="D175" s="40"/>
      <c r="E175" s="40"/>
      <c r="F175" s="40"/>
      <c r="G175" s="40"/>
      <c r="H175" s="40"/>
      <c r="I175" s="40"/>
    </row>
    <row r="176" spans="1:24" x14ac:dyDescent="0.25">
      <c r="A176" s="11" t="s">
        <v>905</v>
      </c>
      <c r="B176" s="9"/>
      <c r="C176" s="13"/>
      <c r="D176" s="35">
        <f t="shared" ref="D176:X176" ca="1" si="127">D$384-SUM(D$158,D$168)</f>
        <v>9.8199999999999399E-3</v>
      </c>
      <c r="E176" s="35">
        <f t="shared" ca="1" si="127"/>
        <v>8.0299999999999816E-3</v>
      </c>
      <c r="F176" s="35">
        <f t="shared" ca="1" si="127"/>
        <v>7.4199999999999822E-3</v>
      </c>
      <c r="G176" s="35">
        <f t="shared" ca="1" si="127"/>
        <v>1.0769999999999946E-2</v>
      </c>
      <c r="H176" s="35">
        <f t="shared" ca="1" si="127"/>
        <v>1.3200000000000101E-2</v>
      </c>
      <c r="I176" s="35">
        <f t="shared" ca="1" si="127"/>
        <v>1.6589999999999883E-2</v>
      </c>
      <c r="J176" s="17">
        <f t="shared" ca="1" si="127"/>
        <v>1.7049999999999788E-2</v>
      </c>
      <c r="K176" s="17">
        <f t="shared" ca="1" si="127"/>
        <v>1.7730000000000024E-2</v>
      </c>
      <c r="L176" s="17">
        <f t="shared" ca="1" si="127"/>
        <v>1.8689999999999873E-2</v>
      </c>
      <c r="M176" s="17">
        <f t="shared" ca="1" si="127"/>
        <v>1.9929999999999781E-2</v>
      </c>
      <c r="N176" s="17">
        <f t="shared" ca="1" si="127"/>
        <v>2.1159999999999624E-2</v>
      </c>
      <c r="O176" s="16">
        <f t="shared" ca="1" si="127"/>
        <v>2.2436275511311443E-2</v>
      </c>
      <c r="P176" s="16">
        <f t="shared" ca="1" si="127"/>
        <v>2.3771937241437335E-2</v>
      </c>
      <c r="Q176" s="16">
        <f t="shared" ca="1" si="127"/>
        <v>2.5157820051435742E-2</v>
      </c>
      <c r="R176" s="16">
        <f t="shared" ca="1" si="127"/>
        <v>2.6586735928595839E-2</v>
      </c>
      <c r="S176" s="16">
        <f t="shared" ca="1" si="127"/>
        <v>2.8051359573916024E-2</v>
      </c>
      <c r="T176" s="16">
        <f t="shared" ca="1" si="127"/>
        <v>2.9550791422774836E-2</v>
      </c>
      <c r="U176" s="16">
        <f t="shared" ca="1" si="127"/>
        <v>3.1083204302524869E-2</v>
      </c>
      <c r="V176" s="16">
        <f t="shared" ca="1" si="127"/>
        <v>3.2646774508055643E-2</v>
      </c>
      <c r="W176" s="16">
        <f t="shared" ca="1" si="127"/>
        <v>3.4252679610365266E-2</v>
      </c>
      <c r="X176" s="16">
        <f t="shared" ca="1" si="127"/>
        <v>3.5919225641077634E-2</v>
      </c>
    </row>
    <row r="177" spans="1:24" x14ac:dyDescent="0.25">
      <c r="A177" s="11" t="s">
        <v>906</v>
      </c>
      <c r="B177" s="10" t="str">
        <f>$B$38</f>
        <v>From Fiscal Forecasts</v>
      </c>
      <c r="C177" s="13"/>
      <c r="D177" s="35">
        <f ca="1">'Fiscal Forecasts'!D$167-SUM(D$170,D$176)</f>
        <v>0.9131800000000001</v>
      </c>
      <c r="E177" s="35">
        <f ca="1">'Fiscal Forecasts'!E$167-SUM(E$170,E$176)</f>
        <v>0.95396999999999998</v>
      </c>
      <c r="F177" s="35">
        <f ca="1">'Fiscal Forecasts'!F$167-SUM(F$170,F$176)</f>
        <v>0.87958000000000003</v>
      </c>
      <c r="G177" s="35">
        <f ca="1">'Fiscal Forecasts'!G$167-SUM(G$170,G$176)</f>
        <v>1.0842300000000002</v>
      </c>
      <c r="H177" s="35">
        <f ca="1">'Fiscal Forecasts'!H$167-SUM(H$170,H$176)</f>
        <v>1.1537999999999995</v>
      </c>
      <c r="I177" s="35">
        <f ca="1">'Fiscal Forecasts'!I$167-SUM(I$170,I$176)</f>
        <v>1.1014100000000002</v>
      </c>
      <c r="J177" s="17">
        <f ca="1">'Fiscal Forecasts'!J$167-SUM(J$170,J$176)</f>
        <v>1.15395</v>
      </c>
      <c r="K177" s="17">
        <f ca="1">'Fiscal Forecasts'!K$167-SUM(K$170,K$176)</f>
        <v>2.5542700000000003</v>
      </c>
      <c r="L177" s="17">
        <f ca="1">'Fiscal Forecasts'!L$167-SUM(L$170,L$176)</f>
        <v>1.1493100000000003</v>
      </c>
      <c r="M177" s="17">
        <f ca="1">'Fiscal Forecasts'!M$167-SUM(M$170,M$176)</f>
        <v>1.1260700000000001</v>
      </c>
      <c r="N177" s="17">
        <f ca="1">'Fiscal Forecasts'!N$167-SUM(N$170,N$176)</f>
        <v>1.1098400000000006</v>
      </c>
      <c r="O177" s="16">
        <f t="shared" ref="O177:X177" ca="1" si="128">N$177*(1+O$19)*(1+O$29)</f>
        <v>1.1460604036987607</v>
      </c>
      <c r="P177" s="16">
        <f t="shared" ca="1" si="128"/>
        <v>1.1826234556558142</v>
      </c>
      <c r="Q177" s="16">
        <f t="shared" ca="1" si="128"/>
        <v>1.2196260618143671</v>
      </c>
      <c r="R177" s="16">
        <f t="shared" ca="1" si="128"/>
        <v>1.2567362224192073</v>
      </c>
      <c r="S177" s="16">
        <f t="shared" ca="1" si="128"/>
        <v>1.2941509094767074</v>
      </c>
      <c r="T177" s="16">
        <f t="shared" ca="1" si="128"/>
        <v>1.3317824381693193</v>
      </c>
      <c r="U177" s="16">
        <f t="shared" ca="1" si="128"/>
        <v>1.3701227941627303</v>
      </c>
      <c r="V177" s="16">
        <f t="shared" ca="1" si="128"/>
        <v>1.4089803183937999</v>
      </c>
      <c r="W177" s="16">
        <f t="shared" ca="1" si="128"/>
        <v>1.4478015830492124</v>
      </c>
      <c r="X177" s="16">
        <f t="shared" ca="1" si="128"/>
        <v>1.4869962204760512</v>
      </c>
    </row>
    <row r="178" spans="1:24" x14ac:dyDescent="0.25">
      <c r="A178" s="9" t="s">
        <v>907</v>
      </c>
      <c r="B178" s="9"/>
      <c r="C178" s="13"/>
      <c r="D178" s="65">
        <f t="shared" ref="D178:X178" ca="1" si="129">SUM(D$176:D$177)</f>
        <v>0.92300000000000004</v>
      </c>
      <c r="E178" s="65">
        <f t="shared" ca="1" si="129"/>
        <v>0.96199999999999997</v>
      </c>
      <c r="F178" s="65">
        <f t="shared" ca="1" si="129"/>
        <v>0.88700000000000001</v>
      </c>
      <c r="G178" s="65">
        <f t="shared" ca="1" si="129"/>
        <v>1.0950000000000002</v>
      </c>
      <c r="H178" s="65">
        <f t="shared" ca="1" si="129"/>
        <v>1.1669999999999996</v>
      </c>
      <c r="I178" s="65">
        <f t="shared" ca="1" si="129"/>
        <v>1.1180000000000001</v>
      </c>
      <c r="J178" s="66">
        <f t="shared" ca="1" si="129"/>
        <v>1.1709999999999998</v>
      </c>
      <c r="K178" s="66">
        <f t="shared" ca="1" si="129"/>
        <v>2.5720000000000001</v>
      </c>
      <c r="L178" s="66">
        <f t="shared" ca="1" si="129"/>
        <v>1.1680000000000001</v>
      </c>
      <c r="M178" s="66">
        <f t="shared" ca="1" si="129"/>
        <v>1.1459999999999999</v>
      </c>
      <c r="N178" s="66">
        <f t="shared" ca="1" si="129"/>
        <v>1.1310000000000002</v>
      </c>
      <c r="O178" s="67">
        <f t="shared" ca="1" si="129"/>
        <v>1.1684966792100722</v>
      </c>
      <c r="P178" s="67">
        <f t="shared" ca="1" si="129"/>
        <v>1.2063953928972515</v>
      </c>
      <c r="Q178" s="67">
        <f t="shared" ca="1" si="129"/>
        <v>1.2447838818658028</v>
      </c>
      <c r="R178" s="67">
        <f t="shared" ca="1" si="129"/>
        <v>1.2833229583478032</v>
      </c>
      <c r="S178" s="67">
        <f t="shared" ca="1" si="129"/>
        <v>1.3222022690506234</v>
      </c>
      <c r="T178" s="67">
        <f t="shared" ca="1" si="129"/>
        <v>1.3613332295920941</v>
      </c>
      <c r="U178" s="67">
        <f t="shared" ca="1" si="129"/>
        <v>1.4012059984652552</v>
      </c>
      <c r="V178" s="67">
        <f t="shared" ca="1" si="129"/>
        <v>1.4416270929018555</v>
      </c>
      <c r="W178" s="67">
        <f t="shared" ca="1" si="129"/>
        <v>1.4820542626595776</v>
      </c>
      <c r="X178" s="67">
        <f t="shared" ca="1" si="129"/>
        <v>1.5229154461171288</v>
      </c>
    </row>
    <row r="179" spans="1:24" x14ac:dyDescent="0.25">
      <c r="A179" s="9" t="s">
        <v>913</v>
      </c>
      <c r="B179" s="10" t="str">
        <f>$B$38</f>
        <v>From Fiscal Forecasts</v>
      </c>
      <c r="C179" s="13"/>
      <c r="D179" s="68">
        <f ca="1">'Fiscal Forecasts'!D$13-D$173</f>
        <v>3.8789999999999996</v>
      </c>
      <c r="E179" s="68">
        <f ca="1">'Fiscal Forecasts'!E$13-E$173</f>
        <v>3.57</v>
      </c>
      <c r="F179" s="68">
        <f ca="1">'Fiscal Forecasts'!F$13-F$173</f>
        <v>3.589</v>
      </c>
      <c r="G179" s="68">
        <f ca="1">'Fiscal Forecasts'!G$13-G$173</f>
        <v>3.8780000000000001</v>
      </c>
      <c r="H179" s="68">
        <f ca="1">'Fiscal Forecasts'!H$13-H$173</f>
        <v>4.5830000000000002</v>
      </c>
      <c r="I179" s="68">
        <f ca="1">'Fiscal Forecasts'!I$13-I$173</f>
        <v>4.3360000000000003</v>
      </c>
      <c r="J179" s="69">
        <f ca="1">'Fiscal Forecasts'!J$13-J$173</f>
        <v>4.3</v>
      </c>
      <c r="K179" s="69">
        <f ca="1">'Fiscal Forecasts'!K$13-K$173</f>
        <v>5.3319999999999999</v>
      </c>
      <c r="L179" s="69">
        <f ca="1">'Fiscal Forecasts'!L$13-L$173</f>
        <v>4.0069999999999997</v>
      </c>
      <c r="M179" s="69">
        <f ca="1">'Fiscal Forecasts'!M$13-M$173</f>
        <v>4.0670000000000002</v>
      </c>
      <c r="N179" s="69">
        <f ca="1">'Fiscal Forecasts'!N$13-N$173</f>
        <v>4.2549999999999999</v>
      </c>
      <c r="O179" s="47">
        <f t="shared" ref="O179:X179" ca="1" si="130">O$178+(N$179-N$178)*(1+O$19)*(1+O$29)</f>
        <v>4.3944506015366471</v>
      </c>
      <c r="P179" s="47">
        <f t="shared" ca="1" si="130"/>
        <v>4.5352677307736666</v>
      </c>
      <c r="Q179" s="47">
        <f t="shared" ca="1" si="130"/>
        <v>4.6778119013173276</v>
      </c>
      <c r="R179" s="47">
        <f t="shared" ca="1" si="130"/>
        <v>4.8208094057975277</v>
      </c>
      <c r="S179" s="47">
        <f t="shared" ca="1" si="130"/>
        <v>4.9650043316949981</v>
      </c>
      <c r="T179" s="47">
        <f t="shared" ca="1" si="130"/>
        <v>5.1100612776359133</v>
      </c>
      <c r="U179" s="47">
        <f t="shared" ca="1" si="130"/>
        <v>5.2578552532806953</v>
      </c>
      <c r="V179" s="47">
        <f t="shared" ca="1" si="130"/>
        <v>5.4076532900674188</v>
      </c>
      <c r="W179" s="47">
        <f t="shared" ca="1" si="130"/>
        <v>5.55735533799092</v>
      </c>
      <c r="X179" s="47">
        <f t="shared" ca="1" si="130"/>
        <v>5.708542376816311</v>
      </c>
    </row>
    <row r="180" spans="1:24" x14ac:dyDescent="0.25">
      <c r="A180" s="9"/>
      <c r="B180" s="9"/>
      <c r="C180" s="13"/>
      <c r="D180" s="40"/>
      <c r="E180" s="40"/>
      <c r="F180" s="40"/>
      <c r="G180" s="40"/>
      <c r="H180" s="40"/>
      <c r="I180" s="40"/>
    </row>
    <row r="181" spans="1:24" x14ac:dyDescent="0.25">
      <c r="A181" s="9" t="s">
        <v>534</v>
      </c>
      <c r="B181" s="9"/>
      <c r="C181" s="13"/>
    </row>
    <row r="182" spans="1:24" x14ac:dyDescent="0.25">
      <c r="A182" s="11" t="s">
        <v>158</v>
      </c>
      <c r="B182" s="10" t="str">
        <f t="shared" ref="B182:B188" si="131">$B$38</f>
        <v>From Fiscal Forecasts</v>
      </c>
      <c r="C182" s="13"/>
      <c r="D182" s="35">
        <f>'Fiscal Forecasts'!D$243</f>
        <v>14.561999999999999</v>
      </c>
      <c r="E182" s="35">
        <f>'Fiscal Forecasts'!E$243</f>
        <v>15.521000000000001</v>
      </c>
      <c r="F182" s="35">
        <f>'Fiscal Forecasts'!F$243</f>
        <v>16.568999999999999</v>
      </c>
      <c r="G182" s="35">
        <f>'Fiscal Forecasts'!G$243</f>
        <v>17.763999999999999</v>
      </c>
      <c r="H182" s="35">
        <f>'Fiscal Forecasts'!H$243</f>
        <v>19.516999999999999</v>
      </c>
      <c r="I182" s="35">
        <f>'Fiscal Forecasts'!I$243</f>
        <v>21.574000000000002</v>
      </c>
      <c r="J182" s="17">
        <f>'Fiscal Forecasts'!J$243</f>
        <v>23.18</v>
      </c>
      <c r="K182" s="17">
        <f>'Fiscal Forecasts'!K$243</f>
        <v>24.690999999999999</v>
      </c>
      <c r="L182" s="17">
        <f>'Fiscal Forecasts'!L$243</f>
        <v>26.116</v>
      </c>
      <c r="M182" s="17">
        <f>'Fiscal Forecasts'!M$243</f>
        <v>27.605</v>
      </c>
      <c r="N182" s="17">
        <f>'Fiscal Forecasts'!N$243</f>
        <v>28.957000000000001</v>
      </c>
      <c r="O182" s="16">
        <f ca="1">N$182*(1+'Population Treasury'!Z$305)*O$204/N$204</f>
        <v>30.37041879496639</v>
      </c>
      <c r="P182" s="16">
        <f ca="1">O$182*(1+'Population Treasury'!AA$305)*P$204/O$204</f>
        <v>31.999756351441523</v>
      </c>
      <c r="Q182" s="16">
        <f ca="1">P$182*(1+'Population Treasury'!AB$305)*Q$204/P$204</f>
        <v>33.696220128329777</v>
      </c>
      <c r="R182" s="16">
        <f ca="1">Q$182*(1+'Population Treasury'!AC$305)*R$204/Q$204</f>
        <v>35.480996174658827</v>
      </c>
      <c r="S182" s="16">
        <f ca="1">R$182*(1+'Population Treasury'!AD$305)*S$204/R$204</f>
        <v>37.354790331355304</v>
      </c>
      <c r="T182" s="16">
        <f ca="1">S$182*(1+'Population Treasury'!AE$305)*T$204/S$204</f>
        <v>39.268426072255281</v>
      </c>
      <c r="U182" s="16">
        <f ca="1">T$182*(1+'Population Treasury'!AF$305)*U$204/T$204</f>
        <v>41.282924805544866</v>
      </c>
      <c r="V182" s="16">
        <f ca="1">U$182*(1+'Population Treasury'!AG$305)*V$204/U$204</f>
        <v>43.317411388539483</v>
      </c>
      <c r="W182" s="16">
        <f ca="1">V$182*(1+'Population Treasury'!AH$305)*W$204/V$204</f>
        <v>45.312617527876625</v>
      </c>
      <c r="X182" s="16">
        <f ca="1">W$182*(1+'Population Treasury'!AI$305)*X$204/W$204</f>
        <v>47.272576696491754</v>
      </c>
    </row>
    <row r="183" spans="1:24" x14ac:dyDescent="0.25">
      <c r="A183" s="11" t="s">
        <v>923</v>
      </c>
      <c r="B183" s="10" t="str">
        <f t="shared" si="131"/>
        <v>From Fiscal Forecasts</v>
      </c>
      <c r="C183" s="13"/>
      <c r="D183" s="35">
        <f>'Fiscal Forecasts'!D$244</f>
        <v>1.8540000000000001</v>
      </c>
      <c r="E183" s="35">
        <f>'Fiscal Forecasts'!E$244</f>
        <v>2.2850000000000001</v>
      </c>
      <c r="F183" s="35">
        <f>'Fiscal Forecasts'!F$244</f>
        <v>3.2240000000000002</v>
      </c>
      <c r="G183" s="35">
        <f>'Fiscal Forecasts'!G$244</f>
        <v>3.33</v>
      </c>
      <c r="H183" s="35">
        <f>'Fiscal Forecasts'!H$244</f>
        <v>3.4729999999999999</v>
      </c>
      <c r="I183" s="35">
        <f>'Fiscal Forecasts'!I$244</f>
        <v>4.0620000000000003</v>
      </c>
      <c r="J183" s="17">
        <f>'Fiscal Forecasts'!J$244</f>
        <v>4.6440000000000001</v>
      </c>
      <c r="K183" s="17">
        <f>'Fiscal Forecasts'!K$244</f>
        <v>4.8390000000000004</v>
      </c>
      <c r="L183" s="17">
        <f>'Fiscal Forecasts'!L$244</f>
        <v>4.7149999999999999</v>
      </c>
      <c r="M183" s="17">
        <f>'Fiscal Forecasts'!M$244</f>
        <v>4.4969999999999999</v>
      </c>
      <c r="N183" s="17">
        <f>'Fiscal Forecasts'!N$244</f>
        <v>4.42</v>
      </c>
      <c r="O183" s="16">
        <f ca="1">N$183*AVERAGE(1+SUMPRODUCT(Exogenous!$B$42:$B$52,'Population Treasury'!Z$242:Z$252)+SUMPRODUCT(Exogenous!$C$42:$C$52,'Population Treasury'!Z$287:Z$297),O$16*O$23/(N$16*N$23))*(1+O$29)</f>
        <v>4.517458326425472</v>
      </c>
      <c r="P183" s="16">
        <f ca="1">O$183*AVERAGE(1+SUMPRODUCT(Exogenous!$B$42:$B$52,'Population Treasury'!AA$242:AA$252)+SUMPRODUCT(Exogenous!$C$42:$C$52,'Population Treasury'!AA$287:AA$297),P$16*P$23/(O$16*O$23))*(1+P$29)</f>
        <v>4.6197764915196027</v>
      </c>
      <c r="Q183" s="16">
        <f ca="1">P$183*AVERAGE(1+SUMPRODUCT(Exogenous!$B$42:$B$52,'Population Treasury'!AB$242:AB$252)+SUMPRODUCT(Exogenous!$C$42:$C$52,'Population Treasury'!AB$287:AB$297),Q$16*Q$23/(P$16*P$23))*(1+Q$29)</f>
        <v>4.7543055181087901</v>
      </c>
      <c r="R183" s="16">
        <f ca="1">Q$183*AVERAGE(1+SUMPRODUCT(Exogenous!$B$42:$B$52,'Population Treasury'!AC$242:AC$252)+SUMPRODUCT(Exogenous!$C$42:$C$52,'Population Treasury'!AC$287:AC$297),R$16*R$23/(Q$16*Q$23))*(1+R$29)</f>
        <v>4.8890717460427382</v>
      </c>
      <c r="S183" s="16">
        <f ca="1">R$183*AVERAGE(1+SUMPRODUCT(Exogenous!$B$42:$B$52,'Population Treasury'!AD$242:AD$252)+SUMPRODUCT(Exogenous!$C$42:$C$52,'Population Treasury'!AD$287:AD$297),S$16*S$23/(R$16*R$23))*(1+S$29)</f>
        <v>5.0229020741017569</v>
      </c>
      <c r="T183" s="16">
        <f ca="1">S$183*AVERAGE(1+SUMPRODUCT(Exogenous!$B$42:$B$52,'Population Treasury'!AE$242:AE$252)+SUMPRODUCT(Exogenous!$C$42:$C$52,'Population Treasury'!AE$287:AE$297),T$16*T$23/(S$16*S$23))*(1+T$29)</f>
        <v>5.1571371934521171</v>
      </c>
      <c r="U183" s="16">
        <f ca="1">T$183*AVERAGE(1+SUMPRODUCT(Exogenous!$B$42:$B$52,'Population Treasury'!AF$242:AF$252)+SUMPRODUCT(Exogenous!$C$42:$C$52,'Population Treasury'!AF$287:AF$297),U$16*U$23/(T$16*T$23))*(1+U$29)</f>
        <v>5.290256742117438</v>
      </c>
      <c r="V183" s="16">
        <f ca="1">U$183*AVERAGE(1+SUMPRODUCT(Exogenous!$B$42:$B$52,'Population Treasury'!AG$242:AG$252)+SUMPRODUCT(Exogenous!$C$42:$C$52,'Population Treasury'!AG$287:AG$297),V$16*V$23/(U$16*U$23))*(1+V$29)</f>
        <v>5.4260694271538501</v>
      </c>
      <c r="W183" s="16">
        <f ca="1">V$183*AVERAGE(1+SUMPRODUCT(Exogenous!$B$42:$B$52,'Population Treasury'!AH$242:AH$252)+SUMPRODUCT(Exogenous!$C$42:$C$52,'Population Treasury'!AH$287:AH$297),W$16*W$23/(V$16*V$23))*(1+W$29)</f>
        <v>5.5647889941677873</v>
      </c>
      <c r="X183" s="16">
        <f ca="1">W$183*AVERAGE(1+SUMPRODUCT(Exogenous!$B$42:$B$52,'Population Treasury'!AI$242:AI$252)+SUMPRODUCT(Exogenous!$C$42:$C$52,'Population Treasury'!AI$287:AI$297),X$16*X$23/(W$16*W$23))*(1+X$29)</f>
        <v>5.7064120365369799</v>
      </c>
    </row>
    <row r="184" spans="1:24" x14ac:dyDescent="0.25">
      <c r="A184" s="11" t="s">
        <v>716</v>
      </c>
      <c r="B184" s="10" t="str">
        <f t="shared" si="131"/>
        <v>From Fiscal Forecasts</v>
      </c>
      <c r="C184" s="13"/>
      <c r="D184" s="35">
        <f>'Fiscal Forecasts'!D$245</f>
        <v>1.556</v>
      </c>
      <c r="E184" s="35">
        <f>'Fiscal Forecasts'!E$245</f>
        <v>1.65</v>
      </c>
      <c r="F184" s="35">
        <f>'Fiscal Forecasts'!F$245</f>
        <v>1.8260000000000001</v>
      </c>
      <c r="G184" s="35">
        <f>'Fiscal Forecasts'!G$245</f>
        <v>2.0470000000000002</v>
      </c>
      <c r="H184" s="35">
        <f>'Fiscal Forecasts'!H$245</f>
        <v>2.3109999999999999</v>
      </c>
      <c r="I184" s="35">
        <f>'Fiscal Forecasts'!I$245</f>
        <v>2.5299999999999998</v>
      </c>
      <c r="J184" s="17">
        <f>'Fiscal Forecasts'!J$245</f>
        <v>2.669</v>
      </c>
      <c r="K184" s="17">
        <f>'Fiscal Forecasts'!K$245</f>
        <v>2.782</v>
      </c>
      <c r="L184" s="17">
        <f>'Fiscal Forecasts'!L$245</f>
        <v>2.8809999999999998</v>
      </c>
      <c r="M184" s="17">
        <f>'Fiscal Forecasts'!M$245</f>
        <v>2.9750000000000001</v>
      </c>
      <c r="N184" s="17">
        <f>'Fiscal Forecasts'!N$245</f>
        <v>3.0230000000000001</v>
      </c>
      <c r="O184" s="16">
        <f ca="1">N$184*(1+SUMPRODUCT(Exogenous!$I$42:$I$52,'Population Treasury'!Z$242:Z$252)+SUMPRODUCT(Exogenous!$J$42:$J$52,'Population Treasury'!Z$287:Z$297))*(1+O$29)</f>
        <v>3.1043958345517408</v>
      </c>
      <c r="P184" s="16">
        <f ca="1">O$184*(1+SUMPRODUCT(Exogenous!$I$42:$I$52,'Population Treasury'!AA$242:AA$252)+SUMPRODUCT(Exogenous!$J$42:$J$52,'Population Treasury'!AA$287:AA$297))*(1+P$29)</f>
        <v>3.1904398795185078</v>
      </c>
      <c r="Q184" s="16">
        <f ca="1">P$184*(1+SUMPRODUCT(Exogenous!$I$42:$I$52,'Population Treasury'!AB$242:AB$252)+SUMPRODUCT(Exogenous!$J$42:$J$52,'Population Treasury'!AB$287:AB$297))*(1+Q$29)</f>
        <v>3.2770124490467345</v>
      </c>
      <c r="R184" s="16">
        <f ca="1">Q$184*(1+SUMPRODUCT(Exogenous!$I$42:$I$52,'Population Treasury'!AC$242:AC$252)+SUMPRODUCT(Exogenous!$J$42:$J$52,'Population Treasury'!AC$287:AC$297))*(1+R$29)</f>
        <v>3.3622673797612532</v>
      </c>
      <c r="S184" s="16">
        <f ca="1">R$184*(1+SUMPRODUCT(Exogenous!$I$42:$I$52,'Population Treasury'!AD$242:AD$252)+SUMPRODUCT(Exogenous!$J$42:$J$52,'Population Treasury'!AD$287:AD$297))*(1+S$29)</f>
        <v>3.4455498357148011</v>
      </c>
      <c r="T184" s="16">
        <f ca="1">S$184*(1+SUMPRODUCT(Exogenous!$I$42:$I$52,'Population Treasury'!AE$242:AE$252)+SUMPRODUCT(Exogenous!$J$42:$J$52,'Population Treasury'!AE$287:AE$297))*(1+T$29)</f>
        <v>3.5308588251900002</v>
      </c>
      <c r="U184" s="16">
        <f ca="1">T$184*(1+SUMPRODUCT(Exogenous!$I$42:$I$52,'Population Treasury'!AF$242:AF$252)+SUMPRODUCT(Exogenous!$J$42:$J$52,'Population Treasury'!AF$287:AF$297))*(1+U$29)</f>
        <v>3.612351609496407</v>
      </c>
      <c r="V184" s="16">
        <f ca="1">U$184*(1+SUMPRODUCT(Exogenous!$I$42:$I$52,'Population Treasury'!AG$242:AG$252)+SUMPRODUCT(Exogenous!$J$42:$J$52,'Population Treasury'!AG$287:AG$297))*(1+V$29)</f>
        <v>3.6984365486116544</v>
      </c>
      <c r="W184" s="16">
        <f ca="1">V$184*(1+SUMPRODUCT(Exogenous!$I$42:$I$52,'Population Treasury'!AH$242:AH$252)+SUMPRODUCT(Exogenous!$J$42:$J$52,'Population Treasury'!AH$287:AH$297))*(1+W$29)</f>
        <v>3.7926119873713398</v>
      </c>
      <c r="X184" s="16">
        <f ca="1">W$184*(1+SUMPRODUCT(Exogenous!$I$42:$I$52,'Population Treasury'!AI$242:AI$252)+SUMPRODUCT(Exogenous!$J$42:$J$52,'Population Treasury'!AI$287:AI$297))*(1+X$29)</f>
        <v>3.8944781235817163</v>
      </c>
    </row>
    <row r="185" spans="1:24" x14ac:dyDescent="0.25">
      <c r="A185" s="11" t="s">
        <v>717</v>
      </c>
      <c r="B185" s="10" t="str">
        <f t="shared" si="131"/>
        <v>From Fiscal Forecasts</v>
      </c>
      <c r="C185" s="13"/>
      <c r="D185" s="35">
        <f>'Fiscal Forecasts'!D$246</f>
        <v>1.115</v>
      </c>
      <c r="E185" s="35">
        <f>'Fiscal Forecasts'!E$246</f>
        <v>1.2310000000000001</v>
      </c>
      <c r="F185" s="35">
        <f>'Fiscal Forecasts'!F$246</f>
        <v>1.4550000000000001</v>
      </c>
      <c r="G185" s="35">
        <f>'Fiscal Forecasts'!G$246</f>
        <v>1.704</v>
      </c>
      <c r="H185" s="35">
        <f>'Fiscal Forecasts'!H$246</f>
        <v>1.917</v>
      </c>
      <c r="I185" s="35">
        <f>'Fiscal Forecasts'!I$246</f>
        <v>2.097</v>
      </c>
      <c r="J185" s="17">
        <f>'Fiscal Forecasts'!J$246</f>
        <v>2.2570000000000001</v>
      </c>
      <c r="K185" s="17">
        <f>'Fiscal Forecasts'!K$246</f>
        <v>2.331</v>
      </c>
      <c r="L185" s="17">
        <f>'Fiscal Forecasts'!L$246</f>
        <v>2.3029999999999999</v>
      </c>
      <c r="M185" s="17">
        <f>'Fiscal Forecasts'!M$246</f>
        <v>2.27</v>
      </c>
      <c r="N185" s="17">
        <f>'Fiscal Forecasts'!N$246</f>
        <v>2.169</v>
      </c>
      <c r="O185" s="16">
        <f ca="1">N$185*(1+SUMPRODUCT(Exogenous!$P$42:$P$52,'Population Treasury'!Z$242:Z$252)+SUMPRODUCT(Exogenous!$Q$42:$Q$52,'Population Treasury'!Z$287:Z$297))*(1+O$29)</f>
        <v>2.2342412185630129</v>
      </c>
      <c r="P185" s="16">
        <f ca="1">O$185*(1+SUMPRODUCT(Exogenous!$P$42:$P$52,'Population Treasury'!AA$242:AA$252)+SUMPRODUCT(Exogenous!$Q$42:$Q$52,'Population Treasury'!AA$287:AA$297))*(1+P$29)</f>
        <v>2.3001843848237082</v>
      </c>
      <c r="Q185" s="16">
        <f ca="1">P$185*(1+SUMPRODUCT(Exogenous!$P$42:$P$52,'Population Treasury'!AB$242:AB$252)+SUMPRODUCT(Exogenous!$Q$42:$Q$52,'Population Treasury'!AB$287:AB$297))*(1+Q$29)</f>
        <v>2.367548588826268</v>
      </c>
      <c r="R185" s="16">
        <f ca="1">Q$185*(1+SUMPRODUCT(Exogenous!$P$42:$P$52,'Population Treasury'!AC$242:AC$252)+SUMPRODUCT(Exogenous!$Q$42:$Q$52,'Population Treasury'!AC$287:AC$297))*(1+R$29)</f>
        <v>2.4358445983825128</v>
      </c>
      <c r="S185" s="16">
        <f ca="1">R$185*(1+SUMPRODUCT(Exogenous!$P$42:$P$52,'Population Treasury'!AD$242:AD$252)+SUMPRODUCT(Exogenous!$Q$42:$Q$52,'Population Treasury'!AD$287:AD$297))*(1+S$29)</f>
        <v>2.5027452563444292</v>
      </c>
      <c r="T185" s="16">
        <f ca="1">S$185*(1+SUMPRODUCT(Exogenous!$P$42:$P$52,'Population Treasury'!AE$242:AE$252)+SUMPRODUCT(Exogenous!$Q$42:$Q$52,'Population Treasury'!AE$287:AE$297))*(1+T$29)</f>
        <v>2.5691662890347424</v>
      </c>
      <c r="U185" s="16">
        <f ca="1">T$185*(1+SUMPRODUCT(Exogenous!$P$42:$P$52,'Population Treasury'!AF$242:AF$252)+SUMPRODUCT(Exogenous!$Q$42:$Q$52,'Population Treasury'!AF$287:AF$297))*(1+U$29)</f>
        <v>2.6345615238006572</v>
      </c>
      <c r="V185" s="16">
        <f ca="1">U$185*(1+SUMPRODUCT(Exogenous!$P$42:$P$52,'Population Treasury'!AG$242:AG$252)+SUMPRODUCT(Exogenous!$Q$42:$Q$52,'Population Treasury'!AG$287:AG$297))*(1+V$29)</f>
        <v>2.7015501793468539</v>
      </c>
      <c r="W185" s="16">
        <f ca="1">V$185*(1+SUMPRODUCT(Exogenous!$P$42:$P$52,'Population Treasury'!AH$242:AH$252)+SUMPRODUCT(Exogenous!$Q$42:$Q$52,'Population Treasury'!AH$287:AH$297))*(1+W$29)</f>
        <v>2.7669100585309674</v>
      </c>
      <c r="X185" s="16">
        <f ca="1">W$185*(1+SUMPRODUCT(Exogenous!$P$42:$P$52,'Population Treasury'!AI$242:AI$252)+SUMPRODUCT(Exogenous!$Q$42:$Q$52,'Population Treasury'!AI$287:AI$297))*(1+X$29)</f>
        <v>2.8307312888794827</v>
      </c>
    </row>
    <row r="186" spans="1:24" x14ac:dyDescent="0.25">
      <c r="A186" s="11" t="s">
        <v>718</v>
      </c>
      <c r="B186" s="10" t="str">
        <f t="shared" si="131"/>
        <v>From Fiscal Forecasts</v>
      </c>
      <c r="D186" s="35">
        <f>'Fiscal Forecasts'!D$247</f>
        <v>2.766</v>
      </c>
      <c r="E186" s="35">
        <f>'Fiscal Forecasts'!E$247</f>
        <v>2.83</v>
      </c>
      <c r="F186" s="35">
        <f>'Fiscal Forecasts'!F$247</f>
        <v>2.6880000000000002</v>
      </c>
      <c r="G186" s="35">
        <f>'Fiscal Forecasts'!G$247</f>
        <v>2.536</v>
      </c>
      <c r="H186" s="35">
        <f>'Fiscal Forecasts'!H$247</f>
        <v>2.6269999999999998</v>
      </c>
      <c r="I186" s="35">
        <f>'Fiscal Forecasts'!I$247</f>
        <v>2.7450000000000001</v>
      </c>
      <c r="J186" s="17">
        <f>'Fiscal Forecasts'!J$247</f>
        <v>2.9990000000000001</v>
      </c>
      <c r="K186" s="17">
        <f>'Fiscal Forecasts'!K$247</f>
        <v>2.97</v>
      </c>
      <c r="L186" s="17">
        <f>'Fiscal Forecasts'!L$247</f>
        <v>3.05</v>
      </c>
      <c r="M186" s="17">
        <f>'Fiscal Forecasts'!M$247</f>
        <v>3.2229999999999999</v>
      </c>
      <c r="N186" s="17">
        <f>'Fiscal Forecasts'!N$247</f>
        <v>3.141</v>
      </c>
      <c r="O186" s="16">
        <f t="shared" ref="O186:X186" ca="1" si="132">N$186*(1+O$19)*(1+O$29)</f>
        <v>3.2435087292022318</v>
      </c>
      <c r="P186" s="16">
        <f t="shared" ca="1" si="132"/>
        <v>3.3469872001503909</v>
      </c>
      <c r="Q186" s="16">
        <f t="shared" ca="1" si="132"/>
        <v>3.4517096700055183</v>
      </c>
      <c r="R186" s="16">
        <f t="shared" ca="1" si="132"/>
        <v>3.5567365337514669</v>
      </c>
      <c r="S186" s="16">
        <f t="shared" ca="1" si="132"/>
        <v>3.6626252492848841</v>
      </c>
      <c r="T186" s="16">
        <f t="shared" ca="1" si="132"/>
        <v>3.7691276564998821</v>
      </c>
      <c r="U186" s="16">
        <f t="shared" ca="1" si="132"/>
        <v>3.8776361425657146</v>
      </c>
      <c r="V186" s="16">
        <f t="shared" ca="1" si="132"/>
        <v>3.9876082859465529</v>
      </c>
      <c r="W186" s="16">
        <f t="shared" ca="1" si="132"/>
        <v>4.0974778097361542</v>
      </c>
      <c r="X186" s="16">
        <f t="shared" ca="1" si="132"/>
        <v>4.2084040298739227</v>
      </c>
    </row>
    <row r="187" spans="1:24" x14ac:dyDescent="0.25">
      <c r="A187" s="11" t="s">
        <v>719</v>
      </c>
      <c r="B187" s="10" t="str">
        <f t="shared" si="131"/>
        <v>From Fiscal Forecasts</v>
      </c>
      <c r="D187" s="35">
        <f>'Fiscal Forecasts'!D$248</f>
        <v>1.64</v>
      </c>
      <c r="E187" s="35">
        <f>'Fiscal Forecasts'!E$248</f>
        <v>1.923</v>
      </c>
      <c r="F187" s="35">
        <f>'Fiscal Forecasts'!F$248</f>
        <v>2.302</v>
      </c>
      <c r="G187" s="35">
        <f>'Fiscal Forecasts'!G$248</f>
        <v>2.3860000000000001</v>
      </c>
      <c r="H187" s="35">
        <f>'Fiscal Forecasts'!H$248</f>
        <v>2.3490000000000002</v>
      </c>
      <c r="I187" s="35">
        <f>'Fiscal Forecasts'!I$248</f>
        <v>2.411</v>
      </c>
      <c r="J187" s="17">
        <f>'Fiscal Forecasts'!J$248</f>
        <v>2.3039999999999998</v>
      </c>
      <c r="K187" s="17">
        <f>'Fiscal Forecasts'!K$248</f>
        <v>2.35</v>
      </c>
      <c r="L187" s="17">
        <f>'Fiscal Forecasts'!L$248</f>
        <v>2.3180000000000001</v>
      </c>
      <c r="M187" s="17">
        <f>'Fiscal Forecasts'!M$248</f>
        <v>2.3109999999999999</v>
      </c>
      <c r="N187" s="17">
        <f>'Fiscal Forecasts'!N$248</f>
        <v>2.1859999999999999</v>
      </c>
      <c r="O187" s="16">
        <f t="shared" ref="O187:X187" ca="1" si="133">N$187*(1+O$19)*(1+O$29)</f>
        <v>2.2573416370697479</v>
      </c>
      <c r="P187" s="16">
        <f t="shared" ca="1" si="133"/>
        <v>2.3293581724064798</v>
      </c>
      <c r="Q187" s="16">
        <f t="shared" ca="1" si="133"/>
        <v>2.4022404771194084</v>
      </c>
      <c r="R187" s="16">
        <f t="shared" ca="1" si="133"/>
        <v>2.4753346268006067</v>
      </c>
      <c r="S187" s="16">
        <f t="shared" ca="1" si="133"/>
        <v>2.5490285880091546</v>
      </c>
      <c r="T187" s="16">
        <f t="shared" ca="1" si="133"/>
        <v>2.6231496520562692</v>
      </c>
      <c r="U187" s="16">
        <f t="shared" ca="1" si="133"/>
        <v>2.6986668601237347</v>
      </c>
      <c r="V187" s="16">
        <f t="shared" ca="1" si="133"/>
        <v>2.7752027103085521</v>
      </c>
      <c r="W187" s="16">
        <f t="shared" ca="1" si="133"/>
        <v>2.8516671417011241</v>
      </c>
      <c r="X187" s="16">
        <f t="shared" ca="1" si="133"/>
        <v>2.9288669879988514</v>
      </c>
    </row>
    <row r="188" spans="1:24" x14ac:dyDescent="0.25">
      <c r="A188" s="11" t="s">
        <v>720</v>
      </c>
      <c r="B188" s="10" t="str">
        <f t="shared" si="131"/>
        <v>From Fiscal Forecasts</v>
      </c>
      <c r="C188" s="13"/>
      <c r="D188" s="35">
        <f>'Fiscal Forecasts'!D$249</f>
        <v>2.351</v>
      </c>
      <c r="E188" s="35">
        <f>'Fiscal Forecasts'!E$249</f>
        <v>14.971</v>
      </c>
      <c r="F188" s="35">
        <f>'Fiscal Forecasts'!F$249</f>
        <v>5.0529999999999999</v>
      </c>
      <c r="G188" s="35">
        <f>'Fiscal Forecasts'!G$249</f>
        <v>11.973000000000001</v>
      </c>
      <c r="H188" s="35">
        <f>'Fiscal Forecasts'!H$249</f>
        <v>4.1159999999999997</v>
      </c>
      <c r="I188" s="35">
        <f>'Fiscal Forecasts'!I$249</f>
        <v>3.7759999999999998</v>
      </c>
      <c r="J188" s="17">
        <f>'Fiscal Forecasts'!J$249</f>
        <v>4.0570000000000004</v>
      </c>
      <c r="K188" s="17">
        <f>'Fiscal Forecasts'!K$249</f>
        <v>4.3849999999999998</v>
      </c>
      <c r="L188" s="17">
        <f>'Fiscal Forecasts'!L$249</f>
        <v>4.4329999999999998</v>
      </c>
      <c r="M188" s="17">
        <f>'Fiscal Forecasts'!M$249</f>
        <v>4.5750000000000002</v>
      </c>
      <c r="N188" s="17">
        <f>'Fiscal Forecasts'!N$249</f>
        <v>4.6130000000000004</v>
      </c>
      <c r="O188" s="16">
        <f t="shared" ref="O188:X188" ca="1" si="134">N$188*(1+O$19)*(1+O$29)</f>
        <v>4.7635484774943953</v>
      </c>
      <c r="P188" s="16">
        <f t="shared" ca="1" si="134"/>
        <v>4.9155211570499056</v>
      </c>
      <c r="Q188" s="16">
        <f t="shared" ca="1" si="134"/>
        <v>5.0693208238571978</v>
      </c>
      <c r="R188" s="16">
        <f t="shared" ca="1" si="134"/>
        <v>5.2235675358788667</v>
      </c>
      <c r="S188" s="16">
        <f t="shared" ca="1" si="134"/>
        <v>5.379079998392605</v>
      </c>
      <c r="T188" s="16">
        <f t="shared" ca="1" si="134"/>
        <v>5.5354937534014512</v>
      </c>
      <c r="U188" s="16">
        <f t="shared" ca="1" si="134"/>
        <v>5.694853717177855</v>
      </c>
      <c r="V188" s="16">
        <f t="shared" ca="1" si="134"/>
        <v>5.856363267453502</v>
      </c>
      <c r="W188" s="16">
        <f t="shared" ca="1" si="134"/>
        <v>6.0177221064351736</v>
      </c>
      <c r="X188" s="16">
        <f t="shared" ca="1" si="134"/>
        <v>6.1806328525337175</v>
      </c>
    </row>
    <row r="189" spans="1:24" x14ac:dyDescent="0.25">
      <c r="A189" s="9" t="s">
        <v>950</v>
      </c>
      <c r="B189" s="10"/>
      <c r="C189" s="13"/>
      <c r="D189" s="65">
        <f t="shared" ref="D189:X189" si="135">SUM(D$182:D$188)</f>
        <v>25.844000000000001</v>
      </c>
      <c r="E189" s="65">
        <f t="shared" si="135"/>
        <v>40.411000000000001</v>
      </c>
      <c r="F189" s="65">
        <f t="shared" si="135"/>
        <v>33.116999999999997</v>
      </c>
      <c r="G189" s="65">
        <f t="shared" si="135"/>
        <v>41.74</v>
      </c>
      <c r="H189" s="65">
        <f t="shared" si="135"/>
        <v>36.31</v>
      </c>
      <c r="I189" s="65">
        <f t="shared" si="135"/>
        <v>39.195000000000007</v>
      </c>
      <c r="J189" s="66">
        <f t="shared" si="135"/>
        <v>42.110000000000007</v>
      </c>
      <c r="K189" s="66">
        <f t="shared" si="135"/>
        <v>44.347999999999999</v>
      </c>
      <c r="L189" s="66">
        <f t="shared" si="135"/>
        <v>45.815999999999988</v>
      </c>
      <c r="M189" s="66">
        <f t="shared" si="135"/>
        <v>47.45600000000001</v>
      </c>
      <c r="N189" s="66">
        <f t="shared" si="135"/>
        <v>48.509</v>
      </c>
      <c r="O189" s="67">
        <f t="shared" ca="1" si="135"/>
        <v>50.490913018272991</v>
      </c>
      <c r="P189" s="67">
        <f t="shared" ca="1" si="135"/>
        <v>52.702023636910113</v>
      </c>
      <c r="Q189" s="67">
        <f t="shared" ca="1" si="135"/>
        <v>55.018357655293691</v>
      </c>
      <c r="R189" s="67">
        <f t="shared" ca="1" si="135"/>
        <v>57.423818595276281</v>
      </c>
      <c r="S189" s="67">
        <f t="shared" ca="1" si="135"/>
        <v>59.916721333202943</v>
      </c>
      <c r="T189" s="67">
        <f t="shared" ca="1" si="135"/>
        <v>62.453359441889745</v>
      </c>
      <c r="U189" s="67">
        <f t="shared" ca="1" si="135"/>
        <v>65.091251400826664</v>
      </c>
      <c r="V189" s="67">
        <f t="shared" ca="1" si="135"/>
        <v>67.762641807360438</v>
      </c>
      <c r="W189" s="67">
        <f t="shared" ca="1" si="135"/>
        <v>70.403795625819171</v>
      </c>
      <c r="X189" s="67">
        <f t="shared" ca="1" si="135"/>
        <v>73.022102015896422</v>
      </c>
    </row>
    <row r="190" spans="1:24" x14ac:dyDescent="0.25">
      <c r="A190" s="11" t="s">
        <v>721</v>
      </c>
      <c r="B190" s="10" t="str">
        <f>$B$38</f>
        <v>From Fiscal Forecasts</v>
      </c>
      <c r="C190" s="13"/>
      <c r="D190" s="35">
        <f>'Fiscal Forecasts'!D$250</f>
        <v>0.58299999999999996</v>
      </c>
      <c r="E190" s="35">
        <f>'Fiscal Forecasts'!E$250</f>
        <v>0.56699999999999995</v>
      </c>
      <c r="F190" s="35">
        <f>'Fiscal Forecasts'!F$250</f>
        <v>0.59</v>
      </c>
      <c r="G190" s="35">
        <f>'Fiscal Forecasts'!G$250</f>
        <v>0.55600000000000005</v>
      </c>
      <c r="H190" s="35">
        <f>'Fiscal Forecasts'!H$250</f>
        <v>0.52500000000000002</v>
      </c>
      <c r="I190" s="35">
        <f>'Fiscal Forecasts'!I$250</f>
        <v>0.52600000000000002</v>
      </c>
      <c r="J190" s="17">
        <f>'Fiscal Forecasts'!J$250</f>
        <v>0.57799999999999996</v>
      </c>
      <c r="K190" s="17">
        <f>'Fiscal Forecasts'!K$250</f>
        <v>0.63500000000000001</v>
      </c>
      <c r="L190" s="17">
        <f>'Fiscal Forecasts'!L$250</f>
        <v>0.64</v>
      </c>
      <c r="M190" s="17">
        <f>'Fiscal Forecasts'!M$250</f>
        <v>0.63700000000000001</v>
      </c>
      <c r="N190" s="17">
        <f>'Fiscal Forecasts'!N$250</f>
        <v>0.628</v>
      </c>
      <c r="O190" s="16">
        <f ca="1">N$190*(1+'Population Treasury'!Z$304)*(1+O$29)</f>
        <v>0.64562485974176986</v>
      </c>
      <c r="P190" s="16">
        <f ca="1">O$190*(1+'Population Treasury'!AA$304)*(1+P$29)</f>
        <v>0.66194568964686296</v>
      </c>
      <c r="Q190" s="16">
        <f ca="1">P$190*(1+'Population Treasury'!AB$304)*(1+Q$29)</f>
        <v>0.67712377808722313</v>
      </c>
      <c r="R190" s="16">
        <f ca="1">Q$190*(1+'Population Treasury'!AC$304)*(1+R$29)</f>
        <v>0.69245219913184963</v>
      </c>
      <c r="S190" s="16">
        <f ca="1">R$190*(1+'Population Treasury'!AD$304)*(1+S$29)</f>
        <v>0.70825442012990725</v>
      </c>
      <c r="T190" s="16">
        <f ca="1">S$190*(1+'Population Treasury'!AE$304)*(1+T$29)</f>
        <v>0.72507180469317367</v>
      </c>
      <c r="U190" s="16">
        <f ca="1">T$190*(1+'Population Treasury'!AF$304)*(1+U$29)</f>
        <v>0.74154264390725988</v>
      </c>
      <c r="V190" s="16">
        <f ca="1">U$190*(1+'Population Treasury'!AG$304)*(1+V$29)</f>
        <v>0.75822655773090308</v>
      </c>
      <c r="W190" s="16">
        <f ca="1">V$190*(1+'Population Treasury'!AH$304)*(1+W$29)</f>
        <v>0.77527296537521928</v>
      </c>
      <c r="X190" s="16">
        <f ca="1">W$190*(1+'Population Treasury'!AI$304)*(1+X$29)</f>
        <v>0.79306000206523053</v>
      </c>
    </row>
    <row r="191" spans="1:24" x14ac:dyDescent="0.25">
      <c r="A191" s="9" t="s">
        <v>951</v>
      </c>
      <c r="B191" s="10"/>
      <c r="C191" s="13"/>
      <c r="D191" s="65">
        <f t="shared" ref="D191:X191" si="136">SUM(D$189:D$190)</f>
        <v>26.427</v>
      </c>
      <c r="E191" s="65">
        <f t="shared" si="136"/>
        <v>40.978000000000002</v>
      </c>
      <c r="F191" s="65">
        <f t="shared" si="136"/>
        <v>33.707000000000001</v>
      </c>
      <c r="G191" s="65">
        <f t="shared" si="136"/>
        <v>42.295999999999999</v>
      </c>
      <c r="H191" s="65">
        <f t="shared" si="136"/>
        <v>36.835000000000001</v>
      </c>
      <c r="I191" s="65">
        <f t="shared" si="136"/>
        <v>39.721000000000011</v>
      </c>
      <c r="J191" s="66">
        <f t="shared" si="136"/>
        <v>42.688000000000009</v>
      </c>
      <c r="K191" s="66">
        <f t="shared" si="136"/>
        <v>44.982999999999997</v>
      </c>
      <c r="L191" s="66">
        <f t="shared" si="136"/>
        <v>46.455999999999989</v>
      </c>
      <c r="M191" s="66">
        <f t="shared" si="136"/>
        <v>48.093000000000011</v>
      </c>
      <c r="N191" s="66">
        <f t="shared" si="136"/>
        <v>49.137</v>
      </c>
      <c r="O191" s="67">
        <f t="shared" ca="1" si="136"/>
        <v>51.136537878014764</v>
      </c>
      <c r="P191" s="67">
        <f t="shared" ca="1" si="136"/>
        <v>53.363969326556976</v>
      </c>
      <c r="Q191" s="67">
        <f t="shared" ca="1" si="136"/>
        <v>55.695481433380913</v>
      </c>
      <c r="R191" s="67">
        <f t="shared" ca="1" si="136"/>
        <v>58.11627079440813</v>
      </c>
      <c r="S191" s="67">
        <f t="shared" ca="1" si="136"/>
        <v>60.624975753332848</v>
      </c>
      <c r="T191" s="67">
        <f t="shared" ca="1" si="136"/>
        <v>63.178431246582917</v>
      </c>
      <c r="U191" s="67">
        <f t="shared" ca="1" si="136"/>
        <v>65.83279404473393</v>
      </c>
      <c r="V191" s="67">
        <f t="shared" ca="1" si="136"/>
        <v>68.520868365091346</v>
      </c>
      <c r="W191" s="67">
        <f t="shared" ca="1" si="136"/>
        <v>71.179068591194394</v>
      </c>
      <c r="X191" s="67">
        <f t="shared" ca="1" si="136"/>
        <v>73.815162017961654</v>
      </c>
    </row>
    <row r="192" spans="1:24" x14ac:dyDescent="0.25">
      <c r="A192" s="11" t="s">
        <v>952</v>
      </c>
      <c r="B192" s="10" t="str">
        <f>$B$38</f>
        <v>From Fiscal Forecasts</v>
      </c>
      <c r="C192" s="13"/>
      <c r="D192" s="35">
        <f>'Fiscal Forecasts'!D$251</f>
        <v>0.95099999999999996</v>
      </c>
      <c r="E192" s="35">
        <f>'Fiscal Forecasts'!E$251</f>
        <v>0.89300000000000002</v>
      </c>
      <c r="F192" s="35">
        <f>'Fiscal Forecasts'!F$251</f>
        <v>0.91600000000000004</v>
      </c>
      <c r="G192" s="35">
        <f>'Fiscal Forecasts'!G$251</f>
        <v>0.96399999999999997</v>
      </c>
      <c r="H192" s="35">
        <f>'Fiscal Forecasts'!H$251</f>
        <v>0.997</v>
      </c>
      <c r="I192" s="35">
        <f>'Fiscal Forecasts'!I$251</f>
        <v>1.014</v>
      </c>
      <c r="J192" s="17">
        <f>'Fiscal Forecasts'!J$251</f>
        <v>1.06</v>
      </c>
      <c r="K192" s="17">
        <f>'Fiscal Forecasts'!K$251</f>
        <v>0.54500000000000004</v>
      </c>
      <c r="L192" s="17">
        <f>'Fiscal Forecasts'!L$251</f>
        <v>0.56499999999999995</v>
      </c>
      <c r="M192" s="17">
        <f>'Fiscal Forecasts'!M$251</f>
        <v>0.58799999999999997</v>
      </c>
      <c r="N192" s="17">
        <f>'Fiscal Forecasts'!N$251</f>
        <v>0.61299999999999999</v>
      </c>
      <c r="O192" s="16">
        <f>IF(ISBLANK(Exogenous!Z$37),N$192*(1+O$14),Exogenous!Z$37)</f>
        <v>0.63900000000000001</v>
      </c>
      <c r="P192" s="16">
        <f>IF(ISBLANK(Exogenous!AA$37),O$192*(1+P$14),Exogenous!AA$37)</f>
        <v>0.67</v>
      </c>
      <c r="Q192" s="16">
        <f>IF(ISBLANK(Exogenous!AB$37),P$192*(1+Q$14),Exogenous!AB$37)</f>
        <v>0.7</v>
      </c>
      <c r="R192" s="16">
        <f ca="1">IF(ISBLANK(Exogenous!AC$37),Q$192*(1+R$14),Exogenous!AC$37)</f>
        <v>0.72756355019879493</v>
      </c>
      <c r="S192" s="16">
        <f ca="1">IF(ISBLANK(Exogenous!AD$37),R$192*(1+S$14),Exogenous!AD$37)</f>
        <v>0.75573486733594508</v>
      </c>
      <c r="T192" s="16">
        <f ca="1">IF(ISBLANK(Exogenous!AE$37),S$192*(1+T$14),Exogenous!AE$37)</f>
        <v>0.78447095946271272</v>
      </c>
      <c r="U192" s="16">
        <f ca="1">IF(ISBLANK(Exogenous!AF$37),T$192*(1+U$14),Exogenous!AF$37)</f>
        <v>0.81359019140303346</v>
      </c>
      <c r="V192" s="16">
        <f ca="1">IF(ISBLANK(Exogenous!AG$37),U$192*(1+V$14),Exogenous!AG$37)</f>
        <v>0.84314722537661679</v>
      </c>
      <c r="W192" s="16">
        <f ca="1">IF(ISBLANK(Exogenous!AH$37),V$192*(1+W$14),Exogenous!AH$37)</f>
        <v>0.87314096019223619</v>
      </c>
      <c r="X192" s="16">
        <f ca="1">IF(ISBLANK(Exogenous!AI$37),W$192*(1+X$14),Exogenous!AI$37)</f>
        <v>0.90379741452028528</v>
      </c>
    </row>
    <row r="193" spans="1:24" x14ac:dyDescent="0.25">
      <c r="A193" s="11" t="s">
        <v>723</v>
      </c>
      <c r="B193" s="10" t="str">
        <f>$B$38</f>
        <v>From Fiscal Forecasts</v>
      </c>
      <c r="C193" s="13"/>
      <c r="D193" s="35">
        <f>'Fiscal Forecasts'!D$252</f>
        <v>0.70799999999999996</v>
      </c>
      <c r="E193" s="35">
        <f>'Fiscal Forecasts'!E$252</f>
        <v>0.73599999999999999</v>
      </c>
      <c r="F193" s="35">
        <f>'Fiscal Forecasts'!F$252</f>
        <v>0.80400000000000005</v>
      </c>
      <c r="G193" s="35">
        <f>'Fiscal Forecasts'!G$252</f>
        <v>0.82699999999999996</v>
      </c>
      <c r="H193" s="35">
        <f>'Fiscal Forecasts'!H$252</f>
        <v>0.97099999999999997</v>
      </c>
      <c r="I193" s="35">
        <f>'Fiscal Forecasts'!I$252</f>
        <v>1.202</v>
      </c>
      <c r="J193" s="17">
        <f>'Fiscal Forecasts'!J$252</f>
        <v>1.1160000000000001</v>
      </c>
      <c r="K193" s="17">
        <f>'Fiscal Forecasts'!K$252</f>
        <v>0.995</v>
      </c>
      <c r="L193" s="17">
        <f>'Fiscal Forecasts'!L$252</f>
        <v>0.94099999999999995</v>
      </c>
      <c r="M193" s="17">
        <f>'Fiscal Forecasts'!M$252</f>
        <v>0.94099999999999995</v>
      </c>
      <c r="N193" s="17">
        <f>'Fiscal Forecasts'!N$252</f>
        <v>0.94099999999999995</v>
      </c>
      <c r="O193" s="16">
        <f t="shared" ref="O193:X193" si="137">N$193</f>
        <v>0.94099999999999995</v>
      </c>
      <c r="P193" s="16">
        <f t="shared" si="137"/>
        <v>0.94099999999999995</v>
      </c>
      <c r="Q193" s="16">
        <f t="shared" si="137"/>
        <v>0.94099999999999995</v>
      </c>
      <c r="R193" s="16">
        <f t="shared" si="137"/>
        <v>0.94099999999999995</v>
      </c>
      <c r="S193" s="16">
        <f t="shared" si="137"/>
        <v>0.94099999999999995</v>
      </c>
      <c r="T193" s="16">
        <f t="shared" si="137"/>
        <v>0.94099999999999995</v>
      </c>
      <c r="U193" s="16">
        <f t="shared" si="137"/>
        <v>0.94099999999999995</v>
      </c>
      <c r="V193" s="16">
        <f t="shared" si="137"/>
        <v>0.94099999999999995</v>
      </c>
      <c r="W193" s="16">
        <f t="shared" si="137"/>
        <v>0.94099999999999995</v>
      </c>
      <c r="X193" s="16">
        <f t="shared" si="137"/>
        <v>0.94099999999999995</v>
      </c>
    </row>
    <row r="194" spans="1:24" x14ac:dyDescent="0.25">
      <c r="A194" s="9" t="s">
        <v>957</v>
      </c>
      <c r="B194" s="10"/>
      <c r="C194" s="13"/>
      <c r="D194" s="65">
        <f t="shared" ref="D194:X194" si="138">SUM(D$191:D$193)</f>
        <v>28.085999999999999</v>
      </c>
      <c r="E194" s="65">
        <f t="shared" si="138"/>
        <v>42.606999999999999</v>
      </c>
      <c r="F194" s="65">
        <f t="shared" si="138"/>
        <v>35.427</v>
      </c>
      <c r="G194" s="65">
        <f t="shared" si="138"/>
        <v>44.086999999999996</v>
      </c>
      <c r="H194" s="65">
        <f t="shared" si="138"/>
        <v>38.802999999999997</v>
      </c>
      <c r="I194" s="65">
        <f t="shared" si="138"/>
        <v>41.937000000000012</v>
      </c>
      <c r="J194" s="66">
        <f t="shared" si="138"/>
        <v>44.864000000000011</v>
      </c>
      <c r="K194" s="66">
        <f t="shared" si="138"/>
        <v>46.522999999999996</v>
      </c>
      <c r="L194" s="66">
        <f t="shared" si="138"/>
        <v>47.961999999999989</v>
      </c>
      <c r="M194" s="66">
        <f t="shared" si="138"/>
        <v>49.622000000000014</v>
      </c>
      <c r="N194" s="66">
        <f t="shared" si="138"/>
        <v>50.691000000000003</v>
      </c>
      <c r="O194" s="67">
        <f t="shared" ca="1" si="138"/>
        <v>52.716537878014769</v>
      </c>
      <c r="P194" s="67">
        <f t="shared" ca="1" si="138"/>
        <v>54.97496932655698</v>
      </c>
      <c r="Q194" s="67">
        <f t="shared" ca="1" si="138"/>
        <v>57.336481433380918</v>
      </c>
      <c r="R194" s="67">
        <f t="shared" ca="1" si="138"/>
        <v>59.784834344606928</v>
      </c>
      <c r="S194" s="67">
        <f t="shared" ca="1" si="138"/>
        <v>62.321710620668796</v>
      </c>
      <c r="T194" s="67">
        <f t="shared" ca="1" si="138"/>
        <v>64.903902206045629</v>
      </c>
      <c r="U194" s="67">
        <f t="shared" ca="1" si="138"/>
        <v>67.58738423613697</v>
      </c>
      <c r="V194" s="67">
        <f t="shared" ca="1" si="138"/>
        <v>70.30501559046796</v>
      </c>
      <c r="W194" s="67">
        <f t="shared" ca="1" si="138"/>
        <v>72.993209551386627</v>
      </c>
      <c r="X194" s="67">
        <f t="shared" ca="1" si="138"/>
        <v>75.659959432481941</v>
      </c>
    </row>
    <row r="195" spans="1:24" x14ac:dyDescent="0.25">
      <c r="A195" s="9" t="s">
        <v>1098</v>
      </c>
      <c r="B195" s="10" t="str">
        <f>$B$38</f>
        <v>From Fiscal Forecasts</v>
      </c>
      <c r="C195" s="13"/>
      <c r="D195" s="42">
        <f>'Fiscal Forecasts'!D$170</f>
        <v>29.015000000000001</v>
      </c>
      <c r="E195" s="42">
        <f>'Fiscal Forecasts'!E$170</f>
        <v>43.616</v>
      </c>
      <c r="F195" s="42">
        <f>'Fiscal Forecasts'!F$170</f>
        <v>36.521000000000001</v>
      </c>
      <c r="G195" s="42">
        <f>'Fiscal Forecasts'!G$170</f>
        <v>45.265999999999998</v>
      </c>
      <c r="H195" s="42">
        <f>'Fiscal Forecasts'!H$170</f>
        <v>40.003</v>
      </c>
      <c r="I195" s="42">
        <f>'Fiscal Forecasts'!I$170</f>
        <v>43.265000000000001</v>
      </c>
      <c r="J195" s="43">
        <f>'Fiscal Forecasts'!J$170</f>
        <v>46.338000000000001</v>
      </c>
      <c r="K195" s="43">
        <f>'Fiscal Forecasts'!K$170</f>
        <v>48.189</v>
      </c>
      <c r="L195" s="43">
        <f>'Fiscal Forecasts'!L$170</f>
        <v>49.661999999999999</v>
      </c>
      <c r="M195" s="43">
        <f>'Fiscal Forecasts'!M$170</f>
        <v>51.345999999999997</v>
      </c>
      <c r="N195" s="43">
        <f>'Fiscal Forecasts'!N$170</f>
        <v>52.415999999999997</v>
      </c>
      <c r="O195" s="47">
        <f t="shared" ref="O195:X195" ca="1" si="139">O$194</f>
        <v>52.716537878014769</v>
      </c>
      <c r="P195" s="47">
        <f t="shared" ca="1" si="139"/>
        <v>54.97496932655698</v>
      </c>
      <c r="Q195" s="47">
        <f t="shared" ca="1" si="139"/>
        <v>57.336481433380918</v>
      </c>
      <c r="R195" s="47">
        <f t="shared" ca="1" si="139"/>
        <v>59.784834344606928</v>
      </c>
      <c r="S195" s="47">
        <f t="shared" ca="1" si="139"/>
        <v>62.321710620668796</v>
      </c>
      <c r="T195" s="47">
        <f t="shared" ca="1" si="139"/>
        <v>64.903902206045629</v>
      </c>
      <c r="U195" s="47">
        <f t="shared" ca="1" si="139"/>
        <v>67.58738423613697</v>
      </c>
      <c r="V195" s="47">
        <f t="shared" ca="1" si="139"/>
        <v>70.30501559046796</v>
      </c>
      <c r="W195" s="47">
        <f t="shared" ca="1" si="139"/>
        <v>72.993209551386627</v>
      </c>
      <c r="X195" s="47">
        <f t="shared" ca="1" si="139"/>
        <v>75.659959432481941</v>
      </c>
    </row>
    <row r="196" spans="1:24" x14ac:dyDescent="0.25">
      <c r="A196" s="11" t="s">
        <v>953</v>
      </c>
      <c r="B196" s="10" t="str">
        <f>$B$38</f>
        <v>From Fiscal Forecasts</v>
      </c>
      <c r="C196" s="64" cm="1">
        <f t="array" aca="1" ref="C196" ca="1">SUMPRODUCT(OFFSET($N$196,0,0,1,-OFFSET(Assumptions!$B$59,0,$C$1))/OFFSET($N$13,0,0,1,-OFFSET(Assumptions!$B$59,0,$C$1)))/OFFSET(Assumptions!$B$59,0,$C$1)</f>
        <v>1.1123663750879913E-2</v>
      </c>
      <c r="D196" s="35">
        <f>'Fiscal Forecasts'!D$57-D$189</f>
        <v>2.8959999999999972</v>
      </c>
      <c r="E196" s="35">
        <f>'Fiscal Forecasts'!E$57-E$189</f>
        <v>3.6169999999999973</v>
      </c>
      <c r="F196" s="35">
        <f>'Fiscal Forecasts'!F$57-F$189</f>
        <v>3.642000000000003</v>
      </c>
      <c r="G196" s="35">
        <f>'Fiscal Forecasts'!G$57-G$189</f>
        <v>1.1199999999999974</v>
      </c>
      <c r="H196" s="35">
        <f>'Fiscal Forecasts'!H$57-H$189</f>
        <v>5.2040000000000006</v>
      </c>
      <c r="I196" s="35">
        <f>'Fiscal Forecasts'!I$57-I$189</f>
        <v>5.3939999999999912</v>
      </c>
      <c r="J196" s="17">
        <f ca="1">'Fiscal Forecasts'!J$57-J$189+IF(OFFSET(Assumptions!$B$56,0,$C$1)="Yes",Allocation!C$14,0)</f>
        <v>5.5619999999999905</v>
      </c>
      <c r="K196" s="17">
        <f ca="1">'Fiscal Forecasts'!K$57-K$189+IF(OFFSET(Assumptions!$B$56,0,$C$1)="Yes",Allocation!D$14,0)</f>
        <v>5.8130000000000024</v>
      </c>
      <c r="L196" s="17">
        <f ca="1">'Fiscal Forecasts'!L$57-L$189+IF(OFFSET(Assumptions!$B$56,0,$C$1)="Yes",Allocation!E$14,0)</f>
        <v>5.8570000000000135</v>
      </c>
      <c r="M196" s="17">
        <f ca="1">'Fiscal Forecasts'!M$57-M$189+IF(OFFSET(Assumptions!$B$56,0,$C$1)="Yes",Allocation!F$14,0)</f>
        <v>5.7789999999999893</v>
      </c>
      <c r="N196" s="17">
        <f ca="1">'Fiscal Forecasts'!N$57-N$189+IF(OFFSET(Assumptions!$B$56,0,$C$1)="Yes",Allocation!G$14,0)</f>
        <v>5.8089999999999975</v>
      </c>
      <c r="O196" s="16">
        <f ca="1">IF(OFFSET(Assumptions!$B$57,0,$C$1)="Yes",$N$196+Allocation!$B$14*SUM($O$247:O$247),IF(OFFSET(Assumptions!$B$58,0,$C$1)="Yes",(N$196/N$13+MIN(ABS($C$196-N$196/N$13),OFFSET(Assumptions!$B$60,0,$C$1))*SIGN($C$196-N$196/N$13))*O$13,$N$196))</f>
        <v>5.8089999999999975</v>
      </c>
      <c r="P196" s="16">
        <f ca="1">IF(OFFSET(Assumptions!$B$57,0,$C$1)="Yes",$N$196+Allocation!$B$14*SUM($O$247:P$247),IF(OFFSET(Assumptions!$B$58,0,$C$1)="Yes",(O$196/O$13+MIN(ABS($C$196-O$196/O$13),OFFSET(Assumptions!$B$60,0,$C$1))*SIGN($C$196-O$196/O$13))*P$13,$N$196))</f>
        <v>5.8089999999999975</v>
      </c>
      <c r="Q196" s="16">
        <f ca="1">IF(OFFSET(Assumptions!$B$57,0,$C$1)="Yes",$N$196+Allocation!$B$14*SUM($O$247:Q$247),IF(OFFSET(Assumptions!$B$58,0,$C$1)="Yes",(P$196/P$13+MIN(ABS($C$196-P$196/P$13),OFFSET(Assumptions!$B$60,0,$C$1))*SIGN($C$196-P$196/P$13))*Q$13,$N$196))</f>
        <v>5.8089999999999975</v>
      </c>
      <c r="R196" s="16">
        <f ca="1">IF(OFFSET(Assumptions!$B$57,0,$C$1)="Yes",$N$196+Allocation!$B$14*SUM($O$247:R$247),IF(OFFSET(Assumptions!$B$58,0,$C$1)="Yes",(Q$196/Q$13+MIN(ABS($C$196-Q$196/Q$13),OFFSET(Assumptions!$B$60,0,$C$1))*SIGN($C$196-Q$196/Q$13))*R$13,$N$196))</f>
        <v>5.8089999999999975</v>
      </c>
      <c r="S196" s="16">
        <f ca="1">IF(OFFSET(Assumptions!$B$57,0,$C$1)="Yes",$N$196+Allocation!$B$14*SUM($O$247:S$247),IF(OFFSET(Assumptions!$B$58,0,$C$1)="Yes",(R$196/R$13+MIN(ABS($C$196-R$196/R$13),OFFSET(Assumptions!$B$60,0,$C$1))*SIGN($C$196-R$196/R$13))*S$13,$N$196))</f>
        <v>5.8089999999999975</v>
      </c>
      <c r="T196" s="16">
        <f ca="1">IF(OFFSET(Assumptions!$B$57,0,$C$1)="Yes",$N$196+Allocation!$B$14*SUM($O$247:T$247),IF(OFFSET(Assumptions!$B$58,0,$C$1)="Yes",(S$196/S$13+MIN(ABS($C$196-S$196/S$13),OFFSET(Assumptions!$B$60,0,$C$1))*SIGN($C$196-S$196/S$13))*T$13,$N$196))</f>
        <v>5.8089999999999975</v>
      </c>
      <c r="U196" s="16">
        <f ca="1">IF(OFFSET(Assumptions!$B$57,0,$C$1)="Yes",$N$196+Allocation!$B$14*SUM($O$247:U$247),IF(OFFSET(Assumptions!$B$58,0,$C$1)="Yes",(T$196/T$13+MIN(ABS($C$196-T$196/T$13),OFFSET(Assumptions!$B$60,0,$C$1))*SIGN($C$196-T$196/T$13))*U$13,$N$196))</f>
        <v>5.8089999999999975</v>
      </c>
      <c r="V196" s="16">
        <f ca="1">IF(OFFSET(Assumptions!$B$57,0,$C$1)="Yes",$N$196+Allocation!$B$14*SUM($O$247:V$247),IF(OFFSET(Assumptions!$B$58,0,$C$1)="Yes",(U$196/U$13+MIN(ABS($C$196-U$196/U$13),OFFSET(Assumptions!$B$60,0,$C$1))*SIGN($C$196-U$196/U$13))*V$13,$N$196))</f>
        <v>5.8089999999999975</v>
      </c>
      <c r="W196" s="16">
        <f ca="1">IF(OFFSET(Assumptions!$B$57,0,$C$1)="Yes",$N$196+Allocation!$B$14*SUM($O$247:W$247),IF(OFFSET(Assumptions!$B$58,0,$C$1)="Yes",(V$196/V$13+MIN(ABS($C$196-V$196/V$13),OFFSET(Assumptions!$B$60,0,$C$1))*SIGN($C$196-V$196/V$13))*W$13,$N$196))</f>
        <v>5.8089999999999975</v>
      </c>
      <c r="X196" s="16">
        <f ca="1">IF(OFFSET(Assumptions!$B$57,0,$C$1)="Yes",$N$196+Allocation!$B$14*SUM($O$247:X$247),IF(OFFSET(Assumptions!$B$58,0,$C$1)="Yes",(W$196/W$13+MIN(ABS($C$196-W$196/W$13),OFFSET(Assumptions!$B$60,0,$C$1))*SIGN($C$196-W$196/W$13))*X$13,$N$196))</f>
        <v>5.8089999999999975</v>
      </c>
    </row>
    <row r="197" spans="1:24" x14ac:dyDescent="0.25">
      <c r="A197" s="9" t="s">
        <v>954</v>
      </c>
      <c r="B197" s="10"/>
      <c r="C197" s="13"/>
      <c r="D197" s="42">
        <f t="shared" ref="D197:X197" si="140">SUM(D$189,D$196)</f>
        <v>28.74</v>
      </c>
      <c r="E197" s="42">
        <f t="shared" si="140"/>
        <v>44.027999999999999</v>
      </c>
      <c r="F197" s="42">
        <f t="shared" si="140"/>
        <v>36.759</v>
      </c>
      <c r="G197" s="42">
        <f t="shared" si="140"/>
        <v>42.86</v>
      </c>
      <c r="H197" s="42">
        <f t="shared" si="140"/>
        <v>41.514000000000003</v>
      </c>
      <c r="I197" s="42">
        <f t="shared" si="140"/>
        <v>44.588999999999999</v>
      </c>
      <c r="J197" s="43">
        <f t="shared" ca="1" si="140"/>
        <v>47.671999999999997</v>
      </c>
      <c r="K197" s="43">
        <f t="shared" ca="1" si="140"/>
        <v>50.161000000000001</v>
      </c>
      <c r="L197" s="43">
        <f t="shared" ca="1" si="140"/>
        <v>51.673000000000002</v>
      </c>
      <c r="M197" s="43">
        <f t="shared" ca="1" si="140"/>
        <v>53.234999999999999</v>
      </c>
      <c r="N197" s="43">
        <f t="shared" ca="1" si="140"/>
        <v>54.317999999999998</v>
      </c>
      <c r="O197" s="47">
        <f t="shared" ca="1" si="140"/>
        <v>56.299913018272989</v>
      </c>
      <c r="P197" s="47">
        <f t="shared" ca="1" si="140"/>
        <v>58.51102363691011</v>
      </c>
      <c r="Q197" s="47">
        <f t="shared" ca="1" si="140"/>
        <v>60.827357655293689</v>
      </c>
      <c r="R197" s="47">
        <f t="shared" ca="1" si="140"/>
        <v>63.232818595276278</v>
      </c>
      <c r="S197" s="47">
        <f t="shared" ca="1" si="140"/>
        <v>65.725721333202941</v>
      </c>
      <c r="T197" s="47">
        <f t="shared" ca="1" si="140"/>
        <v>68.262359441889743</v>
      </c>
      <c r="U197" s="47">
        <f t="shared" ca="1" si="140"/>
        <v>70.900251400826662</v>
      </c>
      <c r="V197" s="47">
        <f t="shared" ca="1" si="140"/>
        <v>73.571641807360436</v>
      </c>
      <c r="W197" s="47">
        <f t="shared" ca="1" si="140"/>
        <v>76.212795625819169</v>
      </c>
      <c r="X197" s="47">
        <f t="shared" ca="1" si="140"/>
        <v>78.83110201589642</v>
      </c>
    </row>
    <row r="198" spans="1:24" x14ac:dyDescent="0.25">
      <c r="A198" s="11" t="s">
        <v>955</v>
      </c>
      <c r="B198" s="10" t="str">
        <f>$B$38</f>
        <v>From Fiscal Forecasts</v>
      </c>
      <c r="C198" s="13"/>
      <c r="D198" s="35">
        <f>'Fiscal Forecasts'!D$206</f>
        <v>6.6790000000000003</v>
      </c>
      <c r="E198" s="35">
        <f>'Fiscal Forecasts'!E$206</f>
        <v>7.6630000000000003</v>
      </c>
      <c r="F198" s="35">
        <f>'Fiscal Forecasts'!F$206</f>
        <v>7.968</v>
      </c>
      <c r="G198" s="35">
        <f>'Fiscal Forecasts'!G$206</f>
        <v>7.3879999999999999</v>
      </c>
      <c r="H198" s="35">
        <f>'Fiscal Forecasts'!H$206</f>
        <v>9.3290000000000006</v>
      </c>
      <c r="I198" s="35">
        <f>'Fiscal Forecasts'!I$206</f>
        <v>11.634</v>
      </c>
      <c r="J198" s="17">
        <f>'Fiscal Forecasts'!J$206</f>
        <v>12.664999999999999</v>
      </c>
      <c r="K198" s="17">
        <f>'Fiscal Forecasts'!K$206</f>
        <v>12.111000000000001</v>
      </c>
      <c r="L198" s="17">
        <f>'Fiscal Forecasts'!L$206</f>
        <v>12.856</v>
      </c>
      <c r="M198" s="17">
        <f>'Fiscal Forecasts'!M$206</f>
        <v>13.465</v>
      </c>
      <c r="N198" s="17">
        <f>'Fiscal Forecasts'!N$206</f>
        <v>13.920999999999999</v>
      </c>
      <c r="O198" s="16">
        <f>N$198*Exogenous!Z$28/Exogenous!Y$28</f>
        <v>14.741060183307349</v>
      </c>
      <c r="P198" s="16">
        <f>O$198*Exogenous!AA$28/Exogenous!Z$28</f>
        <v>15.609291136995271</v>
      </c>
      <c r="Q198" s="16">
        <f>P$198*Exogenous!AB$28/Exogenous!AA$28</f>
        <v>16.498221635934527</v>
      </c>
      <c r="R198" s="16">
        <f>Q$198*Exogenous!AC$28/Exogenous!AB$28</f>
        <v>17.390181269487861</v>
      </c>
      <c r="S198" s="16">
        <f>R$198*Exogenous!AD$28/Exogenous!AC$28</f>
        <v>18.295203937066184</v>
      </c>
      <c r="T198" s="16">
        <f>S$198*Exogenous!AE$28/Exogenous!AD$28</f>
        <v>19.182051122296574</v>
      </c>
      <c r="U198" s="16">
        <f>T$198*Exogenous!AF$28/Exogenous!AE$28</f>
        <v>20.126712029200899</v>
      </c>
      <c r="V198" s="16">
        <f>U$198*Exogenous!AG$28/Exogenous!AF$28</f>
        <v>21.078560641678465</v>
      </c>
      <c r="W198" s="16">
        <f>V$198*Exogenous!AH$28/Exogenous!AG$28</f>
        <v>22.065449450621678</v>
      </c>
      <c r="X198" s="16">
        <f>W$198*Exogenous!AI$28/Exogenous!AH$28</f>
        <v>23.098985950547377</v>
      </c>
    </row>
    <row r="199" spans="1:24" x14ac:dyDescent="0.25">
      <c r="A199" s="11" t="s">
        <v>956</v>
      </c>
      <c r="B199" s="10" t="str">
        <f>$B$38</f>
        <v>From Fiscal Forecasts</v>
      </c>
      <c r="C199" s="13"/>
      <c r="D199" s="35">
        <f>'Fiscal Forecasts'!D$40-SUM(D$197:D$198)</f>
        <v>-1.5169999999999959</v>
      </c>
      <c r="E199" s="35">
        <f>'Fiscal Forecasts'!E$40-SUM(E$197:E$198)</f>
        <v>-1.7910000000000039</v>
      </c>
      <c r="F199" s="35">
        <f>'Fiscal Forecasts'!F$40-SUM(F$197:F$198)</f>
        <v>-1.8350000000000009</v>
      </c>
      <c r="G199" s="35">
        <f>'Fiscal Forecasts'!G$40-SUM(G$197:G$198)</f>
        <v>-1.9450000000000003</v>
      </c>
      <c r="H199" s="35">
        <f>'Fiscal Forecasts'!H$40-SUM(H$197:H$198)</f>
        <v>-1.9980000000000047</v>
      </c>
      <c r="I199" s="35">
        <f>'Fiscal Forecasts'!I$40-SUM(I$197:I$198)</f>
        <v>-2.2269999999999968</v>
      </c>
      <c r="J199" s="17">
        <f ca="1">'Fiscal Forecasts'!J$40-SUM(J$197:J$198)+IF(OFFSET(Assumptions!$B$56,0,$C$1)="Yes",Allocation!C$14,0)</f>
        <v>-2.4979999999999976</v>
      </c>
      <c r="K199" s="17">
        <f ca="1">'Fiscal Forecasts'!K$40-SUM(K$197:K$198)+IF(OFFSET(Assumptions!$B$56,0,$C$1)="Yes",Allocation!D$14,0)</f>
        <v>-2.7970000000000041</v>
      </c>
      <c r="L199" s="17">
        <f ca="1">'Fiscal Forecasts'!L$40-SUM(L$197:L$198)+IF(OFFSET(Assumptions!$B$56,0,$C$1)="Yes",Allocation!E$14,0)</f>
        <v>-2.9379999999999953</v>
      </c>
      <c r="M199" s="17">
        <f ca="1">'Fiscal Forecasts'!M$40-SUM(M$197:M$198)+IF(OFFSET(Assumptions!$B$56,0,$C$1)="Yes",Allocation!F$14,0)</f>
        <v>-3.027000000000001</v>
      </c>
      <c r="N199" s="17">
        <f ca="1">'Fiscal Forecasts'!N$40-SUM(N$197:N$198)+IF(OFFSET(Assumptions!$B$56,0,$C$1)="Yes",Allocation!G$14,0)</f>
        <v>-3.0949999999999989</v>
      </c>
      <c r="O199" s="16">
        <f ca="1">N$199*Exogenous!Z$27/Exogenous!Y$27</f>
        <v>-3.3271249999999983</v>
      </c>
      <c r="P199" s="16">
        <f ca="1">O$199*Exogenous!AA$27/Exogenous!Z$27</f>
        <v>-3.5766593749999975</v>
      </c>
      <c r="Q199" s="16">
        <f ca="1">P$199*Exogenous!AB$27/Exogenous!AA$27</f>
        <v>-3.8449088281249972</v>
      </c>
      <c r="R199" s="16">
        <f ca="1">Q$199*Exogenous!AC$27/Exogenous!AB$27</f>
        <v>-4.1332769902343722</v>
      </c>
      <c r="S199" s="16">
        <f ca="1">R$199*Exogenous!AD$27/Exogenous!AC$27</f>
        <v>-4.4432727645019501</v>
      </c>
      <c r="T199" s="16">
        <f ca="1">S$199*Exogenous!AE$27/Exogenous!AD$27</f>
        <v>-4.776518221839595</v>
      </c>
      <c r="U199" s="16">
        <f ca="1">T$199*Exogenous!AF$27/Exogenous!AE$27</f>
        <v>-5.1347570884775662</v>
      </c>
      <c r="V199" s="16">
        <f ca="1">U$199*Exogenous!AG$27/Exogenous!AF$27</f>
        <v>-5.3396158360370007</v>
      </c>
      <c r="W199" s="16">
        <f ca="1">V$199*Exogenous!AH$27/Exogenous!AG$27</f>
        <v>-5.4869186271160197</v>
      </c>
      <c r="X199" s="16">
        <f ca="1">W$199*Exogenous!AI$27/Exogenous!AH$27</f>
        <v>-5.6476138435834713</v>
      </c>
    </row>
    <row r="200" spans="1:24" x14ac:dyDescent="0.25">
      <c r="A200" s="9" t="s">
        <v>958</v>
      </c>
      <c r="C200" s="13"/>
      <c r="D200" s="65">
        <f t="shared" ref="D200:I200" si="141">SUM(D$197:D$199)</f>
        <v>33.902000000000001</v>
      </c>
      <c r="E200" s="65">
        <f t="shared" si="141"/>
        <v>49.9</v>
      </c>
      <c r="F200" s="65">
        <f t="shared" si="141"/>
        <v>42.892000000000003</v>
      </c>
      <c r="G200" s="65">
        <f t="shared" si="141"/>
        <v>48.302999999999997</v>
      </c>
      <c r="H200" s="65">
        <f t="shared" si="141"/>
        <v>48.844999999999999</v>
      </c>
      <c r="I200" s="65">
        <f t="shared" si="141"/>
        <v>53.996000000000002</v>
      </c>
      <c r="J200" s="66">
        <f t="shared" ref="J200:X200" ca="1" si="142">SUM(J$197:J$199)</f>
        <v>57.838999999999999</v>
      </c>
      <c r="K200" s="66">
        <f t="shared" ca="1" si="142"/>
        <v>59.475000000000001</v>
      </c>
      <c r="L200" s="66">
        <f t="shared" ca="1" si="142"/>
        <v>61.591000000000001</v>
      </c>
      <c r="M200" s="66">
        <f t="shared" ca="1" si="142"/>
        <v>63.673000000000002</v>
      </c>
      <c r="N200" s="66">
        <f t="shared" ca="1" si="142"/>
        <v>65.144000000000005</v>
      </c>
      <c r="O200" s="67">
        <f t="shared" ca="1" si="142"/>
        <v>67.713848201580348</v>
      </c>
      <c r="P200" s="67">
        <f t="shared" ca="1" si="142"/>
        <v>70.543655398905386</v>
      </c>
      <c r="Q200" s="67">
        <f t="shared" ca="1" si="142"/>
        <v>73.480670463103223</v>
      </c>
      <c r="R200" s="67">
        <f t="shared" ca="1" si="142"/>
        <v>76.489722874529761</v>
      </c>
      <c r="S200" s="67">
        <f t="shared" ca="1" si="142"/>
        <v>79.577652505767162</v>
      </c>
      <c r="T200" s="67">
        <f t="shared" ca="1" si="142"/>
        <v>82.667892342346718</v>
      </c>
      <c r="U200" s="67">
        <f t="shared" ca="1" si="142"/>
        <v>85.892206341549993</v>
      </c>
      <c r="V200" s="67">
        <f t="shared" ca="1" si="142"/>
        <v>89.310586613001902</v>
      </c>
      <c r="W200" s="67">
        <f t="shared" ca="1" si="142"/>
        <v>92.791326449324814</v>
      </c>
      <c r="X200" s="67">
        <f t="shared" ca="1" si="142"/>
        <v>96.282474122860322</v>
      </c>
    </row>
    <row r="201" spans="1:24" x14ac:dyDescent="0.25">
      <c r="A201" s="12" t="s">
        <v>159</v>
      </c>
      <c r="C201" s="13"/>
      <c r="D201" s="11"/>
      <c r="E201" s="11"/>
      <c r="F201" s="11"/>
      <c r="G201" s="11"/>
      <c r="H201" s="11"/>
      <c r="I201" s="11"/>
      <c r="J201" s="11"/>
      <c r="K201" s="11"/>
      <c r="L201" s="11"/>
      <c r="M201" s="11"/>
    </row>
    <row r="202" spans="1:24" x14ac:dyDescent="0.25">
      <c r="A202" s="11" t="s">
        <v>160</v>
      </c>
      <c r="C202" s="13"/>
      <c r="D202" s="39">
        <f>'Economic Forecasts'!Q$18</f>
        <v>1205.79</v>
      </c>
      <c r="E202" s="39">
        <f>'Economic Forecasts'!R$18</f>
        <v>1241.4100000000001</v>
      </c>
      <c r="F202" s="39">
        <f>'Economic Forecasts'!S$18</f>
        <v>1287.81</v>
      </c>
      <c r="G202" s="39">
        <f>'Economic Forecasts'!T$18</f>
        <v>1360.1</v>
      </c>
      <c r="H202" s="39">
        <f>'Economic Forecasts'!U$18</f>
        <v>1462.81</v>
      </c>
      <c r="I202" s="39">
        <f>'Economic Forecasts'!V$18</f>
        <v>1556.16</v>
      </c>
      <c r="J202" s="27">
        <f>'Economic Forecasts'!W$18</f>
        <v>1622.73</v>
      </c>
      <c r="K202" s="27">
        <f>'Economic Forecasts'!X$18</f>
        <v>1651.37</v>
      </c>
      <c r="L202" s="27">
        <f>'Economic Forecasts'!Y$18</f>
        <v>1688.46</v>
      </c>
      <c r="M202" s="27">
        <f>'Economic Forecasts'!Z$18</f>
        <v>1731.59</v>
      </c>
      <c r="N202" s="27">
        <f>'Economic Forecasts'!AA$18</f>
        <v>1778.16</v>
      </c>
      <c r="O202" s="26">
        <f t="shared" ref="O202:X202" ca="1" si="143">N$202*(1+O$26)</f>
        <v>1830.0467088</v>
      </c>
      <c r="P202" s="26">
        <f t="shared" ca="1" si="143"/>
        <v>1884.007466055677</v>
      </c>
      <c r="Q202" s="26">
        <f t="shared" ca="1" si="143"/>
        <v>1940.1358164844078</v>
      </c>
      <c r="R202" s="26">
        <f t="shared" ca="1" si="143"/>
        <v>1998.5300242889555</v>
      </c>
      <c r="S202" s="26">
        <f t="shared" ca="1" si="143"/>
        <v>2058.8856310224819</v>
      </c>
      <c r="T202" s="26">
        <f t="shared" ca="1" si="143"/>
        <v>2121.0639770793609</v>
      </c>
      <c r="U202" s="26">
        <f t="shared" ca="1" si="143"/>
        <v>2184.4710636101713</v>
      </c>
      <c r="V202" s="26">
        <f t="shared" ca="1" si="143"/>
        <v>2249.1051934402694</v>
      </c>
      <c r="W202" s="26">
        <f t="shared" ca="1" si="143"/>
        <v>2314.9634917145877</v>
      </c>
      <c r="X202" s="26">
        <f t="shared" ca="1" si="143"/>
        <v>2382.5141264028193</v>
      </c>
    </row>
    <row r="203" spans="1:24" x14ac:dyDescent="0.25">
      <c r="A203" s="11" t="s">
        <v>75</v>
      </c>
      <c r="C203" s="13"/>
      <c r="D203" s="39">
        <f>'Economic Forecasts'!Q$19</f>
        <v>958.37</v>
      </c>
      <c r="E203" s="39">
        <f>'Economic Forecasts'!R$19</f>
        <v>987.95</v>
      </c>
      <c r="F203" s="39">
        <f>'Economic Forecasts'!S$19</f>
        <v>1018.53</v>
      </c>
      <c r="G203" s="39">
        <f>'Economic Forecasts'!T$19</f>
        <v>1066.06</v>
      </c>
      <c r="H203" s="39">
        <f>'Economic Forecasts'!U$19</f>
        <v>1132.5999999999999</v>
      </c>
      <c r="I203" s="39">
        <f>'Economic Forecasts'!V$19</f>
        <v>1192.4000000000001</v>
      </c>
      <c r="J203" s="27">
        <f>'Economic Forecasts'!W$19</f>
        <v>1255.05</v>
      </c>
      <c r="K203" s="27">
        <f>'Economic Forecasts'!X$19</f>
        <v>1272.31</v>
      </c>
      <c r="L203" s="27">
        <f>'Economic Forecasts'!Y$19</f>
        <v>1295.19</v>
      </c>
      <c r="M203" s="27">
        <f>'Economic Forecasts'!Z$19</f>
        <v>1323.35</v>
      </c>
      <c r="N203" s="27">
        <f>'Economic Forecasts'!AA$19</f>
        <v>1353.55</v>
      </c>
      <c r="O203" s="26">
        <f ca="1">IF(O$6&lt;OFFSET(Assumptions!$B$8,0,$C$1)+OFFSET(Assumptions!$B$36,0,$C$1),O$202-ROUND(IF(ROUNDDOWN(52*O$202,0)&gt;Exogenous!$C$59,(ROUNDDOWN(52*O$202,0)-Exogenous!$C$59)*Exogenous!$B$60+Exogenous!$E$59,IF(ROUNDDOWN(52*O$202,0)&gt;Exogenous!$C$58,(ROUNDDOWN(52*O$202,0)-Exogenous!$C$58)*Exogenous!$B$59+Exogenous!$E$58,IF(ROUNDDOWN(52*O$202,0)&gt;Exogenous!$C$57,(ROUNDDOWN(52*O$202,0)-Exogenous!$C$57)*Exogenous!$B$58+Exogenous!$E$57,IF(ROUNDDOWN(52*O$202,0)&gt;Exogenous!$C$56,(ROUNDDOWN(52*O$202,0)-Exogenous!$C$56)*Exogenous!$B$57+Exogenous!$E$56,ROUNDDOWN(52*O$202,0)*Exogenous!$B$56))))/52+O$202*Exogenous!$B$61,2),ROUND(N$203*(1+O$26),2))</f>
        <v>1393.05</v>
      </c>
      <c r="P203" s="26">
        <f ca="1">IF(P$6&lt;OFFSET(Assumptions!$B$8,0,$C$1)+OFFSET(Assumptions!$B$36,0,$C$1),P$202-ROUND(IF(ROUNDDOWN(52*P$202,0)&gt;Exogenous!$C$59,(ROUNDDOWN(52*P$202,0)-Exogenous!$C$59)*Exogenous!$B$60+Exogenous!$E$59,IF(ROUNDDOWN(52*P$202,0)&gt;Exogenous!$C$58,(ROUNDDOWN(52*P$202,0)-Exogenous!$C$58)*Exogenous!$B$59+Exogenous!$E$58,IF(ROUNDDOWN(52*P$202,0)&gt;Exogenous!$C$57,(ROUNDDOWN(52*P$202,0)-Exogenous!$C$57)*Exogenous!$B$58+Exogenous!$E$57,IF(ROUNDDOWN(52*P$202,0)&gt;Exogenous!$C$56,(ROUNDDOWN(52*P$202,0)-Exogenous!$C$56)*Exogenous!$B$57+Exogenous!$E$56,ROUNDDOWN(52*P$202,0)*Exogenous!$B$56))))/52+P$202*Exogenous!$B$61,2),ROUND(O$203*(1+P$26),2))</f>
        <v>1434.13</v>
      </c>
      <c r="Q203" s="26">
        <f ca="1">IF(Q$6&lt;OFFSET(Assumptions!$B$8,0,$C$1)+OFFSET(Assumptions!$B$36,0,$C$1),Q$202-ROUND(IF(ROUNDDOWN(52*Q$202,0)&gt;Exogenous!$C$59,(ROUNDDOWN(52*Q$202,0)-Exogenous!$C$59)*Exogenous!$B$60+Exogenous!$E$59,IF(ROUNDDOWN(52*Q$202,0)&gt;Exogenous!$C$58,(ROUNDDOWN(52*Q$202,0)-Exogenous!$C$58)*Exogenous!$B$59+Exogenous!$E$58,IF(ROUNDDOWN(52*Q$202,0)&gt;Exogenous!$C$57,(ROUNDDOWN(52*Q$202,0)-Exogenous!$C$57)*Exogenous!$B$58+Exogenous!$E$57,IF(ROUNDDOWN(52*Q$202,0)&gt;Exogenous!$C$56,(ROUNDDOWN(52*Q$202,0)-Exogenous!$C$56)*Exogenous!$B$57+Exogenous!$E$56,ROUNDDOWN(52*Q$202,0)*Exogenous!$B$56))))/52+Q$202*Exogenous!$B$61,2),ROUND(P$203*(1+Q$26),2))</f>
        <v>1476.86</v>
      </c>
      <c r="R203" s="26">
        <f ca="1">IF(R$6&lt;OFFSET(Assumptions!$B$8,0,$C$1)+OFFSET(Assumptions!$B$36,0,$C$1),R$202-ROUND(IF(ROUNDDOWN(52*R$202,0)&gt;Exogenous!$C$59,(ROUNDDOWN(52*R$202,0)-Exogenous!$C$59)*Exogenous!$B$60+Exogenous!$E$59,IF(ROUNDDOWN(52*R$202,0)&gt;Exogenous!$C$58,(ROUNDDOWN(52*R$202,0)-Exogenous!$C$58)*Exogenous!$B$59+Exogenous!$E$58,IF(ROUNDDOWN(52*R$202,0)&gt;Exogenous!$C$57,(ROUNDDOWN(52*R$202,0)-Exogenous!$C$57)*Exogenous!$B$58+Exogenous!$E$57,IF(ROUNDDOWN(52*R$202,0)&gt;Exogenous!$C$56,(ROUNDDOWN(52*R$202,0)-Exogenous!$C$56)*Exogenous!$B$57+Exogenous!$E$56,ROUNDDOWN(52*R$202,0)*Exogenous!$B$56))))/52+R$202*Exogenous!$B$61,2),ROUND(Q$203*(1+R$26),2))</f>
        <v>1521.31</v>
      </c>
      <c r="S203" s="26">
        <f ca="1">IF(S$6&lt;OFFSET(Assumptions!$B$8,0,$C$1)+OFFSET(Assumptions!$B$36,0,$C$1),S$202-ROUND(IF(ROUNDDOWN(52*S$202,0)&gt;Exogenous!$C$59,(ROUNDDOWN(52*S$202,0)-Exogenous!$C$59)*Exogenous!$B$60+Exogenous!$E$59,IF(ROUNDDOWN(52*S$202,0)&gt;Exogenous!$C$58,(ROUNDDOWN(52*S$202,0)-Exogenous!$C$58)*Exogenous!$B$59+Exogenous!$E$58,IF(ROUNDDOWN(52*S$202,0)&gt;Exogenous!$C$57,(ROUNDDOWN(52*S$202,0)-Exogenous!$C$57)*Exogenous!$B$58+Exogenous!$E$57,IF(ROUNDDOWN(52*S$202,0)&gt;Exogenous!$C$56,(ROUNDDOWN(52*S$202,0)-Exogenous!$C$56)*Exogenous!$B$57+Exogenous!$E$56,ROUNDDOWN(52*S$202,0)*Exogenous!$B$56))))/52+S$202*Exogenous!$B$61,2),ROUND(R$203*(1+S$26),2))</f>
        <v>1567.25</v>
      </c>
      <c r="T203" s="26">
        <f ca="1">IF(T$6&lt;OFFSET(Assumptions!$B$8,0,$C$1)+OFFSET(Assumptions!$B$36,0,$C$1),T$202-ROUND(IF(ROUNDDOWN(52*T$202,0)&gt;Exogenous!$C$59,(ROUNDDOWN(52*T$202,0)-Exogenous!$C$59)*Exogenous!$B$60+Exogenous!$E$59,IF(ROUNDDOWN(52*T$202,0)&gt;Exogenous!$C$58,(ROUNDDOWN(52*T$202,0)-Exogenous!$C$58)*Exogenous!$B$59+Exogenous!$E$58,IF(ROUNDDOWN(52*T$202,0)&gt;Exogenous!$C$57,(ROUNDDOWN(52*T$202,0)-Exogenous!$C$57)*Exogenous!$B$58+Exogenous!$E$57,IF(ROUNDDOWN(52*T$202,0)&gt;Exogenous!$C$56,(ROUNDDOWN(52*T$202,0)-Exogenous!$C$56)*Exogenous!$B$57+Exogenous!$E$56,ROUNDDOWN(52*T$202,0)*Exogenous!$B$56))))/52+T$202*Exogenous!$B$61,2),ROUND(S$203*(1+T$26),2))</f>
        <v>1614.58</v>
      </c>
      <c r="U203" s="26">
        <f ca="1">IF(U$6&lt;OFFSET(Assumptions!$B$8,0,$C$1)+OFFSET(Assumptions!$B$36,0,$C$1),U$202-ROUND(IF(ROUNDDOWN(52*U$202,0)&gt;Exogenous!$C$59,(ROUNDDOWN(52*U$202,0)-Exogenous!$C$59)*Exogenous!$B$60+Exogenous!$E$59,IF(ROUNDDOWN(52*U$202,0)&gt;Exogenous!$C$58,(ROUNDDOWN(52*U$202,0)-Exogenous!$C$58)*Exogenous!$B$59+Exogenous!$E$58,IF(ROUNDDOWN(52*U$202,0)&gt;Exogenous!$C$57,(ROUNDDOWN(52*U$202,0)-Exogenous!$C$57)*Exogenous!$B$58+Exogenous!$E$57,IF(ROUNDDOWN(52*U$202,0)&gt;Exogenous!$C$56,(ROUNDDOWN(52*U$202,0)-Exogenous!$C$56)*Exogenous!$B$57+Exogenous!$E$56,ROUNDDOWN(52*U$202,0)*Exogenous!$B$56))))/52+U$202*Exogenous!$B$61,2),ROUND(T$203*(1+U$26),2))</f>
        <v>1662.85</v>
      </c>
      <c r="V203" s="26">
        <f ca="1">IF(V$6&lt;OFFSET(Assumptions!$B$8,0,$C$1)+OFFSET(Assumptions!$B$36,0,$C$1),V$202-ROUND(IF(ROUNDDOWN(52*V$202,0)&gt;Exogenous!$C$59,(ROUNDDOWN(52*V$202,0)-Exogenous!$C$59)*Exogenous!$B$60+Exogenous!$E$59,IF(ROUNDDOWN(52*V$202,0)&gt;Exogenous!$C$58,(ROUNDDOWN(52*V$202,0)-Exogenous!$C$58)*Exogenous!$B$59+Exogenous!$E$58,IF(ROUNDDOWN(52*V$202,0)&gt;Exogenous!$C$57,(ROUNDDOWN(52*V$202,0)-Exogenous!$C$57)*Exogenous!$B$58+Exogenous!$E$57,IF(ROUNDDOWN(52*V$202,0)&gt;Exogenous!$C$56,(ROUNDDOWN(52*V$202,0)-Exogenous!$C$56)*Exogenous!$B$57+Exogenous!$E$56,ROUNDDOWN(52*V$202,0)*Exogenous!$B$56))))/52+V$202*Exogenous!$B$61,2),ROUND(U$203*(1+V$26),2))</f>
        <v>1712.05</v>
      </c>
      <c r="W203" s="26">
        <f ca="1">IF(W$6&lt;OFFSET(Assumptions!$B$8,0,$C$1)+OFFSET(Assumptions!$B$36,0,$C$1),W$202-ROUND(IF(ROUNDDOWN(52*W$202,0)&gt;Exogenous!$C$59,(ROUNDDOWN(52*W$202,0)-Exogenous!$C$59)*Exogenous!$B$60+Exogenous!$E$59,IF(ROUNDDOWN(52*W$202,0)&gt;Exogenous!$C$58,(ROUNDDOWN(52*W$202,0)-Exogenous!$C$58)*Exogenous!$B$59+Exogenous!$E$58,IF(ROUNDDOWN(52*W$202,0)&gt;Exogenous!$C$57,(ROUNDDOWN(52*W$202,0)-Exogenous!$C$57)*Exogenous!$B$58+Exogenous!$E$57,IF(ROUNDDOWN(52*W$202,0)&gt;Exogenous!$C$56,(ROUNDDOWN(52*W$202,0)-Exogenous!$C$56)*Exogenous!$B$57+Exogenous!$E$56,ROUNDDOWN(52*W$202,0)*Exogenous!$B$56))))/52+W$202*Exogenous!$B$61,2),ROUND(V$203*(1+W$26),2))</f>
        <v>1762.18</v>
      </c>
      <c r="X203" s="26">
        <f ca="1">IF(X$6&lt;OFFSET(Assumptions!$B$8,0,$C$1)+OFFSET(Assumptions!$B$36,0,$C$1),X$202-ROUND(IF(ROUNDDOWN(52*X$202,0)&gt;Exogenous!$C$59,(ROUNDDOWN(52*X$202,0)-Exogenous!$C$59)*Exogenous!$B$60+Exogenous!$E$59,IF(ROUNDDOWN(52*X$202,0)&gt;Exogenous!$C$58,(ROUNDDOWN(52*X$202,0)-Exogenous!$C$58)*Exogenous!$B$59+Exogenous!$E$58,IF(ROUNDDOWN(52*X$202,0)&gt;Exogenous!$C$57,(ROUNDDOWN(52*X$202,0)-Exogenous!$C$57)*Exogenous!$B$58+Exogenous!$E$57,IF(ROUNDDOWN(52*X$202,0)&gt;Exogenous!$C$56,(ROUNDDOWN(52*X$202,0)-Exogenous!$C$56)*Exogenous!$B$57+Exogenous!$E$56,ROUNDDOWN(52*X$202,0)*Exogenous!$B$56))))/52+X$202*Exogenous!$B$61,2),ROUND(W$203*(1+X$26),2))</f>
        <v>1813.6</v>
      </c>
    </row>
    <row r="204" spans="1:24" x14ac:dyDescent="0.25">
      <c r="A204" s="11" t="s">
        <v>74</v>
      </c>
      <c r="C204" s="13"/>
      <c r="D204" s="39">
        <f>'Economic Forecasts'!Q$20</f>
        <v>360.42</v>
      </c>
      <c r="E204" s="39">
        <f>'Economic Forecasts'!R$20</f>
        <v>372.27</v>
      </c>
      <c r="F204" s="39">
        <f>'Economic Forecasts'!S$20</f>
        <v>384.46</v>
      </c>
      <c r="G204" s="39">
        <f>'Economic Forecasts'!T$20</f>
        <v>408.66</v>
      </c>
      <c r="H204" s="39">
        <f>'Economic Forecasts'!U$20</f>
        <v>439.79</v>
      </c>
      <c r="I204" s="39">
        <f>'Economic Forecasts'!V$20</f>
        <v>461.41</v>
      </c>
      <c r="J204" s="27">
        <f>'Economic Forecasts'!W$20</f>
        <v>476.47</v>
      </c>
      <c r="K204" s="27">
        <f>'Economic Forecasts'!X$20</f>
        <v>488.1</v>
      </c>
      <c r="L204" s="27">
        <f>'Economic Forecasts'!Y$20</f>
        <v>498.32</v>
      </c>
      <c r="M204" s="27">
        <f>'Economic Forecasts'!Z$20</f>
        <v>508.71</v>
      </c>
      <c r="N204" s="27">
        <f>'Economic Forecasts'!AA$20</f>
        <v>519.45000000000005</v>
      </c>
      <c r="O204" s="26">
        <f ca="1">IF(O$6&lt;OFFSET(Assumptions!$B$8,0,$C$1)+OFFSET(Assumptions!$B$36,0,$C$1),IF(52*O$205&gt;Exogenous!$D$59,(52*O$205-Exogenous!$C$59*Exogenous!$B$60+Exogenous!$E$59)/(1-Exogenous!$B$60),IF(52*O$205&gt;Exogenous!$D$58,(52*O$205-Exogenous!$C$58*Exogenous!$B$59+Exogenous!$E$58)/(1-Exogenous!$B$59),IF(52*O$205&gt;Exogenous!$D$57,(52*O$205-Exogenous!$C$57*Exogenous!$B$58+Exogenous!$E$57)/(1-Exogenous!$B$58),IF(52*O$205&gt;Exogenous!$D$56,(52*O$205-Exogenous!$C$56*Exogenous!$B$57+Exogenous!$E$56)/(1-Exogenous!$B$57),52*O$205/(1-Exogenous!$B$56)))))/52,N$204*O$205/N$205)</f>
        <v>531.09121149611906</v>
      </c>
      <c r="P204" s="26">
        <f ca="1">IF(P$6&lt;OFFSET(Assumptions!$B$8,0,$C$1)+OFFSET(Assumptions!$B$36,0,$C$1),IF(52*P$205&gt;Exogenous!$D$59,(52*P$205-Exogenous!$C$59*Exogenous!$B$60+Exogenous!$E$59)/(1-Exogenous!$B$60),IF(52*P$205&gt;Exogenous!$D$58,(52*P$205-Exogenous!$C$58*Exogenous!$B$59+Exogenous!$E$58)/(1-Exogenous!$B$59),IF(52*P$205&gt;Exogenous!$D$57,(52*P$205-Exogenous!$C$57*Exogenous!$B$58+Exogenous!$E$57)/(1-Exogenous!$B$58),IF(52*P$205&gt;Exogenous!$D$56,(52*P$205-Exogenous!$C$56*Exogenous!$B$57+Exogenous!$E$56)/(1-Exogenous!$B$57),52*P$205/(1-Exogenous!$B$56)))))/52,O$204*P$205/O$205)</f>
        <v>546.75269311433851</v>
      </c>
      <c r="Q204" s="26">
        <f ca="1">IF(Q$6&lt;OFFSET(Assumptions!$B$8,0,$C$1)+OFFSET(Assumptions!$B$36,0,$C$1),IF(52*Q$205&gt;Exogenous!$D$59,(52*Q$205-Exogenous!$C$59*Exogenous!$B$60+Exogenous!$E$59)/(1-Exogenous!$B$60),IF(52*Q$205&gt;Exogenous!$D$58,(52*Q$205-Exogenous!$C$58*Exogenous!$B$59+Exogenous!$E$58)/(1-Exogenous!$B$59),IF(52*Q$205&gt;Exogenous!$D$57,(52*Q$205-Exogenous!$C$57*Exogenous!$B$58+Exogenous!$E$57)/(1-Exogenous!$B$58),IF(52*Q$205&gt;Exogenous!$D$56,(52*Q$205-Exogenous!$C$56*Exogenous!$B$57+Exogenous!$E$56)/(1-Exogenous!$B$57),52*Q$205/(1-Exogenous!$B$56)))))/52,P$204*Q$205/P$205)</f>
        <v>563.04322645286118</v>
      </c>
      <c r="R204" s="26">
        <f ca="1">IF(R$6&lt;OFFSET(Assumptions!$B$8,0,$C$1)+OFFSET(Assumptions!$B$36,0,$C$1),IF(52*R$205&gt;Exogenous!$D$59,(52*R$205-Exogenous!$C$59*Exogenous!$B$60+Exogenous!$E$59)/(1-Exogenous!$B$60),IF(52*R$205&gt;Exogenous!$D$58,(52*R$205-Exogenous!$C$58*Exogenous!$B$59+Exogenous!$E$58)/(1-Exogenous!$B$59),IF(52*R$205&gt;Exogenous!$D$57,(52*R$205-Exogenous!$C$57*Exogenous!$B$58+Exogenous!$E$57)/(1-Exogenous!$B$58),IF(52*R$205&gt;Exogenous!$D$56,(52*R$205-Exogenous!$C$56*Exogenous!$B$57+Exogenous!$E$56)/(1-Exogenous!$B$57),52*R$205/(1-Exogenous!$B$56)))))/52,Q$204*R$205/Q$205)</f>
        <v>579.98949855436695</v>
      </c>
      <c r="S204" s="26">
        <f ca="1">IF(S$6&lt;OFFSET(Assumptions!$B$8,0,$C$1)+OFFSET(Assumptions!$B$36,0,$C$1),IF(52*S$205&gt;Exogenous!$D$59,(52*S$205-Exogenous!$C$59*Exogenous!$B$60+Exogenous!$E$59)/(1-Exogenous!$B$60),IF(52*S$205&gt;Exogenous!$D$58,(52*S$205-Exogenous!$C$58*Exogenous!$B$59+Exogenous!$E$58)/(1-Exogenous!$B$59),IF(52*S$205&gt;Exogenous!$D$57,(52*S$205-Exogenous!$C$57*Exogenous!$B$58+Exogenous!$E$57)/(1-Exogenous!$B$58),IF(52*S$205&gt;Exogenous!$D$56,(52*S$205-Exogenous!$C$56*Exogenous!$B$57+Exogenous!$E$56)/(1-Exogenous!$B$57),52*S$205/(1-Exogenous!$B$56)))))/52,R$204*S$205/R$205)</f>
        <v>597.50382342147986</v>
      </c>
      <c r="T204" s="26">
        <f ca="1">IF(T$6&lt;OFFSET(Assumptions!$B$8,0,$C$1)+OFFSET(Assumptions!$B$36,0,$C$1),IF(52*T$205&gt;Exogenous!$D$59,(52*T$205-Exogenous!$C$59*Exogenous!$B$60+Exogenous!$E$59)/(1-Exogenous!$B$60),IF(52*T$205&gt;Exogenous!$D$58,(52*T$205-Exogenous!$C$58*Exogenous!$B$59+Exogenous!$E$58)/(1-Exogenous!$B$59),IF(52*T$205&gt;Exogenous!$D$57,(52*T$205-Exogenous!$C$57*Exogenous!$B$58+Exogenous!$E$57)/(1-Exogenous!$B$58),IF(52*T$205&gt;Exogenous!$D$56,(52*T$205-Exogenous!$C$56*Exogenous!$B$57+Exogenous!$E$56)/(1-Exogenous!$B$57),52*T$205/(1-Exogenous!$B$56)))))/52,S$204*T$205/S$205)</f>
        <v>615.54807670751507</v>
      </c>
      <c r="U204" s="26">
        <f ca="1">IF(U$6&lt;OFFSET(Assumptions!$B$8,0,$C$1)+OFFSET(Assumptions!$B$36,0,$C$1),IF(52*U$205&gt;Exogenous!$D$59,(52*U$205-Exogenous!$C$59*Exogenous!$B$60+Exogenous!$E$59)/(1-Exogenous!$B$60),IF(52*U$205&gt;Exogenous!$D$58,(52*U$205-Exogenous!$C$58*Exogenous!$B$59+Exogenous!$E$58)/(1-Exogenous!$B$59),IF(52*U$205&gt;Exogenous!$D$57,(52*U$205-Exogenous!$C$57*Exogenous!$B$58+Exogenous!$E$57)/(1-Exogenous!$B$58),IF(52*U$205&gt;Exogenous!$D$56,(52*U$205-Exogenous!$C$56*Exogenous!$B$57+Exogenous!$E$56)/(1-Exogenous!$B$57),52*U$205/(1-Exogenous!$B$56)))))/52,T$204*U$205/T$205)</f>
        <v>633.95069885238968</v>
      </c>
      <c r="V204" s="26">
        <f ca="1">IF(V$6&lt;OFFSET(Assumptions!$B$8,0,$C$1)+OFFSET(Assumptions!$B$36,0,$C$1),IF(52*V$205&gt;Exogenous!$D$59,(52*V$205-Exogenous!$C$59*Exogenous!$B$60+Exogenous!$E$59)/(1-Exogenous!$B$60),IF(52*V$205&gt;Exogenous!$D$58,(52*V$205-Exogenous!$C$58*Exogenous!$B$59+Exogenous!$E$58)/(1-Exogenous!$B$59),IF(52*V$205&gt;Exogenous!$D$57,(52*V$205-Exogenous!$C$57*Exogenous!$B$58+Exogenous!$E$57)/(1-Exogenous!$B$58),IF(52*V$205&gt;Exogenous!$D$56,(52*V$205-Exogenous!$C$56*Exogenous!$B$57+Exogenous!$E$56)/(1-Exogenous!$B$57),52*V$205/(1-Exogenous!$B$56)))))/52,U$204*V$205/U$205)</f>
        <v>652.70787742143534</v>
      </c>
      <c r="W204" s="26">
        <f ca="1">IF(W$6&lt;OFFSET(Assumptions!$B$8,0,$C$1)+OFFSET(Assumptions!$B$36,0,$C$1),IF(52*W$205&gt;Exogenous!$D$59,(52*W$205-Exogenous!$C$59*Exogenous!$B$60+Exogenous!$E$59)/(1-Exogenous!$B$60),IF(52*W$205&gt;Exogenous!$D$58,(52*W$205-Exogenous!$C$58*Exogenous!$B$59+Exogenous!$E$58)/(1-Exogenous!$B$59),IF(52*W$205&gt;Exogenous!$D$57,(52*W$205-Exogenous!$C$57*Exogenous!$B$58+Exogenous!$E$57)/(1-Exogenous!$B$58),IF(52*W$205&gt;Exogenous!$D$56,(52*W$205-Exogenous!$C$56*Exogenous!$B$57+Exogenous!$E$56)/(1-Exogenous!$B$57),52*W$205/(1-Exogenous!$B$56)))))/52,V$204*W$205/V$205)</f>
        <v>671.81961241465194</v>
      </c>
      <c r="X204" s="26">
        <f ca="1">IF(X$6&lt;OFFSET(Assumptions!$B$8,0,$C$1)+OFFSET(Assumptions!$B$36,0,$C$1),IF(52*X$205&gt;Exogenous!$D$59,(52*X$205-Exogenous!$C$59*Exogenous!$B$60+Exogenous!$E$59)/(1-Exogenous!$B$60),IF(52*X$205&gt;Exogenous!$D$58,(52*X$205-Exogenous!$C$58*Exogenous!$B$59+Exogenous!$E$58)/(1-Exogenous!$B$59),IF(52*X$205&gt;Exogenous!$D$57,(52*X$205-Exogenous!$C$57*Exogenous!$B$58+Exogenous!$E$57)/(1-Exogenous!$B$58),IF(52*X$205&gt;Exogenous!$D$56,(52*X$205-Exogenous!$C$56*Exogenous!$B$57+Exogenous!$E$56)/(1-Exogenous!$B$57),52*X$205/(1-Exogenous!$B$56)))))/52,W$204*X$205/W$205)</f>
        <v>691.42315148010573</v>
      </c>
    </row>
    <row r="205" spans="1:24" x14ac:dyDescent="0.25">
      <c r="A205" s="11" t="s">
        <v>73</v>
      </c>
      <c r="C205" s="13"/>
      <c r="D205" s="39">
        <f>'Economic Forecasts'!Q$21</f>
        <v>316.27</v>
      </c>
      <c r="E205" s="39">
        <f>'Economic Forecasts'!R$21</f>
        <v>326.02</v>
      </c>
      <c r="F205" s="39">
        <f>'Economic Forecasts'!S$21</f>
        <v>336.11</v>
      </c>
      <c r="G205" s="39">
        <f>'Economic Forecasts'!T$21</f>
        <v>356.11</v>
      </c>
      <c r="H205" s="39">
        <f>'Economic Forecasts'!U$21</f>
        <v>381.82</v>
      </c>
      <c r="I205" s="39">
        <f>'Economic Forecasts'!V$21</f>
        <v>399.59</v>
      </c>
      <c r="J205" s="27">
        <f>'Economic Forecasts'!W$21</f>
        <v>414.17</v>
      </c>
      <c r="K205" s="27">
        <f>'Economic Forecasts'!X$21</f>
        <v>423.7</v>
      </c>
      <c r="L205" s="27">
        <f>'Economic Forecasts'!Y$21</f>
        <v>432.17</v>
      </c>
      <c r="M205" s="27">
        <f>'Economic Forecasts'!Z$21</f>
        <v>440.81</v>
      </c>
      <c r="N205" s="27">
        <f>'Economic Forecasts'!AA$21</f>
        <v>449.63</v>
      </c>
      <c r="O205" s="26">
        <f ca="1">IF(2*N$205*(1+O$29)&gt;OFFSET(Assumptions!$B$38,0,$C$1)*O$203,OFFSET(Assumptions!$B$38,0,$C$1)*O$203,IF(2*N$205*(1+O$29)&lt;OFFSET(Assumptions!$B$37,0,$C$1)*O$203,OFFSET(Assumptions!$B$37,0,$C$1)*O$203,2*N$205*(1+O$29)))/2</f>
        <v>459.70650000000001</v>
      </c>
      <c r="P205" s="26">
        <f ca="1">IF(2*O$205*(1+P$29)&gt;OFFSET(Assumptions!$B$38,0,$C$1)*P$203,OFFSET(Assumptions!$B$38,0,$C$1)*P$203,IF(2*O$205*(1+P$29)&lt;OFFSET(Assumptions!$B$37,0,$C$1)*P$203,OFFSET(Assumptions!$B$37,0,$C$1)*P$203,2*O$205*(1+P$29)))/2</f>
        <v>473.26290000000006</v>
      </c>
      <c r="Q205" s="26">
        <f ca="1">IF(2*P$205*(1+Q$29)&gt;OFFSET(Assumptions!$B$38,0,$C$1)*Q$203,OFFSET(Assumptions!$B$38,0,$C$1)*Q$203,IF(2*P$205*(1+Q$29)&lt;OFFSET(Assumptions!$B$37,0,$C$1)*Q$203,OFFSET(Assumptions!$B$37,0,$C$1)*Q$203,2*P$205*(1+Q$29)))/2</f>
        <v>487.36379999999997</v>
      </c>
      <c r="R205" s="26">
        <f ca="1">IF(2*Q$205*(1+R$29)&gt;OFFSET(Assumptions!$B$38,0,$C$1)*R$203,OFFSET(Assumptions!$B$38,0,$C$1)*R$203,IF(2*Q$205*(1+R$29)&lt;OFFSET(Assumptions!$B$37,0,$C$1)*R$203,OFFSET(Assumptions!$B$37,0,$C$1)*R$203,2*Q$205*(1+R$29)))/2</f>
        <v>502.03230000000002</v>
      </c>
      <c r="S205" s="26">
        <f ca="1">IF(2*R$205*(1+S$29)&gt;OFFSET(Assumptions!$B$38,0,$C$1)*S$203,OFFSET(Assumptions!$B$38,0,$C$1)*S$203,IF(2*R$205*(1+S$29)&lt;OFFSET(Assumptions!$B$37,0,$C$1)*S$203,OFFSET(Assumptions!$B$37,0,$C$1)*S$203,2*R$205*(1+S$29)))/2</f>
        <v>517.1925</v>
      </c>
      <c r="T205" s="26">
        <f ca="1">IF(2*S$205*(1+T$29)&gt;OFFSET(Assumptions!$B$38,0,$C$1)*T$203,OFFSET(Assumptions!$B$38,0,$C$1)*T$203,IF(2*S$205*(1+T$29)&lt;OFFSET(Assumptions!$B$37,0,$C$1)*T$203,OFFSET(Assumptions!$B$37,0,$C$1)*T$203,2*S$205*(1+T$29)))/2</f>
        <v>532.81140000000005</v>
      </c>
      <c r="U205" s="26">
        <f ca="1">IF(2*T$205*(1+U$29)&gt;OFFSET(Assumptions!$B$38,0,$C$1)*U$203,OFFSET(Assumptions!$B$38,0,$C$1)*U$203,IF(2*T$205*(1+U$29)&lt;OFFSET(Assumptions!$B$37,0,$C$1)*U$203,OFFSET(Assumptions!$B$37,0,$C$1)*U$203,2*T$205*(1+U$29)))/2</f>
        <v>548.7405</v>
      </c>
      <c r="V205" s="26">
        <f ca="1">IF(2*U$205*(1+V$29)&gt;OFFSET(Assumptions!$B$38,0,$C$1)*V$203,OFFSET(Assumptions!$B$38,0,$C$1)*V$203,IF(2*U$205*(1+V$29)&lt;OFFSET(Assumptions!$B$37,0,$C$1)*V$203,OFFSET(Assumptions!$B$37,0,$C$1)*V$203,2*U$205*(1+V$29)))/2</f>
        <v>564.97649999999999</v>
      </c>
      <c r="W205" s="26">
        <f ca="1">IF(2*V$205*(1+W$29)&gt;OFFSET(Assumptions!$B$38,0,$C$1)*W$203,OFFSET(Assumptions!$B$38,0,$C$1)*W$203,IF(2*V$205*(1+W$29)&lt;OFFSET(Assumptions!$B$37,0,$C$1)*W$203,OFFSET(Assumptions!$B$37,0,$C$1)*W$203,2*V$205*(1+W$29)))/2</f>
        <v>581.51940000000002</v>
      </c>
      <c r="X205" s="26">
        <f ca="1">IF(2*W$205*(1+X$29)&gt;OFFSET(Assumptions!$B$38,0,$C$1)*X$203,OFFSET(Assumptions!$B$38,0,$C$1)*X$203,IF(2*W$205*(1+X$29)&lt;OFFSET(Assumptions!$B$37,0,$C$1)*X$203,OFFSET(Assumptions!$B$37,0,$C$1)*X$203,2*W$205*(1+X$29)))/2</f>
        <v>598.48799999999994</v>
      </c>
    </row>
    <row r="207" spans="1:24" x14ac:dyDescent="0.25">
      <c r="A207" s="9" t="s">
        <v>535</v>
      </c>
    </row>
    <row r="208" spans="1:24" x14ac:dyDescent="0.25">
      <c r="A208" s="9" t="s">
        <v>1099</v>
      </c>
      <c r="B208" s="10" t="str">
        <f>$B$38</f>
        <v>From Fiscal Forecasts</v>
      </c>
      <c r="C208" s="71"/>
      <c r="D208" s="42">
        <f>'Fiscal Forecasts'!D$171</f>
        <v>7.7939999999999996</v>
      </c>
      <c r="E208" s="42">
        <f>'Fiscal Forecasts'!E$171</f>
        <v>8.48</v>
      </c>
      <c r="F208" s="42">
        <f>'Fiscal Forecasts'!F$171</f>
        <v>9.3580000000000005</v>
      </c>
      <c r="G208" s="42">
        <f>'Fiscal Forecasts'!G$171</f>
        <v>9.9450000000000003</v>
      </c>
      <c r="H208" s="42">
        <f>'Fiscal Forecasts'!H$171</f>
        <v>10.449</v>
      </c>
      <c r="I208" s="42">
        <f>'Fiscal Forecasts'!I$171</f>
        <v>11.26</v>
      </c>
      <c r="J208" s="43">
        <f>'Fiscal Forecasts'!J$171</f>
        <v>11.407</v>
      </c>
      <c r="K208" s="43">
        <f>'Fiscal Forecasts'!K$171</f>
        <v>11.778</v>
      </c>
      <c r="L208" s="43">
        <f>'Fiscal Forecasts'!L$171</f>
        <v>11.878</v>
      </c>
      <c r="M208" s="43">
        <f>'Fiscal Forecasts'!M$171</f>
        <v>11.847</v>
      </c>
      <c r="N208" s="43">
        <f>'Fiscal Forecasts'!N$171</f>
        <v>11.896000000000001</v>
      </c>
      <c r="O208" s="47">
        <f ca="1">SUM(O$251,IF(O$6=OFFSET(Assumptions!$B$8,0,$C$1),AVERAGE((L$208-L$251)/SUM(L$208,L$215,L$222,-L$251,-L$333),(M$208-M$251)/SUM(M$208,M$215,M$222,-M$251,-M$333),(N$208-N$251)/SUM(N$208,N$215,N$222,-N$251,-N$333)),(N$208-N$251)/SUM(N$208,N$215,N$222,-N$251,-N$333))*(O$332-O$261-SUM(O$267:O$270,O$273)))</f>
        <v>12.441610972860351</v>
      </c>
      <c r="P208" s="47">
        <f ca="1">SUM(P$251,IF(P$6=OFFSET(Assumptions!$B$8,0,$C$1),AVERAGE((M$208-M$251)/SUM(M$208,M$215,M$222,-M$251,-M$333),(N$208-N$251)/SUM(N$208,N$215,N$222,-N$251,-N$333),(O$208-O$251)/SUM(O$208,O$215,O$222,-O$251,-O$333)),(O$208-O$251)/SUM(O$208,O$215,O$222,-O$251,-O$333))*(P$332-P$261-SUM(P$267:P$270,P$273)))</f>
        <v>12.452157149338831</v>
      </c>
      <c r="Q208" s="47">
        <f ca="1">SUM(Q$251,IF(Q$6=OFFSET(Assumptions!$B$8,0,$C$1),AVERAGE((N$208-N$251)/SUM(N$208,N$215,N$222,-N$251,-N$333),(O$208-O$251)/SUM(O$208,O$215,O$222,-O$251,-O$333),(P$208-P$251)/SUM(P$208,P$215,P$222,-P$251,-P$333)),(P$208-P$251)/SUM(P$208,P$215,P$222,-P$251,-P$333))*(Q$332-Q$261-SUM(Q$267:Q$270,Q$273)))</f>
        <v>12.462953180644588</v>
      </c>
      <c r="R208" s="47">
        <f ca="1">SUM(R$251,IF(R$6=OFFSET(Assumptions!$B$8,0,$C$1),AVERAGE((O$208-O$251)/SUM(O$208,O$215,O$222,-O$251,-O$333),(P$208-P$251)/SUM(P$208,P$215,P$222,-P$251,-P$333),(Q$208-Q$251)/SUM(Q$208,Q$215,Q$222,-Q$251,-Q$333)),(Q$208-Q$251)/SUM(Q$208,Q$215,Q$222,-Q$251,-Q$333))*(R$332-R$261-SUM(R$267:R$270,R$273)))</f>
        <v>12.47400406387418</v>
      </c>
      <c r="S208" s="47">
        <f ca="1">SUM(S$251,IF(S$6=OFFSET(Assumptions!$B$8,0,$C$1),AVERAGE((P$208-P$251)/SUM(P$208,P$215,P$222,-P$251,-P$333),(Q$208-Q$251)/SUM(Q$208,Q$215,Q$222,-Q$251,-Q$333),(R$208-R$251)/SUM(R$208,R$215,R$222,-R$251,-R$333)),(R$208-R$251)/SUM(R$208,R$215,R$222,-R$251,-R$333))*(S$332-S$261-SUM(S$267:S$270,S$273)))</f>
        <v>12.48531489606607</v>
      </c>
      <c r="T208" s="47">
        <f ca="1">SUM(T$251,IF(T$6=OFFSET(Assumptions!$B$8,0,$C$1),AVERAGE((Q$208-Q$251)/SUM(Q$208,Q$215,Q$222,-Q$251,-Q$333),(R$208-R$251)/SUM(R$208,R$215,R$222,-R$251,-R$333),(S$208-S$251)/SUM(S$208,S$215,S$222,-S$251,-S$333)),(S$208-S$251)/SUM(S$208,S$215,S$222,-S$251,-S$333))*(T$332-T$261-SUM(T$267:T$270,T$273)))</f>
        <v>12.496776372382714</v>
      </c>
      <c r="U208" s="47">
        <f ca="1">SUM(U$251,IF(U$6=OFFSET(Assumptions!$B$8,0,$C$1),AVERAGE((R$208-R$251)/SUM(R$208,R$215,R$222,-R$251,-R$333),(S$208-S$251)/SUM(S$208,S$215,S$222,-S$251,-S$333),(T$208-T$251)/SUM(T$208,T$215,T$222,-T$251,-T$333)),(T$208-T$251)/SUM(T$208,T$215,T$222,-T$251,-T$333))*(U$332-U$261-SUM(U$267:U$270,U$273)))</f>
        <v>12.50873730723332</v>
      </c>
      <c r="V208" s="47">
        <f ca="1">SUM(V$251,IF(V$6=OFFSET(Assumptions!$B$8,0,$C$1),AVERAGE((S$208-S$251)/SUM(S$208,S$215,S$222,-S$251,-S$333),(T$208-T$251)/SUM(T$208,T$215,T$222,-T$251,-T$333),(U$208-U$251)/SUM(U$208,U$215,U$222,-U$251,-U$333)),(U$208-U$251)/SUM(U$208,U$215,U$222,-U$251,-U$333))*(V$332-V$261-SUM(V$267:V$270,V$273)))</f>
        <v>12.520974102002315</v>
      </c>
      <c r="W208" s="47">
        <f ca="1">SUM(W$251,IF(W$6=OFFSET(Assumptions!$B$8,0,$C$1),AVERAGE((T$208-T$251)/SUM(T$208,T$215,T$222,-T$251,-T$333),(U$208-U$251)/SUM(U$208,U$215,U$222,-U$251,-U$333),(V$208-V$251)/SUM(V$208,V$215,V$222,-V$251,-V$333)),(V$208-V$251)/SUM(V$208,V$215,V$222,-V$251,-V$333))*(W$332-W$261-SUM(W$267:W$270,W$273)))</f>
        <v>12.533377770071265</v>
      </c>
      <c r="X208" s="47">
        <f ca="1">SUM(X$251,IF(X$6=OFFSET(Assumptions!$B$8,0,$C$1),AVERAGE((U$208-U$251)/SUM(U$208,U$215,U$222,-U$251,-U$333),(V$208-V$251)/SUM(V$208,V$215,V$222,-V$251,-V$333),(W$208-W$251)/SUM(W$208,W$215,W$222,-W$251,-W$333)),(W$208-W$251)/SUM(W$208,W$215,W$222,-W$251,-W$333))*(X$332-X$261-SUM(X$267:X$270,X$273)))</f>
        <v>12.546068442799321</v>
      </c>
    </row>
    <row r="209" spans="1:24" x14ac:dyDescent="0.25">
      <c r="A209" s="11" t="s">
        <v>707</v>
      </c>
      <c r="B209" s="10" t="str">
        <f>$B$38</f>
        <v>From Fiscal Forecasts</v>
      </c>
      <c r="D209" s="35">
        <f>'Fiscal Forecasts'!D$255</f>
        <v>15.085000000000001</v>
      </c>
      <c r="E209" s="35">
        <f>'Fiscal Forecasts'!E$255</f>
        <v>16.317</v>
      </c>
      <c r="F209" s="35">
        <f>'Fiscal Forecasts'!F$255</f>
        <v>17.928999999999998</v>
      </c>
      <c r="G209" s="35">
        <f>'Fiscal Forecasts'!G$255</f>
        <v>19.896999999999998</v>
      </c>
      <c r="H209" s="35">
        <f>'Fiscal Forecasts'!H$255</f>
        <v>22.326000000000001</v>
      </c>
      <c r="I209" s="35">
        <f>'Fiscal Forecasts'!I$255</f>
        <v>24.337</v>
      </c>
      <c r="J209" s="17">
        <f>'Fiscal Forecasts'!J$255</f>
        <v>24.657</v>
      </c>
      <c r="K209" s="17">
        <f>'Fiscal Forecasts'!K$255</f>
        <v>25.32</v>
      </c>
      <c r="L209" s="17">
        <f>'Fiscal Forecasts'!L$255</f>
        <v>25.808</v>
      </c>
      <c r="M209" s="17">
        <f>'Fiscal Forecasts'!M$255</f>
        <v>26.111999999999998</v>
      </c>
      <c r="N209" s="17">
        <f>'Fiscal Forecasts'!N$255</f>
        <v>26.395</v>
      </c>
      <c r="O209" s="16">
        <f ca="1">SUM(O$252-O$251,IF(O$6=OFFSET(Assumptions!$B$8,0,$C$1),AVERAGE(SUM(L$209,-(L$252-L$251))/SUM(L$209,-(L$252-L$251),L$216,L$223),(M$209-(M$252-M$251))/SUM(M$209,-(M$252-M$251),M$216,M$223),(N$209-(N$252-N$251))/SUM(N$209,-(N$252-N$251),N$216,N$223)),(N$209-(N$252-N$251))/SUM(N$209,-(N$252-N$251),N$216,N$223))*SUM(O$198-O$238,O$262,O$275,O$293,O$335,-(O$252-O$251)))</f>
        <v>26.164334773757691</v>
      </c>
      <c r="P209" s="16">
        <f ca="1">SUM(P$252-P$251,IF(P$6=OFFSET(Assumptions!$B$8,0,$C$1),AVERAGE(SUM(M$209,-(M$252-M$251))/SUM(M$209,-(M$252-M$251),M$216,M$223),(N$209-(N$252-N$251))/SUM(N$209,-(N$252-N$251),N$216,N$223),(O$209-(O$252-O$251))/SUM(O$209,-(O$252-O$251),O$216,O$223)),(O$209-(O$252-O$251))/SUM(O$209,-(O$252-O$251),O$216,O$223))*SUM(P$198-P$238,P$262,P$275,P$293,P$335,-(P$252-P$251)))</f>
        <v>26.294054362324243</v>
      </c>
      <c r="Q209" s="16">
        <f ca="1">SUM(Q$252-Q$251,IF(Q$6=OFFSET(Assumptions!$B$8,0,$C$1),AVERAGE(SUM(N$209,-(N$252-N$251))/SUM(N$209,-(N$252-N$251),N$216,N$223),(O$209-(O$252-O$251))/SUM(O$209,-(O$252-O$251),O$216,O$223),(P$209-(P$252-P$251))/SUM(P$209,-(P$252-P$251),P$216,P$223)),(P$209-(P$252-P$251))/SUM(P$209,-(P$252-P$251),P$216,P$223))*SUM(Q$198-Q$238,Q$262,Q$275,Q$293,Q$335,-(Q$252-Q$251)))</f>
        <v>26.50401243318597</v>
      </c>
      <c r="R209" s="16">
        <f ca="1">SUM(R$252-R$251,IF(R$6=OFFSET(Assumptions!$B$8,0,$C$1),AVERAGE(SUM(O$209,-(O$252-O$251))/SUM(O$209,-(O$252-O$251),O$216,O$223),(P$209-(P$252-P$251))/SUM(P$209,-(P$252-P$251),P$216,P$223),(Q$209-(Q$252-Q$251))/SUM(Q$209,-(Q$252-Q$251),Q$216,Q$223)),(Q$209-(Q$252-Q$251))/SUM(Q$209,-(Q$252-Q$251),Q$216,Q$223))*SUM(R$198-R$238,R$262,R$275,R$293,R$335,-(R$252-R$251)))</f>
        <v>26.731696964360072</v>
      </c>
      <c r="S209" s="16">
        <f ca="1">SUM(S$252-S$251,IF(S$6=OFFSET(Assumptions!$B$8,0,$C$1),AVERAGE(SUM(P$209,-(P$252-P$251))/SUM(P$209,-(P$252-P$251),P$216,P$223),(Q$209-(Q$252-Q$251))/SUM(Q$209,-(Q$252-Q$251),Q$216,Q$223),(R$209-(R$252-R$251))/SUM(R$209,-(R$252-R$251),R$216,R$223)),(R$209-(R$252-R$251))/SUM(R$209,-(R$252-R$251),R$216,R$223))*SUM(S$198-S$238,S$262,S$275,S$293,S$335,-(S$252-S$251)))</f>
        <v>26.96377888119552</v>
      </c>
      <c r="T209" s="16">
        <f ca="1">SUM(T$252-T$251,IF(T$6=OFFSET(Assumptions!$B$8,0,$C$1),AVERAGE(SUM(Q$209,-(Q$252-Q$251))/SUM(Q$209,-(Q$252-Q$251),Q$216,Q$223),(R$209-(R$252-R$251))/SUM(R$209,-(R$252-R$251),R$216,R$223),(S$209-(S$252-S$251))/SUM(S$209,-(S$252-S$251),S$216,S$223)),(S$209-(S$252-S$251))/SUM(S$209,-(S$252-S$251),S$216,S$223))*SUM(T$198-T$238,T$262,T$275,T$293,T$335,-(T$252-T$251)))</f>
        <v>27.197804078884211</v>
      </c>
      <c r="U209" s="16">
        <f ca="1">SUM(U$252-U$251,IF(U$6=OFFSET(Assumptions!$B$8,0,$C$1),AVERAGE(SUM(R$209,-(R$252-R$251))/SUM(R$209,-(R$252-R$251),R$216,R$223),(S$209-(S$252-S$251))/SUM(S$209,-(S$252-S$251),S$216,S$223),(T$209-(T$252-T$251))/SUM(T$209,-(T$252-T$251),T$216,T$223)),(T$209-(T$252-T$251))/SUM(T$209,-(T$252-T$251),T$216,T$223))*SUM(U$198-U$238,U$262,U$275,U$293,U$335,-(U$252-U$251)))</f>
        <v>27.439192524104005</v>
      </c>
      <c r="V209" s="16">
        <f ca="1">SUM(V$252-V$251,IF(V$6=OFFSET(Assumptions!$B$8,0,$C$1),AVERAGE(SUM(S$209,-(S$252-S$251))/SUM(S$209,-(S$252-S$251),S$216,S$223),(T$209-(T$252-T$251))/SUM(T$209,-(T$252-T$251),T$216,T$223),(U$209-(U$252-U$251))/SUM(U$209,-(U$252-U$251),U$216,U$223)),(U$209-(U$252-U$251))/SUM(U$209,-(U$252-U$251),U$216,U$223))*SUM(V$198-V$238,V$262,V$275,V$293,V$335,-(V$252-V$251)))</f>
        <v>27.684224025400084</v>
      </c>
      <c r="W209" s="16">
        <f ca="1">SUM(W$252-W$251,IF(W$6=OFFSET(Assumptions!$B$8,0,$C$1),AVERAGE(SUM(T$209,-(T$252-T$251))/SUM(T$209,-(T$252-T$251),T$216,T$223),(U$209-(U$252-U$251))/SUM(U$209,-(U$252-U$251),U$216,U$223),(V$209-(V$252-V$251))/SUM(V$209,-(V$252-V$251),V$216,V$223)),(V$209-(V$252-V$251))/SUM(V$209,-(V$252-V$251),V$216,V$223))*SUM(W$198-W$238,W$262,W$275,W$293,W$335,-(W$252-W$251)))</f>
        <v>27.934826721815387</v>
      </c>
      <c r="X209" s="16">
        <f ca="1">SUM(X$252-X$251,IF(X$6=OFFSET(Assumptions!$B$8,0,$C$1),AVERAGE(SUM(U$209,-(U$252-U$251))/SUM(U$209,-(U$252-U$251),U$216,U$223),(V$209-(V$252-V$251))/SUM(V$209,-(V$252-V$251),V$216,V$223),(W$209-(W$252-W$251))/SUM(W$209,-(W$252-W$251),W$216,W$223)),(W$209-(W$252-W$251))/SUM(W$209,-(W$252-W$251),W$216,W$223))*SUM(X$198-X$238,X$262,X$275,X$293,X$335,-(X$252-X$251)))</f>
        <v>28.192591723477104</v>
      </c>
    </row>
    <row r="210" spans="1:24" x14ac:dyDescent="0.25">
      <c r="A210" s="11" t="s">
        <v>904</v>
      </c>
      <c r="B210" s="10" t="str">
        <f>$B$38</f>
        <v>From Fiscal Forecasts</v>
      </c>
      <c r="D210" s="35">
        <f>'Fiscal Forecasts'!D$256</f>
        <v>3.0960000000000001</v>
      </c>
      <c r="E210" s="35">
        <f>'Fiscal Forecasts'!E$256</f>
        <v>3.0230000000000001</v>
      </c>
      <c r="F210" s="35">
        <f>'Fiscal Forecasts'!F$256</f>
        <v>2.5819999999999999</v>
      </c>
      <c r="G210" s="35">
        <f>'Fiscal Forecasts'!G$256</f>
        <v>2.8610000000000002</v>
      </c>
      <c r="H210" s="35">
        <f>'Fiscal Forecasts'!H$256</f>
        <v>3.33</v>
      </c>
      <c r="I210" s="35">
        <f>'Fiscal Forecasts'!I$256</f>
        <v>3.5459999999999998</v>
      </c>
      <c r="J210" s="17">
        <f>'Fiscal Forecasts'!J$256</f>
        <v>3.6120000000000001</v>
      </c>
      <c r="K210" s="17">
        <f>'Fiscal Forecasts'!K$256</f>
        <v>3.7280000000000002</v>
      </c>
      <c r="L210" s="17">
        <f>'Fiscal Forecasts'!L$256</f>
        <v>3.8580000000000001</v>
      </c>
      <c r="M210" s="17">
        <f>'Fiscal Forecasts'!M$256</f>
        <v>3.9929999999999999</v>
      </c>
      <c r="N210" s="17">
        <f>'Fiscal Forecasts'!N$256</f>
        <v>4.09</v>
      </c>
      <c r="O210" s="16">
        <f ca="1">IF(O$6=OFFSET(Assumptions!$B$8,0,$C$1),AVERAGE(L$210/SUM(L$210,L$217,L$224),M$210/SUM(M$210,M$217,M$224),N$210/SUM(N$210,N$217,N$224)),N$210/SUM(N$210,N$217,N$224))*SUM(O$294,O$336-O$239)</f>
        <v>4.1976490813182066</v>
      </c>
      <c r="P210" s="16">
        <f ca="1">IF(P$6=OFFSET(Assumptions!$B$8,0,$C$1),AVERAGE(M$210/SUM(M$210,M$217,M$224),N$210/SUM(N$210,N$217,N$224),O$210/SUM(O$210,O$217,O$224)),O$210/SUM(O$210,O$217,O$224))*SUM(P$294,P$336-P$239)</f>
        <v>4.3047935229228331</v>
      </c>
      <c r="Q210" s="16">
        <f ca="1">IF(Q$6=OFFSET(Assumptions!$B$8,0,$C$1),AVERAGE(N$210/SUM(N$210,N$217,N$224),O$210/SUM(O$210,O$217,O$224),P$210/SUM(P$210,P$217,P$224)),P$210/SUM(P$210,P$217,P$224))*SUM(Q$294,Q$336-Q$239)</f>
        <v>4.4135818586776345</v>
      </c>
      <c r="R210" s="16">
        <f ca="1">IF(R$6=OFFSET(Assumptions!$B$8,0,$C$1),AVERAGE(O$210/SUM(O$210,O$217,O$224),P$210/SUM(P$210,P$217,P$224),Q$210/SUM(Q$210,Q$217,Q$224)),Q$210/SUM(Q$210,Q$217,Q$224))*SUM(R$294,R$336-R$239)</f>
        <v>4.5234682697409809</v>
      </c>
      <c r="S210" s="16">
        <f ca="1">IF(S$6=OFFSET(Assumptions!$B$8,0,$C$1),AVERAGE(P$210/SUM(P$210,P$217,P$224),Q$210/SUM(Q$210,Q$217,Q$224),R$210/SUM(R$210,R$217,R$224)),R$210/SUM(R$210,R$217,R$224))*SUM(S$294,S$336-S$239)</f>
        <v>4.6348054209035725</v>
      </c>
      <c r="T210" s="16">
        <f ca="1">IF(T$6=OFFSET(Assumptions!$B$8,0,$C$1),AVERAGE(Q$210/SUM(Q$210,Q$217,Q$224),R$210/SUM(R$210,R$217,R$224),S$210/SUM(S$210,S$217,S$224)),S$210/SUM(S$210,S$217,S$224))*SUM(T$294,T$336-T$239)</f>
        <v>4.7474684514724323</v>
      </c>
      <c r="U210" s="16">
        <f ca="1">IF(U$6=OFFSET(Assumptions!$B$8,0,$C$1),AVERAGE(R$210/SUM(R$210,R$217,R$224),S$210/SUM(S$210,S$217,S$224),T$210/SUM(T$210,T$217,T$224)),T$210/SUM(T$210,T$217,T$224))*SUM(U$294,U$336-U$239)</f>
        <v>4.8623018677780134</v>
      </c>
      <c r="V210" s="16">
        <f ca="1">IF(V$6=OFFSET(Assumptions!$B$8,0,$C$1),AVERAGE(S$210/SUM(S$210,S$217,S$224),T$210/SUM(T$210,T$217,T$224),U$210/SUM(U$210,U$217,U$224)),U$210/SUM(U$210,U$217,U$224))*SUM(V$294,V$336-V$239)</f>
        <v>4.9790077631443097</v>
      </c>
      <c r="W210" s="16">
        <f ca="1">IF(W$6=OFFSET(Assumptions!$B$8,0,$C$1),AVERAGE(T$210/SUM(T$210,T$217,T$224),U$210/SUM(U$210,U$217,U$224),V$210/SUM(V$210,V$217,V$224)),V$210/SUM(V$210,V$217,V$224))*SUM(W$294,W$336-W$239)</f>
        <v>5.0966545884082466</v>
      </c>
      <c r="X210" s="16">
        <f ca="1">IF(X$6=OFFSET(Assumptions!$B$8,0,$C$1),AVERAGE(U$210/SUM(U$210,U$217,U$224),V$210/SUM(V$210,V$217,V$224),W$210/SUM(W$210,W$217,W$224)),W$210/SUM(W$210,W$217,W$224))*SUM(X$294,X$336-X$239)</f>
        <v>5.21596013506056</v>
      </c>
    </row>
    <row r="211" spans="1:24" x14ac:dyDescent="0.25">
      <c r="A211" s="11" t="s">
        <v>866</v>
      </c>
      <c r="B211" s="10" t="str">
        <f>$B$38</f>
        <v>From Fiscal Forecasts</v>
      </c>
      <c r="D211" s="35">
        <f>'Fiscal Forecasts'!D$257</f>
        <v>-4.2000000000000003E-2</v>
      </c>
      <c r="E211" s="35">
        <f>'Fiscal Forecasts'!E$257</f>
        <v>-4.4999999999999998E-2</v>
      </c>
      <c r="F211" s="35">
        <f>'Fiscal Forecasts'!F$257</f>
        <v>-5.1999999999999998E-2</v>
      </c>
      <c r="G211" s="35">
        <f>'Fiscal Forecasts'!G$257</f>
        <v>-5.5E-2</v>
      </c>
      <c r="H211" s="35">
        <f>'Fiscal Forecasts'!H$257</f>
        <v>-5.2999999999999999E-2</v>
      </c>
      <c r="I211" s="35">
        <f>'Fiscal Forecasts'!I$257</f>
        <v>-0.06</v>
      </c>
      <c r="J211" s="17">
        <f>'Fiscal Forecasts'!J$257</f>
        <v>-6.6000000000000003E-2</v>
      </c>
      <c r="K211" s="17">
        <f>'Fiscal Forecasts'!K$257</f>
        <v>-6.8000000000000005E-2</v>
      </c>
      <c r="L211" s="17">
        <f>'Fiscal Forecasts'!L$257</f>
        <v>-6.9000000000000006E-2</v>
      </c>
      <c r="M211" s="17">
        <f>'Fiscal Forecasts'!M$257</f>
        <v>-6.8000000000000005E-2</v>
      </c>
      <c r="N211" s="17">
        <f>'Fiscal Forecasts'!N$257</f>
        <v>-7.0000000000000007E-2</v>
      </c>
      <c r="O211" s="16">
        <f ca="1">IF(O$6=OFFSET(Assumptions!$B$8,0,$C$1),AVERAGE(L$211/SUM(L$211,L$225),M$211/SUM(M$211,M$225),N$211/SUM(N$211,N$225)),N$211/SUM(N$211,N$225))*SUM(O$199,O$263,O$276,O$295,O$337)</f>
        <v>-7.1883462317298252E-2</v>
      </c>
      <c r="P211" s="16">
        <f ca="1">IF(P$6=OFFSET(Assumptions!$B$8,0,$C$1),AVERAGE(M$211/SUM(M$211,M$225),N$211/SUM(N$211,N$225),O$211/SUM(O$211,O$225)),O$211/SUM(O$211,O$225))*SUM(P$199,P$263,P$276,P$295,P$337)</f>
        <v>-7.2262335090459609E-2</v>
      </c>
      <c r="Q211" s="16">
        <f ca="1">IF(Q$6=OFFSET(Assumptions!$B$8,0,$C$1),AVERAGE(N$211/SUM(N$211,N$225),O$211/SUM(O$211,O$225),P$211/SUM(P$211,P$225)),P$211/SUM(P$211,P$225))*SUM(Q$199,Q$263,Q$276,Q$295,Q$337)</f>
        <v>-7.2894370387615162E-2</v>
      </c>
      <c r="R211" s="16">
        <f ca="1">IF(R$6=OFFSET(Assumptions!$B$8,0,$C$1),AVERAGE(O$211/SUM(O$211,O$225),P$211/SUM(P$211,P$225),Q$211/SUM(Q$211,Q$225)),Q$211/SUM(Q$211,Q$225))*SUM(R$199,R$263,R$276,R$295,R$337)</f>
        <v>-7.3599354913664913E-2</v>
      </c>
      <c r="S211" s="16">
        <f ca="1">IF(S$6=OFFSET(Assumptions!$B$8,0,$C$1),AVERAGE(P$211/SUM(P$211,P$225),Q$211/SUM(Q$211,Q$225),R$211/SUM(R$211,R$225)),R$211/SUM(R$211,R$225))*SUM(S$199,S$263,S$276,S$295,S$337)</f>
        <v>-7.4338111025831641E-2</v>
      </c>
      <c r="T211" s="16">
        <f ca="1">IF(T$6=OFFSET(Assumptions!$B$8,0,$C$1),AVERAGE(Q$211/SUM(Q$211,Q$225),R$211/SUM(R$211,R$225),S$211/SUM(S$211,S$225)),S$211/SUM(S$211,S$225))*SUM(T$199,T$263,T$276,T$295,T$337)</f>
        <v>-7.5112177285189236E-2</v>
      </c>
      <c r="U211" s="16">
        <f ca="1">IF(U$6=OFFSET(Assumptions!$B$8,0,$C$1),AVERAGE(R$211/SUM(R$211,R$225),S$211/SUM(S$211,S$225),T$211/SUM(T$211,T$225)),T$211/SUM(T$211,T$225))*SUM(U$199,U$263,U$276,U$295,U$337)</f>
        <v>-7.5922281429904509E-2</v>
      </c>
      <c r="V211" s="16">
        <f ca="1">IF(V$6=OFFSET(Assumptions!$B$8,0,$C$1),AVERAGE(S$211/SUM(S$211,S$225),T$211/SUM(T$211,T$225),U$211/SUM(U$211,U$225)),U$211/SUM(U$211,U$225))*SUM(V$199,V$263,V$276,V$295,V$337)</f>
        <v>-7.6553598542768886E-2</v>
      </c>
      <c r="W211" s="16">
        <f ca="1">IF(W$6=OFFSET(Assumptions!$B$8,0,$C$1),AVERAGE(T$211/SUM(T$211,T$225),U$211/SUM(U$211,U$225),V$211/SUM(V$211,V$225)),V$211/SUM(V$211,V$225))*SUM(W$199,W$263,W$276,W$295,W$337)</f>
        <v>-7.7121708283821477E-2</v>
      </c>
      <c r="X211" s="16">
        <f ca="1">IF(X$6=OFFSET(Assumptions!$B$8,0,$C$1),AVERAGE(U$211/SUM(U$211,U$225),V$211/SUM(V$211,V$225),W$211/SUM(W$211,W$225)),W$211/SUM(W$211,W$225))*SUM(X$199,X$263,X$276,X$295,X$337)</f>
        <v>-7.7714377366232434E-2</v>
      </c>
    </row>
    <row r="212" spans="1:24" x14ac:dyDescent="0.25">
      <c r="A212" s="9" t="s">
        <v>959</v>
      </c>
      <c r="D212" s="65">
        <f t="shared" ref="D212:N212" si="144">SUM(D$208:D$211)</f>
        <v>25.933</v>
      </c>
      <c r="E212" s="65">
        <f t="shared" si="144"/>
        <v>27.774999999999999</v>
      </c>
      <c r="F212" s="65">
        <f t="shared" si="144"/>
        <v>29.817</v>
      </c>
      <c r="G212" s="65">
        <f t="shared" si="144"/>
        <v>32.647999999999996</v>
      </c>
      <c r="H212" s="65">
        <f t="shared" si="144"/>
        <v>36.052</v>
      </c>
      <c r="I212" s="65">
        <f t="shared" si="144"/>
        <v>39.082999999999998</v>
      </c>
      <c r="J212" s="66">
        <f t="shared" si="144"/>
        <v>39.61</v>
      </c>
      <c r="K212" s="66">
        <f t="shared" si="144"/>
        <v>40.758000000000003</v>
      </c>
      <c r="L212" s="66">
        <f t="shared" si="144"/>
        <v>41.474999999999994</v>
      </c>
      <c r="M212" s="66">
        <f t="shared" si="144"/>
        <v>41.884</v>
      </c>
      <c r="N212" s="66">
        <f t="shared" si="144"/>
        <v>42.311</v>
      </c>
      <c r="O212" s="67">
        <f t="shared" ref="O212:X212" ca="1" si="145">SUM(O$208:O$211)</f>
        <v>42.731711365618949</v>
      </c>
      <c r="P212" s="67">
        <f t="shared" ca="1" si="145"/>
        <v>42.978742699495456</v>
      </c>
      <c r="Q212" s="67">
        <f t="shared" ca="1" si="145"/>
        <v>43.307653102120582</v>
      </c>
      <c r="R212" s="67">
        <f t="shared" ca="1" si="145"/>
        <v>43.655569943061565</v>
      </c>
      <c r="S212" s="67">
        <f t="shared" ca="1" si="145"/>
        <v>44.009561087139332</v>
      </c>
      <c r="T212" s="67">
        <f t="shared" ca="1" si="145"/>
        <v>44.366936725454167</v>
      </c>
      <c r="U212" s="67">
        <f t="shared" ca="1" si="145"/>
        <v>44.734309417685438</v>
      </c>
      <c r="V212" s="67">
        <f t="shared" ca="1" si="145"/>
        <v>45.107652292003941</v>
      </c>
      <c r="W212" s="67">
        <f t="shared" ca="1" si="145"/>
        <v>45.487737372011082</v>
      </c>
      <c r="X212" s="67">
        <f t="shared" ca="1" si="145"/>
        <v>45.876905923970753</v>
      </c>
    </row>
    <row r="214" spans="1:24" x14ac:dyDescent="0.25">
      <c r="A214" s="9" t="s">
        <v>536</v>
      </c>
    </row>
    <row r="215" spans="1:24" x14ac:dyDescent="0.25">
      <c r="A215" s="9" t="s">
        <v>1100</v>
      </c>
      <c r="B215" s="10" t="str">
        <f>$B$38</f>
        <v>From Fiscal Forecasts</v>
      </c>
      <c r="D215" s="42">
        <f>'Fiscal Forecasts'!D$260</f>
        <v>1.5009999999999999</v>
      </c>
      <c r="E215" s="42">
        <f>'Fiscal Forecasts'!E$260</f>
        <v>1.675</v>
      </c>
      <c r="F215" s="42">
        <f>'Fiscal Forecasts'!F$260</f>
        <v>1.883</v>
      </c>
      <c r="G215" s="42">
        <f>'Fiscal Forecasts'!G$260</f>
        <v>2.0019999999999998</v>
      </c>
      <c r="H215" s="42">
        <f>'Fiscal Forecasts'!H$260</f>
        <v>2.4</v>
      </c>
      <c r="I215" s="42">
        <f>'Fiscal Forecasts'!I$260</f>
        <v>2.81</v>
      </c>
      <c r="J215" s="43">
        <f>'Fiscal Forecasts'!J$260</f>
        <v>2.7429999999999999</v>
      </c>
      <c r="K215" s="43">
        <f>'Fiscal Forecasts'!K$260</f>
        <v>2.9079999999999999</v>
      </c>
      <c r="L215" s="43">
        <f>'Fiscal Forecasts'!L$260</f>
        <v>2.9940000000000002</v>
      </c>
      <c r="M215" s="43">
        <f>'Fiscal Forecasts'!M$260</f>
        <v>3.069</v>
      </c>
      <c r="N215" s="43">
        <f>'Fiscal Forecasts'!N$260</f>
        <v>3.073</v>
      </c>
      <c r="O215" s="47">
        <f t="shared" ref="O215:X215" si="146">O$431</f>
        <v>3.073</v>
      </c>
      <c r="P215" s="47">
        <f t="shared" si="146"/>
        <v>3.073</v>
      </c>
      <c r="Q215" s="47">
        <f t="shared" si="146"/>
        <v>3.073</v>
      </c>
      <c r="R215" s="47">
        <f t="shared" si="146"/>
        <v>3.073</v>
      </c>
      <c r="S215" s="47">
        <f t="shared" si="146"/>
        <v>3.073</v>
      </c>
      <c r="T215" s="47">
        <f t="shared" si="146"/>
        <v>3.073</v>
      </c>
      <c r="U215" s="47">
        <f t="shared" si="146"/>
        <v>3.073</v>
      </c>
      <c r="V215" s="47">
        <f t="shared" si="146"/>
        <v>3.073</v>
      </c>
      <c r="W215" s="47">
        <f t="shared" si="146"/>
        <v>3.073</v>
      </c>
      <c r="X215" s="47">
        <f t="shared" si="146"/>
        <v>3.073</v>
      </c>
    </row>
    <row r="216" spans="1:24" x14ac:dyDescent="0.25">
      <c r="A216" s="11" t="s">
        <v>707</v>
      </c>
      <c r="B216" s="10" t="str">
        <f>$B$38</f>
        <v>From Fiscal Forecasts</v>
      </c>
      <c r="D216" s="35">
        <f>'Fiscal Forecasts'!D$261</f>
        <v>1.587</v>
      </c>
      <c r="E216" s="35">
        <f>'Fiscal Forecasts'!E$261</f>
        <v>1.776</v>
      </c>
      <c r="F216" s="35">
        <f>'Fiscal Forecasts'!F$261</f>
        <v>1.9530000000000001</v>
      </c>
      <c r="G216" s="35">
        <f>'Fiscal Forecasts'!G$261</f>
        <v>2.2509999999999999</v>
      </c>
      <c r="H216" s="35">
        <f>'Fiscal Forecasts'!H$261</f>
        <v>2.5110000000000001</v>
      </c>
      <c r="I216" s="35">
        <f>'Fiscal Forecasts'!I$261</f>
        <v>2.9</v>
      </c>
      <c r="J216" s="17">
        <f>'Fiscal Forecasts'!J$261</f>
        <v>3.012</v>
      </c>
      <c r="K216" s="17">
        <f>'Fiscal Forecasts'!K$261</f>
        <v>3.129</v>
      </c>
      <c r="L216" s="17">
        <f>'Fiscal Forecasts'!L$261</f>
        <v>3.177</v>
      </c>
      <c r="M216" s="17">
        <f>'Fiscal Forecasts'!M$261</f>
        <v>3.226</v>
      </c>
      <c r="N216" s="17">
        <f>'Fiscal Forecasts'!N$261</f>
        <v>3.274</v>
      </c>
      <c r="O216" s="16">
        <f t="shared" ref="O216:X216" si="147">N$216</f>
        <v>3.274</v>
      </c>
      <c r="P216" s="16">
        <f t="shared" si="147"/>
        <v>3.274</v>
      </c>
      <c r="Q216" s="16">
        <f t="shared" si="147"/>
        <v>3.274</v>
      </c>
      <c r="R216" s="16">
        <f t="shared" si="147"/>
        <v>3.274</v>
      </c>
      <c r="S216" s="16">
        <f t="shared" si="147"/>
        <v>3.274</v>
      </c>
      <c r="T216" s="16">
        <f t="shared" si="147"/>
        <v>3.274</v>
      </c>
      <c r="U216" s="16">
        <f t="shared" si="147"/>
        <v>3.274</v>
      </c>
      <c r="V216" s="16">
        <f t="shared" si="147"/>
        <v>3.274</v>
      </c>
      <c r="W216" s="16">
        <f t="shared" si="147"/>
        <v>3.274</v>
      </c>
      <c r="X216" s="16">
        <f t="shared" si="147"/>
        <v>3.274</v>
      </c>
    </row>
    <row r="217" spans="1:24" x14ac:dyDescent="0.25">
      <c r="A217" s="11" t="s">
        <v>904</v>
      </c>
      <c r="B217" s="10" t="str">
        <f>$B$38</f>
        <v>From Fiscal Forecasts</v>
      </c>
      <c r="D217" s="35">
        <f>'Fiscal Forecasts'!D$262</f>
        <v>1.466</v>
      </c>
      <c r="E217" s="35">
        <f>'Fiscal Forecasts'!E$262</f>
        <v>1.843</v>
      </c>
      <c r="F217" s="35">
        <f>'Fiscal Forecasts'!F$262</f>
        <v>1.73</v>
      </c>
      <c r="G217" s="35">
        <f>'Fiscal Forecasts'!G$262</f>
        <v>1.899</v>
      </c>
      <c r="H217" s="35">
        <f>'Fiscal Forecasts'!H$262</f>
        <v>1.69</v>
      </c>
      <c r="I217" s="35">
        <f>'Fiscal Forecasts'!I$262</f>
        <v>1.911</v>
      </c>
      <c r="J217" s="17">
        <f>'Fiscal Forecasts'!J$262</f>
        <v>2.3050000000000002</v>
      </c>
      <c r="K217" s="17">
        <f>'Fiscal Forecasts'!K$262</f>
        <v>2.387</v>
      </c>
      <c r="L217" s="17">
        <f>'Fiscal Forecasts'!L$262</f>
        <v>2.5459999999999998</v>
      </c>
      <c r="M217" s="17">
        <f>'Fiscal Forecasts'!M$262</f>
        <v>2.7690000000000001</v>
      </c>
      <c r="N217" s="17">
        <f>'Fiscal Forecasts'!N$262</f>
        <v>2.8580000000000001</v>
      </c>
      <c r="O217" s="16">
        <f t="shared" ref="O217:X217" ca="1" si="148">N$217*O$428/N$428</f>
        <v>2.8867767255345771</v>
      </c>
      <c r="P217" s="16">
        <f t="shared" ca="1" si="148"/>
        <v>2.9155053385363265</v>
      </c>
      <c r="Q217" s="16">
        <f t="shared" ca="1" si="148"/>
        <v>2.9446104230131529</v>
      </c>
      <c r="R217" s="16">
        <f t="shared" ca="1" si="148"/>
        <v>2.9741784522143893</v>
      </c>
      <c r="S217" s="16">
        <f t="shared" ca="1" si="148"/>
        <v>3.0042196339142793</v>
      </c>
      <c r="T217" s="16">
        <f t="shared" ca="1" si="148"/>
        <v>3.0347434538140505</v>
      </c>
      <c r="U217" s="16">
        <f t="shared" ca="1" si="148"/>
        <v>3.0657563469539673</v>
      </c>
      <c r="V217" s="16">
        <f t="shared" ca="1" si="148"/>
        <v>3.0972656664558227</v>
      </c>
      <c r="W217" s="16">
        <f t="shared" ca="1" si="148"/>
        <v>3.1292787469463068</v>
      </c>
      <c r="X217" s="16">
        <f t="shared" ca="1" si="148"/>
        <v>3.1618067191578474</v>
      </c>
    </row>
    <row r="218" spans="1:24" x14ac:dyDescent="0.25">
      <c r="A218" s="9" t="s">
        <v>964</v>
      </c>
      <c r="D218" s="65">
        <f t="shared" ref="D218:N218" si="149">SUM(D$215:D$217)</f>
        <v>4.5540000000000003</v>
      </c>
      <c r="E218" s="65">
        <f t="shared" si="149"/>
        <v>5.2940000000000005</v>
      </c>
      <c r="F218" s="65">
        <f t="shared" si="149"/>
        <v>5.5660000000000007</v>
      </c>
      <c r="G218" s="65">
        <f t="shared" si="149"/>
        <v>6.1520000000000001</v>
      </c>
      <c r="H218" s="65">
        <f t="shared" si="149"/>
        <v>6.6009999999999991</v>
      </c>
      <c r="I218" s="65">
        <f t="shared" si="149"/>
        <v>7.6210000000000004</v>
      </c>
      <c r="J218" s="66">
        <f t="shared" si="149"/>
        <v>8.06</v>
      </c>
      <c r="K218" s="66">
        <f t="shared" si="149"/>
        <v>8.4239999999999995</v>
      </c>
      <c r="L218" s="66">
        <f t="shared" si="149"/>
        <v>8.7170000000000005</v>
      </c>
      <c r="M218" s="66">
        <f t="shared" si="149"/>
        <v>9.0640000000000001</v>
      </c>
      <c r="N218" s="66">
        <f t="shared" si="149"/>
        <v>9.2050000000000001</v>
      </c>
      <c r="O218" s="67">
        <f t="shared" ref="O218:X218" ca="1" si="150">SUM(O$215:O$217)</f>
        <v>9.2337767255345771</v>
      </c>
      <c r="P218" s="67">
        <f t="shared" ca="1" si="150"/>
        <v>9.2625053385363252</v>
      </c>
      <c r="Q218" s="67">
        <f t="shared" ca="1" si="150"/>
        <v>9.291610423013152</v>
      </c>
      <c r="R218" s="67">
        <f t="shared" ca="1" si="150"/>
        <v>9.3211784522143883</v>
      </c>
      <c r="S218" s="67">
        <f t="shared" ca="1" si="150"/>
        <v>9.3512196339142797</v>
      </c>
      <c r="T218" s="67">
        <f t="shared" ca="1" si="150"/>
        <v>9.3817434538140496</v>
      </c>
      <c r="U218" s="67">
        <f t="shared" ca="1" si="150"/>
        <v>9.4127563469539659</v>
      </c>
      <c r="V218" s="67">
        <f t="shared" ca="1" si="150"/>
        <v>9.4442656664558218</v>
      </c>
      <c r="W218" s="67">
        <f t="shared" ca="1" si="150"/>
        <v>9.4762787469463063</v>
      </c>
      <c r="X218" s="67">
        <f t="shared" ca="1" si="150"/>
        <v>9.508806719157846</v>
      </c>
    </row>
    <row r="219" spans="1:24" x14ac:dyDescent="0.25">
      <c r="A219" s="9" t="s">
        <v>960</v>
      </c>
      <c r="B219" s="10" t="str">
        <f>$B$38</f>
        <v>From Fiscal Forecasts</v>
      </c>
      <c r="D219" s="42">
        <f>'Fiscal Forecasts'!D$265</f>
        <v>0.29399999999999998</v>
      </c>
      <c r="E219" s="42">
        <f>'Fiscal Forecasts'!E$265</f>
        <v>0.57399999999999995</v>
      </c>
      <c r="F219" s="42">
        <f>'Fiscal Forecasts'!F$265</f>
        <v>0.37</v>
      </c>
      <c r="G219" s="42">
        <f>'Fiscal Forecasts'!G$265</f>
        <v>0.316</v>
      </c>
      <c r="H219" s="42">
        <f>'Fiscal Forecasts'!H$265</f>
        <v>0.29399999999999998</v>
      </c>
      <c r="I219" s="42">
        <f>'Fiscal Forecasts'!I$265</f>
        <v>0.33</v>
      </c>
      <c r="J219" s="43">
        <f>'Fiscal Forecasts'!J$265</f>
        <v>0.33600000000000002</v>
      </c>
      <c r="K219" s="43">
        <f>'Fiscal Forecasts'!K$265</f>
        <v>0.34399999999999997</v>
      </c>
      <c r="L219" s="43">
        <f>'Fiscal Forecasts'!L$265</f>
        <v>0.34300000000000003</v>
      </c>
      <c r="M219" s="43">
        <f>'Fiscal Forecasts'!M$265</f>
        <v>0.34200000000000003</v>
      </c>
      <c r="N219" s="43">
        <f>'Fiscal Forecasts'!N$265</f>
        <v>0.34200000000000003</v>
      </c>
      <c r="O219" s="47">
        <f ca="1">IF(O$6=OFFSET(Assumptions!$B$8,0,$C$1),AVERAGE(L$219/L$441,M$219/M$441,N$219/N$441),N$219/N$441)*O$441</f>
        <v>0.33085072805363508</v>
      </c>
      <c r="P219" s="47">
        <f ca="1">IF(P$6=OFFSET(Assumptions!$B$8,0,$C$1),AVERAGE(M$219/M$441,N$219/N$441,O$219/O$441),O$219/O$441)*P$441</f>
        <v>0.33085072805363508</v>
      </c>
      <c r="Q219" s="47">
        <f ca="1">IF(Q$6=OFFSET(Assumptions!$B$8,0,$C$1),AVERAGE(N$219/N$441,O$219/O$441,P$219/P$441),P$219/P$441)*Q$441</f>
        <v>0.33085072805363508</v>
      </c>
      <c r="R219" s="47">
        <f ca="1">IF(R$6=OFFSET(Assumptions!$B$8,0,$C$1),AVERAGE(O$219/O$441,P$219/P$441,Q$219/Q$441),Q$219/Q$441)*R$441</f>
        <v>0.33085072805363508</v>
      </c>
      <c r="S219" s="47">
        <f ca="1">IF(S$6=OFFSET(Assumptions!$B$8,0,$C$1),AVERAGE(P$219/P$441,Q$219/Q$441,R$219/R$441),R$219/R$441)*S$441</f>
        <v>0.33085072805363508</v>
      </c>
      <c r="T219" s="47">
        <f ca="1">IF(T$6=OFFSET(Assumptions!$B$8,0,$C$1),AVERAGE(Q$219/Q$441,R$219/R$441,S$219/S$441),S$219/S$441)*T$441</f>
        <v>0.33085072805363508</v>
      </c>
      <c r="U219" s="47">
        <f ca="1">IF(U$6=OFFSET(Assumptions!$B$8,0,$C$1),AVERAGE(R$219/R$441,S$219/S$441,T$219/T$441),T$219/T$441)*U$441</f>
        <v>0.33085072805363508</v>
      </c>
      <c r="V219" s="47">
        <f ca="1">IF(V$6=OFFSET(Assumptions!$B$8,0,$C$1),AVERAGE(S$219/S$441,T$219/T$441,U$219/U$441),U$219/U$441)*V$441</f>
        <v>0.33085072805363508</v>
      </c>
      <c r="W219" s="47">
        <f ca="1">IF(W$6=OFFSET(Assumptions!$B$8,0,$C$1),AVERAGE(T$219/T$441,U$219/U$441,V$219/V$441),V$219/V$441)*W$441</f>
        <v>0.33085072805363508</v>
      </c>
      <c r="X219" s="47">
        <f ca="1">IF(X$6=OFFSET(Assumptions!$B$8,0,$C$1),AVERAGE(U$219/U$441,V$219/V$441,W$219/W$441),W$219/W$441)*X$441</f>
        <v>0.33085072805363508</v>
      </c>
    </row>
    <row r="220" spans="1:24" x14ac:dyDescent="0.25">
      <c r="A220" s="9"/>
    </row>
    <row r="221" spans="1:24" x14ac:dyDescent="0.25">
      <c r="A221" s="9" t="s">
        <v>537</v>
      </c>
    </row>
    <row r="222" spans="1:24" x14ac:dyDescent="0.25">
      <c r="A222" s="9" t="s">
        <v>1101</v>
      </c>
      <c r="B222" s="10" t="str">
        <f>$B$38</f>
        <v>From Fiscal Forecasts</v>
      </c>
      <c r="D222" s="42">
        <f>'Fiscal Forecasts'!D$270</f>
        <v>44.959000000000003</v>
      </c>
      <c r="E222" s="42">
        <f>'Fiscal Forecasts'!E$270</f>
        <v>51.832999999999998</v>
      </c>
      <c r="F222" s="42">
        <f>'Fiscal Forecasts'!F$270</f>
        <v>58.084000000000003</v>
      </c>
      <c r="G222" s="42">
        <f>'Fiscal Forecasts'!G$270</f>
        <v>65.543000000000006</v>
      </c>
      <c r="H222" s="42">
        <f>'Fiscal Forecasts'!H$270</f>
        <v>68.150000000000006</v>
      </c>
      <c r="I222" s="42">
        <f>'Fiscal Forecasts'!I$270</f>
        <v>72.72</v>
      </c>
      <c r="J222" s="43">
        <f ca="1">'Fiscal Forecasts'!J$270+IF(OFFSET(Assumptions!$B$56,0,$C$1)="Yes",SUM(Allocation!C$14:C$24),0)</f>
        <v>75.578000000000003</v>
      </c>
      <c r="K222" s="43">
        <f ca="1">'Fiscal Forecasts'!K$270+IF(OFFSET(Assumptions!$B$56,0,$C$1)="Yes",SUM(Allocation!D$14:D$24),0)</f>
        <v>77.138000000000005</v>
      </c>
      <c r="L222" s="43">
        <f ca="1">'Fiscal Forecasts'!L$270+IF(OFFSET(Assumptions!$B$56,0,$C$1)="Yes",SUM(Allocation!E$14:E$24),0)</f>
        <v>75.927000000000007</v>
      </c>
      <c r="M222" s="43">
        <f ca="1">'Fiscal Forecasts'!M$270+IF(OFFSET(Assumptions!$B$56,0,$C$1)="Yes",SUM(Allocation!F$14:F$24),0)</f>
        <v>74.025000000000006</v>
      </c>
      <c r="N222" s="43">
        <f ca="1">'Fiscal Forecasts'!N$270+IF(OFFSET(Assumptions!$B$56,0,$C$1)="Yes",SUM(Allocation!G$14:G$24),0)</f>
        <v>74.593999999999994</v>
      </c>
      <c r="O222" s="47">
        <f ca="1">SUM(-O$215,O$333,IF(O$6=OFFSET(Assumptions!$B$8,0,$C$1),AVERAGE((L$222+L$215-L$333)/SUM(L$208,L$215,L$222,-L$251,-L$333),(M$222+M$215-M$333)/SUM(M$208,M$215,M$222,-M$251,-M$333),(N$222+N$215-N$333)/SUM(N$208,N$215,N$222,-N$251,-N$333)),(N$222+N$215-N$333)/SUM(N$208,N$215,N$222,-N$251,-N$333))*(O$332-O$261-SUM(O$267:O$270,O$273)))</f>
        <v>75.544304929571609</v>
      </c>
      <c r="P222" s="47">
        <f ca="1">SUM(-P$215,P$333,IF(P$6=OFFSET(Assumptions!$B$8,0,$C$1),AVERAGE((M$222+M$215-M$333)/SUM(M$208,M$215,M$222,-M$251,-M$333),(N$222+N$215-N$333)/SUM(N$208,N$215,N$222,-N$251,-N$333),(O$222+O$215-O$333)/SUM(O$208,O$215,O$222,-O$251,-O$333)),(O$222+O$215-O$333)/SUM(O$208,O$215,O$222,-O$251,-O$333))*(P$332-P$261-SUM(P$267:P$270,P$273)))</f>
        <v>75.634773165008056</v>
      </c>
      <c r="Q222" s="47">
        <f ca="1">SUM(-Q$215,Q$333,IF(Q$6=OFFSET(Assumptions!$B$8,0,$C$1),AVERAGE((N$222+N$215-N$333)/SUM(N$208,N$215,N$222,-N$251,-N$333),(O$222+O$215-O$333)/SUM(O$208,O$215,O$222,-O$251,-O$333),(P$222+P$215-P$333)/SUM(P$208,P$215,P$222,-P$251,-P$333)),(P$222+P$215-P$333)/SUM(P$208,P$215,P$222,-P$251,-P$333))*(Q$332-Q$261-SUM(Q$267:Q$270,Q$273)))</f>
        <v>75.918484729373802</v>
      </c>
      <c r="R222" s="47">
        <f ca="1">SUM(-R$215,R$333,IF(R$6=OFFSET(Assumptions!$B$8,0,$C$1),AVERAGE((O$222+O$215-O$333)/SUM(O$208,O$215,O$222,-O$251,-O$333),(P$222+P$215-P$333)/SUM(P$208,P$215,P$222,-P$251,-P$333),(Q$222+Q$215-Q$333)/SUM(Q$208,Q$215,Q$222,-Q$251,-Q$333)),(Q$222+Q$215-Q$333)/SUM(Q$208,Q$215,Q$222,-Q$251,-Q$333))*(R$332-R$261-SUM(R$267:R$270,R$273)))</f>
        <v>76.241046656111394</v>
      </c>
      <c r="S222" s="47">
        <f ca="1">SUM(-S$215,S$333,IF(S$6=OFFSET(Assumptions!$B$8,0,$C$1),AVERAGE((P$222+P$215-P$333)/SUM(P$208,P$215,P$222,-P$251,-P$333),(Q$222+Q$215-Q$333)/SUM(Q$208,Q$215,Q$222,-Q$251,-Q$333),(R$222+R$215-R$333)/SUM(R$208,R$215,R$222,-R$251,-R$333)),(R$222+R$215-R$333)/SUM(R$208,R$215,R$222,-R$251,-R$333))*(S$332-S$261-SUM(S$267:S$270,S$273)))</f>
        <v>76.568350341849225</v>
      </c>
      <c r="T222" s="47">
        <f ca="1">SUM(-T$215,T$333,IF(T$6=OFFSET(Assumptions!$B$8,0,$C$1),AVERAGE((Q$222+Q$215-Q$333)/SUM(Q$208,Q$215,Q$222,-Q$251,-Q$333),(R$222+R$215-R$333)/SUM(R$208,R$215,R$222,-R$251,-R$333),(S$222+S$215-S$333)/SUM(S$208,S$215,S$222,-S$251,-S$333)),(S$222+S$215-S$333)/SUM(S$208,S$215,S$222,-S$251,-S$333))*(T$332-T$261-SUM(T$267:T$270,T$273)))</f>
        <v>76.900978732099702</v>
      </c>
      <c r="U222" s="47">
        <f ca="1">SUM(-U$215,U$333,IF(U$6=OFFSET(Assumptions!$B$8,0,$C$1),AVERAGE((R$222+R$215-R$333)/SUM(R$208,R$215,R$222,-R$251,-R$333),(S$222+S$215-S$333)/SUM(S$208,S$215,S$222,-S$251,-S$333),(T$222+T$215-T$333)/SUM(T$208,T$215,T$222,-T$251,-T$333)),(T$222+T$215-T$333)/SUM(T$208,T$215,T$222,-T$251,-T$333))*(U$332-U$261-SUM(U$267:U$270,U$273)))</f>
        <v>77.237204874662012</v>
      </c>
      <c r="V222" s="47">
        <f ca="1">SUM(-V$215,V$333,IF(V$6=OFFSET(Assumptions!$B$8,0,$C$1),AVERAGE((S$222+S$215-S$333)/SUM(S$208,S$215,S$222,-S$251,-S$333),(T$222+T$215-T$333)/SUM(T$208,T$215,T$222,-T$251,-T$333),(U$222+U$215-U$333)/SUM(U$208,U$215,U$222,-U$251,-U$333)),(U$222+U$215-U$333)/SUM(U$208,U$215,U$222,-U$251,-U$333))*(V$332-V$261-SUM(V$267:V$270,V$273)))</f>
        <v>77.577514080842661</v>
      </c>
      <c r="W222" s="47">
        <f ca="1">SUM(-W$215,W$333,IF(W$6=OFFSET(Assumptions!$B$8,0,$C$1),AVERAGE((T$222+T$215-T$333)/SUM(T$208,T$215,T$222,-T$251,-T$333),(U$222+U$215-U$333)/SUM(U$208,U$215,U$222,-U$251,-U$333),(V$222+V$215-V$333)/SUM(V$208,V$215,V$222,-V$251,-V$333)),(V$222+V$215-V$333)/SUM(V$208,V$215,V$222,-V$251,-V$333))*(W$332-W$261-SUM(W$267:W$270,W$273)))</f>
        <v>77.924091028433836</v>
      </c>
      <c r="X222" s="47">
        <f ca="1">SUM(-X$215,X$333,IF(X$6=OFFSET(Assumptions!$B$8,0,$C$1),AVERAGE((U$222+U$215-U$333)/SUM(U$208,U$215,U$222,-U$251,-U$333),(V$222+V$215-V$333)/SUM(V$208,V$215,V$222,-V$251,-V$333),(W$222+W$215-W$333)/SUM(W$208,W$215,W$222,-W$251,-W$333)),(W$222+W$215-W$333)/SUM(W$208,W$215,W$222,-W$251,-W$333))*(X$332-X$261-SUM(X$267:X$270,X$273)))</f>
        <v>78.278416993118242</v>
      </c>
    </row>
    <row r="223" spans="1:24" x14ac:dyDescent="0.25">
      <c r="A223" s="11" t="s">
        <v>707</v>
      </c>
      <c r="B223" s="10" t="str">
        <f>$B$38</f>
        <v>From Fiscal Forecasts</v>
      </c>
      <c r="D223" s="35">
        <f>'Fiscal Forecasts'!D$271</f>
        <v>22.132999999999999</v>
      </c>
      <c r="E223" s="35">
        <f>'Fiscal Forecasts'!E$271</f>
        <v>25.504999999999999</v>
      </c>
      <c r="F223" s="35">
        <f>'Fiscal Forecasts'!F$271</f>
        <v>25.257000000000001</v>
      </c>
      <c r="G223" s="35">
        <f>'Fiscal Forecasts'!G$271</f>
        <v>27.652000000000001</v>
      </c>
      <c r="H223" s="35">
        <f>'Fiscal Forecasts'!H$271</f>
        <v>33.918999999999997</v>
      </c>
      <c r="I223" s="35">
        <f>'Fiscal Forecasts'!I$271</f>
        <v>34.594999999999999</v>
      </c>
      <c r="J223" s="17">
        <f>'Fiscal Forecasts'!J$271</f>
        <v>35.579000000000001</v>
      </c>
      <c r="K223" s="17">
        <f>'Fiscal Forecasts'!K$271</f>
        <v>34.938000000000002</v>
      </c>
      <c r="L223" s="17">
        <f>'Fiscal Forecasts'!L$271</f>
        <v>36.030999999999999</v>
      </c>
      <c r="M223" s="17">
        <f>'Fiscal Forecasts'!M$271</f>
        <v>34.314</v>
      </c>
      <c r="N223" s="17">
        <f>'Fiscal Forecasts'!N$271</f>
        <v>34.192999999999998</v>
      </c>
      <c r="O223" s="16">
        <f ca="1">SUM(-O$216,IF(O$6=OFFSET(Assumptions!$B$8,0,$C$1),AVERAGE(SUM(L$216,L$223)/SUM(L$209,-(L$252-L$251),L$216,L$223),SUM(M$216,M$223)/SUM(M$209,-(M$252-M$251),M$216,M$223),SUM(N$216,N$223)/SUM(N$209,-(N$252-N$251),N$216,N$223)),SUM(N$216,N$223)/SUM(N$209,-(N$252-N$251),N$216,N$223))*SUM(O$198-O$238,O$262,O$275,O$293,O$335,-(O$252-O$251)))</f>
        <v>34.875994127349635</v>
      </c>
      <c r="P223" s="16">
        <f ca="1">SUM(-P$216,IF(P$6=OFFSET(Assumptions!$B$8,0,$C$1),AVERAGE(SUM(M$216,M$223)/SUM(M$209,-(M$252-M$251),M$216,M$223),SUM(N$216,N$223)/SUM(N$209,-(N$252-N$251),N$216,N$223),SUM(O$216,O$223)/SUM(O$209,-(O$252-O$251),O$216,O$223)),SUM(O$216,O$223)/SUM(O$209,-(O$252-O$251),O$216,O$223))*SUM(P$198-P$238,P$262,P$275,P$293,P$335,-(P$252-P$251)))</f>
        <v>35.067801858918152</v>
      </c>
      <c r="Q223" s="16">
        <f ca="1">SUM(-Q$216,IF(Q$6=OFFSET(Assumptions!$B$8,0,$C$1),AVERAGE(SUM(N$216,N$223)/SUM(N$209,-(N$252-N$251),N$216,N$223),SUM(O$216,O$223)/SUM(O$209,-(O$252-O$251),O$216,O$223),SUM(P$216,P$223)/SUM(P$209,-(P$252-P$251),P$216,P$223)),SUM(P$216,P$223)/SUM(P$209,-(P$252-P$251),P$216,P$223))*SUM(Q$198-Q$238,Q$262,Q$275,Q$293,Q$335,-(Q$252-Q$251)))</f>
        <v>35.376768301419787</v>
      </c>
      <c r="R223" s="16">
        <f ca="1">SUM(-R$216,IF(R$6=OFFSET(Assumptions!$B$8,0,$C$1),AVERAGE(SUM(O$216,O$223)/SUM(O$209,-(O$252-O$251),O$216,O$223),SUM(P$216,P$223)/SUM(P$209,-(P$252-P$251),P$216,P$223),SUM(Q$216,Q$223)/SUM(Q$209,-(Q$252-Q$251),Q$216,Q$223)),SUM(Q$216,Q$223)/SUM(Q$209,-(Q$252-Q$251),Q$216,Q$223))*SUM(R$198-R$238,R$262,R$275,R$293,R$335,-(R$252-R$251)))</f>
        <v>35.71161770157714</v>
      </c>
      <c r="S223" s="16">
        <f ca="1">SUM(-S$216,IF(S$6=OFFSET(Assumptions!$B$8,0,$C$1),AVERAGE(SUM(P$216,P$223)/SUM(P$209,-(P$252-P$251),P$216,P$223),SUM(Q$216,Q$223)/SUM(Q$209,-(Q$252-Q$251),Q$216,Q$223),SUM(R$216,R$223)/SUM(R$209,-(R$252-R$251),R$216,R$223)),SUM(R$216,R$223)/SUM(R$209,-(R$252-R$251),R$216,R$223))*SUM(S$198-S$238,S$262,S$275,S$293,S$335,-(S$252-S$251)))</f>
        <v>36.052887861709287</v>
      </c>
      <c r="T223" s="16">
        <f ca="1">SUM(-T$216,IF(T$6=OFFSET(Assumptions!$B$8,0,$C$1),AVERAGE(SUM(Q$216,Q$223)/SUM(Q$209,-(Q$252-Q$251),Q$216,Q$223),SUM(R$216,R$223)/SUM(R$209,-(R$252-R$251),R$216,R$223),SUM(S$216,S$223)/SUM(S$209,-(S$252-S$251),S$216,S$223)),SUM(S$216,S$223)/SUM(S$209,-(S$252-S$251),S$216,S$223))*SUM(T$198-T$238,T$262,T$275,T$293,T$335,-(T$252-T$251)))</f>
        <v>36.397136650002203</v>
      </c>
      <c r="U223" s="16">
        <f ca="1">SUM(-U$216,IF(U$6=OFFSET(Assumptions!$B$8,0,$C$1),AVERAGE(SUM(R$216,R$223)/SUM(R$209,-(R$252-R$251),R$216,R$223),SUM(S$216,S$223)/SUM(S$209,-(S$252-S$251),S$216,S$223),SUM(T$216,T$223)/SUM(T$209,-(T$252-T$251),T$216,T$223)),SUM(T$216,T$223)/SUM(T$209,-(T$252-T$251),T$216,T$223))*SUM(U$198-U$238,U$262,U$275,U$293,U$335,-(U$252-U$251)))</f>
        <v>36.751854379364389</v>
      </c>
      <c r="V223" s="16">
        <f ca="1">SUM(-V$216,IF(V$6=OFFSET(Assumptions!$B$8,0,$C$1),AVERAGE(SUM(S$216,S$223)/SUM(S$209,-(S$252-S$251),S$216,S$223),SUM(T$216,T$223)/SUM(T$209,-(T$252-T$251),T$216,T$223),SUM(U$216,U$223)/SUM(U$209,-(U$252-U$251),U$216,U$223)),SUM(U$216,U$223)/SUM(U$209,-(U$252-U$251),U$216,U$223))*SUM(V$198-V$238,V$262,V$275,V$293,V$335,-(V$252-V$251)))</f>
        <v>37.111891448543901</v>
      </c>
      <c r="W223" s="16">
        <f ca="1">SUM(-W$216,IF(W$6=OFFSET(Assumptions!$B$8,0,$C$1),AVERAGE(SUM(T$216,T$223)/SUM(T$209,-(T$252-T$251),T$216,T$223),SUM(U$216,U$223)/SUM(U$209,-(U$252-U$251),U$216,U$223),SUM(V$216,V$223)/SUM(V$209,-(V$252-V$251),V$216,V$223)),SUM(V$216,V$223)/SUM(V$209,-(V$252-V$251),V$216,V$223))*SUM(W$198-W$238,W$262,W$275,W$293,W$335,-(W$252-W$251)))</f>
        <v>37.480204376671963</v>
      </c>
      <c r="X223" s="16">
        <f ca="1">SUM(-X$216,IF(X$6=OFFSET(Assumptions!$B$8,0,$C$1),AVERAGE(SUM(U$216,U$223)/SUM(U$209,-(U$252-U$251),U$216,U$223),SUM(V$216,V$223)/SUM(V$209,-(V$252-V$251),V$216,V$223),SUM(W$216,W$223)/SUM(W$209,-(W$252-W$251),W$216,W$223)),SUM(W$216,W$223)/SUM(W$209,-(W$252-W$251),W$216,W$223))*SUM(X$198-X$238,X$262,X$275,X$293,X$335,-(X$252-X$251)))</f>
        <v>37.858975210108994</v>
      </c>
    </row>
    <row r="224" spans="1:24" x14ac:dyDescent="0.25">
      <c r="A224" s="11" t="s">
        <v>904</v>
      </c>
      <c r="B224" s="10" t="str">
        <f>$B$38</f>
        <v>From Fiscal Forecasts</v>
      </c>
      <c r="D224" s="35">
        <f>'Fiscal Forecasts'!D$272</f>
        <v>9.4740000000000002</v>
      </c>
      <c r="E224" s="35">
        <f>'Fiscal Forecasts'!E$272</f>
        <v>12.164999999999999</v>
      </c>
      <c r="F224" s="35">
        <f>'Fiscal Forecasts'!F$272</f>
        <v>11.702999999999999</v>
      </c>
      <c r="G224" s="35">
        <f>'Fiscal Forecasts'!G$272</f>
        <v>9.8040000000000003</v>
      </c>
      <c r="H224" s="35">
        <f>'Fiscal Forecasts'!H$272</f>
        <v>12.132</v>
      </c>
      <c r="I224" s="35">
        <f>'Fiscal Forecasts'!I$272</f>
        <v>16.550999999999998</v>
      </c>
      <c r="J224" s="17">
        <f>'Fiscal Forecasts'!J$272</f>
        <v>16.504000000000001</v>
      </c>
      <c r="K224" s="17">
        <f>'Fiscal Forecasts'!K$272</f>
        <v>16.885999999999999</v>
      </c>
      <c r="L224" s="17">
        <f>'Fiscal Forecasts'!L$272</f>
        <v>16.931999999999999</v>
      </c>
      <c r="M224" s="17">
        <f>'Fiscal Forecasts'!M$272</f>
        <v>17.684000000000001</v>
      </c>
      <c r="N224" s="17">
        <f>'Fiscal Forecasts'!N$272</f>
        <v>17.927</v>
      </c>
      <c r="O224" s="16">
        <f ca="1">SUM(-O$217,IF(O$6=OFFSET(Assumptions!$B$8,0,$C$1),AVERAGE(SUM(L$217,L$224)/SUM(L$210,L$217,L$224),SUM(M$217,M$224)/SUM(M$210,M$217,M$224),SUM(N$217,N$224)/SUM(N$210,N$217,N$224)),SUM(N$217,N$224)/SUM(N$210,N$217,N$224))*SUM(O$294,O$336-O$239))</f>
        <v>18.454639259170396</v>
      </c>
      <c r="P224" s="16">
        <f ca="1">SUM(-P$217,IF(P$6=OFFSET(Assumptions!$B$8,0,$C$1),AVERAGE(SUM(M$217,M$224)/SUM(M$210,M$217,M$224),SUM(N$217,N$224)/SUM(N$210,N$217,N$224),SUM(O$217,O$224)/SUM(O$210,O$217,O$224)),SUM(O$217,O$224)/SUM(O$210,O$217,O$224))*SUM(P$294,P$336-P$239))</f>
        <v>18.970647486823079</v>
      </c>
      <c r="Q224" s="16">
        <f ca="1">SUM(-Q$217,IF(Q$6=OFFSET(Assumptions!$B$8,0,$C$1),AVERAGE(SUM(N$217,N$224)/SUM(N$210,N$217,N$224),SUM(O$217,O$224)/SUM(O$210,O$217,O$224),SUM(P$217,P$224)/SUM(P$210,P$217,P$224)),SUM(P$217,P$224)/SUM(P$210,P$217,P$224))*SUM(Q$294,Q$336-Q$239))</f>
        <v>19.494637023323449</v>
      </c>
      <c r="R224" s="16">
        <f ca="1">SUM(-R$217,IF(R$6=OFFSET(Assumptions!$B$8,0,$C$1),AVERAGE(SUM(O$217,O$224)/SUM(O$210,O$217,O$224),SUM(P$217,P$224)/SUM(P$210,P$217,P$224),SUM(Q$217,Q$224)/SUM(Q$210,Q$217,Q$224)),SUM(Q$217,Q$224)/SUM(Q$210,Q$217,Q$224))*SUM(R$294,R$336-R$239))</f>
        <v>20.023746378567296</v>
      </c>
      <c r="S224" s="16">
        <f ca="1">SUM(-S$217,IF(S$6=OFFSET(Assumptions!$B$8,0,$C$1),AVERAGE(SUM(P$217,P$224)/SUM(P$210,P$217,P$224),SUM(Q$217,Q$224)/SUM(Q$210,Q$217,Q$224),SUM(R$217,R$224)/SUM(R$210,R$217,R$224)),SUM(R$217,R$224)/SUM(R$210,R$217,R$224))*SUM(S$294,S$336-S$239))</f>
        <v>20.559758340301368</v>
      </c>
      <c r="T224" s="16">
        <f ca="1">SUM(-T$217,IF(T$6=OFFSET(Assumptions!$B$8,0,$C$1),AVERAGE(SUM(Q$217,Q$224)/SUM(Q$210,Q$217,Q$224),SUM(R$217,R$224)/SUM(R$210,R$217,R$224),SUM(S$217,S$224)/SUM(S$210,S$217,S$224)),SUM(S$217,S$224)/SUM(S$210,S$217,S$224))*SUM(T$294,T$336-T$239))</f>
        <v>21.102028614164311</v>
      </c>
      <c r="U224" s="16">
        <f ca="1">SUM(-U$217,IF(U$6=OFFSET(Assumptions!$B$8,0,$C$1),AVERAGE(SUM(R$217,R$224)/SUM(R$210,R$217,R$224),SUM(S$217,S$224)/SUM(S$210,S$217,S$224),SUM(T$217,T$224)/SUM(T$210,T$217,T$224)),SUM(T$217,T$224)/SUM(T$210,T$217,T$224))*SUM(U$294,U$336-U$239))</f>
        <v>21.654844349584405</v>
      </c>
      <c r="V224" s="16">
        <f ca="1">SUM(-V$217,IF(V$6=OFFSET(Assumptions!$B$8,0,$C$1),AVERAGE(SUM(S$217,S$224)/SUM(S$210,S$217,S$224),SUM(T$217,T$224)/SUM(T$210,T$217,T$224),SUM(U$217,U$224)/SUM(U$210,U$217,U$224)),SUM(U$217,U$224)/SUM(U$210,U$217,U$224))*SUM(V$294,V$336-V$239))</f>
        <v>22.216683595584229</v>
      </c>
      <c r="W224" s="16">
        <f ca="1">SUM(-W$217,IF(W$6=OFFSET(Assumptions!$B$8,0,$C$1),AVERAGE(SUM(T$217,T$224)/SUM(T$210,T$217,T$224),SUM(U$217,U$224)/SUM(U$210,U$217,U$224),SUM(V$217,V$224)/SUM(V$210,V$217,V$224)),SUM(V$217,V$224)/SUM(V$210,V$217,V$224))*SUM(W$294,W$336-W$239))</f>
        <v>22.782802895528249</v>
      </c>
      <c r="X224" s="16">
        <f ca="1">SUM(-X$217,IF(X$6=OFFSET(Assumptions!$B$8,0,$C$1),AVERAGE(SUM(U$217,U$224)/SUM(U$210,U$217,U$224),SUM(V$217,V$224)/SUM(V$210,V$217,V$224),SUM(W$217,W$224)/SUM(W$210,W$217,W$224)),SUM(W$217,W$224)/SUM(W$210,W$217,W$224))*SUM(X$294,X$336-X$239))</f>
        <v>23.356840467759515</v>
      </c>
    </row>
    <row r="225" spans="1:24" x14ac:dyDescent="0.25">
      <c r="A225" s="11" t="s">
        <v>866</v>
      </c>
      <c r="B225" s="10" t="str">
        <f>$B$38</f>
        <v>From Fiscal Forecasts</v>
      </c>
      <c r="D225" s="35">
        <f>'Fiscal Forecasts'!D$273</f>
        <v>-33.872999999999998</v>
      </c>
      <c r="E225" s="35">
        <f>'Fiscal Forecasts'!E$273</f>
        <v>-36.92</v>
      </c>
      <c r="F225" s="35">
        <f>'Fiscal Forecasts'!F$273</f>
        <v>-41.241999999999997</v>
      </c>
      <c r="G225" s="35">
        <f>'Fiscal Forecasts'!G$273</f>
        <v>-44.725999999999999</v>
      </c>
      <c r="H225" s="35">
        <f>'Fiscal Forecasts'!H$273</f>
        <v>-50.067</v>
      </c>
      <c r="I225" s="35">
        <f>'Fiscal Forecasts'!I$273</f>
        <v>-53.246000000000002</v>
      </c>
      <c r="J225" s="17">
        <f>'Fiscal Forecasts'!J$273</f>
        <v>-54.987000000000002</v>
      </c>
      <c r="K225" s="17">
        <f>'Fiscal Forecasts'!K$273</f>
        <v>-56.061</v>
      </c>
      <c r="L225" s="17">
        <f>'Fiscal Forecasts'!L$273</f>
        <v>-57.274999999999999</v>
      </c>
      <c r="M225" s="17">
        <f>'Fiscal Forecasts'!M$273</f>
        <v>-56.704999999999998</v>
      </c>
      <c r="N225" s="17">
        <f>'Fiscal Forecasts'!N$273</f>
        <v>-57.371000000000002</v>
      </c>
      <c r="O225" s="16">
        <f ca="1">IF(O$6=OFFSET(Assumptions!$B$8,0,$C$1),AVERAGE(L$225/SUM(L$211,L$225),M$225/SUM(M$211,M$225),N$225/SUM(N$211,N$225)),N$225/SUM(N$211,N$225))*SUM(O$199,O$263,O$276,O$295,O$337)</f>
        <v>-59.505663737415176</v>
      </c>
      <c r="P225" s="16">
        <f ca="1">IF(P$6=OFFSET(Assumptions!$B$8,0,$C$1),AVERAGE(M$225/SUM(M$211,M$225),N$225/SUM(N$211,N$225),O$225/SUM(O$211,O$225)),O$225/SUM(O$211,O$225))*SUM(P$199,P$263,P$276,P$295,P$337)</f>
        <v>-59.819297431622701</v>
      </c>
      <c r="Q225" s="16">
        <f ca="1">IF(Q$6=OFFSET(Assumptions!$B$8,0,$C$1),AVERAGE(N$225/SUM(N$211,N$225),O$225/SUM(O$211,O$225),P$225/SUM(P$211,P$225)),P$225/SUM(P$211,P$225))*SUM(Q$199,Q$263,Q$276,Q$295,Q$337)</f>
        <v>-60.342500942559667</v>
      </c>
      <c r="R225" s="16">
        <f ca="1">IF(R$6=OFFSET(Assumptions!$B$8,0,$C$1),AVERAGE(O$225/SUM(O$211,O$225),P$225/SUM(P$211,P$225),Q$225/SUM(Q$211,Q$225)),Q$225/SUM(Q$211,Q$225))*SUM(R$199,R$263,R$276,R$295,R$337)</f>
        <v>-60.926092366718187</v>
      </c>
      <c r="S225" s="16">
        <f ca="1">IF(S$6=OFFSET(Assumptions!$B$8,0,$C$1),AVERAGE(P$225/SUM(P$211,P$225),Q$225/SUM(Q$211,Q$225),R$225/SUM(R$211,R$225)),R$225/SUM(R$211,R$225))*SUM(S$199,S$263,S$276,S$295,S$337)</f>
        <v>-61.537640160569723</v>
      </c>
      <c r="T225" s="16">
        <f ca="1">IF(T$6=OFFSET(Assumptions!$B$8,0,$C$1),AVERAGE(Q$225/SUM(Q$211,Q$225),R$225/SUM(R$211,R$225),S$225/SUM(S$211,S$225)),S$225/SUM(S$211,S$225))*SUM(T$199,T$263,T$276,T$295,T$337)</f>
        <v>-62.178417956392835</v>
      </c>
      <c r="U225" s="16">
        <f ca="1">IF(U$6=OFFSET(Assumptions!$B$8,0,$C$1),AVERAGE(R$225/SUM(R$211,R$225),S$225/SUM(S$211,S$225),T$225/SUM(T$211,T$225)),T$225/SUM(T$211,T$225))*SUM(U$199,U$263,U$276,U$295,U$337)</f>
        <v>-62.849028181244414</v>
      </c>
      <c r="V225" s="16">
        <f ca="1">IF(V$6=OFFSET(Assumptions!$B$8,0,$C$1),AVERAGE(S$225/SUM(S$211,S$225),T$225/SUM(T$211,T$225),U$225/SUM(U$211,U$225)),U$225/SUM(U$211,U$225))*SUM(V$199,V$263,V$276,V$295,V$337)</f>
        <v>-63.37163717389366</v>
      </c>
      <c r="W225" s="16">
        <f ca="1">IF(W$6=OFFSET(Assumptions!$B$8,0,$C$1),AVERAGE(T$225/SUM(T$211,T$225),U$225/SUM(U$211,U$225),V$225/SUM(V$211,V$225)),V$225/SUM(V$211,V$225))*SUM(W$199,W$263,W$276,W$295,W$337)</f>
        <v>-63.841922634933439</v>
      </c>
      <c r="X225" s="16">
        <f ca="1">IF(X$6=OFFSET(Assumptions!$B$8,0,$C$1),AVERAGE(U$225/SUM(U$211,U$225),V$225/SUM(V$211,V$225),W$225/SUM(W$211,W$225)),W$225/SUM(W$211,W$225))*SUM(X$199,X$263,X$276,X$295,X$337)</f>
        <v>-64.33253850106739</v>
      </c>
    </row>
    <row r="226" spans="1:24" x14ac:dyDescent="0.25">
      <c r="A226" s="9" t="s">
        <v>965</v>
      </c>
      <c r="D226" s="65">
        <f t="shared" ref="D226:I226" si="151">SUM(D$222:D$225)</f>
        <v>42.693000000000005</v>
      </c>
      <c r="E226" s="65">
        <f t="shared" si="151"/>
        <v>52.582999999999984</v>
      </c>
      <c r="F226" s="65">
        <f t="shared" si="151"/>
        <v>53.802000000000014</v>
      </c>
      <c r="G226" s="65">
        <f t="shared" si="151"/>
        <v>58.27300000000001</v>
      </c>
      <c r="H226" s="65">
        <f t="shared" si="151"/>
        <v>64.134000000000015</v>
      </c>
      <c r="I226" s="65">
        <f t="shared" si="151"/>
        <v>70.62</v>
      </c>
      <c r="J226" s="66">
        <f t="shared" ref="J226:X226" ca="1" si="152">SUM(J$222:J$225)</f>
        <v>72.674000000000007</v>
      </c>
      <c r="K226" s="66">
        <f t="shared" ca="1" si="152"/>
        <v>72.90100000000001</v>
      </c>
      <c r="L226" s="66">
        <f t="shared" ca="1" si="152"/>
        <v>71.614999999999981</v>
      </c>
      <c r="M226" s="66">
        <f t="shared" ca="1" si="152"/>
        <v>69.317999999999998</v>
      </c>
      <c r="N226" s="66">
        <f t="shared" ca="1" si="152"/>
        <v>69.342999999999989</v>
      </c>
      <c r="O226" s="67">
        <f t="shared" ca="1" si="152"/>
        <v>69.369274578676453</v>
      </c>
      <c r="P226" s="67">
        <f t="shared" ca="1" si="152"/>
        <v>69.853925079126597</v>
      </c>
      <c r="Q226" s="67">
        <f t="shared" ca="1" si="152"/>
        <v>70.447389111557385</v>
      </c>
      <c r="R226" s="67">
        <f t="shared" ca="1" si="152"/>
        <v>71.050318369537649</v>
      </c>
      <c r="S226" s="67">
        <f t="shared" ca="1" si="152"/>
        <v>71.64335638329014</v>
      </c>
      <c r="T226" s="67">
        <f t="shared" ca="1" si="152"/>
        <v>72.221726039873388</v>
      </c>
      <c r="U226" s="67">
        <f t="shared" ca="1" si="152"/>
        <v>72.794875422366374</v>
      </c>
      <c r="V226" s="67">
        <f t="shared" ca="1" si="152"/>
        <v>73.534451951077116</v>
      </c>
      <c r="W226" s="67">
        <f t="shared" ca="1" si="152"/>
        <v>74.345175665700594</v>
      </c>
      <c r="X226" s="67">
        <f t="shared" ca="1" si="152"/>
        <v>75.161694169919357</v>
      </c>
    </row>
    <row r="227" spans="1:24" x14ac:dyDescent="0.25">
      <c r="A227" s="9"/>
    </row>
    <row r="228" spans="1:24" x14ac:dyDescent="0.25">
      <c r="A228" s="9" t="s">
        <v>893</v>
      </c>
    </row>
    <row r="229" spans="1:24" x14ac:dyDescent="0.25">
      <c r="A229" s="9" t="s">
        <v>1102</v>
      </c>
      <c r="B229" s="10" t="str">
        <f>$B$38</f>
        <v>From Fiscal Forecasts</v>
      </c>
      <c r="D229" s="42">
        <f>'Fiscal Forecasts'!D$173</f>
        <v>3.69</v>
      </c>
      <c r="E229" s="42">
        <f>'Fiscal Forecasts'!E$173</f>
        <v>3.2280000000000002</v>
      </c>
      <c r="F229" s="42">
        <f>'Fiscal Forecasts'!F$173</f>
        <v>1.9179999999999999</v>
      </c>
      <c r="G229" s="42">
        <f>'Fiscal Forecasts'!G$173</f>
        <v>2.8839999999999999</v>
      </c>
      <c r="H229" s="42">
        <f>'Fiscal Forecasts'!H$173</f>
        <v>6.569</v>
      </c>
      <c r="I229" s="42">
        <f>'Fiscal Forecasts'!I$173</f>
        <v>8.9429999999999996</v>
      </c>
      <c r="J229" s="43">
        <f>'Fiscal Forecasts'!J$173</f>
        <v>8.8390000000000004</v>
      </c>
      <c r="K229" s="43">
        <f>'Fiscal Forecasts'!K$173</f>
        <v>9.5129999999999999</v>
      </c>
      <c r="L229" s="43">
        <f>'Fiscal Forecasts'!L$173</f>
        <v>10.558999999999999</v>
      </c>
      <c r="M229" s="43">
        <f>'Fiscal Forecasts'!M$173</f>
        <v>11.769</v>
      </c>
      <c r="N229" s="43">
        <f>'Fiscal Forecasts'!N$173</f>
        <v>12.673999999999999</v>
      </c>
      <c r="O229" s="47">
        <f t="shared" ref="O229:X229" ca="1" si="153">O$495</f>
        <v>12.980800432315222</v>
      </c>
      <c r="P229" s="47">
        <f t="shared" ca="1" si="153"/>
        <v>13.090310943283994</v>
      </c>
      <c r="Q229" s="47">
        <f t="shared" ca="1" si="153"/>
        <v>13.195249015320956</v>
      </c>
      <c r="R229" s="47">
        <f t="shared" ca="1" si="153"/>
        <v>13.230357020783462</v>
      </c>
      <c r="S229" s="47">
        <f t="shared" ca="1" si="153"/>
        <v>13.194527284340602</v>
      </c>
      <c r="T229" s="47">
        <f t="shared" ca="1" si="153"/>
        <v>13.037809134856799</v>
      </c>
      <c r="U229" s="47">
        <f t="shared" ca="1" si="153"/>
        <v>12.803060829163035</v>
      </c>
      <c r="V229" s="47">
        <f t="shared" ca="1" si="153"/>
        <v>12.488656357506748</v>
      </c>
      <c r="W229" s="47">
        <f t="shared" ca="1" si="153"/>
        <v>12.092861758300087</v>
      </c>
      <c r="X229" s="47">
        <f t="shared" ca="1" si="153"/>
        <v>11.613078148015521</v>
      </c>
    </row>
    <row r="230" spans="1:24" x14ac:dyDescent="0.25">
      <c r="A230" s="11" t="s">
        <v>707</v>
      </c>
      <c r="B230" s="10" t="str">
        <f>$B$38</f>
        <v>From Fiscal Forecasts</v>
      </c>
      <c r="D230" s="35">
        <f>'Fiscal Forecasts'!D$276</f>
        <v>0.11700000000000001</v>
      </c>
      <c r="E230" s="35">
        <f>'Fiscal Forecasts'!E$276</f>
        <v>0.16400000000000001</v>
      </c>
      <c r="F230" s="35">
        <f>'Fiscal Forecasts'!F$276</f>
        <v>0.218</v>
      </c>
      <c r="G230" s="35">
        <f>'Fiscal Forecasts'!G$276</f>
        <v>0.30099999999999999</v>
      </c>
      <c r="H230" s="35">
        <f>'Fiscal Forecasts'!H$276</f>
        <v>0.872</v>
      </c>
      <c r="I230" s="35">
        <f>'Fiscal Forecasts'!I$276</f>
        <v>1.9690000000000001</v>
      </c>
      <c r="J230" s="17">
        <f>'Fiscal Forecasts'!J$276</f>
        <v>2.3170000000000002</v>
      </c>
      <c r="K230" s="17">
        <f>'Fiscal Forecasts'!K$276</f>
        <v>2.4119999999999999</v>
      </c>
      <c r="L230" s="17">
        <f>'Fiscal Forecasts'!L$276</f>
        <v>2.4159999999999999</v>
      </c>
      <c r="M230" s="17">
        <f>'Fiscal Forecasts'!M$276</f>
        <v>2.431</v>
      </c>
      <c r="N230" s="17">
        <f>'Fiscal Forecasts'!N$276</f>
        <v>2.6080000000000001</v>
      </c>
      <c r="O230" s="16">
        <f ca="1">IF(O$6=OFFSET(Assumptions!$B$8,0,$C$1),AVERAGE(L$230/SUM(L$230:L$232),M$230/SUM(M$230:M$232),N$230/SUM(N$230:N$232)),N$230/SUM(N$230:N$232))*(O$96-O$495)</f>
        <v>3.3086925930142201</v>
      </c>
      <c r="P230" s="16">
        <f ca="1">IF(P$6=OFFSET(Assumptions!$B$8,0,$C$1),AVERAGE(M$230/SUM(M$230:M$232),N$230/SUM(N$230:N$232),O$230/SUM(O$230:O$232)),O$230/SUM(O$230:O$232))*(P$96-P$495)</f>
        <v>3.53090384532103</v>
      </c>
      <c r="Q230" s="16">
        <f ca="1">IF(Q$6=OFFSET(Assumptions!$B$8,0,$C$1),AVERAGE(N$230/SUM(N$230:N$232),O$230/SUM(O$230:O$232),P$230/SUM(P$230:P$232)),P$230/SUM(P$230:P$232))*(Q$96-Q$495)</f>
        <v>3.6588916938265057</v>
      </c>
      <c r="R230" s="16">
        <f ca="1">IF(R$6=OFFSET(Assumptions!$B$8,0,$C$1),AVERAGE(O$230/SUM(O$230:O$232),P$230/SUM(P$230:P$232),Q$230/SUM(Q$230:Q$232)),Q$230/SUM(Q$230:Q$232))*(R$96-R$495)</f>
        <v>3.738940330213556</v>
      </c>
      <c r="S230" s="16">
        <f ca="1">IF(S$6=OFFSET(Assumptions!$B$8,0,$C$1),AVERAGE(P$230/SUM(P$230:P$232),Q$230/SUM(Q$230:Q$232),R$230/SUM(R$230:R$232)),R$230/SUM(R$230:R$232))*(S$96-S$495)</f>
        <v>3.767214808292461</v>
      </c>
      <c r="T230" s="16">
        <f ca="1">IF(T$6=OFFSET(Assumptions!$B$8,0,$C$1),AVERAGE(Q$230/SUM(Q$230:Q$232),R$230/SUM(R$230:R$232),S$230/SUM(S$230:S$232)),S$230/SUM(S$230:S$232))*(T$96-T$495)</f>
        <v>3.7232924973892967</v>
      </c>
      <c r="U230" s="16">
        <f ca="1">IF(U$6=OFFSET(Assumptions!$B$8,0,$C$1),AVERAGE(R$230/SUM(R$230:R$232),S$230/SUM(S$230:S$232),T$230/SUM(T$230:T$232)),T$230/SUM(T$230:T$232))*(U$96-U$495)</f>
        <v>3.6136877276722372</v>
      </c>
      <c r="V230" s="16">
        <f ca="1">IF(V$6=OFFSET(Assumptions!$B$8,0,$C$1),AVERAGE(S$230/SUM(S$230:S$232),T$230/SUM(T$230:T$232),U$230/SUM(U$230:U$232)),U$230/SUM(U$230:U$232))*(V$96-V$495)</f>
        <v>3.442883524700997</v>
      </c>
      <c r="W230" s="16">
        <f ca="1">IF(W$6=OFFSET(Assumptions!$B$8,0,$C$1),AVERAGE(T$230/SUM(T$230:T$232),U$230/SUM(U$230:U$232),V$230/SUM(V$230:V$232)),V$230/SUM(V$230:V$232))*(W$96-W$495)</f>
        <v>3.2225236816442138</v>
      </c>
      <c r="X230" s="16">
        <f ca="1">IF(X$6=OFFSET(Assumptions!$B$8,0,$C$1),AVERAGE(U$230/SUM(U$230:U$232),V$230/SUM(V$230:V$232),W$230/SUM(W$230:W$232)),W$230/SUM(W$230:W$232))*(X$96-X$495)</f>
        <v>2.9596139972264806</v>
      </c>
    </row>
    <row r="231" spans="1:24" x14ac:dyDescent="0.25">
      <c r="A231" s="11" t="s">
        <v>904</v>
      </c>
      <c r="B231" s="10" t="str">
        <f>$B$38</f>
        <v>From Fiscal Forecasts</v>
      </c>
      <c r="D231" s="35">
        <f>'Fiscal Forecasts'!D$277</f>
        <v>1.0449999999999999</v>
      </c>
      <c r="E231" s="35">
        <f>'Fiscal Forecasts'!E$277</f>
        <v>0.90100000000000002</v>
      </c>
      <c r="F231" s="35">
        <f>'Fiscal Forecasts'!F$277</f>
        <v>0.59199999999999997</v>
      </c>
      <c r="G231" s="35">
        <f>'Fiscal Forecasts'!G$277</f>
        <v>0.66</v>
      </c>
      <c r="H231" s="35">
        <f>'Fiscal Forecasts'!H$277</f>
        <v>0.68200000000000005</v>
      </c>
      <c r="I231" s="35">
        <f>'Fiscal Forecasts'!I$277</f>
        <v>0.57999999999999996</v>
      </c>
      <c r="J231" s="17">
        <f>'Fiscal Forecasts'!J$277</f>
        <v>0.59499999999999997</v>
      </c>
      <c r="K231" s="17">
        <f>'Fiscal Forecasts'!K$277</f>
        <v>0.68700000000000006</v>
      </c>
      <c r="L231" s="17">
        <f>'Fiscal Forecasts'!L$277</f>
        <v>0.78</v>
      </c>
      <c r="M231" s="17">
        <f>'Fiscal Forecasts'!M$277</f>
        <v>0.89900000000000002</v>
      </c>
      <c r="N231" s="17">
        <f>'Fiscal Forecasts'!N$277</f>
        <v>0.99299999999999999</v>
      </c>
      <c r="O231" s="16">
        <f ca="1">IF(O$6=OFFSET(Assumptions!$B$8,0,$C$1),AVERAGE(L$231/SUM(L$230:L$232),M$231/SUM(M$230:M$232),N$231/SUM(N$230:N$232)),N$231/SUM(N$230:N$232))*(O$96-O$495)</f>
        <v>1.1832956045755458</v>
      </c>
      <c r="P231" s="16">
        <f ca="1">IF(P$6=OFFSET(Assumptions!$B$8,0,$C$1),AVERAGE(M$231/SUM(M$230:M$232),N$231/SUM(N$230:N$232),O$231/SUM(O$230:O$232)),O$231/SUM(O$230:O$232))*(P$96-P$495)</f>
        <v>1.262765543456249</v>
      </c>
      <c r="Q231" s="16">
        <f ca="1">IF(Q$6=OFFSET(Assumptions!$B$8,0,$C$1),AVERAGE(N$231/SUM(N$230:N$232),O$231/SUM(O$230:O$232),P$231/SUM(P$230:P$232)),P$231/SUM(P$230:P$232))*(Q$96-Q$495)</f>
        <v>1.3085381422450781</v>
      </c>
      <c r="R231" s="16">
        <f ca="1">IF(R$6=OFFSET(Assumptions!$B$8,0,$C$1),AVERAGE(O$231/SUM(O$230:O$232),P$231/SUM(P$230:P$232),Q$231/SUM(Q$230:Q$232)),Q$231/SUM(Q$230:Q$232))*(R$96-R$495)</f>
        <v>1.3371661265398571</v>
      </c>
      <c r="S231" s="16">
        <f ca="1">IF(S$6=OFFSET(Assumptions!$B$8,0,$C$1),AVERAGE(P$231/SUM(P$230:P$232),Q$231/SUM(Q$230:Q$232),R$231/SUM(R$230:R$232)),R$231/SUM(R$230:R$232))*(S$96-S$495)</f>
        <v>1.3472779954100795</v>
      </c>
      <c r="T231" s="16">
        <f ca="1">IF(T$6=OFFSET(Assumptions!$B$8,0,$C$1),AVERAGE(Q$231/SUM(Q$230:Q$232),R$231/SUM(R$230:R$232),S$231/SUM(S$230:S$232)),S$231/SUM(S$230:S$232))*(T$96-T$495)</f>
        <v>1.3315699548552551</v>
      </c>
      <c r="U231" s="16">
        <f ca="1">IF(U$6=OFFSET(Assumptions!$B$8,0,$C$1),AVERAGE(R$231/SUM(R$230:R$232),S$231/SUM(S$230:S$232),T$231/SUM(T$230:T$232)),T$231/SUM(T$230:T$232))*(U$96-U$495)</f>
        <v>1.2923717402732957</v>
      </c>
      <c r="V231" s="16">
        <f ca="1">IF(V$6=OFFSET(Assumptions!$B$8,0,$C$1),AVERAGE(S$231/SUM(S$230:S$232),T$231/SUM(T$230:T$232),U$231/SUM(U$230:U$232)),U$231/SUM(U$230:U$232))*(V$96-V$495)</f>
        <v>1.2312866267618061</v>
      </c>
      <c r="W231" s="16">
        <f ca="1">IF(W$6=OFFSET(Assumptions!$B$8,0,$C$1),AVERAGE(T$231/SUM(T$230:T$232),U$231/SUM(U$230:U$232),V$231/SUM(V$230:V$232)),V$231/SUM(V$230:V$232))*(W$96-W$495)</f>
        <v>1.1524788117763396</v>
      </c>
      <c r="X231" s="16">
        <f ca="1">IF(X$6=OFFSET(Assumptions!$B$8,0,$C$1),AVERAGE(U$231/SUM(U$230:U$232),V$231/SUM(V$230:V$232),W$231/SUM(W$230:W$232)),W$231/SUM(W$230:W$232))*(X$96-X$495)</f>
        <v>1.058453795784015</v>
      </c>
    </row>
    <row r="232" spans="1:24" x14ac:dyDescent="0.25">
      <c r="A232" s="11" t="s">
        <v>866</v>
      </c>
      <c r="B232" s="10" t="str">
        <f>$B$38</f>
        <v>From Fiscal Forecasts</v>
      </c>
      <c r="D232" s="35">
        <f>'Fiscal Forecasts'!D$278</f>
        <v>-0.55400000000000005</v>
      </c>
      <c r="E232" s="35">
        <f>'Fiscal Forecasts'!E$278</f>
        <v>-0.53900000000000003</v>
      </c>
      <c r="F232" s="35">
        <f>'Fiscal Forecasts'!F$278</f>
        <v>-0.45600000000000002</v>
      </c>
      <c r="G232" s="35">
        <f>'Fiscal Forecasts'!G$278</f>
        <v>-0.496</v>
      </c>
      <c r="H232" s="35">
        <f>'Fiscal Forecasts'!H$278</f>
        <v>-0.67500000000000004</v>
      </c>
      <c r="I232" s="35">
        <f>'Fiscal Forecasts'!I$278</f>
        <v>-1.1179999999999999</v>
      </c>
      <c r="J232" s="17">
        <f>'Fiscal Forecasts'!J$278</f>
        <v>-1.4390000000000001</v>
      </c>
      <c r="K232" s="17">
        <f>'Fiscal Forecasts'!K$278</f>
        <v>-1.5389999999999999</v>
      </c>
      <c r="L232" s="17">
        <f>'Fiscal Forecasts'!L$278</f>
        <v>-1.633</v>
      </c>
      <c r="M232" s="17">
        <f>'Fiscal Forecasts'!M$278</f>
        <v>-1.7569999999999999</v>
      </c>
      <c r="N232" s="17">
        <f>'Fiscal Forecasts'!N$278</f>
        <v>-1.8759999999999999</v>
      </c>
      <c r="O232" s="16">
        <f ca="1">IF(O$6=OFFSET(Assumptions!$B$8,0,$C$1),AVERAGE(L$232/SUM(L$230:L$232),M$232/SUM(M$230:M$232),N$232/SUM(N$230:N$232)),N$232/SUM(N$230:N$232))*(O$96-O$495)</f>
        <v>-2.3355909094431908</v>
      </c>
      <c r="P232" s="16">
        <f ca="1">IF(P$6=OFFSET(Assumptions!$B$8,0,$C$1),AVERAGE(M$232/SUM(M$230:M$232),N$232/SUM(N$230:N$232),O$232/SUM(O$230:O$232)),O$232/SUM(O$230:O$232))*(P$96-P$495)</f>
        <v>-2.4924488121566513</v>
      </c>
      <c r="Q232" s="16">
        <f ca="1">IF(Q$6=OFFSET(Assumptions!$B$8,0,$C$1),AVERAGE(N$232/SUM(N$230:N$232),O$232/SUM(O$230:O$232),P$232/SUM(P$230:P$232)),P$232/SUM(P$230:P$232))*(Q$96-Q$495)</f>
        <v>-2.5827948467564563</v>
      </c>
      <c r="R232" s="16">
        <f ca="1">IF(R$6=OFFSET(Assumptions!$B$8,0,$C$1),AVERAGE(O$232/SUM(O$230:O$232),P$232/SUM(P$230:P$232),Q$232/SUM(Q$230:Q$232)),Q$232/SUM(Q$230:Q$232))*(R$96-R$495)</f>
        <v>-2.6393008116362568</v>
      </c>
      <c r="S232" s="16">
        <f ca="1">IF(S$6=OFFSET(Assumptions!$B$8,0,$C$1),AVERAGE(P$232/SUM(P$230:P$232),Q$232/SUM(Q$230:Q$232),R$232/SUM(R$230:R$232)),R$232/SUM(R$230:R$232))*(S$96-S$495)</f>
        <v>-2.6592596358890055</v>
      </c>
      <c r="T232" s="16">
        <f ca="1">IF(T$6=OFFSET(Assumptions!$B$8,0,$C$1),AVERAGE(Q$232/SUM(Q$230:Q$232),R$232/SUM(R$230:R$232),S$232/SUM(S$230:S$232)),S$232/SUM(S$230:S$232))*(T$96-T$495)</f>
        <v>-2.628255078293126</v>
      </c>
      <c r="U232" s="16">
        <f ca="1">IF(U$6=OFFSET(Assumptions!$B$8,0,$C$1),AVERAGE(R$232/SUM(R$230:R$232),S$232/SUM(S$230:S$232),T$232/SUM(T$230:T$232)),T$232/SUM(T$230:T$232))*(U$96-U$495)</f>
        <v>-2.5508855746035826</v>
      </c>
      <c r="V232" s="16">
        <f ca="1">IF(V$6=OFFSET(Assumptions!$B$8,0,$C$1),AVERAGE(S$232/SUM(S$230:S$232),T$232/SUM(T$230:T$232),U$232/SUM(U$230:U$232)),U$232/SUM(U$230:U$232))*(V$96-V$495)</f>
        <v>-2.4303156719790255</v>
      </c>
      <c r="W232" s="16">
        <f ca="1">IF(W$6=OFFSET(Assumptions!$B$8,0,$C$1),AVERAGE(T$232/SUM(T$230:T$232),U$232/SUM(U$230:U$232),V$232/SUM(V$230:V$232)),V$232/SUM(V$230:V$232))*(W$96-W$495)</f>
        <v>-2.2747646705543549</v>
      </c>
      <c r="X232" s="16">
        <f ca="1">IF(X$6=OFFSET(Assumptions!$B$8,0,$C$1),AVERAGE(U$232/SUM(U$230:U$232),V$232/SUM(V$230:V$232),W$232/SUM(W$230:W$232)),W$232/SUM(W$230:W$232))*(X$96-X$495)</f>
        <v>-2.0891779314819181</v>
      </c>
    </row>
    <row r="233" spans="1:24" x14ac:dyDescent="0.25">
      <c r="A233" s="9" t="s">
        <v>1103</v>
      </c>
      <c r="D233" s="65">
        <f t="shared" ref="D233:N233" si="154">SUM(D$229:D$232)</f>
        <v>4.298</v>
      </c>
      <c r="E233" s="65">
        <f t="shared" si="154"/>
        <v>3.754</v>
      </c>
      <c r="F233" s="65">
        <f t="shared" si="154"/>
        <v>2.2720000000000002</v>
      </c>
      <c r="G233" s="65">
        <f t="shared" si="154"/>
        <v>3.3490000000000002</v>
      </c>
      <c r="H233" s="65">
        <f t="shared" si="154"/>
        <v>7.4479999999999995</v>
      </c>
      <c r="I233" s="65">
        <f t="shared" si="154"/>
        <v>10.373999999999999</v>
      </c>
      <c r="J233" s="66">
        <f t="shared" si="154"/>
        <v>10.312000000000001</v>
      </c>
      <c r="K233" s="66">
        <f t="shared" si="154"/>
        <v>11.073</v>
      </c>
      <c r="L233" s="66">
        <f t="shared" si="154"/>
        <v>12.122</v>
      </c>
      <c r="M233" s="66">
        <f t="shared" si="154"/>
        <v>13.342000000000001</v>
      </c>
      <c r="N233" s="66">
        <f t="shared" si="154"/>
        <v>14.398999999999999</v>
      </c>
      <c r="O233" s="67">
        <f t="shared" ref="O233:X233" ca="1" si="155">SUM(O$229:O$232)</f>
        <v>15.137197720461796</v>
      </c>
      <c r="P233" s="67">
        <f t="shared" ca="1" si="155"/>
        <v>15.391531519904623</v>
      </c>
      <c r="Q233" s="67">
        <f t="shared" ca="1" si="155"/>
        <v>15.579884004636082</v>
      </c>
      <c r="R233" s="67">
        <f t="shared" ca="1" si="155"/>
        <v>15.667162665900616</v>
      </c>
      <c r="S233" s="67">
        <f t="shared" ca="1" si="155"/>
        <v>15.649760452154135</v>
      </c>
      <c r="T233" s="67">
        <f t="shared" ca="1" si="155"/>
        <v>15.464416508808224</v>
      </c>
      <c r="U233" s="67">
        <f t="shared" ca="1" si="155"/>
        <v>15.158234722504986</v>
      </c>
      <c r="V233" s="67">
        <f t="shared" ca="1" si="155"/>
        <v>14.732510836990526</v>
      </c>
      <c r="W233" s="67">
        <f t="shared" ca="1" si="155"/>
        <v>14.193099581166287</v>
      </c>
      <c r="X233" s="67">
        <f t="shared" ca="1" si="155"/>
        <v>13.541968009544098</v>
      </c>
    </row>
    <row r="234" spans="1:24" x14ac:dyDescent="0.25">
      <c r="A234" s="10" t="s">
        <v>892</v>
      </c>
      <c r="E234" s="36">
        <f t="shared" ref="E234:N234" si="156">E$229/AVERAGE(D$71,E$71)</f>
        <v>2.9634933968629935E-2</v>
      </c>
      <c r="F234" s="36">
        <f t="shared" si="156"/>
        <v>1.4817447196427743E-2</v>
      </c>
      <c r="G234" s="36">
        <f t="shared" si="156"/>
        <v>1.9129171655131016E-2</v>
      </c>
      <c r="H234" s="36">
        <f t="shared" si="156"/>
        <v>3.6492923905948361E-2</v>
      </c>
      <c r="I234" s="36">
        <f t="shared" si="156"/>
        <v>4.3905169154937182E-2</v>
      </c>
      <c r="J234" s="19">
        <f t="shared" si="156"/>
        <v>3.8343495075296663E-2</v>
      </c>
      <c r="K234" s="19">
        <f t="shared" si="156"/>
        <v>3.7205209433298136E-2</v>
      </c>
      <c r="L234" s="19">
        <f t="shared" si="156"/>
        <v>3.8369992986638277E-2</v>
      </c>
      <c r="M234" s="19">
        <f t="shared" si="156"/>
        <v>4.062969292113304E-2</v>
      </c>
      <c r="N234" s="19">
        <f t="shared" si="156"/>
        <v>4.2253286348194551E-2</v>
      </c>
      <c r="O234" s="78">
        <f ca="1">IF(O$6&lt;OFFSET(Assumptions!$B$8,0,$C$1)+OFFSET(Assumptions!$B$23,0,$C$1),N$234+(OFFSET(N$30,0,OFFSET(Assumptions!$B$8,0,$C$1)+OFFSET(Assumptions!$B$23,0,$C$1)-O$6)-N$234)/(OFFSET(Assumptions!$B$8,0,$C$1)+OFFSET(Assumptions!$B$23,0,$C$1)-O$6),O$30)</f>
        <v>4.2402629078555638E-2</v>
      </c>
      <c r="P234" s="78">
        <f ca="1">IF(P$6&lt;OFFSET(Assumptions!$B$8,0,$C$1)+OFFSET(Assumptions!$B$23,0,$C$1),O$234+(OFFSET(O$30,0,OFFSET(Assumptions!$B$8,0,$C$1)+OFFSET(Assumptions!$B$23,0,$C$1)-P$6)-O$234)/(OFFSET(Assumptions!$B$8,0,$C$1)+OFFSET(Assumptions!$B$23,0,$C$1)-P$6),P$30)</f>
        <v>4.2551971808916726E-2</v>
      </c>
      <c r="Q234" s="78">
        <f ca="1">IF(Q$6&lt;OFFSET(Assumptions!$B$8,0,$C$1)+OFFSET(Assumptions!$B$23,0,$C$1),P$234+(OFFSET(P$30,0,OFFSET(Assumptions!$B$8,0,$C$1)+OFFSET(Assumptions!$B$23,0,$C$1)-Q$6)-P$234)/(OFFSET(Assumptions!$B$8,0,$C$1)+OFFSET(Assumptions!$B$23,0,$C$1)-Q$6),Q$30)</f>
        <v>4.2701314539277814E-2</v>
      </c>
      <c r="R234" s="78">
        <f ca="1">IF(R$6&lt;OFFSET(Assumptions!$B$8,0,$C$1)+OFFSET(Assumptions!$B$23,0,$C$1),Q$234+(OFFSET(Q$30,0,OFFSET(Assumptions!$B$8,0,$C$1)+OFFSET(Assumptions!$B$23,0,$C$1)-R$6)-Q$234)/(OFFSET(Assumptions!$B$8,0,$C$1)+OFFSET(Assumptions!$B$23,0,$C$1)-R$6),R$30)</f>
        <v>4.2850657269638909E-2</v>
      </c>
      <c r="S234" s="78">
        <f ca="1">IF(S$6&lt;OFFSET(Assumptions!$B$8,0,$C$1)+OFFSET(Assumptions!$B$23,0,$C$1),R$234+(OFFSET(R$30,0,OFFSET(Assumptions!$B$8,0,$C$1)+OFFSET(Assumptions!$B$23,0,$C$1)-S$6)-R$234)/(OFFSET(Assumptions!$B$8,0,$C$1)+OFFSET(Assumptions!$B$23,0,$C$1)-S$6),S$30)</f>
        <v>4.2999999999999997E-2</v>
      </c>
      <c r="T234" s="78">
        <f ca="1">IF(T$6&lt;OFFSET(Assumptions!$B$8,0,$C$1)+OFFSET(Assumptions!$B$23,0,$C$1),S$234+(OFFSET(S$30,0,OFFSET(Assumptions!$B$8,0,$C$1)+OFFSET(Assumptions!$B$23,0,$C$1)-T$6)-S$234)/(OFFSET(Assumptions!$B$8,0,$C$1)+OFFSET(Assumptions!$B$23,0,$C$1)-T$6),T$30)</f>
        <v>4.2999999999999997E-2</v>
      </c>
      <c r="U234" s="78">
        <f ca="1">IF(U$6&lt;OFFSET(Assumptions!$B$8,0,$C$1)+OFFSET(Assumptions!$B$23,0,$C$1),T$234+(OFFSET(T$30,0,OFFSET(Assumptions!$B$8,0,$C$1)+OFFSET(Assumptions!$B$23,0,$C$1)-U$6)-T$234)/(OFFSET(Assumptions!$B$8,0,$C$1)+OFFSET(Assumptions!$B$23,0,$C$1)-U$6),U$30)</f>
        <v>4.2999999999999997E-2</v>
      </c>
      <c r="V234" s="78">
        <f ca="1">IF(V$6&lt;OFFSET(Assumptions!$B$8,0,$C$1)+OFFSET(Assumptions!$B$23,0,$C$1),U$234+(OFFSET(U$30,0,OFFSET(Assumptions!$B$8,0,$C$1)+OFFSET(Assumptions!$B$23,0,$C$1)-V$6)-U$234)/(OFFSET(Assumptions!$B$8,0,$C$1)+OFFSET(Assumptions!$B$23,0,$C$1)-V$6),V$30)</f>
        <v>4.2999999999999997E-2</v>
      </c>
      <c r="W234" s="78">
        <f ca="1">IF(W$6&lt;OFFSET(Assumptions!$B$8,0,$C$1)+OFFSET(Assumptions!$B$23,0,$C$1),V$234+(OFFSET(V$30,0,OFFSET(Assumptions!$B$8,0,$C$1)+OFFSET(Assumptions!$B$23,0,$C$1)-W$6)-V$234)/(OFFSET(Assumptions!$B$8,0,$C$1)+OFFSET(Assumptions!$B$23,0,$C$1)-W$6),W$30)</f>
        <v>4.2999999999999997E-2</v>
      </c>
      <c r="X234" s="78">
        <f ca="1">IF(X$6&lt;OFFSET(Assumptions!$B$8,0,$C$1)+OFFSET(Assumptions!$B$23,0,$C$1),W$234+(OFFSET(W$30,0,OFFSET(Assumptions!$B$8,0,$C$1)+OFFSET(Assumptions!$B$23,0,$C$1)-X$6)-W$234)/(OFFSET(Assumptions!$B$8,0,$C$1)+OFFSET(Assumptions!$B$23,0,$C$1)-X$6),X$30)</f>
        <v>4.2999999999999997E-2</v>
      </c>
    </row>
    <row r="235" spans="1:24" x14ac:dyDescent="0.25">
      <c r="A235" s="10"/>
    </row>
    <row r="236" spans="1:24" x14ac:dyDescent="0.25">
      <c r="A236" s="9" t="s">
        <v>539</v>
      </c>
    </row>
    <row r="237" spans="1:24" x14ac:dyDescent="0.25">
      <c r="A237" s="9" t="s">
        <v>996</v>
      </c>
      <c r="B237" s="10" t="str">
        <f>$B$38</f>
        <v>From Fiscal Forecasts</v>
      </c>
      <c r="D237" s="42">
        <f>'Fiscal Forecasts'!D$174</f>
        <v>0</v>
      </c>
      <c r="E237" s="42">
        <f>'Fiscal Forecasts'!E$174</f>
        <v>0</v>
      </c>
      <c r="F237" s="42">
        <f>'Fiscal Forecasts'!F$174</f>
        <v>1E-3</v>
      </c>
      <c r="G237" s="42">
        <f>'Fiscal Forecasts'!G$174</f>
        <v>1E-3</v>
      </c>
      <c r="H237" s="42">
        <f>'Fiscal Forecasts'!H$174</f>
        <v>3.0000000000000001E-3</v>
      </c>
      <c r="I237" s="42">
        <f>'Fiscal Forecasts'!I$174</f>
        <v>2E-3</v>
      </c>
      <c r="J237" s="43">
        <f>'Fiscal Forecasts'!J$174</f>
        <v>3.0000000000000001E-3</v>
      </c>
      <c r="K237" s="43">
        <f>'Fiscal Forecasts'!K$174</f>
        <v>3.0000000000000001E-3</v>
      </c>
      <c r="L237" s="43">
        <f>'Fiscal Forecasts'!L$174</f>
        <v>3.0000000000000001E-3</v>
      </c>
      <c r="M237" s="43">
        <f>'Fiscal Forecasts'!M$174</f>
        <v>2E-3</v>
      </c>
      <c r="N237" s="43">
        <f>'Fiscal Forecasts'!N$174</f>
        <v>3.0000000000000001E-3</v>
      </c>
      <c r="O237" s="47">
        <f ca="1">IF(O$6=OFFSET(Assumptions!$B$8,0,$C$1),OFFSET(Assumptions!$B$9,0,$C$1),N$237)</f>
        <v>0</v>
      </c>
      <c r="P237" s="47">
        <f ca="1">IF(P$6=OFFSET(Assumptions!$B$8,0,$C$1),OFFSET(Assumptions!$B$9,0,$C$1),O$237)</f>
        <v>0</v>
      </c>
      <c r="Q237" s="47">
        <f ca="1">IF(Q$6=OFFSET(Assumptions!$B$8,0,$C$1),OFFSET(Assumptions!$B$9,0,$C$1),P$237)</f>
        <v>0</v>
      </c>
      <c r="R237" s="47">
        <f ca="1">IF(R$6=OFFSET(Assumptions!$B$8,0,$C$1),OFFSET(Assumptions!$B$9,0,$C$1),Q$237)</f>
        <v>0</v>
      </c>
      <c r="S237" s="47">
        <f ca="1">IF(S$6=OFFSET(Assumptions!$B$8,0,$C$1),OFFSET(Assumptions!$B$9,0,$C$1),R$237)</f>
        <v>0</v>
      </c>
      <c r="T237" s="47">
        <f ca="1">IF(T$6=OFFSET(Assumptions!$B$8,0,$C$1),OFFSET(Assumptions!$B$9,0,$C$1),S$237)</f>
        <v>0</v>
      </c>
      <c r="U237" s="47">
        <f ca="1">IF(U$6=OFFSET(Assumptions!$B$8,0,$C$1),OFFSET(Assumptions!$B$9,0,$C$1),T$237)</f>
        <v>0</v>
      </c>
      <c r="V237" s="47">
        <f ca="1">IF(V$6=OFFSET(Assumptions!$B$8,0,$C$1),OFFSET(Assumptions!$B$9,0,$C$1),U$237)</f>
        <v>0</v>
      </c>
      <c r="W237" s="47">
        <f ca="1">IF(W$6=OFFSET(Assumptions!$B$8,0,$C$1),OFFSET(Assumptions!$B$9,0,$C$1),V$237)</f>
        <v>0</v>
      </c>
      <c r="X237" s="47">
        <f ca="1">IF(X$6=OFFSET(Assumptions!$B$8,0,$C$1),OFFSET(Assumptions!$B$9,0,$C$1),W$237)</f>
        <v>0</v>
      </c>
    </row>
    <row r="238" spans="1:24" x14ac:dyDescent="0.25">
      <c r="A238" s="11" t="s">
        <v>707</v>
      </c>
      <c r="B238" s="10" t="str">
        <f>$B$38</f>
        <v>From Fiscal Forecasts</v>
      </c>
      <c r="D238" s="35">
        <f>'Fiscal Forecasts'!D$203</f>
        <v>5.8070000000000004</v>
      </c>
      <c r="E238" s="35">
        <f>'Fiscal Forecasts'!E$203</f>
        <v>6.8959999999999999</v>
      </c>
      <c r="F238" s="35">
        <f>'Fiscal Forecasts'!F$203</f>
        <v>6.8310000000000004</v>
      </c>
      <c r="G238" s="35">
        <f>'Fiscal Forecasts'!G$203</f>
        <v>6.44</v>
      </c>
      <c r="H238" s="35">
        <f>'Fiscal Forecasts'!H$203</f>
        <v>8.7729999999999997</v>
      </c>
      <c r="I238" s="35">
        <f>'Fiscal Forecasts'!I$203</f>
        <v>10.413</v>
      </c>
      <c r="J238" s="17">
        <f>'Fiscal Forecasts'!J$203</f>
        <v>11.276999999999999</v>
      </c>
      <c r="K238" s="17">
        <f>'Fiscal Forecasts'!K$203</f>
        <v>10.643000000000001</v>
      </c>
      <c r="L238" s="17">
        <f>'Fiscal Forecasts'!L$203</f>
        <v>11.305999999999999</v>
      </c>
      <c r="M238" s="17">
        <f>'Fiscal Forecasts'!M$203</f>
        <v>11.878</v>
      </c>
      <c r="N238" s="17">
        <f>'Fiscal Forecasts'!N$203</f>
        <v>12.304</v>
      </c>
      <c r="O238" s="16">
        <f ca="1">IF(O$6=OFFSET(Assumptions!$B$8,0,$C$1),AVERAGE(L$238/SUM(L$241:L$242),M$238/SUM(M$241:M$242),N$238/SUM(N$241:N$242)),N$238/SUM(N$241:N$242))*SUM(O$241:O$242)</f>
        <v>13.015937854480983</v>
      </c>
      <c r="P238" s="16">
        <f ca="1">IF(P$6=OFFSET(Assumptions!$B$8,0,$C$1),AVERAGE(M$238/SUM(M$241:M$242),N$238/SUM(N$241:N$242),O$238/SUM(O$241:O$242)),O$238/SUM(O$241:O$242))*SUM(P$241:P$242)</f>
        <v>13.76800610063982</v>
      </c>
      <c r="Q238" s="16">
        <f ca="1">IF(Q$6=OFFSET(Assumptions!$B$8,0,$C$1),AVERAGE(N$238/SUM(N$241:N$242),O$238/SUM(O$241:O$242),P$238/SUM(P$241:P$242)),P$238/SUM(P$241:P$242))*SUM(Q$241:Q$242)</f>
        <v>14.537176562214606</v>
      </c>
      <c r="R238" s="16">
        <f ca="1">IF(R$6=OFFSET(Assumptions!$B$8,0,$C$1),AVERAGE(O$238/SUM(O$241:O$242),P$238/SUM(P$241:P$242),Q$238/SUM(Q$241:Q$242)),Q$238/SUM(Q$241:Q$242))*SUM(R$241:R$242)</f>
        <v>15.308834198354187</v>
      </c>
      <c r="S238" s="16">
        <f ca="1">IF(S$6=OFFSET(Assumptions!$B$8,0,$C$1),AVERAGE(P$238/SUM(P$241:P$242),Q$238/SUM(Q$241:Q$242),R$238/SUM(R$241:R$242)),R$238/SUM(R$241:R$242))*SUM(S$241:S$242)</f>
        <v>16.092076477099056</v>
      </c>
      <c r="T238" s="16">
        <f ca="1">IF(T$6=OFFSET(Assumptions!$B$8,0,$C$1),AVERAGE(Q$238/SUM(Q$241:Q$242),R$238/SUM(R$241:R$242),S$238/SUM(S$241:S$242)),S$238/SUM(S$241:S$242))*SUM(T$241:T$242)</f>
        <v>16.861159231263176</v>
      </c>
      <c r="U238" s="16">
        <f ca="1">IF(U$6=OFFSET(Assumptions!$B$8,0,$C$1),AVERAGE(R$238/SUM(R$241:R$242),S$238/SUM(S$241:S$242),T$238/SUM(T$241:T$242)),T$238/SUM(T$241:T$242))*SUM(U$241:U$242)</f>
        <v>17.678308857086208</v>
      </c>
      <c r="V238" s="16">
        <f ca="1">IF(V$6=OFFSET(Assumptions!$B$8,0,$C$1),AVERAGE(S$238/SUM(S$241:S$242),T$238/SUM(T$241:T$242),U$238/SUM(U$241:U$242)),U$238/SUM(U$241:U$242))*SUM(V$241:V$242)</f>
        <v>18.501976331093335</v>
      </c>
      <c r="W238" s="16">
        <f ca="1">IF(W$6=OFFSET(Assumptions!$B$8,0,$C$1),AVERAGE(T$238/SUM(T$241:T$242),U$238/SUM(U$241:U$242),V$238/SUM(V$241:V$242)),V$238/SUM(V$241:V$242))*SUM(W$241:W$242)</f>
        <v>19.355060571574853</v>
      </c>
      <c r="X238" s="16">
        <f ca="1">IF(X$6=OFFSET(Assumptions!$B$8,0,$C$1),AVERAGE(U$238/SUM(U$241:U$242),V$238/SUM(V$241:V$242),W$238/SUM(W$241:W$242)),W$238/SUM(W$241:W$242))*SUM(X$241:X$242)</f>
        <v>20.247419242224677</v>
      </c>
    </row>
    <row r="239" spans="1:24" x14ac:dyDescent="0.25">
      <c r="A239" s="11" t="s">
        <v>1076</v>
      </c>
      <c r="B239" s="10" t="str">
        <f>$B$38</f>
        <v>From Fiscal Forecasts</v>
      </c>
      <c r="D239" s="35">
        <f>'Fiscal Forecasts'!D$204</f>
        <v>5.0000000000000001E-3</v>
      </c>
      <c r="E239" s="35">
        <f>'Fiscal Forecasts'!E$204</f>
        <v>7.0000000000000001E-3</v>
      </c>
      <c r="F239" s="35">
        <f>'Fiscal Forecasts'!F$204</f>
        <v>6.0000000000000001E-3</v>
      </c>
      <c r="G239" s="35">
        <f>'Fiscal Forecasts'!G$204</f>
        <v>6.0000000000000001E-3</v>
      </c>
      <c r="H239" s="35">
        <f>'Fiscal Forecasts'!H$204</f>
        <v>8.0000000000000002E-3</v>
      </c>
      <c r="I239" s="35">
        <f>'Fiscal Forecasts'!I$204</f>
        <v>1.0999999999999999E-2</v>
      </c>
      <c r="J239" s="17">
        <f>'Fiscal Forecasts'!J$204</f>
        <v>1.2E-2</v>
      </c>
      <c r="K239" s="17">
        <f>'Fiscal Forecasts'!K$204</f>
        <v>1.2999999999999999E-2</v>
      </c>
      <c r="L239" s="17">
        <f>'Fiscal Forecasts'!L$204</f>
        <v>1.4E-2</v>
      </c>
      <c r="M239" s="17">
        <f>'Fiscal Forecasts'!M$204</f>
        <v>1.4999999999999999E-2</v>
      </c>
      <c r="N239" s="17">
        <f>'Fiscal Forecasts'!N$204</f>
        <v>1.6E-2</v>
      </c>
      <c r="O239" s="16">
        <f t="shared" ref="O239:X239" ca="1" si="157">SUM(O$241:O$242,-O$238)</f>
        <v>1.9433014277430161E-2</v>
      </c>
      <c r="P239" s="16">
        <f t="shared" ca="1" si="157"/>
        <v>2.0555864826395265E-2</v>
      </c>
      <c r="Q239" s="16">
        <f t="shared" ca="1" si="157"/>
        <v>2.1704249270811715E-2</v>
      </c>
      <c r="R239" s="16">
        <f t="shared" ca="1" si="157"/>
        <v>2.2856347108710651E-2</v>
      </c>
      <c r="S239" s="16">
        <f t="shared" ca="1" si="157"/>
        <v>2.4025741012991375E-2</v>
      </c>
      <c r="T239" s="16">
        <f t="shared" ca="1" si="157"/>
        <v>2.5173994508765674E-2</v>
      </c>
      <c r="U239" s="16">
        <f t="shared" ca="1" si="157"/>
        <v>2.6394012652900756E-2</v>
      </c>
      <c r="V239" s="16">
        <f t="shared" ca="1" si="157"/>
        <v>2.7623762054073353E-2</v>
      </c>
      <c r="W239" s="16">
        <f t="shared" ca="1" si="157"/>
        <v>2.8897431182681288E-2</v>
      </c>
      <c r="X239" s="16">
        <f t="shared" ca="1" si="157"/>
        <v>3.0229737696526371E-2</v>
      </c>
    </row>
    <row r="240" spans="1:24" x14ac:dyDescent="0.25">
      <c r="A240" s="9" t="s">
        <v>1104</v>
      </c>
      <c r="D240" s="65">
        <f t="shared" ref="D240:N240" si="158">SUM(D$237:D$239)</f>
        <v>5.8120000000000003</v>
      </c>
      <c r="E240" s="65">
        <f t="shared" si="158"/>
        <v>6.9029999999999996</v>
      </c>
      <c r="F240" s="65">
        <f t="shared" si="158"/>
        <v>6.838000000000001</v>
      </c>
      <c r="G240" s="65">
        <f t="shared" si="158"/>
        <v>6.447000000000001</v>
      </c>
      <c r="H240" s="65">
        <f t="shared" si="158"/>
        <v>8.7839999999999989</v>
      </c>
      <c r="I240" s="65">
        <f t="shared" si="158"/>
        <v>10.426</v>
      </c>
      <c r="J240" s="66">
        <f t="shared" si="158"/>
        <v>11.292</v>
      </c>
      <c r="K240" s="66">
        <f t="shared" si="158"/>
        <v>10.659000000000001</v>
      </c>
      <c r="L240" s="66">
        <f t="shared" si="158"/>
        <v>11.322999999999999</v>
      </c>
      <c r="M240" s="66">
        <f t="shared" si="158"/>
        <v>11.895000000000001</v>
      </c>
      <c r="N240" s="66">
        <f t="shared" si="158"/>
        <v>12.323</v>
      </c>
      <c r="O240" s="67">
        <f t="shared" ref="O240:X240" ca="1" si="159">SUM(O$237:O$239)</f>
        <v>13.035370868758413</v>
      </c>
      <c r="P240" s="67">
        <f t="shared" ca="1" si="159"/>
        <v>13.788561965466215</v>
      </c>
      <c r="Q240" s="67">
        <f t="shared" ca="1" si="159"/>
        <v>14.558880811485418</v>
      </c>
      <c r="R240" s="67">
        <f t="shared" ca="1" si="159"/>
        <v>15.331690545462898</v>
      </c>
      <c r="S240" s="67">
        <f t="shared" ca="1" si="159"/>
        <v>16.116102218112047</v>
      </c>
      <c r="T240" s="67">
        <f t="shared" ca="1" si="159"/>
        <v>16.886333225771942</v>
      </c>
      <c r="U240" s="67">
        <f t="shared" ca="1" si="159"/>
        <v>17.704702869739108</v>
      </c>
      <c r="V240" s="67">
        <f t="shared" ca="1" si="159"/>
        <v>18.529600093147408</v>
      </c>
      <c r="W240" s="67">
        <f t="shared" ca="1" si="159"/>
        <v>19.383958002757534</v>
      </c>
      <c r="X240" s="67">
        <f t="shared" ca="1" si="159"/>
        <v>20.277648979921203</v>
      </c>
    </row>
    <row r="241" spans="1:24" x14ac:dyDescent="0.25">
      <c r="A241" s="11" t="s">
        <v>961</v>
      </c>
      <c r="B241" s="10" t="str">
        <f>$B$38</f>
        <v>From Fiscal Forecasts</v>
      </c>
      <c r="D241" s="35">
        <f>'Fiscal Forecasts'!D$281</f>
        <v>5.3620000000000001</v>
      </c>
      <c r="E241" s="35">
        <f>'Fiscal Forecasts'!E$281</f>
        <v>6.2460000000000004</v>
      </c>
      <c r="F241" s="35">
        <f>'Fiscal Forecasts'!F$281</f>
        <v>6.5389999999999997</v>
      </c>
      <c r="G241" s="35">
        <f>'Fiscal Forecasts'!G$281</f>
        <v>5.8330000000000002</v>
      </c>
      <c r="H241" s="35">
        <f>'Fiscal Forecasts'!H$281</f>
        <v>7.6189999999999998</v>
      </c>
      <c r="I241" s="35">
        <f>'Fiscal Forecasts'!I$281</f>
        <v>9.7720000000000002</v>
      </c>
      <c r="J241" s="17">
        <f>'Fiscal Forecasts'!J$281</f>
        <v>10.670999999999999</v>
      </c>
      <c r="K241" s="17">
        <f>'Fiscal Forecasts'!K$281</f>
        <v>9.9830000000000005</v>
      </c>
      <c r="L241" s="17">
        <f>'Fiscal Forecasts'!L$281</f>
        <v>10.589</v>
      </c>
      <c r="M241" s="17">
        <f>'Fiscal Forecasts'!M$281</f>
        <v>11.101000000000001</v>
      </c>
      <c r="N241" s="17">
        <f>'Fiscal Forecasts'!N$281</f>
        <v>11.462999999999999</v>
      </c>
      <c r="O241" s="16">
        <f>N$241*Exogenous!Z$28/Exogenous!Y$28</f>
        <v>12.138263981125791</v>
      </c>
      <c r="P241" s="16">
        <f>O$241*Exogenous!AA$28/Exogenous!Z$28</f>
        <v>12.8531933268714</v>
      </c>
      <c r="Q241" s="16">
        <f>P$241*Exogenous!AB$28/Exogenous!AA$28</f>
        <v>13.585167345213522</v>
      </c>
      <c r="R241" s="16">
        <f>Q$241*Exogenous!AC$28/Exogenous!AB$28</f>
        <v>14.31963565060982</v>
      </c>
      <c r="S241" s="16">
        <f>R$241*Exogenous!AD$28/Exogenous!AC$28</f>
        <v>15.0648604791746</v>
      </c>
      <c r="T241" s="16">
        <f>S$241*Exogenous!AE$28/Exogenous!AD$28</f>
        <v>15.795119029874687</v>
      </c>
      <c r="U241" s="16">
        <f>T$241*Exogenous!AF$28/Exogenous!AE$28</f>
        <v>16.572983262030732</v>
      </c>
      <c r="V241" s="16">
        <f>U$241*Exogenous!AG$28/Exogenous!AF$28</f>
        <v>17.356766082577412</v>
      </c>
      <c r="W241" s="16">
        <f>V$241*Exogenous!AH$28/Exogenous!AG$28</f>
        <v>18.169402130053601</v>
      </c>
      <c r="X241" s="16">
        <f>W$241*Exogenous!AI$28/Exogenous!AH$28</f>
        <v>19.020449389492455</v>
      </c>
    </row>
    <row r="242" spans="1:24" x14ac:dyDescent="0.25">
      <c r="A242" s="11" t="s">
        <v>966</v>
      </c>
      <c r="B242" s="10" t="str">
        <f>$B$38</f>
        <v>From Fiscal Forecasts</v>
      </c>
      <c r="D242" s="35">
        <f>SUM('Fiscal Forecasts'!D$282:D$283)</f>
        <v>0.44999999999999996</v>
      </c>
      <c r="E242" s="35">
        <f>SUM('Fiscal Forecasts'!E$282:E$283)</f>
        <v>0.65700000000000003</v>
      </c>
      <c r="F242" s="35">
        <f>SUM('Fiscal Forecasts'!F$282:F$283)</f>
        <v>0.29900000000000004</v>
      </c>
      <c r="G242" s="35">
        <f>SUM('Fiscal Forecasts'!G$282:G$283)</f>
        <v>0.61399999999999999</v>
      </c>
      <c r="H242" s="35">
        <f>SUM('Fiscal Forecasts'!H$282:H$283)</f>
        <v>1.1649999999999998</v>
      </c>
      <c r="I242" s="35">
        <f>SUM('Fiscal Forecasts'!I$282:I$283)</f>
        <v>0.65399999999999991</v>
      </c>
      <c r="J242" s="17">
        <f>SUM('Fiscal Forecasts'!J$282:J$283)</f>
        <v>0.621</v>
      </c>
      <c r="K242" s="17">
        <f>SUM('Fiscal Forecasts'!K$282:K$283)</f>
        <v>0.67599999999999993</v>
      </c>
      <c r="L242" s="17">
        <f>SUM('Fiscal Forecasts'!L$282:L$283)</f>
        <v>0.73399999999999999</v>
      </c>
      <c r="M242" s="17">
        <f>SUM('Fiscal Forecasts'!M$282:M$283)</f>
        <v>0.79400000000000004</v>
      </c>
      <c r="N242" s="17">
        <f>SUM('Fiscal Forecasts'!N$282:N$283)</f>
        <v>0.86</v>
      </c>
      <c r="O242" s="16">
        <f t="shared" ref="O242:X242" ca="1" si="160">N$242*(1+O$14)</f>
        <v>0.89710688763262303</v>
      </c>
      <c r="P242" s="16">
        <f t="shared" ca="1" si="160"/>
        <v>0.93536863859481512</v>
      </c>
      <c r="Q242" s="16">
        <f t="shared" ca="1" si="160"/>
        <v>0.97371346627189559</v>
      </c>
      <c r="R242" s="16">
        <f t="shared" ca="1" si="160"/>
        <v>1.0120548948530785</v>
      </c>
      <c r="S242" s="16">
        <f t="shared" ca="1" si="160"/>
        <v>1.0512417389374489</v>
      </c>
      <c r="T242" s="16">
        <f t="shared" ca="1" si="160"/>
        <v>1.0912141958972539</v>
      </c>
      <c r="U242" s="16">
        <f t="shared" ca="1" si="160"/>
        <v>1.1317196077083753</v>
      </c>
      <c r="V242" s="16">
        <f t="shared" ca="1" si="160"/>
        <v>1.1728340105699953</v>
      </c>
      <c r="W242" s="16">
        <f t="shared" ca="1" si="160"/>
        <v>1.2145558727039336</v>
      </c>
      <c r="X242" s="16">
        <f t="shared" ca="1" si="160"/>
        <v>1.257199590428749</v>
      </c>
    </row>
    <row r="243" spans="1:24" x14ac:dyDescent="0.25">
      <c r="A243" s="11"/>
    </row>
    <row r="244" spans="1:24" x14ac:dyDescent="0.25">
      <c r="A244" s="9" t="s">
        <v>962</v>
      </c>
    </row>
    <row r="245" spans="1:24" x14ac:dyDescent="0.25">
      <c r="A245" s="9" t="s">
        <v>963</v>
      </c>
      <c r="D245" s="42">
        <f>SUM($D$246:D$247)</f>
        <v>0</v>
      </c>
      <c r="E245" s="42">
        <f>SUM($D$246:E$247)</f>
        <v>0</v>
      </c>
      <c r="F245" s="42">
        <f>SUM($D$246:F$247)</f>
        <v>0</v>
      </c>
      <c r="G245" s="42">
        <f>SUM($D$246:G$247)</f>
        <v>0</v>
      </c>
      <c r="H245" s="42">
        <f>SUM($D$246:H$247)</f>
        <v>0</v>
      </c>
      <c r="I245" s="42">
        <f>SUM($D$246:I$247)</f>
        <v>0</v>
      </c>
      <c r="J245" s="43">
        <f ca="1">IF(OFFSET(Assumptions!$B$56,0,$C$1)="Yes",0,SUM($D$246:J$247))</f>
        <v>0</v>
      </c>
      <c r="K245" s="43">
        <f ca="1">IF(OFFSET(Assumptions!$B$56,0,$C$1)="Yes",0,SUM($D$246:K$247))</f>
        <v>1.72</v>
      </c>
      <c r="L245" s="43">
        <f ca="1">IF(OFFSET(Assumptions!$B$56,0,$C$1)="Yes",0,SUM($D$246:L$247))</f>
        <v>2.7190000000000003</v>
      </c>
      <c r="M245" s="43">
        <f ca="1">IF(OFFSET(Assumptions!$B$56,0,$C$1)="Yes",0,SUM($D$246:M$247))</f>
        <v>5.3689999999999998</v>
      </c>
      <c r="N245" s="43">
        <f ca="1">IF(OFFSET(Assumptions!$B$56,0,$C$1)="Yes",0,SUM($D$246:N$247))</f>
        <v>7.9029999999999996</v>
      </c>
      <c r="O245" s="47">
        <f ca="1">IF(OFFSET(Assumptions!$B$56,0,$C$1)="Yes",0,SUM($D$246:O$247))</f>
        <v>10.302999999999999</v>
      </c>
      <c r="P245" s="47">
        <f ca="1">IF(OFFSET(Assumptions!$B$56,0,$C$1)="Yes",0,SUM($D$246:P$247))</f>
        <v>12.774999999999999</v>
      </c>
      <c r="Q245" s="47">
        <f ca="1">IF(OFFSET(Assumptions!$B$56,0,$C$1)="Yes",0,SUM($D$246:Q$247))</f>
        <v>15.321159999999999</v>
      </c>
      <c r="R245" s="47">
        <f ca="1">IF(OFFSET(Assumptions!$B$56,0,$C$1)="Yes",0,SUM($D$246:R$247))</f>
        <v>17.943704799999999</v>
      </c>
      <c r="S245" s="47">
        <f ca="1">IF(OFFSET(Assumptions!$B$56,0,$C$1)="Yes",0,SUM($D$246:S$247))</f>
        <v>20.644925944000001</v>
      </c>
      <c r="T245" s="47">
        <f ca="1">IF(OFFSET(Assumptions!$B$56,0,$C$1)="Yes",0,SUM($D$246:T$247))</f>
        <v>23.427183722320002</v>
      </c>
      <c r="U245" s="47">
        <f ca="1">IF(OFFSET(Assumptions!$B$56,0,$C$1)="Yes",0,SUM($D$246:U$247))</f>
        <v>26.292909233989604</v>
      </c>
      <c r="V245" s="47">
        <f ca="1">IF(OFFSET(Assumptions!$B$56,0,$C$1)="Yes",0,SUM($D$246:V$247))</f>
        <v>29.244606511009295</v>
      </c>
      <c r="W245" s="47">
        <f ca="1">IF(OFFSET(Assumptions!$B$56,0,$C$1)="Yes",0,SUM($D$246:W$247))</f>
        <v>32.284854706339573</v>
      </c>
      <c r="X245" s="47">
        <f ca="1">IF(OFFSET(Assumptions!$B$56,0,$C$1)="Yes",0,SUM($D$246:X$247))</f>
        <v>35.416310347529759</v>
      </c>
    </row>
    <row r="246" spans="1:24" x14ac:dyDescent="0.25">
      <c r="A246" s="11" t="s">
        <v>742</v>
      </c>
      <c r="B246" s="10" t="str">
        <f>$B$38</f>
        <v>From Fiscal Forecasts</v>
      </c>
      <c r="D246" s="35">
        <f>'Fiscal Forecasts'!D$286-'Fiscal Forecasts'!C$286</f>
        <v>0</v>
      </c>
      <c r="E246" s="35">
        <f>'Fiscal Forecasts'!E$286-'Fiscal Forecasts'!D$286</f>
        <v>0</v>
      </c>
      <c r="F246" s="35">
        <f>'Fiscal Forecasts'!F$286-'Fiscal Forecasts'!E$286</f>
        <v>0</v>
      </c>
      <c r="G246" s="35">
        <f>'Fiscal Forecasts'!G$286-'Fiscal Forecasts'!F$286</f>
        <v>0</v>
      </c>
      <c r="H246" s="35">
        <f>'Fiscal Forecasts'!H$286-'Fiscal Forecasts'!G$286</f>
        <v>0</v>
      </c>
      <c r="I246" s="35">
        <f>'Fiscal Forecasts'!I$286-'Fiscal Forecasts'!H$286</f>
        <v>0</v>
      </c>
      <c r="J246" s="17">
        <f>'Fiscal Forecasts'!J$286-'Fiscal Forecasts'!I$286</f>
        <v>0</v>
      </c>
      <c r="K246" s="17">
        <f>'Fiscal Forecasts'!K$286-'Fiscal Forecasts'!J$286</f>
        <v>1.72</v>
      </c>
      <c r="L246" s="17">
        <f>'Fiscal Forecasts'!L$286-'Fiscal Forecasts'!K$286</f>
        <v>-2.6999999999999913E-2</v>
      </c>
      <c r="M246" s="17">
        <f>'Fiscal Forecasts'!M$286-'Fiscal Forecasts'!L$286</f>
        <v>0.26400000000000001</v>
      </c>
      <c r="N246" s="17">
        <f>'Fiscal Forecasts'!N$286-'Fiscal Forecasts'!M$286</f>
        <v>0.14399999999999991</v>
      </c>
      <c r="O246" s="16">
        <f ca="1">IF(O$6=OFFSET(Assumptions!$B$8,0,$C$1),OFFSET(Assumptions!$B$9,0,$C$1),N$246)</f>
        <v>0</v>
      </c>
      <c r="P246" s="16">
        <f ca="1">IF(P$6=OFFSET(Assumptions!$B$8,0,$C$1),OFFSET(Assumptions!$B$9,0,$C$1),O$246)</f>
        <v>0</v>
      </c>
      <c r="Q246" s="16">
        <f ca="1">IF(Q$6=OFFSET(Assumptions!$B$8,0,$C$1),OFFSET(Assumptions!$B$9,0,$C$1),P$246)</f>
        <v>0</v>
      </c>
      <c r="R246" s="16">
        <f ca="1">IF(R$6=OFFSET(Assumptions!$B$8,0,$C$1),OFFSET(Assumptions!$B$9,0,$C$1),Q$246)</f>
        <v>0</v>
      </c>
      <c r="S246" s="16">
        <f ca="1">IF(S$6=OFFSET(Assumptions!$B$8,0,$C$1),OFFSET(Assumptions!$B$9,0,$C$1),R$246)</f>
        <v>0</v>
      </c>
      <c r="T246" s="16">
        <f ca="1">IF(T$6=OFFSET(Assumptions!$B$8,0,$C$1),OFFSET(Assumptions!$B$9,0,$C$1),S$246)</f>
        <v>0</v>
      </c>
      <c r="U246" s="16">
        <f ca="1">IF(U$6=OFFSET(Assumptions!$B$8,0,$C$1),OFFSET(Assumptions!$B$9,0,$C$1),T$246)</f>
        <v>0</v>
      </c>
      <c r="V246" s="16">
        <f ca="1">IF(V$6=OFFSET(Assumptions!$B$8,0,$C$1),OFFSET(Assumptions!$B$9,0,$C$1),U$246)</f>
        <v>0</v>
      </c>
      <c r="W246" s="16">
        <f ca="1">IF(W$6=OFFSET(Assumptions!$B$8,0,$C$1),OFFSET(Assumptions!$B$9,0,$C$1),V$246)</f>
        <v>0</v>
      </c>
      <c r="X246" s="16">
        <f ca="1">IF(X$6=OFFSET(Assumptions!$B$8,0,$C$1),OFFSET(Assumptions!$B$9,0,$C$1),W$246)</f>
        <v>0</v>
      </c>
    </row>
    <row r="247" spans="1:24" x14ac:dyDescent="0.25">
      <c r="A247" s="11" t="s">
        <v>967</v>
      </c>
      <c r="B247" s="10" t="str">
        <f>$B$38</f>
        <v>From Fiscal Forecasts</v>
      </c>
      <c r="D247" s="35">
        <f>SUM('Fiscal Forecasts'!D$287:D$290)-SUM('Fiscal Forecasts'!C$287:C$290)</f>
        <v>0</v>
      </c>
      <c r="E247" s="35">
        <f>SUM('Fiscal Forecasts'!E$287:E$290)-SUM('Fiscal Forecasts'!D$287:D$290)</f>
        <v>0</v>
      </c>
      <c r="F247" s="35">
        <f>SUM('Fiscal Forecasts'!F$287:F$290)-SUM('Fiscal Forecasts'!E$287:E$290)</f>
        <v>0</v>
      </c>
      <c r="G247" s="35">
        <f>SUM('Fiscal Forecasts'!G$287:G$290)-SUM('Fiscal Forecasts'!F$287:F$290)</f>
        <v>0</v>
      </c>
      <c r="H247" s="35">
        <f>SUM('Fiscal Forecasts'!H$287:H$290)-SUM('Fiscal Forecasts'!G$287:G$290)</f>
        <v>0</v>
      </c>
      <c r="I247" s="35">
        <f>SUM('Fiscal Forecasts'!I$287:I$290)-SUM('Fiscal Forecasts'!H$287:H$290)</f>
        <v>0</v>
      </c>
      <c r="J247" s="17">
        <f>SUM('Fiscal Forecasts'!J$287:J$290)-SUM('Fiscal Forecasts'!I$287:I$290)</f>
        <v>0</v>
      </c>
      <c r="K247" s="17">
        <f>SUM('Fiscal Forecasts'!K$287:K$290)-SUM('Fiscal Forecasts'!J$287:J$290)</f>
        <v>0</v>
      </c>
      <c r="L247" s="17">
        <f>SUM('Fiscal Forecasts'!L$287:L$290)-SUM('Fiscal Forecasts'!K$287:K$290)</f>
        <v>1.026</v>
      </c>
      <c r="M247" s="17">
        <f>SUM('Fiscal Forecasts'!M$287:M$290)-SUM('Fiscal Forecasts'!L$287:L$290)</f>
        <v>2.3860000000000001</v>
      </c>
      <c r="N247" s="17">
        <f>SUM('Fiscal Forecasts'!N$287:N$290)-SUM('Fiscal Forecasts'!M$287:M$290)</f>
        <v>2.3899999999999997</v>
      </c>
      <c r="O247" s="16">
        <f ca="1">IF(O$6=OFFSET(Assumptions!$B$8,0,$C$1),OFFSET(Assumptions!$B$41,0,$C$1)-IF(OFFSET(Assumptions!$B$57,0,$C$1)="Yes",Allocation!$G$7,0),(N$247+IF(AND(N$6=OFFSET(Assumptions!$B$8,0,$C$1),OFFSET(Assumptions!$B$57,0,$C$1)="Yes"),Allocation!$G$7,0))*(1+OFFSET(Assumptions!$B$42,0,$C$1)))</f>
        <v>2.4</v>
      </c>
      <c r="P247" s="16">
        <f ca="1">IF(P$6=OFFSET(Assumptions!$B$8,0,$C$1),OFFSET(Assumptions!$B$41,0,$C$1)-IF(OFFSET(Assumptions!$B$57,0,$C$1)="Yes",Allocation!$G$7,0),(O$247+IF(AND(O$6=OFFSET(Assumptions!$B$8,0,$C$1),OFFSET(Assumptions!$B$57,0,$C$1)="Yes"),Allocation!$G$7,0))*(1+OFFSET(Assumptions!$B$42,0,$C$1)))</f>
        <v>2.472</v>
      </c>
      <c r="Q247" s="16">
        <f ca="1">IF(Q$6=OFFSET(Assumptions!$B$8,0,$C$1),OFFSET(Assumptions!$B$41,0,$C$1)-IF(OFFSET(Assumptions!$B$57,0,$C$1)="Yes",Allocation!$G$7,0),(P$247+IF(AND(P$6=OFFSET(Assumptions!$B$8,0,$C$1),OFFSET(Assumptions!$B$57,0,$C$1)="Yes"),Allocation!$G$7,0))*(1+OFFSET(Assumptions!$B$42,0,$C$1)))</f>
        <v>2.54616</v>
      </c>
      <c r="R247" s="16">
        <f ca="1">IF(R$6=OFFSET(Assumptions!$B$8,0,$C$1),OFFSET(Assumptions!$B$41,0,$C$1)-IF(OFFSET(Assumptions!$B$57,0,$C$1)="Yes",Allocation!$G$7,0),(Q$247+IF(AND(Q$6=OFFSET(Assumptions!$B$8,0,$C$1),OFFSET(Assumptions!$B$57,0,$C$1)="Yes"),Allocation!$G$7,0))*(1+OFFSET(Assumptions!$B$42,0,$C$1)))</f>
        <v>2.6225448</v>
      </c>
      <c r="S247" s="16">
        <f ca="1">IF(S$6=OFFSET(Assumptions!$B$8,0,$C$1),OFFSET(Assumptions!$B$41,0,$C$1)-IF(OFFSET(Assumptions!$B$57,0,$C$1)="Yes",Allocation!$G$7,0),(R$247+IF(AND(R$6=OFFSET(Assumptions!$B$8,0,$C$1),OFFSET(Assumptions!$B$57,0,$C$1)="Yes"),Allocation!$G$7,0))*(1+OFFSET(Assumptions!$B$42,0,$C$1)))</f>
        <v>2.7012211440000002</v>
      </c>
      <c r="T247" s="16">
        <f ca="1">IF(T$6=OFFSET(Assumptions!$B$8,0,$C$1),OFFSET(Assumptions!$B$41,0,$C$1)-IF(OFFSET(Assumptions!$B$57,0,$C$1)="Yes",Allocation!$G$7,0),(S$247+IF(AND(S$6=OFFSET(Assumptions!$B$8,0,$C$1),OFFSET(Assumptions!$B$57,0,$C$1)="Yes"),Allocation!$G$7,0))*(1+OFFSET(Assumptions!$B$42,0,$C$1)))</f>
        <v>2.7822577783200004</v>
      </c>
      <c r="U247" s="16">
        <f ca="1">IF(U$6=OFFSET(Assumptions!$B$8,0,$C$1),OFFSET(Assumptions!$B$41,0,$C$1)-IF(OFFSET(Assumptions!$B$57,0,$C$1)="Yes",Allocation!$G$7,0),(T$247+IF(AND(T$6=OFFSET(Assumptions!$B$8,0,$C$1),OFFSET(Assumptions!$B$57,0,$C$1)="Yes"),Allocation!$G$7,0))*(1+OFFSET(Assumptions!$B$42,0,$C$1)))</f>
        <v>2.8657255116696003</v>
      </c>
      <c r="V247" s="16">
        <f ca="1">IF(V$6=OFFSET(Assumptions!$B$8,0,$C$1),OFFSET(Assumptions!$B$41,0,$C$1)-IF(OFFSET(Assumptions!$B$57,0,$C$1)="Yes",Allocation!$G$7,0),(U$247+IF(AND(U$6=OFFSET(Assumptions!$B$8,0,$C$1),OFFSET(Assumptions!$B$57,0,$C$1)="Yes"),Allocation!$G$7,0))*(1+OFFSET(Assumptions!$B$42,0,$C$1)))</f>
        <v>2.9516972770196883</v>
      </c>
      <c r="W247" s="16">
        <f ca="1">IF(W$6=OFFSET(Assumptions!$B$8,0,$C$1),OFFSET(Assumptions!$B$41,0,$C$1)-IF(OFFSET(Assumptions!$B$57,0,$C$1)="Yes",Allocation!$G$7,0),(V$247+IF(AND(V$6=OFFSET(Assumptions!$B$8,0,$C$1),OFFSET(Assumptions!$B$57,0,$C$1)="Yes"),Allocation!$G$7,0))*(1+OFFSET(Assumptions!$B$42,0,$C$1)))</f>
        <v>3.0402481953302791</v>
      </c>
      <c r="X247" s="16">
        <f ca="1">IF(X$6=OFFSET(Assumptions!$B$8,0,$C$1),OFFSET(Assumptions!$B$41,0,$C$1)-IF(OFFSET(Assumptions!$B$57,0,$C$1)="Yes",Allocation!$G$7,0),(W$247+IF(AND(W$6=OFFSET(Assumptions!$B$8,0,$C$1),OFFSET(Assumptions!$B$57,0,$C$1)="Yes"),Allocation!$G$7,0))*(1+OFFSET(Assumptions!$B$42,0,$C$1)))</f>
        <v>3.1314556411901875</v>
      </c>
    </row>
    <row r="248" spans="1:24" x14ac:dyDescent="0.25">
      <c r="A248" s="9" t="s">
        <v>541</v>
      </c>
      <c r="B248" s="10" t="str">
        <f>$B$38</f>
        <v>From Fiscal Forecasts</v>
      </c>
      <c r="D248" s="42">
        <f>'Fiscal Forecasts'!D$22</f>
        <v>0</v>
      </c>
      <c r="E248" s="42">
        <f>'Fiscal Forecasts'!E$22</f>
        <v>0</v>
      </c>
      <c r="F248" s="42">
        <f>'Fiscal Forecasts'!F$22</f>
        <v>0</v>
      </c>
      <c r="G248" s="42">
        <f>'Fiscal Forecasts'!G$22</f>
        <v>0</v>
      </c>
      <c r="H248" s="42">
        <f>'Fiscal Forecasts'!H$22</f>
        <v>0</v>
      </c>
      <c r="I248" s="42">
        <f>'Fiscal Forecasts'!I$22</f>
        <v>0</v>
      </c>
      <c r="J248" s="43">
        <f ca="1">IF(OFFSET(Assumptions!$B$56,0,$C$1)="Yes",0,'Fiscal Forecasts'!J$22)</f>
        <v>-2.7</v>
      </c>
      <c r="K248" s="43">
        <f ca="1">IF(OFFSET(Assumptions!$B$56,0,$C$1)="Yes",0,'Fiscal Forecasts'!K$22)</f>
        <v>-0.9</v>
      </c>
      <c r="L248" s="43">
        <f ca="1">IF(OFFSET(Assumptions!$B$56,0,$C$1)="Yes",0,'Fiscal Forecasts'!L$22)</f>
        <v>-0.6</v>
      </c>
      <c r="M248" s="43">
        <f ca="1">IF(OFFSET(Assumptions!$B$56,0,$C$1)="Yes",0,'Fiscal Forecasts'!M$22)</f>
        <v>-0.6</v>
      </c>
      <c r="N248" s="43">
        <f ca="1">IF(OFFSET(Assumptions!$B$56,0,$C$1)="Yes",0,'Fiscal Forecasts'!N$22)</f>
        <v>-0.6</v>
      </c>
      <c r="O248" s="47">
        <f ca="1">IF(O$6=OFFSET(Assumptions!$B$8,0,$C$1),OFFSET(Assumptions!$B$9,0,$C$1),N$248)</f>
        <v>0</v>
      </c>
      <c r="P248" s="47">
        <f ca="1">IF(P$6=OFFSET(Assumptions!$B$8,0,$C$1),OFFSET(Assumptions!$B$9,0,$C$1),O$248)</f>
        <v>0</v>
      </c>
      <c r="Q248" s="47">
        <f ca="1">IF(Q$6=OFFSET(Assumptions!$B$8,0,$C$1),OFFSET(Assumptions!$B$9,0,$C$1),P$248)</f>
        <v>0</v>
      </c>
      <c r="R248" s="47">
        <f ca="1">IF(R$6=OFFSET(Assumptions!$B$8,0,$C$1),OFFSET(Assumptions!$B$9,0,$C$1),Q$248)</f>
        <v>0</v>
      </c>
      <c r="S248" s="47">
        <f ca="1">IF(S$6=OFFSET(Assumptions!$B$8,0,$C$1),OFFSET(Assumptions!$B$9,0,$C$1),R$248)</f>
        <v>0</v>
      </c>
      <c r="T248" s="47">
        <f ca="1">IF(T$6=OFFSET(Assumptions!$B$8,0,$C$1),OFFSET(Assumptions!$B$9,0,$C$1),S$248)</f>
        <v>0</v>
      </c>
      <c r="U248" s="47">
        <f ca="1">IF(U$6=OFFSET(Assumptions!$B$8,0,$C$1),OFFSET(Assumptions!$B$9,0,$C$1),T$248)</f>
        <v>0</v>
      </c>
      <c r="V248" s="47">
        <f ca="1">IF(V$6=OFFSET(Assumptions!$B$8,0,$C$1),OFFSET(Assumptions!$B$9,0,$C$1),U$248)</f>
        <v>0</v>
      </c>
      <c r="W248" s="47">
        <f ca="1">IF(W$6=OFFSET(Assumptions!$B$8,0,$C$1),OFFSET(Assumptions!$B$9,0,$C$1),V$248)</f>
        <v>0</v>
      </c>
      <c r="X248" s="47">
        <f ca="1">IF(X$6=OFFSET(Assumptions!$B$8,0,$C$1),OFFSET(Assumptions!$B$9,0,$C$1),W$248)</f>
        <v>0</v>
      </c>
    </row>
    <row r="250" spans="1:24" x14ac:dyDescent="0.25">
      <c r="A250" s="9" t="s">
        <v>974</v>
      </c>
    </row>
    <row r="251" spans="1:24" x14ac:dyDescent="0.25">
      <c r="A251" s="9" t="s">
        <v>975</v>
      </c>
      <c r="B251" s="10" t="str">
        <f>$B$38</f>
        <v>From Fiscal Forecasts</v>
      </c>
      <c r="D251" s="42">
        <f>'Fiscal Forecasts'!D$69</f>
        <v>6.6000000000000003E-2</v>
      </c>
      <c r="E251" s="42">
        <f>'Fiscal Forecasts'!E$69</f>
        <v>7.2999999999999995E-2</v>
      </c>
      <c r="F251" s="42">
        <f>'Fiscal Forecasts'!F$69</f>
        <v>9.9000000000000005E-2</v>
      </c>
      <c r="G251" s="42">
        <f>'Fiscal Forecasts'!G$69</f>
        <v>9.4E-2</v>
      </c>
      <c r="H251" s="42">
        <f>'Fiscal Forecasts'!H$69</f>
        <v>6.0999999999999999E-2</v>
      </c>
      <c r="I251" s="42">
        <f>'Fiscal Forecasts'!I$69</f>
        <v>6.9000000000000006E-2</v>
      </c>
      <c r="J251" s="43">
        <f>'Fiscal Forecasts'!J$69</f>
        <v>0.05</v>
      </c>
      <c r="K251" s="43">
        <f>'Fiscal Forecasts'!K$69</f>
        <v>4.9000000000000002E-2</v>
      </c>
      <c r="L251" s="43">
        <f>'Fiscal Forecasts'!L$69</f>
        <v>4.8000000000000001E-2</v>
      </c>
      <c r="M251" s="43">
        <f>'Fiscal Forecasts'!M$69</f>
        <v>4.5999999999999999E-2</v>
      </c>
      <c r="N251" s="43">
        <f>'Fiscal Forecasts'!N$69</f>
        <v>4.4999999999999998E-2</v>
      </c>
      <c r="O251" s="47">
        <f>N$251*Exogenous!Z$34/Exogenous!Y$34</f>
        <v>4.32824427480916E-2</v>
      </c>
      <c r="P251" s="47">
        <f>O$251*Exogenous!AA$34/Exogenous!Z$34</f>
        <v>4.1335877862595419E-2</v>
      </c>
      <c r="Q251" s="47">
        <f>P$251*Exogenous!AB$34/Exogenous!AA$34</f>
        <v>3.9389312977099238E-2</v>
      </c>
      <c r="R251" s="47">
        <f>Q$251*Exogenous!AC$34/Exogenous!AB$34</f>
        <v>3.7442748091603063E-2</v>
      </c>
      <c r="S251" s="47">
        <f>R$251*Exogenous!AD$34/Exogenous!AC$34</f>
        <v>3.5496183206106882E-2</v>
      </c>
      <c r="T251" s="47">
        <f>S$251*Exogenous!AE$34/Exogenous!AD$34</f>
        <v>3.3435114503816803E-2</v>
      </c>
      <c r="U251" s="47">
        <f>T$251*Exogenous!AF$34/Exogenous!AE$34</f>
        <v>3.1603053435114513E-2</v>
      </c>
      <c r="V251" s="47">
        <f>U$251*Exogenous!AG$34/Exogenous!AF$34</f>
        <v>2.977099236641222E-2</v>
      </c>
      <c r="W251" s="47">
        <f>V$251*Exogenous!AH$34/Exogenous!AG$34</f>
        <v>2.7824427480916035E-2</v>
      </c>
      <c r="X251" s="47">
        <f>W$251*Exogenous!AI$34/Exogenous!AH$34</f>
        <v>2.5877862595419854E-2</v>
      </c>
    </row>
    <row r="252" spans="1:24" x14ac:dyDescent="0.25">
      <c r="A252" s="9" t="s">
        <v>976</v>
      </c>
      <c r="B252" s="10" t="str">
        <f>$B$38</f>
        <v>From Fiscal Forecasts</v>
      </c>
      <c r="D252" s="42">
        <f>'Fiscal Forecasts'!D$52</f>
        <v>0.08</v>
      </c>
      <c r="E252" s="42">
        <f>'Fiscal Forecasts'!E$52</f>
        <v>8.6999999999999994E-2</v>
      </c>
      <c r="F252" s="42">
        <f>'Fiscal Forecasts'!F$52</f>
        <v>0.114</v>
      </c>
      <c r="G252" s="42">
        <f>'Fiscal Forecasts'!G$52</f>
        <v>0.11</v>
      </c>
      <c r="H252" s="42">
        <f>'Fiscal Forecasts'!H$52</f>
        <v>7.8E-2</v>
      </c>
      <c r="I252" s="42">
        <f>'Fiscal Forecasts'!I$52</f>
        <v>9.4E-2</v>
      </c>
      <c r="J252" s="43">
        <f>'Fiscal Forecasts'!J$52</f>
        <v>8.5999999999999993E-2</v>
      </c>
      <c r="K252" s="43">
        <f>'Fiscal Forecasts'!K$52</f>
        <v>8.5999999999999993E-2</v>
      </c>
      <c r="L252" s="43">
        <f>'Fiscal Forecasts'!L$52</f>
        <v>8.5000000000000006E-2</v>
      </c>
      <c r="M252" s="43">
        <f>'Fiscal Forecasts'!M$52</f>
        <v>8.4000000000000005E-2</v>
      </c>
      <c r="N252" s="43">
        <f>'Fiscal Forecasts'!N$52</f>
        <v>8.3000000000000004E-2</v>
      </c>
      <c r="O252" s="47">
        <f>N$252*Exogenous!Z$34/Exogenous!Y$34</f>
        <v>7.983206106870229E-2</v>
      </c>
      <c r="P252" s="47">
        <f>O$252*Exogenous!AA$34/Exogenous!Z$34</f>
        <v>7.6241730279898209E-2</v>
      </c>
      <c r="Q252" s="47">
        <f>P$252*Exogenous!AB$34/Exogenous!AA$34</f>
        <v>7.2651399491094129E-2</v>
      </c>
      <c r="R252" s="47">
        <f>Q$252*Exogenous!AC$34/Exogenous!AB$34</f>
        <v>6.9061068702290063E-2</v>
      </c>
      <c r="S252" s="47">
        <f>R$252*Exogenous!AD$34/Exogenous!AC$34</f>
        <v>6.5470737913485982E-2</v>
      </c>
      <c r="T252" s="47">
        <f>S$252*Exogenous!AE$34/Exogenous!AD$34</f>
        <v>6.1669211195928726E-2</v>
      </c>
      <c r="U252" s="47">
        <f>T$252*Exogenous!AF$34/Exogenous!AE$34</f>
        <v>5.8290076335877843E-2</v>
      </c>
      <c r="V252" s="47">
        <f>U$252*Exogenous!AG$34/Exogenous!AF$34</f>
        <v>5.4910941475826952E-2</v>
      </c>
      <c r="W252" s="47">
        <f>V$252*Exogenous!AH$34/Exogenous!AG$34</f>
        <v>5.1320610687022879E-2</v>
      </c>
      <c r="X252" s="47">
        <f>W$252*Exogenous!AI$34/Exogenous!AH$34</f>
        <v>4.7730279898218805E-2</v>
      </c>
    </row>
    <row r="254" spans="1:24" x14ac:dyDescent="0.25">
      <c r="A254" s="9" t="s">
        <v>977</v>
      </c>
      <c r="D254" s="2"/>
      <c r="E254" s="2"/>
      <c r="F254" s="2"/>
      <c r="G254" s="2"/>
      <c r="H254" s="2"/>
      <c r="I254" s="2"/>
      <c r="J254" s="2"/>
      <c r="K254" s="2"/>
      <c r="L254" s="2"/>
    </row>
    <row r="255" spans="1:24" x14ac:dyDescent="0.25">
      <c r="A255" s="11" t="s">
        <v>1389</v>
      </c>
      <c r="B255" s="10" t="str">
        <f t="shared" ref="B255:B260" si="161">$B$38</f>
        <v>From Fiscal Forecasts</v>
      </c>
      <c r="D255" s="35">
        <f>Exogenous!$B$79*'Fiscal Forecasts'!D$58</f>
        <v>3.7266719999999998</v>
      </c>
      <c r="E255" s="35">
        <f>Exogenous!$B$79*'Fiscal Forecasts'!E$58</f>
        <v>4.0577639999999997</v>
      </c>
      <c r="F255" s="35">
        <f>Exogenous!$B$79*'Fiscal Forecasts'!F$58</f>
        <v>4.6479359999999996</v>
      </c>
      <c r="G255" s="35">
        <f>Exogenous!$B$79*'Fiscal Forecasts'!G$58</f>
        <v>5.6673239999999998</v>
      </c>
      <c r="H255" s="35">
        <f>Exogenous!$B$79*'Fiscal Forecasts'!H$58</f>
        <v>5.8117559999999999</v>
      </c>
      <c r="I255" s="35">
        <f>Exogenous!$B$79*'Fiscal Forecasts'!I$58</f>
        <v>6.1197959999999991</v>
      </c>
      <c r="J255" s="17">
        <f ca="1">Exogenous!$B$79*('Fiscal Forecasts'!J$58+IF(OFFSET(Assumptions!$B$56,0,$C$1)="Yes",Allocation!C$15,0))</f>
        <v>6.3107399999999991</v>
      </c>
      <c r="K255" s="17">
        <f ca="1">Exogenous!$B$79*('Fiscal Forecasts'!K$58+IF(OFFSET(Assumptions!$B$56,0,$C$1)="Yes",Allocation!D$15,0))</f>
        <v>6.6726359999999998</v>
      </c>
      <c r="L255" s="17">
        <f ca="1">Exogenous!$B$79*('Fiscal Forecasts'!L$58+IF(OFFSET(Assumptions!$B$56,0,$C$1)="Yes",Allocation!E$15,0))</f>
        <v>6.9472199999999997</v>
      </c>
      <c r="M255" s="17">
        <f ca="1">Exogenous!$B$79*('Fiscal Forecasts'!M$58+IF(OFFSET(Assumptions!$B$56,0,$C$1)="Yes",Allocation!F$15,0))</f>
        <v>6.9755760000000002</v>
      </c>
      <c r="N255" s="17">
        <f ca="1">Exogenous!$B$79*('Fiscal Forecasts'!N$58+IF(OFFSET(Assumptions!$B$56,0,$C$1)="Yes",Allocation!G$15,0))</f>
        <v>7.0053600000000005</v>
      </c>
      <c r="O255" s="16">
        <f ca="1">N$255+IF(OFFSET(Assumptions!$B$57,0,$C$1)="Yes",Exogenous!$B$79*Allocation!$B$15*O$247,IF(OFFSET(Assumptions!$B$58,0,$C$1)="Yes",N$255*(1+(SUMPRODUCT(Exogenous!$B$82:$B$85,'Population Treasury'!Z$238:Z$241)+SUMPRODUCT(Exogenous!$B$86:$B$94,'Population Treasury'!Z$243:Z$251)+SUMPRODUCT(Exogenous!$B$95:$B$100,'Population Treasury'!Z$253:Z$258))/('Population Treasury'!Z$307/'Population Treasury'!Y$307)+(SUMPRODUCT(Exogenous!$C$82:$C$85,'Population Treasury'!Z$283:Z$286)+SUMPRODUCT(Exogenous!$C$86:$C$94,'Population Treasury'!Z$288:Z$296)+SUMPRODUCT(Exogenous!$C$95:$C$100,'Population Treasury'!Z$298:Z$303))/('Population Treasury'!Z$309/'Population Treasury'!Y$309))*(1+O$25)*(1+O$29)*(1+OFFSET(Assumptions!$B$63,0,$C$1))/(1+OFFSET(Assumptions!$B$64,0,$C$1))-N$255,0))</f>
        <v>7.0053600000000005</v>
      </c>
      <c r="P255" s="16">
        <f ca="1">O$255+IF(OFFSET(Assumptions!$B$57,0,$C$1)="Yes",Exogenous!$B$79*Allocation!$B$15*P$247,IF(OFFSET(Assumptions!$B$58,0,$C$1)="Yes",O$255*(1+(SUMPRODUCT(Exogenous!$B$82:$B$85,'Population Treasury'!AA$238:AA$241)+SUMPRODUCT(Exogenous!$B$86:$B$94,'Population Treasury'!AA$243:AA$251)+SUMPRODUCT(Exogenous!$B$95:$B$100,'Population Treasury'!AA$253:AA$258))/('Population Treasury'!AA$307/'Population Treasury'!Z$307)+(SUMPRODUCT(Exogenous!$C$82:$C$85,'Population Treasury'!AA$283:AA$286)+SUMPRODUCT(Exogenous!$C$86:$C$94,'Population Treasury'!AA$288:AA$296)+SUMPRODUCT(Exogenous!$C$95:$C$100,'Population Treasury'!AA$298:AA$303))/('Population Treasury'!AA$309/'Population Treasury'!Z$309))*(1+P$25)*(1+P$29)*(1+OFFSET(Assumptions!$B$63,0,$C$1))/(1+OFFSET(Assumptions!$B$64,0,$C$1))-O$255,0))</f>
        <v>7.0053600000000005</v>
      </c>
      <c r="Q255" s="16">
        <f ca="1">P$255+IF(OFFSET(Assumptions!$B$57,0,$C$1)="Yes",Exogenous!$B$79*Allocation!$B$15*Q$247,IF(OFFSET(Assumptions!$B$58,0,$C$1)="Yes",P$255*(1+(SUMPRODUCT(Exogenous!$B$82:$B$85,'Population Treasury'!AB$238:AB$241)+SUMPRODUCT(Exogenous!$B$86:$B$94,'Population Treasury'!AB$243:AB$251)+SUMPRODUCT(Exogenous!$B$95:$B$100,'Population Treasury'!AB$253:AB$258))/('Population Treasury'!AB$307/'Population Treasury'!AA$307)+(SUMPRODUCT(Exogenous!$C$82:$C$85,'Population Treasury'!AB$283:AB$286)+SUMPRODUCT(Exogenous!$C$86:$C$94,'Population Treasury'!AB$288:AB$296)+SUMPRODUCT(Exogenous!$C$95:$C$100,'Population Treasury'!AB$298:AB$303))/('Population Treasury'!AB$309/'Population Treasury'!AA$309))*(1+Q$25)*(1+Q$29)*(1+OFFSET(Assumptions!$B$63,0,$C$1))/(1+OFFSET(Assumptions!$B$64,0,$C$1))-P$255,0))</f>
        <v>7.0053600000000005</v>
      </c>
      <c r="R255" s="16">
        <f ca="1">Q$255+IF(OFFSET(Assumptions!$B$57,0,$C$1)="Yes",Exogenous!$B$79*Allocation!$B$15*R$247,IF(OFFSET(Assumptions!$B$58,0,$C$1)="Yes",Q$255*(1+(SUMPRODUCT(Exogenous!$B$82:$B$85,'Population Treasury'!AC$238:AC$241)+SUMPRODUCT(Exogenous!$B$86:$B$94,'Population Treasury'!AC$243:AC$251)+SUMPRODUCT(Exogenous!$B$95:$B$100,'Population Treasury'!AC$253:AC$258))/('Population Treasury'!AC$307/'Population Treasury'!AB$307)+(SUMPRODUCT(Exogenous!$C$82:$C$85,'Population Treasury'!AC$283:AC$286)+SUMPRODUCT(Exogenous!$C$86:$C$94,'Population Treasury'!AC$288:AC$296)+SUMPRODUCT(Exogenous!$C$95:$C$100,'Population Treasury'!AC$298:AC$303))/('Population Treasury'!AC$309/'Population Treasury'!AB$309))*(1+R$25)*(1+R$29)*(1+OFFSET(Assumptions!$B$63,0,$C$1))/(1+OFFSET(Assumptions!$B$64,0,$C$1))-Q$255,0))</f>
        <v>7.0053600000000005</v>
      </c>
      <c r="S255" s="16">
        <f ca="1">R$255+IF(OFFSET(Assumptions!$B$57,0,$C$1)="Yes",Exogenous!$B$79*Allocation!$B$15*S$247,IF(OFFSET(Assumptions!$B$58,0,$C$1)="Yes",R$255*(1+(SUMPRODUCT(Exogenous!$B$82:$B$85,'Population Treasury'!AD$238:AD$241)+SUMPRODUCT(Exogenous!$B$86:$B$94,'Population Treasury'!AD$243:AD$251)+SUMPRODUCT(Exogenous!$B$95:$B$100,'Population Treasury'!AD$253:AD$258))/('Population Treasury'!AD$307/'Population Treasury'!AC$307)+(SUMPRODUCT(Exogenous!$C$82:$C$85,'Population Treasury'!AD$283:AD$286)+SUMPRODUCT(Exogenous!$C$86:$C$94,'Population Treasury'!AD$288:AD$296)+SUMPRODUCT(Exogenous!$C$95:$C$100,'Population Treasury'!AD$298:AD$303))/('Population Treasury'!AD$309/'Population Treasury'!AC$309))*(1+S$25)*(1+S$29)*(1+OFFSET(Assumptions!$B$63,0,$C$1))/(1+OFFSET(Assumptions!$B$64,0,$C$1))-R$255,0))</f>
        <v>7.0053600000000005</v>
      </c>
      <c r="T255" s="16">
        <f ca="1">S$255+IF(OFFSET(Assumptions!$B$57,0,$C$1)="Yes",Exogenous!$B$79*Allocation!$B$15*T$247,IF(OFFSET(Assumptions!$B$58,0,$C$1)="Yes",S$255*(1+(SUMPRODUCT(Exogenous!$B$82:$B$85,'Population Treasury'!AE$238:AE$241)+SUMPRODUCT(Exogenous!$B$86:$B$94,'Population Treasury'!AE$243:AE$251)+SUMPRODUCT(Exogenous!$B$95:$B$100,'Population Treasury'!AE$253:AE$258))/('Population Treasury'!AE$307/'Population Treasury'!AD$307)+(SUMPRODUCT(Exogenous!$C$82:$C$85,'Population Treasury'!AE$283:AE$286)+SUMPRODUCT(Exogenous!$C$86:$C$94,'Population Treasury'!AE$288:AE$296)+SUMPRODUCT(Exogenous!$C$95:$C$100,'Population Treasury'!AE$298:AE$303))/('Population Treasury'!AE$309/'Population Treasury'!AD$309))*(1+T$25)*(1+T$29)*(1+OFFSET(Assumptions!$B$63,0,$C$1))/(1+OFFSET(Assumptions!$B$64,0,$C$1))-S$255,0))</f>
        <v>7.0053600000000005</v>
      </c>
      <c r="U255" s="16">
        <f ca="1">T$255+IF(OFFSET(Assumptions!$B$57,0,$C$1)="Yes",Exogenous!$B$79*Allocation!$B$15*U$247,IF(OFFSET(Assumptions!$B$58,0,$C$1)="Yes",T$255*(1+(SUMPRODUCT(Exogenous!$B$82:$B$85,'Population Treasury'!AF$238:AF$241)+SUMPRODUCT(Exogenous!$B$86:$B$94,'Population Treasury'!AF$243:AF$251)+SUMPRODUCT(Exogenous!$B$95:$B$100,'Population Treasury'!AF$253:AF$258))/('Population Treasury'!AF$307/'Population Treasury'!AE$307)+(SUMPRODUCT(Exogenous!$C$82:$C$85,'Population Treasury'!AF$283:AF$286)+SUMPRODUCT(Exogenous!$C$86:$C$94,'Population Treasury'!AF$288:AF$296)+SUMPRODUCT(Exogenous!$C$95:$C$100,'Population Treasury'!AF$298:AF$303))/('Population Treasury'!AF$309/'Population Treasury'!AE$309))*(1+U$25)*(1+U$29)*(1+OFFSET(Assumptions!$B$63,0,$C$1))/(1+OFFSET(Assumptions!$B$64,0,$C$1))-T$255,0))</f>
        <v>7.0053600000000005</v>
      </c>
      <c r="V255" s="16">
        <f ca="1">U$255+IF(OFFSET(Assumptions!$B$57,0,$C$1)="Yes",Exogenous!$B$79*Allocation!$B$15*V$247,IF(OFFSET(Assumptions!$B$58,0,$C$1)="Yes",U$255*(1+(SUMPRODUCT(Exogenous!$B$82:$B$85,'Population Treasury'!AG$238:AG$241)+SUMPRODUCT(Exogenous!$B$86:$B$94,'Population Treasury'!AG$243:AG$251)+SUMPRODUCT(Exogenous!$B$95:$B$100,'Population Treasury'!AG$253:AG$258))/('Population Treasury'!AG$307/'Population Treasury'!AF$307)+(SUMPRODUCT(Exogenous!$C$82:$C$85,'Population Treasury'!AG$283:AG$286)+SUMPRODUCT(Exogenous!$C$86:$C$94,'Population Treasury'!AG$288:AG$296)+SUMPRODUCT(Exogenous!$C$95:$C$100,'Population Treasury'!AG$298:AG$303))/('Population Treasury'!AG$309/'Population Treasury'!AF$309))*(1+V$25)*(1+V$29)*(1+OFFSET(Assumptions!$B$63,0,$C$1))/(1+OFFSET(Assumptions!$B$64,0,$C$1))-U$255,0))</f>
        <v>7.0053600000000005</v>
      </c>
      <c r="W255" s="16">
        <f ca="1">V$255+IF(OFFSET(Assumptions!$B$57,0,$C$1)="Yes",Exogenous!$B$79*Allocation!$B$15*W$247,IF(OFFSET(Assumptions!$B$58,0,$C$1)="Yes",V$255*(1+(SUMPRODUCT(Exogenous!$B$82:$B$85,'Population Treasury'!AH$238:AH$241)+SUMPRODUCT(Exogenous!$B$86:$B$94,'Population Treasury'!AH$243:AH$251)+SUMPRODUCT(Exogenous!$B$95:$B$100,'Population Treasury'!AH$253:AH$258))/('Population Treasury'!AH$307/'Population Treasury'!AG$307)+(SUMPRODUCT(Exogenous!$C$82:$C$85,'Population Treasury'!AH$283:AH$286)+SUMPRODUCT(Exogenous!$C$86:$C$94,'Population Treasury'!AH$288:AH$296)+SUMPRODUCT(Exogenous!$C$95:$C$100,'Population Treasury'!AH$298:AH$303))/('Population Treasury'!AH$309/'Population Treasury'!AG$309))*(1+W$25)*(1+W$29)*(1+OFFSET(Assumptions!$B$63,0,$C$1))/(1+OFFSET(Assumptions!$B$64,0,$C$1))-V$255,0))</f>
        <v>7.0053600000000005</v>
      </c>
      <c r="X255" s="16">
        <f ca="1">W$255+IF(OFFSET(Assumptions!$B$57,0,$C$1)="Yes",Exogenous!$B$79*Allocation!$B$15*X$247,IF(OFFSET(Assumptions!$B$58,0,$C$1)="Yes",W$255*(1+(SUMPRODUCT(Exogenous!$B$82:$B$85,'Population Treasury'!AI$238:AI$241)+SUMPRODUCT(Exogenous!$B$86:$B$94,'Population Treasury'!AI$243:AI$251)+SUMPRODUCT(Exogenous!$B$95:$B$100,'Population Treasury'!AI$253:AI$258))/('Population Treasury'!AI$307/'Population Treasury'!AH$307)+(SUMPRODUCT(Exogenous!$C$82:$C$85,'Population Treasury'!AI$283:AI$286)+SUMPRODUCT(Exogenous!$C$86:$C$94,'Population Treasury'!AI$288:AI$296)+SUMPRODUCT(Exogenous!$C$95:$C$100,'Population Treasury'!AI$298:AI$303))/('Population Treasury'!AI$309/'Population Treasury'!AH$309))*(1+X$25)*(1+X$29)*(1+OFFSET(Assumptions!$B$63,0,$C$1))/(1+OFFSET(Assumptions!$B$64,0,$C$1))-W$255,0))</f>
        <v>7.0053600000000005</v>
      </c>
    </row>
    <row r="256" spans="1:24" x14ac:dyDescent="0.25">
      <c r="A256" s="11" t="s">
        <v>1390</v>
      </c>
      <c r="B256" s="10" t="str">
        <f t="shared" si="161"/>
        <v>From Fiscal Forecasts</v>
      </c>
      <c r="D256" s="35">
        <f>Exogenous!$E$79*'Fiscal Forecasts'!D$58</f>
        <v>9.882988000000001</v>
      </c>
      <c r="E256" s="35">
        <f>Exogenous!$E$79*'Fiscal Forecasts'!E$58</f>
        <v>10.761030999999999</v>
      </c>
      <c r="F256" s="35">
        <f>Exogenous!$E$79*'Fiscal Forecasts'!F$58</f>
        <v>12.326144000000001</v>
      </c>
      <c r="G256" s="35">
        <f>Exogenous!$E$79*'Fiscal Forecasts'!G$58</f>
        <v>15.029521000000001</v>
      </c>
      <c r="H256" s="35">
        <f>Exogenous!$E$79*'Fiscal Forecasts'!H$58</f>
        <v>15.412549000000002</v>
      </c>
      <c r="I256" s="35">
        <f>Exogenous!$E$79*'Fiscal Forecasts'!I$58</f>
        <v>16.229459000000002</v>
      </c>
      <c r="J256" s="17">
        <f ca="1">Exogenous!$E$79*('Fiscal Forecasts'!J$58+IF(OFFSET(Assumptions!$B$56,0,$C$1)="Yes",Allocation!C$15,0))</f>
        <v>16.735835000000002</v>
      </c>
      <c r="K256" s="17">
        <f ca="1">Exogenous!$E$79*('Fiscal Forecasts'!K$58+IF(OFFSET(Assumptions!$B$56,0,$C$1)="Yes",Allocation!D$15,0))</f>
        <v>17.695569000000003</v>
      </c>
      <c r="L256" s="17">
        <f ca="1">Exogenous!$E$79*('Fiscal Forecasts'!L$58+IF(OFFSET(Assumptions!$B$56,0,$C$1)="Yes",Allocation!E$15,0))</f>
        <v>18.423755</v>
      </c>
      <c r="M256" s="17">
        <f ca="1">Exogenous!$E$79*('Fiscal Forecasts'!M$58+IF(OFFSET(Assumptions!$B$56,0,$C$1)="Yes",Allocation!F$15,0))</f>
        <v>18.498954000000001</v>
      </c>
      <c r="N256" s="17">
        <f ca="1">Exogenous!$E$79*('Fiscal Forecasts'!N$58+IF(OFFSET(Assumptions!$B$56,0,$C$1)="Yes",Allocation!G$15,0))</f>
        <v>18.577940000000002</v>
      </c>
      <c r="O256" s="16">
        <f ca="1">N$256+IF(OFFSET(Assumptions!$B$57,0,$C$1)="Yes",Exogenous!$E$79*Allocation!$B$15*O$247,IF(OFFSET(Assumptions!$B$58,0,$C$1)="Yes",N$256*(1+(SUMPRODUCT(Exogenous!$E$82:$E$85,'Population Treasury'!Z$238:Z$241)+SUMPRODUCT(Exogenous!$E$86:$E$94,'Population Treasury'!Z$243:Z$251)+SUMPRODUCT(Exogenous!$E$95:$E$100,'Population Treasury'!Z$253:Z$258))/('Population Treasury'!Z$307/'Population Treasury'!Y$307)+(SUMPRODUCT(Exogenous!$F$82:$F$85,'Population Treasury'!Z$283:Z$286)+SUMPRODUCT(Exogenous!$F$86:$F$94,'Population Treasury'!Z$288:Z$296)+SUMPRODUCT(Exogenous!$F$95:$F$100,'Population Treasury'!Z$298:Z$303))/('Population Treasury'!Z$309/'Population Treasury'!Y$309))*(1+O$25)*(1+O$29)*(1+OFFSET(Assumptions!$B$63,0,$C$1))/(1+OFFSET(Assumptions!$B$64,0,$C$1))-N$256,0))</f>
        <v>18.577940000000002</v>
      </c>
      <c r="P256" s="16">
        <f ca="1">O$256+IF(OFFSET(Assumptions!$B$57,0,$C$1)="Yes",Exogenous!$E$79*Allocation!$B$15*P$247,IF(OFFSET(Assumptions!$B$58,0,$C$1)="Yes",O$256*(1+(SUMPRODUCT(Exogenous!$E$82:$E$85,'Population Treasury'!AA$238:AA$241)+SUMPRODUCT(Exogenous!$E$86:$E$94,'Population Treasury'!AA$243:AA$251)+SUMPRODUCT(Exogenous!$E$95:$E$100,'Population Treasury'!AA$253:AA$258))/('Population Treasury'!AA$307/'Population Treasury'!Z$307)+(SUMPRODUCT(Exogenous!$F$82:$F$85,'Population Treasury'!AA$283:AA$286)+SUMPRODUCT(Exogenous!$F$86:$F$94,'Population Treasury'!AA$288:AA$296)+SUMPRODUCT(Exogenous!$F$95:$F$100,'Population Treasury'!AA$298:AA$303))/('Population Treasury'!AA$309/'Population Treasury'!Z$309))*(1+P$25)*(1+P$29)*(1+OFFSET(Assumptions!$B$63,0,$C$1))/(1+OFFSET(Assumptions!$B$64,0,$C$1))-O$256,0))</f>
        <v>18.577940000000002</v>
      </c>
      <c r="Q256" s="16">
        <f ca="1">P$256+IF(OFFSET(Assumptions!$B$57,0,$C$1)="Yes",Exogenous!$E$79*Allocation!$B$15*Q$247,IF(OFFSET(Assumptions!$B$58,0,$C$1)="Yes",P$256*(1+(SUMPRODUCT(Exogenous!$E$82:$E$85,'Population Treasury'!AB$238:AB$241)+SUMPRODUCT(Exogenous!$E$86:$E$94,'Population Treasury'!AB$243:AB$251)+SUMPRODUCT(Exogenous!$E$95:$E$100,'Population Treasury'!AB$253:AB$258))/('Population Treasury'!AB$307/'Population Treasury'!AA$307)+(SUMPRODUCT(Exogenous!$F$82:$F$85,'Population Treasury'!AB$283:AB$286)+SUMPRODUCT(Exogenous!$F$86:$F$94,'Population Treasury'!AB$288:AB$296)+SUMPRODUCT(Exogenous!$F$95:$F$100,'Population Treasury'!AB$298:AB$303))/('Population Treasury'!AB$309/'Population Treasury'!AA$309))*(1+Q$25)*(1+Q$29)*(1+OFFSET(Assumptions!$B$63,0,$C$1))/(1+OFFSET(Assumptions!$B$64,0,$C$1))-P$256,0))</f>
        <v>18.577940000000002</v>
      </c>
      <c r="R256" s="16">
        <f ca="1">Q$256+IF(OFFSET(Assumptions!$B$57,0,$C$1)="Yes",Exogenous!$E$79*Allocation!$B$15*R$247,IF(OFFSET(Assumptions!$B$58,0,$C$1)="Yes",Q$256*(1+(SUMPRODUCT(Exogenous!$E$82:$E$85,'Population Treasury'!AC$238:AC$241)+SUMPRODUCT(Exogenous!$E$86:$E$94,'Population Treasury'!AC$243:AC$251)+SUMPRODUCT(Exogenous!$E$95:$E$100,'Population Treasury'!AC$253:AC$258))/('Population Treasury'!AC$307/'Population Treasury'!AB$307)+(SUMPRODUCT(Exogenous!$F$82:$F$85,'Population Treasury'!AC$283:AC$286)+SUMPRODUCT(Exogenous!$F$86:$F$94,'Population Treasury'!AC$288:AC$296)+SUMPRODUCT(Exogenous!$F$95:$F$100,'Population Treasury'!AC$298:AC$303))/('Population Treasury'!AC$309/'Population Treasury'!AB$309))*(1+R$25)*(1+R$29)*(1+OFFSET(Assumptions!$B$63,0,$C$1))/(1+OFFSET(Assumptions!$B$64,0,$C$1))-Q$256,0))</f>
        <v>18.577940000000002</v>
      </c>
      <c r="S256" s="16">
        <f ca="1">R$256+IF(OFFSET(Assumptions!$B$57,0,$C$1)="Yes",Exogenous!$E$79*Allocation!$B$15*S$247,IF(OFFSET(Assumptions!$B$58,0,$C$1)="Yes",R$256*(1+(SUMPRODUCT(Exogenous!$E$82:$E$85,'Population Treasury'!AD$238:AD$241)+SUMPRODUCT(Exogenous!$E$86:$E$94,'Population Treasury'!AD$243:AD$251)+SUMPRODUCT(Exogenous!$E$95:$E$100,'Population Treasury'!AD$253:AD$258))/('Population Treasury'!AD$307/'Population Treasury'!AC$307)+(SUMPRODUCT(Exogenous!$F$82:$F$85,'Population Treasury'!AD$283:AD$286)+SUMPRODUCT(Exogenous!$F$86:$F$94,'Population Treasury'!AD$288:AD$296)+SUMPRODUCT(Exogenous!$F$95:$F$100,'Population Treasury'!AD$298:AD$303))/('Population Treasury'!AD$309/'Population Treasury'!AC$309))*(1+S$25)*(1+S$29)*(1+OFFSET(Assumptions!$B$63,0,$C$1))/(1+OFFSET(Assumptions!$B$64,0,$C$1))-R$256,0))</f>
        <v>18.577940000000002</v>
      </c>
      <c r="T256" s="16">
        <f ca="1">S$256+IF(OFFSET(Assumptions!$B$57,0,$C$1)="Yes",Exogenous!$E$79*Allocation!$B$15*T$247,IF(OFFSET(Assumptions!$B$58,0,$C$1)="Yes",S$256*(1+(SUMPRODUCT(Exogenous!$E$82:$E$85,'Population Treasury'!AE$238:AE$241)+SUMPRODUCT(Exogenous!$E$86:$E$94,'Population Treasury'!AE$243:AE$251)+SUMPRODUCT(Exogenous!$E$95:$E$100,'Population Treasury'!AE$253:AE$258))/('Population Treasury'!AE$307/'Population Treasury'!AD$307)+(SUMPRODUCT(Exogenous!$F$82:$F$85,'Population Treasury'!AE$283:AE$286)+SUMPRODUCT(Exogenous!$F$86:$F$94,'Population Treasury'!AE$288:AE$296)+SUMPRODUCT(Exogenous!$F$95:$F$100,'Population Treasury'!AE$298:AE$303))/('Population Treasury'!AE$309/'Population Treasury'!AD$309))*(1+T$25)*(1+T$29)*(1+OFFSET(Assumptions!$B$63,0,$C$1))/(1+OFFSET(Assumptions!$B$64,0,$C$1))-S$256,0))</f>
        <v>18.577940000000002</v>
      </c>
      <c r="U256" s="16">
        <f ca="1">T$256+IF(OFFSET(Assumptions!$B$57,0,$C$1)="Yes",Exogenous!$E$79*Allocation!$B$15*U$247,IF(OFFSET(Assumptions!$B$58,0,$C$1)="Yes",T$256*(1+(SUMPRODUCT(Exogenous!$E$82:$E$85,'Population Treasury'!AF$238:AF$241)+SUMPRODUCT(Exogenous!$E$86:$E$94,'Population Treasury'!AF$243:AF$251)+SUMPRODUCT(Exogenous!$E$95:$E$100,'Population Treasury'!AF$253:AF$258))/('Population Treasury'!AF$307/'Population Treasury'!AE$307)+(SUMPRODUCT(Exogenous!$F$82:$F$85,'Population Treasury'!AF$283:AF$286)+SUMPRODUCT(Exogenous!$F$86:$F$94,'Population Treasury'!AF$288:AF$296)+SUMPRODUCT(Exogenous!$F$95:$F$100,'Population Treasury'!AF$298:AF$303))/('Population Treasury'!AF$309/'Population Treasury'!AE$309))*(1+U$25)*(1+U$29)*(1+OFFSET(Assumptions!$B$63,0,$C$1))/(1+OFFSET(Assumptions!$B$64,0,$C$1))-T$256,0))</f>
        <v>18.577940000000002</v>
      </c>
      <c r="V256" s="16">
        <f ca="1">U$256+IF(OFFSET(Assumptions!$B$57,0,$C$1)="Yes",Exogenous!$E$79*Allocation!$B$15*V$247,IF(OFFSET(Assumptions!$B$58,0,$C$1)="Yes",U$256*(1+(SUMPRODUCT(Exogenous!$E$82:$E$85,'Population Treasury'!AG$238:AG$241)+SUMPRODUCT(Exogenous!$E$86:$E$94,'Population Treasury'!AG$243:AG$251)+SUMPRODUCT(Exogenous!$E$95:$E$100,'Population Treasury'!AG$253:AG$258))/('Population Treasury'!AG$307/'Population Treasury'!AF$307)+(SUMPRODUCT(Exogenous!$F$82:$F$85,'Population Treasury'!AG$283:AG$286)+SUMPRODUCT(Exogenous!$F$86:$F$94,'Population Treasury'!AG$288:AG$296)+SUMPRODUCT(Exogenous!$F$95:$F$100,'Population Treasury'!AG$298:AG$303))/('Population Treasury'!AG$309/'Population Treasury'!AF$309))*(1+V$25)*(1+V$29)*(1+OFFSET(Assumptions!$B$63,0,$C$1))/(1+OFFSET(Assumptions!$B$64,0,$C$1))-U$256,0))</f>
        <v>18.577940000000002</v>
      </c>
      <c r="W256" s="16">
        <f ca="1">V$256+IF(OFFSET(Assumptions!$B$57,0,$C$1)="Yes",Exogenous!$E$79*Allocation!$B$15*W$247,IF(OFFSET(Assumptions!$B$58,0,$C$1)="Yes",V$256*(1+(SUMPRODUCT(Exogenous!$E$82:$E$85,'Population Treasury'!AH$238:AH$241)+SUMPRODUCT(Exogenous!$E$86:$E$94,'Population Treasury'!AH$243:AH$251)+SUMPRODUCT(Exogenous!$E$95:$E$100,'Population Treasury'!AH$253:AH$258))/('Population Treasury'!AH$307/'Population Treasury'!AG$307)+(SUMPRODUCT(Exogenous!$F$82:$F$85,'Population Treasury'!AH$283:AH$286)+SUMPRODUCT(Exogenous!$F$86:$F$94,'Population Treasury'!AH$288:AH$296)+SUMPRODUCT(Exogenous!$F$95:$F$100,'Population Treasury'!AH$298:AH$303))/('Population Treasury'!AH$309/'Population Treasury'!AG$309))*(1+W$25)*(1+W$29)*(1+OFFSET(Assumptions!$B$63,0,$C$1))/(1+OFFSET(Assumptions!$B$64,0,$C$1))-V$256,0))</f>
        <v>18.577940000000002</v>
      </c>
      <c r="X256" s="16">
        <f ca="1">W$256+IF(OFFSET(Assumptions!$B$57,0,$C$1)="Yes",Exogenous!$E$79*Allocation!$B$15*X$247,IF(OFFSET(Assumptions!$B$58,0,$C$1)="Yes",W$256*(1+(SUMPRODUCT(Exogenous!$E$82:$E$85,'Population Treasury'!AI$238:AI$241)+SUMPRODUCT(Exogenous!$E$86:$E$94,'Population Treasury'!AI$243:AI$251)+SUMPRODUCT(Exogenous!$E$95:$E$100,'Population Treasury'!AI$253:AI$258))/('Population Treasury'!AI$307/'Population Treasury'!AH$307)+(SUMPRODUCT(Exogenous!$F$82:$F$85,'Population Treasury'!AI$283:AI$286)+SUMPRODUCT(Exogenous!$F$86:$F$94,'Population Treasury'!AI$288:AI$296)+SUMPRODUCT(Exogenous!$F$95:$F$100,'Population Treasury'!AI$298:AI$303))/('Population Treasury'!AI$309/'Population Treasury'!AH$309))*(1+X$25)*(1+X$29)*(1+OFFSET(Assumptions!$B$63,0,$C$1))/(1+OFFSET(Assumptions!$B$64,0,$C$1))-W$256,0))</f>
        <v>18.577940000000002</v>
      </c>
    </row>
    <row r="257" spans="1:24" x14ac:dyDescent="0.25">
      <c r="A257" s="11" t="s">
        <v>1391</v>
      </c>
      <c r="B257" s="10" t="str">
        <f t="shared" si="161"/>
        <v>From Fiscal Forecasts</v>
      </c>
      <c r="D257" s="35">
        <f>Exogenous!$H$79*'Fiscal Forecasts'!D$58</f>
        <v>1.91814</v>
      </c>
      <c r="E257" s="35">
        <f>Exogenous!$H$79*'Fiscal Forecasts'!E$58</f>
        <v>2.0885549999999999</v>
      </c>
      <c r="F257" s="35">
        <f>Exogenous!$H$79*'Fiscal Forecasts'!F$58</f>
        <v>2.3923199999999998</v>
      </c>
      <c r="G257" s="35">
        <f>Exogenous!$H$79*'Fiscal Forecasts'!G$58</f>
        <v>2.9170049999999996</v>
      </c>
      <c r="H257" s="35">
        <f>Exogenous!$H$79*'Fiscal Forecasts'!H$58</f>
        <v>2.9913449999999999</v>
      </c>
      <c r="I257" s="35">
        <f>Exogenous!$H$79*'Fiscal Forecasts'!I$58</f>
        <v>3.1498949999999999</v>
      </c>
      <c r="J257" s="17">
        <f ca="1">Exogenous!$H$79*('Fiscal Forecasts'!J$58+IF(OFFSET(Assumptions!$B$56,0,$C$1)="Yes",Allocation!C$15,0))</f>
        <v>3.2481749999999998</v>
      </c>
      <c r="K257" s="17">
        <f ca="1">Exogenous!$H$79*('Fiscal Forecasts'!K$58+IF(OFFSET(Assumptions!$B$56,0,$C$1)="Yes",Allocation!D$15,0))</f>
        <v>3.4344450000000002</v>
      </c>
      <c r="L257" s="17">
        <f ca="1">Exogenous!$H$79*('Fiscal Forecasts'!L$58+IF(OFFSET(Assumptions!$B$56,0,$C$1)="Yes",Allocation!E$15,0))</f>
        <v>3.5757749999999997</v>
      </c>
      <c r="M257" s="17">
        <f ca="1">Exogenous!$H$79*('Fiscal Forecasts'!M$58+IF(OFFSET(Assumptions!$B$56,0,$C$1)="Yes",Allocation!F$15,0))</f>
        <v>3.5903700000000001</v>
      </c>
      <c r="N257" s="17">
        <f ca="1">Exogenous!$H$79*('Fiscal Forecasts'!N$58+IF(OFFSET(Assumptions!$B$56,0,$C$1)="Yes",Allocation!G$15,0))</f>
        <v>3.6057000000000001</v>
      </c>
      <c r="O257" s="16">
        <f ca="1">N$257+IF(OFFSET(Assumptions!$B$57,0,$C$1)="Yes",Exogenous!$H$79*Allocation!$B$15*O$247,IF(OFFSET(Assumptions!$B$58,0,$C$1)="Yes",N$257*(1+(SUMPRODUCT(Exogenous!$H$82:$H$85,'Population Treasury'!Z$238:Z$241)+SUMPRODUCT(Exogenous!$H$86:$H$94,'Population Treasury'!Z$243:Z$251)+SUMPRODUCT(Exogenous!$H$95:$H$100,'Population Treasury'!Z$253:Z$258))/('Population Treasury'!Z$307/'Population Treasury'!Y$307)+(SUMPRODUCT(Exogenous!$I$82:$I$85,'Population Treasury'!Z$283:Z$286)+SUMPRODUCT(Exogenous!$I$86:$I$94,'Population Treasury'!Z$288:Z$296)+SUMPRODUCT(Exogenous!$I$95:$I$100,'Population Treasury'!Z$298:Z$303))/('Population Treasury'!Z$309/'Population Treasury'!Y$309))*(1+O$25)*(1+O$29)*(1+OFFSET(Assumptions!$B$63,0,$C$1))/(1+OFFSET(Assumptions!$B$64,0,$C$1))-N$257,0))</f>
        <v>3.6057000000000001</v>
      </c>
      <c r="P257" s="16">
        <f ca="1">O$257+IF(OFFSET(Assumptions!$B$57,0,$C$1)="Yes",Exogenous!$H$79*Allocation!$B$15*P$247,IF(OFFSET(Assumptions!$B$58,0,$C$1)="Yes",O$257*(1+(SUMPRODUCT(Exogenous!$H$82:$H$85,'Population Treasury'!AA$238:AA$241)+SUMPRODUCT(Exogenous!$H$86:$H$94,'Population Treasury'!AA$243:AA$251)+SUMPRODUCT(Exogenous!$H$95:$H$100,'Population Treasury'!AA$253:AA$258))/('Population Treasury'!AA$307/'Population Treasury'!Z$307)+(SUMPRODUCT(Exogenous!$I$82:$I$85,'Population Treasury'!AA$283:AA$286)+SUMPRODUCT(Exogenous!$I$86:$I$94,'Population Treasury'!AA$288:AA$296)+SUMPRODUCT(Exogenous!$I$95:$I$100,'Population Treasury'!AA$298:AA$303))/('Population Treasury'!AA$309/'Population Treasury'!Z$309))*(1+P$25)*(1+P$29)*(1+OFFSET(Assumptions!$B$63,0,$C$1))/(1+OFFSET(Assumptions!$B$64,0,$C$1))-O$257,0))</f>
        <v>3.6057000000000001</v>
      </c>
      <c r="Q257" s="16">
        <f ca="1">P$257+IF(OFFSET(Assumptions!$B$57,0,$C$1)="Yes",Exogenous!$H$79*Allocation!$B$15*Q$247,IF(OFFSET(Assumptions!$B$58,0,$C$1)="Yes",P$257*(1+(SUMPRODUCT(Exogenous!$H$82:$H$85,'Population Treasury'!AB$238:AB$241)+SUMPRODUCT(Exogenous!$H$86:$H$94,'Population Treasury'!AB$243:AB$251)+SUMPRODUCT(Exogenous!$H$95:$H$100,'Population Treasury'!AB$253:AB$258))/('Population Treasury'!AB$307/'Population Treasury'!AA$307)+(SUMPRODUCT(Exogenous!$I$82:$I$85,'Population Treasury'!AB$283:AB$286)+SUMPRODUCT(Exogenous!$I$86:$I$94,'Population Treasury'!AB$288:AB$296)+SUMPRODUCT(Exogenous!$I$95:$I$100,'Population Treasury'!AB$298:AB$303))/('Population Treasury'!AB$309/'Population Treasury'!AA$309))*(1+Q$25)*(1+Q$29)*(1+OFFSET(Assumptions!$B$63,0,$C$1))/(1+OFFSET(Assumptions!$B$64,0,$C$1))-P$257,0))</f>
        <v>3.6057000000000001</v>
      </c>
      <c r="R257" s="16">
        <f ca="1">Q$257+IF(OFFSET(Assumptions!$B$57,0,$C$1)="Yes",Exogenous!$H$79*Allocation!$B$15*R$247,IF(OFFSET(Assumptions!$B$58,0,$C$1)="Yes",Q$257*(1+(SUMPRODUCT(Exogenous!$H$82:$H$85,'Population Treasury'!AC$238:AC$241)+SUMPRODUCT(Exogenous!$H$86:$H$94,'Population Treasury'!AC$243:AC$251)+SUMPRODUCT(Exogenous!$H$95:$H$100,'Population Treasury'!AC$253:AC$258))/('Population Treasury'!AC$307/'Population Treasury'!AB$307)+(SUMPRODUCT(Exogenous!$I$82:$I$85,'Population Treasury'!AC$283:AC$286)+SUMPRODUCT(Exogenous!$I$86:$I$94,'Population Treasury'!AC$288:AC$296)+SUMPRODUCT(Exogenous!$I$95:$I$100,'Population Treasury'!AC$298:AC$303))/('Population Treasury'!AC$309/'Population Treasury'!AB$309))*(1+R$25)*(1+R$29)*(1+OFFSET(Assumptions!$B$63,0,$C$1))/(1+OFFSET(Assumptions!$B$64,0,$C$1))-Q$257,0))</f>
        <v>3.6057000000000001</v>
      </c>
      <c r="S257" s="16">
        <f ca="1">R$257+IF(OFFSET(Assumptions!$B$57,0,$C$1)="Yes",Exogenous!$H$79*Allocation!$B$15*S$247,IF(OFFSET(Assumptions!$B$58,0,$C$1)="Yes",R$257*(1+(SUMPRODUCT(Exogenous!$H$82:$H$85,'Population Treasury'!AD$238:AD$241)+SUMPRODUCT(Exogenous!$H$86:$H$94,'Population Treasury'!AD$243:AD$251)+SUMPRODUCT(Exogenous!$H$95:$H$100,'Population Treasury'!AD$253:AD$258))/('Population Treasury'!AD$307/'Population Treasury'!AC$307)+(SUMPRODUCT(Exogenous!$I$82:$I$85,'Population Treasury'!AD$283:AD$286)+SUMPRODUCT(Exogenous!$I$86:$I$94,'Population Treasury'!AD$288:AD$296)+SUMPRODUCT(Exogenous!$I$95:$I$100,'Population Treasury'!AD$298:AD$303))/('Population Treasury'!AD$309/'Population Treasury'!AC$309))*(1+S$25)*(1+S$29)*(1+OFFSET(Assumptions!$B$63,0,$C$1))/(1+OFFSET(Assumptions!$B$64,0,$C$1))-R$257,0))</f>
        <v>3.6057000000000001</v>
      </c>
      <c r="T257" s="16">
        <f ca="1">S$257+IF(OFFSET(Assumptions!$B$57,0,$C$1)="Yes",Exogenous!$H$79*Allocation!$B$15*T$247,IF(OFFSET(Assumptions!$B$58,0,$C$1)="Yes",S$257*(1+(SUMPRODUCT(Exogenous!$H$82:$H$85,'Population Treasury'!AE$238:AE$241)+SUMPRODUCT(Exogenous!$H$86:$H$94,'Population Treasury'!AE$243:AE$251)+SUMPRODUCT(Exogenous!$H$95:$H$100,'Population Treasury'!AE$253:AE$258))/('Population Treasury'!AE$307/'Population Treasury'!AD$307)+(SUMPRODUCT(Exogenous!$I$82:$I$85,'Population Treasury'!AE$283:AE$286)+SUMPRODUCT(Exogenous!$I$86:$I$94,'Population Treasury'!AE$288:AE$296)+SUMPRODUCT(Exogenous!$I$95:$I$100,'Population Treasury'!AE$298:AE$303))/('Population Treasury'!AE$309/'Population Treasury'!AD$309))*(1+T$25)*(1+T$29)*(1+OFFSET(Assumptions!$B$63,0,$C$1))/(1+OFFSET(Assumptions!$B$64,0,$C$1))-S$257,0))</f>
        <v>3.6057000000000001</v>
      </c>
      <c r="U257" s="16">
        <f ca="1">T$257+IF(OFFSET(Assumptions!$B$57,0,$C$1)="Yes",Exogenous!$H$79*Allocation!$B$15*U$247,IF(OFFSET(Assumptions!$B$58,0,$C$1)="Yes",T$257*(1+(SUMPRODUCT(Exogenous!$H$82:$H$85,'Population Treasury'!AF$238:AF$241)+SUMPRODUCT(Exogenous!$H$86:$H$94,'Population Treasury'!AF$243:AF$251)+SUMPRODUCT(Exogenous!$H$95:$H$100,'Population Treasury'!AF$253:AF$258))/('Population Treasury'!AF$307/'Population Treasury'!AE$307)+(SUMPRODUCT(Exogenous!$I$82:$I$85,'Population Treasury'!AF$283:AF$286)+SUMPRODUCT(Exogenous!$I$86:$I$94,'Population Treasury'!AF$288:AF$296)+SUMPRODUCT(Exogenous!$I$95:$I$100,'Population Treasury'!AF$298:AF$303))/('Population Treasury'!AF$309/'Population Treasury'!AE$309))*(1+U$25)*(1+U$29)*(1+OFFSET(Assumptions!$B$63,0,$C$1))/(1+OFFSET(Assumptions!$B$64,0,$C$1))-T$257,0))</f>
        <v>3.6057000000000001</v>
      </c>
      <c r="V257" s="16">
        <f ca="1">U$257+IF(OFFSET(Assumptions!$B$57,0,$C$1)="Yes",Exogenous!$H$79*Allocation!$B$15*V$247,IF(OFFSET(Assumptions!$B$58,0,$C$1)="Yes",U$257*(1+(SUMPRODUCT(Exogenous!$H$82:$H$85,'Population Treasury'!AG$238:AG$241)+SUMPRODUCT(Exogenous!$H$86:$H$94,'Population Treasury'!AG$243:AG$251)+SUMPRODUCT(Exogenous!$H$95:$H$100,'Population Treasury'!AG$253:AG$258))/('Population Treasury'!AG$307/'Population Treasury'!AF$307)+(SUMPRODUCT(Exogenous!$I$82:$I$85,'Population Treasury'!AG$283:AG$286)+SUMPRODUCT(Exogenous!$I$86:$I$94,'Population Treasury'!AG$288:AG$296)+SUMPRODUCT(Exogenous!$I$95:$I$100,'Population Treasury'!AG$298:AG$303))/('Population Treasury'!AG$309/'Population Treasury'!AF$309))*(1+V$25)*(1+V$29)*(1+OFFSET(Assumptions!$B$63,0,$C$1))/(1+OFFSET(Assumptions!$B$64,0,$C$1))-U$257,0))</f>
        <v>3.6057000000000001</v>
      </c>
      <c r="W257" s="16">
        <f ca="1">V$257+IF(OFFSET(Assumptions!$B$57,0,$C$1)="Yes",Exogenous!$H$79*Allocation!$B$15*W$247,IF(OFFSET(Assumptions!$B$58,0,$C$1)="Yes",V$257*(1+(SUMPRODUCT(Exogenous!$H$82:$H$85,'Population Treasury'!AH$238:AH$241)+SUMPRODUCT(Exogenous!$H$86:$H$94,'Population Treasury'!AH$243:AH$251)+SUMPRODUCT(Exogenous!$H$95:$H$100,'Population Treasury'!AH$253:AH$258))/('Population Treasury'!AH$307/'Population Treasury'!AG$307)+(SUMPRODUCT(Exogenous!$I$82:$I$85,'Population Treasury'!AH$283:AH$286)+SUMPRODUCT(Exogenous!$I$86:$I$94,'Population Treasury'!AH$288:AH$296)+SUMPRODUCT(Exogenous!$I$95:$I$100,'Population Treasury'!AH$298:AH$303))/('Population Treasury'!AH$309/'Population Treasury'!AG$309))*(1+W$25)*(1+W$29)*(1+OFFSET(Assumptions!$B$63,0,$C$1))/(1+OFFSET(Assumptions!$B$64,0,$C$1))-V$257,0))</f>
        <v>3.6057000000000001</v>
      </c>
      <c r="X257" s="16">
        <f ca="1">W$257+IF(OFFSET(Assumptions!$B$57,0,$C$1)="Yes",Exogenous!$H$79*Allocation!$B$15*X$247,IF(OFFSET(Assumptions!$B$58,0,$C$1)="Yes",W$257*(1+(SUMPRODUCT(Exogenous!$H$82:$H$85,'Population Treasury'!AI$238:AI$241)+SUMPRODUCT(Exogenous!$H$86:$H$94,'Population Treasury'!AI$243:AI$251)+SUMPRODUCT(Exogenous!$H$95:$H$100,'Population Treasury'!AI$253:AI$258))/('Population Treasury'!AI$307/'Population Treasury'!AH$307)+(SUMPRODUCT(Exogenous!$I$82:$I$85,'Population Treasury'!AI$283:AI$286)+SUMPRODUCT(Exogenous!$I$86:$I$94,'Population Treasury'!AI$288:AI$296)+SUMPRODUCT(Exogenous!$I$95:$I$100,'Population Treasury'!AI$298:AI$303))/('Population Treasury'!AI$309/'Population Treasury'!AH$309))*(1+X$25)*(1+X$29)*(1+OFFSET(Assumptions!$B$63,0,$C$1))/(1+OFFSET(Assumptions!$B$64,0,$C$1))-W$257,0))</f>
        <v>3.6057000000000001</v>
      </c>
    </row>
    <row r="258" spans="1:24" x14ac:dyDescent="0.25">
      <c r="A258" s="11" t="s">
        <v>1392</v>
      </c>
      <c r="B258" s="10" t="str">
        <f t="shared" si="161"/>
        <v>From Fiscal Forecasts</v>
      </c>
      <c r="D258" s="35">
        <f>Exogenous!$K$79*'Fiscal Forecasts'!D$58</f>
        <v>1.6258520000000001</v>
      </c>
      <c r="E258" s="35">
        <f>Exogenous!$K$79*'Fiscal Forecasts'!E$58</f>
        <v>1.7702989999999998</v>
      </c>
      <c r="F258" s="35">
        <f>Exogenous!$K$79*'Fiscal Forecasts'!F$58</f>
        <v>2.0277759999999998</v>
      </c>
      <c r="G258" s="35">
        <f>Exogenous!$K$79*'Fiscal Forecasts'!G$58</f>
        <v>2.4725089999999996</v>
      </c>
      <c r="H258" s="35">
        <f>Exogenous!$K$79*'Fiscal Forecasts'!H$58</f>
        <v>2.5355210000000001</v>
      </c>
      <c r="I258" s="35">
        <f>Exogenous!$K$79*'Fiscal Forecasts'!I$58</f>
        <v>2.6699109999999999</v>
      </c>
      <c r="J258" s="17">
        <f ca="1">Exogenous!$K$79*('Fiscal Forecasts'!J$58+IF(OFFSET(Assumptions!$B$56,0,$C$1)="Yes",Allocation!C$15,0))</f>
        <v>2.753215</v>
      </c>
      <c r="K258" s="17">
        <f ca="1">Exogenous!$K$79*('Fiscal Forecasts'!K$58+IF(OFFSET(Assumptions!$B$56,0,$C$1)="Yes",Allocation!D$15,0))</f>
        <v>2.9111009999999999</v>
      </c>
      <c r="L258" s="17">
        <f ca="1">Exogenous!$K$79*('Fiscal Forecasts'!L$58+IF(OFFSET(Assumptions!$B$56,0,$C$1)="Yes",Allocation!E$15,0))</f>
        <v>3.0308949999999997</v>
      </c>
      <c r="M258" s="17">
        <f ca="1">Exogenous!$K$79*('Fiscal Forecasts'!M$58+IF(OFFSET(Assumptions!$B$56,0,$C$1)="Yes",Allocation!F$15,0))</f>
        <v>3.043266</v>
      </c>
      <c r="N258" s="17">
        <f ca="1">Exogenous!$K$79*('Fiscal Forecasts'!N$58+IF(OFFSET(Assumptions!$B$56,0,$C$1)="Yes",Allocation!G$15,0))</f>
        <v>3.05626</v>
      </c>
      <c r="O258" s="16">
        <f ca="1">N$258+IF(OFFSET(Assumptions!$B$57,0,$C$1)="Yes",Exogenous!$K$79*Allocation!$B$15*O$247,IF(OFFSET(Assumptions!$B$58,0,$C$1)="Yes",N$258*(1+(SUMPRODUCT(Exogenous!$K$82:$K$85,'Population Treasury'!Z$238:Z$241)+SUMPRODUCT(Exogenous!$K$86:$K$94,'Population Treasury'!Z$243:Z$251)+SUMPRODUCT(Exogenous!$K$95:$K$100,'Population Treasury'!Z$253:Z$258))/('Population Treasury'!Z$308/'Population Treasury'!Y$308)+(SUMPRODUCT(Exogenous!$L$82:$L$85,'Population Treasury'!Z$283:Z$286)+SUMPRODUCT(Exogenous!$L$86:$L$94,'Population Treasury'!Z$288:Z$296)+SUMPRODUCT(Exogenous!$L$95:$L$100,'Population Treasury'!Z$298:Z$303))/('Population Treasury'!Z$310/'Population Treasury'!Y$310))*(1+O$25)*(1+O$29)*(1+OFFSET(Assumptions!$B$63,0,$C$1))/(1+OFFSET(Assumptions!$B$64,0,$C$1))-N$258,0))</f>
        <v>3.05626</v>
      </c>
      <c r="P258" s="16">
        <f ca="1">O$258+IF(OFFSET(Assumptions!$B$57,0,$C$1)="Yes",Exogenous!$K$79*Allocation!$B$15*P$247,IF(OFFSET(Assumptions!$B$58,0,$C$1)="Yes",O$258*(1+(SUMPRODUCT(Exogenous!$K$82:$K$85,'Population Treasury'!AA$238:AA$241)+SUMPRODUCT(Exogenous!$K$86:$K$94,'Population Treasury'!AA$243:AA$251)+SUMPRODUCT(Exogenous!$K$95:$K$100,'Population Treasury'!AA$253:AA$258))/('Population Treasury'!AA$308/'Population Treasury'!Z$308)+(SUMPRODUCT(Exogenous!$L$82:$L$85,'Population Treasury'!AA$283:AA$286)+SUMPRODUCT(Exogenous!$L$86:$L$94,'Population Treasury'!AA$288:AA$296)+SUMPRODUCT(Exogenous!$L$95:$L$100,'Population Treasury'!AA$298:AA$303))/('Population Treasury'!AA$310/'Population Treasury'!Z$310))*(1+P$25)*(1+P$29)*(1+OFFSET(Assumptions!$B$63,0,$C$1))/(1+OFFSET(Assumptions!$B$64,0,$C$1))-O$258,0))</f>
        <v>3.05626</v>
      </c>
      <c r="Q258" s="16">
        <f ca="1">P$258+IF(OFFSET(Assumptions!$B$57,0,$C$1)="Yes",Exogenous!$K$79*Allocation!$B$15*Q$247,IF(OFFSET(Assumptions!$B$58,0,$C$1)="Yes",P$258*(1+(SUMPRODUCT(Exogenous!$K$82:$K$85,'Population Treasury'!AB$238:AB$241)+SUMPRODUCT(Exogenous!$K$86:$K$94,'Population Treasury'!AB$243:AB$251)+SUMPRODUCT(Exogenous!$K$95:$K$100,'Population Treasury'!AB$253:AB$258))/('Population Treasury'!AB$308/'Population Treasury'!AA$308)+(SUMPRODUCT(Exogenous!$L$82:$L$85,'Population Treasury'!AB$283:AB$286)+SUMPRODUCT(Exogenous!$L$86:$L$94,'Population Treasury'!AB$288:AB$296)+SUMPRODUCT(Exogenous!$L$95:$L$100,'Population Treasury'!AB$298:AB$303))/('Population Treasury'!AB$310/'Population Treasury'!AA$310))*(1+Q$25)*(1+Q$29)*(1+OFFSET(Assumptions!$B$63,0,$C$1))/(1+OFFSET(Assumptions!$B$64,0,$C$1))-P$258,0))</f>
        <v>3.05626</v>
      </c>
      <c r="R258" s="16">
        <f ca="1">Q$258+IF(OFFSET(Assumptions!$B$57,0,$C$1)="Yes",Exogenous!$K$79*Allocation!$B$15*R$247,IF(OFFSET(Assumptions!$B$58,0,$C$1)="Yes",Q$258*(1+(SUMPRODUCT(Exogenous!$K$82:$K$85,'Population Treasury'!AC$238:AC$241)+SUMPRODUCT(Exogenous!$K$86:$K$94,'Population Treasury'!AC$243:AC$251)+SUMPRODUCT(Exogenous!$K$95:$K$100,'Population Treasury'!AC$253:AC$258))/('Population Treasury'!AC$308/'Population Treasury'!AB$308)+(SUMPRODUCT(Exogenous!$L$82:$L$85,'Population Treasury'!AC$283:AC$286)+SUMPRODUCT(Exogenous!$L$86:$L$94,'Population Treasury'!AC$288:AC$296)+SUMPRODUCT(Exogenous!$L$95:$L$100,'Population Treasury'!AC$298:AC$303))/('Population Treasury'!AC$310/'Population Treasury'!AB$310))*(1+R$25)*(1+R$29)*(1+OFFSET(Assumptions!$B$63,0,$C$1))/(1+OFFSET(Assumptions!$B$64,0,$C$1))-Q$258,0))</f>
        <v>3.05626</v>
      </c>
      <c r="S258" s="16">
        <f ca="1">R$258+IF(OFFSET(Assumptions!$B$57,0,$C$1)="Yes",Exogenous!$K$79*Allocation!$B$15*S$247,IF(OFFSET(Assumptions!$B$58,0,$C$1)="Yes",R$258*(1+(SUMPRODUCT(Exogenous!$K$82:$K$85,'Population Treasury'!AD$238:AD$241)+SUMPRODUCT(Exogenous!$K$86:$K$94,'Population Treasury'!AD$243:AD$251)+SUMPRODUCT(Exogenous!$K$95:$K$100,'Population Treasury'!AD$253:AD$258))/('Population Treasury'!AD$308/'Population Treasury'!AC$308)+(SUMPRODUCT(Exogenous!$L$82:$L$85,'Population Treasury'!AD$283:AD$286)+SUMPRODUCT(Exogenous!$L$86:$L$94,'Population Treasury'!AD$288:AD$296)+SUMPRODUCT(Exogenous!$L$95:$L$100,'Population Treasury'!AD$298:AD$303))/('Population Treasury'!AD$310/'Population Treasury'!AC$310))*(1+S$25)*(1+S$29)*(1+OFFSET(Assumptions!$B$63,0,$C$1))/(1+OFFSET(Assumptions!$B$64,0,$C$1))-R$258,0))</f>
        <v>3.05626</v>
      </c>
      <c r="T258" s="16">
        <f ca="1">S$258+IF(OFFSET(Assumptions!$B$57,0,$C$1)="Yes",Exogenous!$K$79*Allocation!$B$15*T$247,IF(OFFSET(Assumptions!$B$58,0,$C$1)="Yes",S$258*(1+(SUMPRODUCT(Exogenous!$K$82:$K$85,'Population Treasury'!AE$238:AE$241)+SUMPRODUCT(Exogenous!$K$86:$K$94,'Population Treasury'!AE$243:AE$251)+SUMPRODUCT(Exogenous!$K$95:$K$100,'Population Treasury'!AE$253:AE$258))/('Population Treasury'!AE$308/'Population Treasury'!AD$308)+(SUMPRODUCT(Exogenous!$L$82:$L$85,'Population Treasury'!AE$283:AE$286)+SUMPRODUCT(Exogenous!$L$86:$L$94,'Population Treasury'!AE$288:AE$296)+SUMPRODUCT(Exogenous!$L$95:$L$100,'Population Treasury'!AE$298:AE$303))/('Population Treasury'!AE$310/'Population Treasury'!AD$310))*(1+T$25)*(1+T$29)*(1+OFFSET(Assumptions!$B$63,0,$C$1))/(1+OFFSET(Assumptions!$B$64,0,$C$1))-S$258,0))</f>
        <v>3.05626</v>
      </c>
      <c r="U258" s="16">
        <f ca="1">T$258+IF(OFFSET(Assumptions!$B$57,0,$C$1)="Yes",Exogenous!$K$79*Allocation!$B$15*U$247,IF(OFFSET(Assumptions!$B$58,0,$C$1)="Yes",T$258*(1+(SUMPRODUCT(Exogenous!$K$82:$K$85,'Population Treasury'!AF$238:AF$241)+SUMPRODUCT(Exogenous!$K$86:$K$94,'Population Treasury'!AF$243:AF$251)+SUMPRODUCT(Exogenous!$K$95:$K$100,'Population Treasury'!AF$253:AF$258))/('Population Treasury'!AF$308/'Population Treasury'!AE$308)+(SUMPRODUCT(Exogenous!$L$82:$L$85,'Population Treasury'!AF$283:AF$286)+SUMPRODUCT(Exogenous!$L$86:$L$94,'Population Treasury'!AF$288:AF$296)+SUMPRODUCT(Exogenous!$L$95:$L$100,'Population Treasury'!AF$298:AF$303))/('Population Treasury'!AF$310/'Population Treasury'!AE$310))*(1+U$25)*(1+U$29)*(1+OFFSET(Assumptions!$B$63,0,$C$1))/(1+OFFSET(Assumptions!$B$64,0,$C$1))-T$258,0))</f>
        <v>3.05626</v>
      </c>
      <c r="V258" s="16">
        <f ca="1">U$258+IF(OFFSET(Assumptions!$B$57,0,$C$1)="Yes",Exogenous!$K$79*Allocation!$B$15*V$247,IF(OFFSET(Assumptions!$B$58,0,$C$1)="Yes",U$258*(1+(SUMPRODUCT(Exogenous!$K$82:$K$85,'Population Treasury'!AG$238:AG$241)+SUMPRODUCT(Exogenous!$K$86:$K$94,'Population Treasury'!AG$243:AG$251)+SUMPRODUCT(Exogenous!$K$95:$K$100,'Population Treasury'!AG$253:AG$258))/('Population Treasury'!AG$308/'Population Treasury'!AF$308)+(SUMPRODUCT(Exogenous!$L$82:$L$85,'Population Treasury'!AG$283:AG$286)+SUMPRODUCT(Exogenous!$L$86:$L$94,'Population Treasury'!AG$288:AG$296)+SUMPRODUCT(Exogenous!$L$95:$L$100,'Population Treasury'!AG$298:AG$303))/('Population Treasury'!AG$310/'Population Treasury'!AF$310))*(1+V$25)*(1+V$29)*(1+OFFSET(Assumptions!$B$63,0,$C$1))/(1+OFFSET(Assumptions!$B$64,0,$C$1))-U$258,0))</f>
        <v>3.05626</v>
      </c>
      <c r="W258" s="16">
        <f ca="1">V$258+IF(OFFSET(Assumptions!$B$57,0,$C$1)="Yes",Exogenous!$K$79*Allocation!$B$15*W$247,IF(OFFSET(Assumptions!$B$58,0,$C$1)="Yes",V$258*(1+(SUMPRODUCT(Exogenous!$K$82:$K$85,'Population Treasury'!AH$238:AH$241)+SUMPRODUCT(Exogenous!$K$86:$K$94,'Population Treasury'!AH$243:AH$251)+SUMPRODUCT(Exogenous!$K$95:$K$100,'Population Treasury'!AH$253:AH$258))/('Population Treasury'!AH$308/'Population Treasury'!AG$308)+(SUMPRODUCT(Exogenous!$L$82:$L$85,'Population Treasury'!AH$283:AH$286)+SUMPRODUCT(Exogenous!$L$86:$L$94,'Population Treasury'!AH$288:AH$296)+SUMPRODUCT(Exogenous!$L$95:$L$100,'Population Treasury'!AH$298:AH$303))/('Population Treasury'!AH$310/'Population Treasury'!AG$310))*(1+W$25)*(1+W$29)*(1+OFFSET(Assumptions!$B$63,0,$C$1))/(1+OFFSET(Assumptions!$B$64,0,$C$1))-V$258,0))</f>
        <v>3.05626</v>
      </c>
      <c r="X258" s="16">
        <f ca="1">W$258+IF(OFFSET(Assumptions!$B$57,0,$C$1)="Yes",Exogenous!$K$79*Allocation!$B$15*X$247,IF(OFFSET(Assumptions!$B$58,0,$C$1)="Yes",W$258*(1+(SUMPRODUCT(Exogenous!$K$82:$K$85,'Population Treasury'!AI$238:AI$241)+SUMPRODUCT(Exogenous!$K$86:$K$94,'Population Treasury'!AI$243:AI$251)+SUMPRODUCT(Exogenous!$K$95:$K$100,'Population Treasury'!AI$253:AI$258))/('Population Treasury'!AI$308/'Population Treasury'!AH$308)+(SUMPRODUCT(Exogenous!$L$82:$L$85,'Population Treasury'!AI$283:AI$286)+SUMPRODUCT(Exogenous!$L$86:$L$94,'Population Treasury'!AI$288:AI$296)+SUMPRODUCT(Exogenous!$L$95:$L$100,'Population Treasury'!AI$298:AI$303))/('Population Treasury'!AI$310/'Population Treasury'!AH$310))*(1+X$25)*(1+X$29)*(1+OFFSET(Assumptions!$B$63,0,$C$1))/(1+OFFSET(Assumptions!$B$64,0,$C$1))-W$258,0))</f>
        <v>3.05626</v>
      </c>
    </row>
    <row r="259" spans="1:24" x14ac:dyDescent="0.25">
      <c r="A259" s="11" t="s">
        <v>1393</v>
      </c>
      <c r="B259" s="10" t="str">
        <f t="shared" si="161"/>
        <v>From Fiscal Forecasts</v>
      </c>
      <c r="D259" s="35">
        <f>Exogenous!$N$79*'Fiscal Forecasts'!D$58</f>
        <v>0.84032799999999996</v>
      </c>
      <c r="E259" s="35">
        <f>Exogenous!$N$79*'Fiscal Forecasts'!E$58</f>
        <v>0.91498599999999985</v>
      </c>
      <c r="F259" s="35">
        <f>Exogenous!$N$79*'Fiscal Forecasts'!F$58</f>
        <v>1.0480639999999999</v>
      </c>
      <c r="G259" s="35">
        <f>Exogenous!$N$79*'Fiscal Forecasts'!G$58</f>
        <v>1.2779259999999999</v>
      </c>
      <c r="H259" s="35">
        <f>Exogenous!$N$79*'Fiscal Forecasts'!H$58</f>
        <v>1.310494</v>
      </c>
      <c r="I259" s="35">
        <f>Exogenous!$N$79*'Fiscal Forecasts'!I$58</f>
        <v>1.3799539999999999</v>
      </c>
      <c r="J259" s="17">
        <f ca="1">Exogenous!$N$79*('Fiscal Forecasts'!J$58+IF(OFFSET(Assumptions!$B$56,0,$C$1)="Yes",Allocation!C$15,0))</f>
        <v>1.4230099999999999</v>
      </c>
      <c r="K259" s="17">
        <f ca="1">Exogenous!$N$79*('Fiscal Forecasts'!K$58+IF(OFFSET(Assumptions!$B$56,0,$C$1)="Yes",Allocation!D$15,0))</f>
        <v>1.5046140000000001</v>
      </c>
      <c r="L259" s="17">
        <f ca="1">Exogenous!$N$79*('Fiscal Forecasts'!L$58+IF(OFFSET(Assumptions!$B$56,0,$C$1)="Yes",Allocation!E$15,0))</f>
        <v>1.56653</v>
      </c>
      <c r="M259" s="17">
        <f ca="1">Exogenous!$N$79*('Fiscal Forecasts'!M$58+IF(OFFSET(Assumptions!$B$56,0,$C$1)="Yes",Allocation!F$15,0))</f>
        <v>1.572924</v>
      </c>
      <c r="N259" s="17">
        <f ca="1">Exogenous!$N$79*('Fiscal Forecasts'!N$58+IF(OFFSET(Assumptions!$B$56,0,$C$1)="Yes",Allocation!G$15,0))</f>
        <v>1.5796400000000002</v>
      </c>
      <c r="O259" s="16">
        <f ca="1">N$259+IF(OFFSET(Assumptions!$B$57,0,$C$1)="Yes",Exogenous!$N$79*Allocation!$B$15*O$247,IF(OFFSET(Assumptions!$B$58,0,$C$1)="Yes",N$259*(1+(SUMPRODUCT(Exogenous!$N$82:$N$85,'Population Treasury'!Z$238:Z$241)+SUMPRODUCT(Exogenous!$N$86:$N$94,'Population Treasury'!Z$243:Z$251)+SUMPRODUCT(Exogenous!$N$95:$N$100,'Population Treasury'!Z$253:Z$258))/('Population Treasury'!Z$308/'Population Treasury'!Y$308)+(SUMPRODUCT(Exogenous!$O$82:$O$85,'Population Treasury'!Z$283:Z$286)+SUMPRODUCT(Exogenous!$O$86:$O$94,'Population Treasury'!Z$288:Z$296)+SUMPRODUCT(Exogenous!$O$95:$O$100,'Population Treasury'!Z$298:Z$303))/('Population Treasury'!Z$310/'Population Treasury'!Y$310))*(1+O$25)*(1+O$29)*(1+OFFSET(Assumptions!$B$63,0,$C$1))/(1+OFFSET(Assumptions!$B$64,0,$C$1))-N$259,0))</f>
        <v>1.5796400000000002</v>
      </c>
      <c r="P259" s="16">
        <f ca="1">O$259+IF(OFFSET(Assumptions!$B$57,0,$C$1)="Yes",Exogenous!$N$79*Allocation!$B$15*P$247,IF(OFFSET(Assumptions!$B$58,0,$C$1)="Yes",O$259*(1+(SUMPRODUCT(Exogenous!$N$82:$N$85,'Population Treasury'!AA$238:AA$241)+SUMPRODUCT(Exogenous!$N$86:$N$94,'Population Treasury'!AA$243:AA$251)+SUMPRODUCT(Exogenous!$N$95:$N$100,'Population Treasury'!AA$253:AA$258))/('Population Treasury'!AA$308/'Population Treasury'!Z$308)+(SUMPRODUCT(Exogenous!$O$82:$O$85,'Population Treasury'!AA$283:AA$286)+SUMPRODUCT(Exogenous!$O$86:$O$94,'Population Treasury'!AA$288:AA$296)+SUMPRODUCT(Exogenous!$O$95:$O$100,'Population Treasury'!AA$298:AA$303))/('Population Treasury'!AA$310/'Population Treasury'!Z$310))*(1+P$25)*(1+P$29)*(1+OFFSET(Assumptions!$B$63,0,$C$1))/(1+OFFSET(Assumptions!$B$64,0,$C$1))-O$259,0))</f>
        <v>1.5796400000000002</v>
      </c>
      <c r="Q259" s="16">
        <f ca="1">P$259+IF(OFFSET(Assumptions!$B$57,0,$C$1)="Yes",Exogenous!$N$79*Allocation!$B$15*Q$247,IF(OFFSET(Assumptions!$B$58,0,$C$1)="Yes",P$259*(1+(SUMPRODUCT(Exogenous!$N$82:$N$85,'Population Treasury'!AB$238:AB$241)+SUMPRODUCT(Exogenous!$N$86:$N$94,'Population Treasury'!AB$243:AB$251)+SUMPRODUCT(Exogenous!$N$95:$N$100,'Population Treasury'!AB$253:AB$258))/('Population Treasury'!AB$308/'Population Treasury'!AA$308)+(SUMPRODUCT(Exogenous!$O$82:$O$85,'Population Treasury'!AB$283:AB$286)+SUMPRODUCT(Exogenous!$O$86:$O$94,'Population Treasury'!AB$288:AB$296)+SUMPRODUCT(Exogenous!$O$95:$O$100,'Population Treasury'!AB$298:AB$303))/('Population Treasury'!AB$310/'Population Treasury'!AA$310))*(1+Q$25)*(1+Q$29)*(1+OFFSET(Assumptions!$B$63,0,$C$1))/(1+OFFSET(Assumptions!$B$64,0,$C$1))-P$259,0))</f>
        <v>1.5796400000000002</v>
      </c>
      <c r="R259" s="16">
        <f ca="1">Q$259+IF(OFFSET(Assumptions!$B$57,0,$C$1)="Yes",Exogenous!$N$79*Allocation!$B$15*R$247,IF(OFFSET(Assumptions!$B$58,0,$C$1)="Yes",Q$259*(1+(SUMPRODUCT(Exogenous!$N$82:$N$85,'Population Treasury'!AC$238:AC$241)+SUMPRODUCT(Exogenous!$N$86:$N$94,'Population Treasury'!AC$243:AC$251)+SUMPRODUCT(Exogenous!$N$95:$N$100,'Population Treasury'!AC$253:AC$258))/('Population Treasury'!AC$308/'Population Treasury'!AB$308)+(SUMPRODUCT(Exogenous!$O$82:$O$85,'Population Treasury'!AC$283:AC$286)+SUMPRODUCT(Exogenous!$O$86:$O$94,'Population Treasury'!AC$288:AC$296)+SUMPRODUCT(Exogenous!$O$95:$O$100,'Population Treasury'!AC$298:AC$303))/('Population Treasury'!AC$310/'Population Treasury'!AB$310))*(1+R$25)*(1+R$29)*(1+OFFSET(Assumptions!$B$63,0,$C$1))/(1+OFFSET(Assumptions!$B$64,0,$C$1))-Q$259,0))</f>
        <v>1.5796400000000002</v>
      </c>
      <c r="S259" s="16">
        <f ca="1">R$259+IF(OFFSET(Assumptions!$B$57,0,$C$1)="Yes",Exogenous!$N$79*Allocation!$B$15*S$247,IF(OFFSET(Assumptions!$B$58,0,$C$1)="Yes",R$259*(1+(SUMPRODUCT(Exogenous!$N$82:$N$85,'Population Treasury'!AD$238:AD$241)+SUMPRODUCT(Exogenous!$N$86:$N$94,'Population Treasury'!AD$243:AD$251)+SUMPRODUCT(Exogenous!$N$95:$N$100,'Population Treasury'!AD$253:AD$258))/('Population Treasury'!AD$308/'Population Treasury'!AC$308)+(SUMPRODUCT(Exogenous!$O$82:$O$85,'Population Treasury'!AD$283:AD$286)+SUMPRODUCT(Exogenous!$O$86:$O$94,'Population Treasury'!AD$288:AD$296)+SUMPRODUCT(Exogenous!$O$95:$O$100,'Population Treasury'!AD$298:AD$303))/('Population Treasury'!AD$310/'Population Treasury'!AC$310))*(1+S$25)*(1+S$29)*(1+OFFSET(Assumptions!$B$63,0,$C$1))/(1+OFFSET(Assumptions!$B$64,0,$C$1))-R$259,0))</f>
        <v>1.5796400000000002</v>
      </c>
      <c r="T259" s="16">
        <f ca="1">S$259+IF(OFFSET(Assumptions!$B$57,0,$C$1)="Yes",Exogenous!$N$79*Allocation!$B$15*T$247,IF(OFFSET(Assumptions!$B$58,0,$C$1)="Yes",S$259*(1+(SUMPRODUCT(Exogenous!$N$82:$N$85,'Population Treasury'!AE$238:AE$241)+SUMPRODUCT(Exogenous!$N$86:$N$94,'Population Treasury'!AE$243:AE$251)+SUMPRODUCT(Exogenous!$N$95:$N$100,'Population Treasury'!AE$253:AE$258))/('Population Treasury'!AE$308/'Population Treasury'!AD$308)+(SUMPRODUCT(Exogenous!$O$82:$O$85,'Population Treasury'!AE$283:AE$286)+SUMPRODUCT(Exogenous!$O$86:$O$94,'Population Treasury'!AE$288:AE$296)+SUMPRODUCT(Exogenous!$O$95:$O$100,'Population Treasury'!AE$298:AE$303))/('Population Treasury'!AE$310/'Population Treasury'!AD$310))*(1+T$25)*(1+T$29)*(1+OFFSET(Assumptions!$B$63,0,$C$1))/(1+OFFSET(Assumptions!$B$64,0,$C$1))-S$259,0))</f>
        <v>1.5796400000000002</v>
      </c>
      <c r="U259" s="16">
        <f ca="1">T$259+IF(OFFSET(Assumptions!$B$57,0,$C$1)="Yes",Exogenous!$N$79*Allocation!$B$15*U$247,IF(OFFSET(Assumptions!$B$58,0,$C$1)="Yes",T$259*(1+(SUMPRODUCT(Exogenous!$N$82:$N$85,'Population Treasury'!AF$238:AF$241)+SUMPRODUCT(Exogenous!$N$86:$N$94,'Population Treasury'!AF$243:AF$251)+SUMPRODUCT(Exogenous!$N$95:$N$100,'Population Treasury'!AF$253:AF$258))/('Population Treasury'!AF$308/'Population Treasury'!AE$308)+(SUMPRODUCT(Exogenous!$O$82:$O$85,'Population Treasury'!AF$283:AF$286)+SUMPRODUCT(Exogenous!$O$86:$O$94,'Population Treasury'!AF$288:AF$296)+SUMPRODUCT(Exogenous!$O$95:$O$100,'Population Treasury'!AF$298:AF$303))/('Population Treasury'!AF$310/'Population Treasury'!AE$310))*(1+U$25)*(1+U$29)*(1+OFFSET(Assumptions!$B$63,0,$C$1))/(1+OFFSET(Assumptions!$B$64,0,$C$1))-T$259,0))</f>
        <v>1.5796400000000002</v>
      </c>
      <c r="V259" s="16">
        <f ca="1">U$259+IF(OFFSET(Assumptions!$B$57,0,$C$1)="Yes",Exogenous!$N$79*Allocation!$B$15*V$247,IF(OFFSET(Assumptions!$B$58,0,$C$1)="Yes",U$259*(1+(SUMPRODUCT(Exogenous!$N$82:$N$85,'Population Treasury'!AG$238:AG$241)+SUMPRODUCT(Exogenous!$N$86:$N$94,'Population Treasury'!AG$243:AG$251)+SUMPRODUCT(Exogenous!$N$95:$N$100,'Population Treasury'!AG$253:AG$258))/('Population Treasury'!AG$308/'Population Treasury'!AF$308)+(SUMPRODUCT(Exogenous!$O$82:$O$85,'Population Treasury'!AG$283:AG$286)+SUMPRODUCT(Exogenous!$O$86:$O$94,'Population Treasury'!AG$288:AG$296)+SUMPRODUCT(Exogenous!$O$95:$O$100,'Population Treasury'!AG$298:AG$303))/('Population Treasury'!AG$310/'Population Treasury'!AF$310))*(1+V$25)*(1+V$29)*(1+OFFSET(Assumptions!$B$63,0,$C$1))/(1+OFFSET(Assumptions!$B$64,0,$C$1))-U$259,0))</f>
        <v>1.5796400000000002</v>
      </c>
      <c r="W259" s="16">
        <f ca="1">V$259+IF(OFFSET(Assumptions!$B$57,0,$C$1)="Yes",Exogenous!$N$79*Allocation!$B$15*W$247,IF(OFFSET(Assumptions!$B$58,0,$C$1)="Yes",V$259*(1+(SUMPRODUCT(Exogenous!$N$82:$N$85,'Population Treasury'!AH$238:AH$241)+SUMPRODUCT(Exogenous!$N$86:$N$94,'Population Treasury'!AH$243:AH$251)+SUMPRODUCT(Exogenous!$N$95:$N$100,'Population Treasury'!AH$253:AH$258))/('Population Treasury'!AH$308/'Population Treasury'!AG$308)+(SUMPRODUCT(Exogenous!$O$82:$O$85,'Population Treasury'!AH$283:AH$286)+SUMPRODUCT(Exogenous!$O$86:$O$94,'Population Treasury'!AH$288:AH$296)+SUMPRODUCT(Exogenous!$O$95:$O$100,'Population Treasury'!AH$298:AH$303))/('Population Treasury'!AH$310/'Population Treasury'!AG$310))*(1+W$25)*(1+W$29)*(1+OFFSET(Assumptions!$B$63,0,$C$1))/(1+OFFSET(Assumptions!$B$64,0,$C$1))-V$259,0))</f>
        <v>1.5796400000000002</v>
      </c>
      <c r="X259" s="16">
        <f ca="1">W$259+IF(OFFSET(Assumptions!$B$57,0,$C$1)="Yes",Exogenous!$N$79*Allocation!$B$15*X$247,IF(OFFSET(Assumptions!$B$58,0,$C$1)="Yes",W$259*(1+(SUMPRODUCT(Exogenous!$N$82:$N$85,'Population Treasury'!AI$238:AI$241)+SUMPRODUCT(Exogenous!$N$86:$N$94,'Population Treasury'!AI$243:AI$251)+SUMPRODUCT(Exogenous!$N$95:$N$100,'Population Treasury'!AI$253:AI$258))/('Population Treasury'!AI$308/'Population Treasury'!AH$308)+(SUMPRODUCT(Exogenous!$O$82:$O$85,'Population Treasury'!AI$283:AI$286)+SUMPRODUCT(Exogenous!$O$86:$O$94,'Population Treasury'!AI$288:AI$296)+SUMPRODUCT(Exogenous!$O$95:$O$100,'Population Treasury'!AI$298:AI$303))/('Population Treasury'!AI$310/'Population Treasury'!AH$310))*(1+X$25)*(1+X$29)*(1+OFFSET(Assumptions!$B$63,0,$C$1))/(1+OFFSET(Assumptions!$B$64,0,$C$1))-W$259,0))</f>
        <v>1.5796400000000002</v>
      </c>
    </row>
    <row r="260" spans="1:24" x14ac:dyDescent="0.25">
      <c r="A260" s="11" t="s">
        <v>1394</v>
      </c>
      <c r="B260" s="10" t="str">
        <f t="shared" si="161"/>
        <v>From Fiscal Forecasts</v>
      </c>
      <c r="D260" s="35">
        <f>Exogenous!$Q$79*'Fiscal Forecasts'!D$58</f>
        <v>0.27401999999999999</v>
      </c>
      <c r="E260" s="35">
        <f>Exogenous!$Q$79*'Fiscal Forecasts'!E$58</f>
        <v>0.29836499999999994</v>
      </c>
      <c r="F260" s="35">
        <f>Exogenous!$Q$79*'Fiscal Forecasts'!F$58</f>
        <v>0.34175999999999995</v>
      </c>
      <c r="G260" s="35">
        <f>Exogenous!$Q$79*'Fiscal Forecasts'!G$58</f>
        <v>0.41671499999999995</v>
      </c>
      <c r="H260" s="35">
        <f>Exogenous!$Q$79*'Fiscal Forecasts'!H$58</f>
        <v>0.42733500000000002</v>
      </c>
      <c r="I260" s="35">
        <f>Exogenous!$Q$79*'Fiscal Forecasts'!I$58</f>
        <v>0.44998499999999997</v>
      </c>
      <c r="J260" s="17">
        <f ca="1">Exogenous!$Q$79*('Fiscal Forecasts'!J$58+IF(OFFSET(Assumptions!$B$56,0,$C$1)="Yes",Allocation!C$15,0))</f>
        <v>0.46402499999999997</v>
      </c>
      <c r="K260" s="17">
        <f ca="1">Exogenous!$Q$79*('Fiscal Forecasts'!K$58+IF(OFFSET(Assumptions!$B$56,0,$C$1)="Yes",Allocation!D$15,0))</f>
        <v>0.49063500000000004</v>
      </c>
      <c r="L260" s="17">
        <f ca="1">Exogenous!$Q$79*('Fiscal Forecasts'!L$58+IF(OFFSET(Assumptions!$B$56,0,$C$1)="Yes",Allocation!E$15,0))</f>
        <v>0.51082499999999997</v>
      </c>
      <c r="M260" s="17">
        <f ca="1">Exogenous!$Q$79*('Fiscal Forecasts'!M$58+IF(OFFSET(Assumptions!$B$56,0,$C$1)="Yes",Allocation!F$15,0))</f>
        <v>0.51290999999999998</v>
      </c>
      <c r="N260" s="17">
        <f ca="1">Exogenous!$Q$79*('Fiscal Forecasts'!N$58+IF(OFFSET(Assumptions!$B$56,0,$C$1)="Yes",Allocation!G$15,0))</f>
        <v>0.5151</v>
      </c>
      <c r="O260" s="16">
        <f ca="1">N$260+IF(OFFSET(Assumptions!$B$57,0,$C$1)="Yes",Exogenous!$Q$79*Allocation!$B$15*O$247,IF(OFFSET(Assumptions!$B$58,0,$C$1)="Yes",N$260*(1+(SUMPRODUCT(Exogenous!$Q$82:$Q$85,'Population Treasury'!Z$238:Z$241)+SUMPRODUCT(Exogenous!$Q$86:$Q$94,'Population Treasury'!Z$243:Z$251)+SUMPRODUCT(Exogenous!$Q$95:$Q$100,'Population Treasury'!Z$253:Z$258))/('Population Treasury'!Z$307/'Population Treasury'!Y$307)+(SUMPRODUCT(Exogenous!$R$82:$R$85,'Population Treasury'!Z$283:Z$286)+SUMPRODUCT(Exogenous!$R$86:$R$94,'Population Treasury'!Z$288:Z$296)+SUMPRODUCT(Exogenous!$R$95:$R$100,'Population Treasury'!Z$298:Z$303))/('Population Treasury'!Z$309/'Population Treasury'!Y$309))*(1+O$25)*(1+O$29)*(1+OFFSET(Assumptions!$B$63,0,$C$1))/(1+OFFSET(Assumptions!$B$64,0,$C$1))-N$260,0))</f>
        <v>0.5151</v>
      </c>
      <c r="P260" s="16">
        <f ca="1">O$260+IF(OFFSET(Assumptions!$B$57,0,$C$1)="Yes",Exogenous!$Q$79*Allocation!$B$15*P$247,IF(OFFSET(Assumptions!$B$58,0,$C$1)="Yes",O$260*(1+(SUMPRODUCT(Exogenous!$Q$82:$Q$85,'Population Treasury'!AA$238:AA$241)+SUMPRODUCT(Exogenous!$Q$86:$Q$94,'Population Treasury'!AA$243:AA$251)+SUMPRODUCT(Exogenous!$Q$95:$Q$100,'Population Treasury'!AA$253:AA$258))/('Population Treasury'!AA$307/'Population Treasury'!Z$307)+(SUMPRODUCT(Exogenous!$R$82:$R$85,'Population Treasury'!AA$283:AA$286)+SUMPRODUCT(Exogenous!$R$86:$R$94,'Population Treasury'!AA$288:AA$296)+SUMPRODUCT(Exogenous!$R$95:$R$100,'Population Treasury'!AA$298:AA$303))/('Population Treasury'!AA$309/'Population Treasury'!Z$309))*(1+P$25)*(1+P$29)*(1+OFFSET(Assumptions!$B$63,0,$C$1))/(1+OFFSET(Assumptions!$B$64,0,$C$1))-O$260,0))</f>
        <v>0.5151</v>
      </c>
      <c r="Q260" s="16">
        <f ca="1">P$260+IF(OFFSET(Assumptions!$B$57,0,$C$1)="Yes",Exogenous!$Q$79*Allocation!$B$15*Q$247,IF(OFFSET(Assumptions!$B$58,0,$C$1)="Yes",P$260*(1+(SUMPRODUCT(Exogenous!$Q$82:$Q$85,'Population Treasury'!AB$238:AB$241)+SUMPRODUCT(Exogenous!$Q$86:$Q$94,'Population Treasury'!AB$243:AB$251)+SUMPRODUCT(Exogenous!$Q$95:$Q$100,'Population Treasury'!AB$253:AB$258))/('Population Treasury'!AB$307/'Population Treasury'!AA$307)+(SUMPRODUCT(Exogenous!$R$82:$R$85,'Population Treasury'!AB$283:AB$286)+SUMPRODUCT(Exogenous!$R$86:$R$94,'Population Treasury'!AB$288:AB$296)+SUMPRODUCT(Exogenous!$R$95:$R$100,'Population Treasury'!AB$298:AB$303))/('Population Treasury'!AB$309/'Population Treasury'!AA$309))*(1+Q$25)*(1+Q$29)*(1+OFFSET(Assumptions!$B$63,0,$C$1))/(1+OFFSET(Assumptions!$B$64,0,$C$1))-P$260,0))</f>
        <v>0.5151</v>
      </c>
      <c r="R260" s="16">
        <f ca="1">Q$260+IF(OFFSET(Assumptions!$B$57,0,$C$1)="Yes",Exogenous!$Q$79*Allocation!$B$15*R$247,IF(OFFSET(Assumptions!$B$58,0,$C$1)="Yes",Q$260*(1+(SUMPRODUCT(Exogenous!$Q$82:$Q$85,'Population Treasury'!AC$238:AC$241)+SUMPRODUCT(Exogenous!$Q$86:$Q$94,'Population Treasury'!AC$243:AC$251)+SUMPRODUCT(Exogenous!$Q$95:$Q$100,'Population Treasury'!AC$253:AC$258))/('Population Treasury'!AC$307/'Population Treasury'!AB$307)+(SUMPRODUCT(Exogenous!$R$82:$R$85,'Population Treasury'!AC$283:AC$286)+SUMPRODUCT(Exogenous!$R$86:$R$94,'Population Treasury'!AC$288:AC$296)+SUMPRODUCT(Exogenous!$R$95:$R$100,'Population Treasury'!AC$298:AC$303))/('Population Treasury'!AC$309/'Population Treasury'!AB$309))*(1+R$25)*(1+R$29)*(1+OFFSET(Assumptions!$B$63,0,$C$1))/(1+OFFSET(Assumptions!$B$64,0,$C$1))-Q$260,0))</f>
        <v>0.5151</v>
      </c>
      <c r="S260" s="16">
        <f ca="1">R$260+IF(OFFSET(Assumptions!$B$57,0,$C$1)="Yes",Exogenous!$Q$79*Allocation!$B$15*S$247,IF(OFFSET(Assumptions!$B$58,0,$C$1)="Yes",R$260*(1+(SUMPRODUCT(Exogenous!$Q$82:$Q$85,'Population Treasury'!AD$238:AD$241)+SUMPRODUCT(Exogenous!$Q$86:$Q$94,'Population Treasury'!AD$243:AD$251)+SUMPRODUCT(Exogenous!$Q$95:$Q$100,'Population Treasury'!AD$253:AD$258))/('Population Treasury'!AD$307/'Population Treasury'!AC$307)+(SUMPRODUCT(Exogenous!$R$82:$R$85,'Population Treasury'!AD$283:AD$286)+SUMPRODUCT(Exogenous!$R$86:$R$94,'Population Treasury'!AD$288:AD$296)+SUMPRODUCT(Exogenous!$R$95:$R$100,'Population Treasury'!AD$298:AD$303))/('Population Treasury'!AD$309/'Population Treasury'!AC$309))*(1+S$25)*(1+S$29)*(1+OFFSET(Assumptions!$B$63,0,$C$1))/(1+OFFSET(Assumptions!$B$64,0,$C$1))-R$260,0))</f>
        <v>0.5151</v>
      </c>
      <c r="T260" s="16">
        <f ca="1">S$260+IF(OFFSET(Assumptions!$B$57,0,$C$1)="Yes",Exogenous!$Q$79*Allocation!$B$15*T$247,IF(OFFSET(Assumptions!$B$58,0,$C$1)="Yes",S$260*(1+(SUMPRODUCT(Exogenous!$Q$82:$Q$85,'Population Treasury'!AE$238:AE$241)+SUMPRODUCT(Exogenous!$Q$86:$Q$94,'Population Treasury'!AE$243:AE$251)+SUMPRODUCT(Exogenous!$Q$95:$Q$100,'Population Treasury'!AE$253:AE$258))/('Population Treasury'!AE$307/'Population Treasury'!AD$307)+(SUMPRODUCT(Exogenous!$R$82:$R$85,'Population Treasury'!AE$283:AE$286)+SUMPRODUCT(Exogenous!$R$86:$R$94,'Population Treasury'!AE$288:AE$296)+SUMPRODUCT(Exogenous!$R$95:$R$100,'Population Treasury'!AE$298:AE$303))/('Population Treasury'!AE$309/'Population Treasury'!AD$309))*(1+T$25)*(1+T$29)*(1+OFFSET(Assumptions!$B$63,0,$C$1))/(1+OFFSET(Assumptions!$B$64,0,$C$1))-S$260,0))</f>
        <v>0.5151</v>
      </c>
      <c r="U260" s="16">
        <f ca="1">T$260+IF(OFFSET(Assumptions!$B$57,0,$C$1)="Yes",Exogenous!$Q$79*Allocation!$B$15*U$247,IF(OFFSET(Assumptions!$B$58,0,$C$1)="Yes",T$260*(1+(SUMPRODUCT(Exogenous!$Q$82:$Q$85,'Population Treasury'!AF$238:AF$241)+SUMPRODUCT(Exogenous!$Q$86:$Q$94,'Population Treasury'!AF$243:AF$251)+SUMPRODUCT(Exogenous!$Q$95:$Q$100,'Population Treasury'!AF$253:AF$258))/('Population Treasury'!AF$307/'Population Treasury'!AE$307)+(SUMPRODUCT(Exogenous!$R$82:$R$85,'Population Treasury'!AF$283:AF$286)+SUMPRODUCT(Exogenous!$R$86:$R$94,'Population Treasury'!AF$288:AF$296)+SUMPRODUCT(Exogenous!$R$95:$R$100,'Population Treasury'!AF$298:AF$303))/('Population Treasury'!AF$309/'Population Treasury'!AE$309))*(1+U$25)*(1+U$29)*(1+OFFSET(Assumptions!$B$63,0,$C$1))/(1+OFFSET(Assumptions!$B$64,0,$C$1))-T$260,0))</f>
        <v>0.5151</v>
      </c>
      <c r="V260" s="16">
        <f ca="1">U$260+IF(OFFSET(Assumptions!$B$57,0,$C$1)="Yes",Exogenous!$Q$79*Allocation!$B$15*V$247,IF(OFFSET(Assumptions!$B$58,0,$C$1)="Yes",U$260*(1+(SUMPRODUCT(Exogenous!$Q$82:$Q$85,'Population Treasury'!AG$238:AG$241)+SUMPRODUCT(Exogenous!$Q$86:$Q$94,'Population Treasury'!AG$243:AG$251)+SUMPRODUCT(Exogenous!$Q$95:$Q$100,'Population Treasury'!AG$253:AG$258))/('Population Treasury'!AG$307/'Population Treasury'!AF$307)+(SUMPRODUCT(Exogenous!$R$82:$R$85,'Population Treasury'!AG$283:AG$286)+SUMPRODUCT(Exogenous!$R$86:$R$94,'Population Treasury'!AG$288:AG$296)+SUMPRODUCT(Exogenous!$R$95:$R$100,'Population Treasury'!AG$298:AG$303))/('Population Treasury'!AG$309/'Population Treasury'!AF$309))*(1+V$25)*(1+V$29)*(1+OFFSET(Assumptions!$B$63,0,$C$1))/(1+OFFSET(Assumptions!$B$64,0,$C$1))-U$260,0))</f>
        <v>0.5151</v>
      </c>
      <c r="W260" s="16">
        <f ca="1">V$260+IF(OFFSET(Assumptions!$B$57,0,$C$1)="Yes",Exogenous!$Q$79*Allocation!$B$15*W$247,IF(OFFSET(Assumptions!$B$58,0,$C$1)="Yes",V$260*(1+(SUMPRODUCT(Exogenous!$Q$82:$Q$85,'Population Treasury'!AH$238:AH$241)+SUMPRODUCT(Exogenous!$Q$86:$Q$94,'Population Treasury'!AH$243:AH$251)+SUMPRODUCT(Exogenous!$Q$95:$Q$100,'Population Treasury'!AH$253:AH$258))/('Population Treasury'!AH$307/'Population Treasury'!AG$307)+(SUMPRODUCT(Exogenous!$R$82:$R$85,'Population Treasury'!AH$283:AH$286)+SUMPRODUCT(Exogenous!$R$86:$R$94,'Population Treasury'!AH$288:AH$296)+SUMPRODUCT(Exogenous!$R$95:$R$100,'Population Treasury'!AH$298:AH$303))/('Population Treasury'!AH$309/'Population Treasury'!AG$309))*(1+W$25)*(1+W$29)*(1+OFFSET(Assumptions!$B$63,0,$C$1))/(1+OFFSET(Assumptions!$B$64,0,$C$1))-V$260,0))</f>
        <v>0.5151</v>
      </c>
      <c r="X260" s="16">
        <f ca="1">W$260+IF(OFFSET(Assumptions!$B$57,0,$C$1)="Yes",Exogenous!$Q$79*Allocation!$B$15*X$247,IF(OFFSET(Assumptions!$B$58,0,$C$1)="Yes",W$260*(1+(SUMPRODUCT(Exogenous!$Q$82:$Q$85,'Population Treasury'!AI$238:AI$241)+SUMPRODUCT(Exogenous!$Q$86:$Q$94,'Population Treasury'!AI$243:AI$251)+SUMPRODUCT(Exogenous!$Q$95:$Q$100,'Population Treasury'!AI$253:AI$258))/('Population Treasury'!AI$307/'Population Treasury'!AH$307)+(SUMPRODUCT(Exogenous!$R$82:$R$85,'Population Treasury'!AI$283:AI$286)+SUMPRODUCT(Exogenous!$R$86:$R$94,'Population Treasury'!AI$288:AI$296)+SUMPRODUCT(Exogenous!$R$95:$R$100,'Population Treasury'!AI$298:AI$303))/('Population Treasury'!AI$309/'Population Treasury'!AH$309))*(1+X$25)*(1+X$29)*(1+OFFSET(Assumptions!$B$63,0,$C$1))/(1+OFFSET(Assumptions!$B$64,0,$C$1))-W$260,0))</f>
        <v>0.5151</v>
      </c>
    </row>
    <row r="261" spans="1:24" x14ac:dyDescent="0.25">
      <c r="A261" s="9" t="s">
        <v>1105</v>
      </c>
      <c r="B261" s="10"/>
      <c r="D261" s="65">
        <f>SUM(D$255:D$260)</f>
        <v>18.268000000000001</v>
      </c>
      <c r="E261" s="65">
        <f t="shared" ref="E261:I261" si="162">SUM(E$255:E$260)</f>
        <v>19.890999999999998</v>
      </c>
      <c r="F261" s="65">
        <f t="shared" si="162"/>
        <v>22.783999999999999</v>
      </c>
      <c r="G261" s="65">
        <f t="shared" si="162"/>
        <v>27.780999999999999</v>
      </c>
      <c r="H261" s="65">
        <f t="shared" si="162"/>
        <v>28.488999999999997</v>
      </c>
      <c r="I261" s="65">
        <f t="shared" si="162"/>
        <v>29.999000000000002</v>
      </c>
      <c r="J261" s="66">
        <f t="shared" ref="J261:X261" ca="1" si="163">SUM(J$255:J$260)</f>
        <v>30.935000000000002</v>
      </c>
      <c r="K261" s="66">
        <f t="shared" ca="1" si="163"/>
        <v>32.709000000000003</v>
      </c>
      <c r="L261" s="66">
        <f t="shared" ca="1" si="163"/>
        <v>34.055</v>
      </c>
      <c r="M261" s="66">
        <f t="shared" ca="1" si="163"/>
        <v>34.194000000000003</v>
      </c>
      <c r="N261" s="66">
        <f t="shared" ca="1" si="163"/>
        <v>34.339999999999996</v>
      </c>
      <c r="O261" s="67">
        <f t="shared" ca="1" si="163"/>
        <v>34.339999999999996</v>
      </c>
      <c r="P261" s="67">
        <f t="shared" ca="1" si="163"/>
        <v>34.339999999999996</v>
      </c>
      <c r="Q261" s="67">
        <f t="shared" ca="1" si="163"/>
        <v>34.339999999999996</v>
      </c>
      <c r="R261" s="67">
        <f t="shared" ca="1" si="163"/>
        <v>34.339999999999996</v>
      </c>
      <c r="S261" s="67">
        <f t="shared" ca="1" si="163"/>
        <v>34.339999999999996</v>
      </c>
      <c r="T261" s="67">
        <f t="shared" ca="1" si="163"/>
        <v>34.339999999999996</v>
      </c>
      <c r="U261" s="67">
        <f t="shared" ca="1" si="163"/>
        <v>34.339999999999996</v>
      </c>
      <c r="V261" s="67">
        <f t="shared" ca="1" si="163"/>
        <v>34.339999999999996</v>
      </c>
      <c r="W261" s="67">
        <f t="shared" ca="1" si="163"/>
        <v>34.339999999999996</v>
      </c>
      <c r="X261" s="67">
        <f t="shared" ca="1" si="163"/>
        <v>34.339999999999996</v>
      </c>
    </row>
    <row r="262" spans="1:24" x14ac:dyDescent="0.25">
      <c r="A262" s="11" t="s">
        <v>707</v>
      </c>
      <c r="B262" s="10" t="str">
        <f>$B$38</f>
        <v>From Fiscal Forecasts</v>
      </c>
      <c r="D262" s="35">
        <f>'Fiscal Forecasts'!D$207</f>
        <v>16.579000000000001</v>
      </c>
      <c r="E262" s="35">
        <f>'Fiscal Forecasts'!E$207</f>
        <v>17.788</v>
      </c>
      <c r="F262" s="35">
        <f>'Fiscal Forecasts'!F$207</f>
        <v>18.856000000000002</v>
      </c>
      <c r="G262" s="35">
        <f>'Fiscal Forecasts'!G$207</f>
        <v>22.004999999999999</v>
      </c>
      <c r="H262" s="35">
        <f>'Fiscal Forecasts'!H$207</f>
        <v>27.765999999999998</v>
      </c>
      <c r="I262" s="35">
        <f>'Fiscal Forecasts'!I$207</f>
        <v>27.89</v>
      </c>
      <c r="J262" s="17">
        <f>'Fiscal Forecasts'!J$207</f>
        <v>28.486999999999998</v>
      </c>
      <c r="K262" s="17">
        <f>'Fiscal Forecasts'!K$207</f>
        <v>28.939</v>
      </c>
      <c r="L262" s="17">
        <f>'Fiscal Forecasts'!L$207</f>
        <v>30.300999999999998</v>
      </c>
      <c r="M262" s="17">
        <f>'Fiscal Forecasts'!M$207</f>
        <v>30.123999999999999</v>
      </c>
      <c r="N262" s="17">
        <f>'Fiscal Forecasts'!N$207</f>
        <v>30.146999999999998</v>
      </c>
      <c r="O262" s="16">
        <f t="shared" ref="O262:X262" ca="1" si="164">N$262+O$261-N$261</f>
        <v>30.146999999999998</v>
      </c>
      <c r="P262" s="16">
        <f t="shared" ca="1" si="164"/>
        <v>30.146999999999998</v>
      </c>
      <c r="Q262" s="16">
        <f t="shared" ca="1" si="164"/>
        <v>30.146999999999998</v>
      </c>
      <c r="R262" s="16">
        <f t="shared" ca="1" si="164"/>
        <v>30.146999999999998</v>
      </c>
      <c r="S262" s="16">
        <f t="shared" ca="1" si="164"/>
        <v>30.146999999999998</v>
      </c>
      <c r="T262" s="16">
        <f t="shared" ca="1" si="164"/>
        <v>30.146999999999998</v>
      </c>
      <c r="U262" s="16">
        <f t="shared" ca="1" si="164"/>
        <v>30.146999999999998</v>
      </c>
      <c r="V262" s="16">
        <f t="shared" ca="1" si="164"/>
        <v>30.146999999999998</v>
      </c>
      <c r="W262" s="16">
        <f t="shared" ca="1" si="164"/>
        <v>30.146999999999998</v>
      </c>
      <c r="X262" s="16">
        <f t="shared" ca="1" si="164"/>
        <v>30.146999999999998</v>
      </c>
    </row>
    <row r="263" spans="1:24" x14ac:dyDescent="0.25">
      <c r="A263" s="11" t="s">
        <v>866</v>
      </c>
      <c r="B263" s="10" t="str">
        <f>$B$38</f>
        <v>From Fiscal Forecasts</v>
      </c>
      <c r="D263" s="35">
        <f>'Fiscal Forecasts'!D$41-SUM(D$261:D$262)</f>
        <v>-16.187000000000001</v>
      </c>
      <c r="E263" s="35">
        <f>'Fiscal Forecasts'!E$41-SUM(E$261:E$262)</f>
        <v>-17.21</v>
      </c>
      <c r="F263" s="35">
        <f>'Fiscal Forecasts'!F$41-SUM(F$261:F$262)</f>
        <v>-19.042000000000002</v>
      </c>
      <c r="G263" s="35">
        <f>'Fiscal Forecasts'!G$41-SUM(G$261:G$262)</f>
        <v>-22.128</v>
      </c>
      <c r="H263" s="35">
        <f>'Fiscal Forecasts'!H$41-SUM(H$261:H$262)</f>
        <v>-26.430999999999994</v>
      </c>
      <c r="I263" s="35">
        <f>'Fiscal Forecasts'!I$41-SUM(I$261:I$262)</f>
        <v>-28.049000000000003</v>
      </c>
      <c r="J263" s="17">
        <f ca="1">'Fiscal Forecasts'!J$41-SUM(J$261:J$262)+IF(OFFSET(Assumptions!$B$56,0,$C$1)="Yes",Allocation!C$15,0)</f>
        <v>-28.708999999999996</v>
      </c>
      <c r="K263" s="17">
        <f ca="1">'Fiscal Forecasts'!K$41-SUM(K$261:K$262)+IF(OFFSET(Assumptions!$B$56,0,$C$1)="Yes",Allocation!D$15,0)</f>
        <v>-30.424000000000003</v>
      </c>
      <c r="L263" s="17">
        <f ca="1">'Fiscal Forecasts'!L$41-SUM(L$261:L$262)+IF(OFFSET(Assumptions!$B$56,0,$C$1)="Yes",Allocation!E$15,0)</f>
        <v>-31.830999999999996</v>
      </c>
      <c r="M263" s="17">
        <f ca="1">'Fiscal Forecasts'!M$41-SUM(M$261:M$262)+IF(OFFSET(Assumptions!$B$56,0,$C$1)="Yes",Allocation!F$15,0)</f>
        <v>-32.004999999999995</v>
      </c>
      <c r="N263" s="17">
        <f ca="1">'Fiscal Forecasts'!N$41-SUM(N$261:N$262)+IF(OFFSET(Assumptions!$B$56,0,$C$1)="Yes",Allocation!G$15,0)</f>
        <v>-32.190999999999995</v>
      </c>
      <c r="O263" s="16">
        <f t="shared" ref="O263:X263" ca="1" si="165">N$263-(O$261-N$261)</f>
        <v>-32.190999999999995</v>
      </c>
      <c r="P263" s="16">
        <f t="shared" ca="1" si="165"/>
        <v>-32.190999999999995</v>
      </c>
      <c r="Q263" s="16">
        <f t="shared" ca="1" si="165"/>
        <v>-32.190999999999995</v>
      </c>
      <c r="R263" s="16">
        <f t="shared" ca="1" si="165"/>
        <v>-32.190999999999995</v>
      </c>
      <c r="S263" s="16">
        <f t="shared" ca="1" si="165"/>
        <v>-32.190999999999995</v>
      </c>
      <c r="T263" s="16">
        <f t="shared" ca="1" si="165"/>
        <v>-32.190999999999995</v>
      </c>
      <c r="U263" s="16">
        <f t="shared" ca="1" si="165"/>
        <v>-32.190999999999995</v>
      </c>
      <c r="V263" s="16">
        <f t="shared" ca="1" si="165"/>
        <v>-32.190999999999995</v>
      </c>
      <c r="W263" s="16">
        <f t="shared" ca="1" si="165"/>
        <v>-32.190999999999995</v>
      </c>
      <c r="X263" s="16">
        <f t="shared" ca="1" si="165"/>
        <v>-32.190999999999995</v>
      </c>
    </row>
    <row r="264" spans="1:24" x14ac:dyDescent="0.25">
      <c r="A264" s="9" t="s">
        <v>978</v>
      </c>
      <c r="D264" s="65">
        <f t="shared" ref="D264:I264" si="166">SUM(D$261:D$263)</f>
        <v>18.66</v>
      </c>
      <c r="E264" s="65">
        <f t="shared" si="166"/>
        <v>20.469000000000001</v>
      </c>
      <c r="F264" s="65">
        <f t="shared" si="166"/>
        <v>22.597999999999999</v>
      </c>
      <c r="G264" s="65">
        <f t="shared" si="166"/>
        <v>27.658000000000001</v>
      </c>
      <c r="H264" s="65">
        <f t="shared" si="166"/>
        <v>29.824000000000002</v>
      </c>
      <c r="I264" s="65">
        <f t="shared" si="166"/>
        <v>29.84</v>
      </c>
      <c r="J264" s="66">
        <f t="shared" ref="J264:X264" ca="1" si="167">SUM(J$261:J$263)</f>
        <v>30.713000000000001</v>
      </c>
      <c r="K264" s="66">
        <f t="shared" ca="1" si="167"/>
        <v>31.224</v>
      </c>
      <c r="L264" s="66">
        <f t="shared" ca="1" si="167"/>
        <v>32.524999999999999</v>
      </c>
      <c r="M264" s="66">
        <f t="shared" ca="1" si="167"/>
        <v>32.313000000000002</v>
      </c>
      <c r="N264" s="66">
        <f t="shared" ca="1" si="167"/>
        <v>32.295999999999999</v>
      </c>
      <c r="O264" s="67">
        <f t="shared" ca="1" si="167"/>
        <v>32.295999999999999</v>
      </c>
      <c r="P264" s="67">
        <f t="shared" ca="1" si="167"/>
        <v>32.295999999999999</v>
      </c>
      <c r="Q264" s="67">
        <f t="shared" ca="1" si="167"/>
        <v>32.295999999999999</v>
      </c>
      <c r="R264" s="67">
        <f t="shared" ca="1" si="167"/>
        <v>32.295999999999999</v>
      </c>
      <c r="S264" s="67">
        <f t="shared" ca="1" si="167"/>
        <v>32.295999999999999</v>
      </c>
      <c r="T264" s="67">
        <f t="shared" ca="1" si="167"/>
        <v>32.295999999999999</v>
      </c>
      <c r="U264" s="67">
        <f t="shared" ca="1" si="167"/>
        <v>32.295999999999999</v>
      </c>
      <c r="V264" s="67">
        <f t="shared" ca="1" si="167"/>
        <v>32.295999999999999</v>
      </c>
      <c r="W264" s="67">
        <f t="shared" ca="1" si="167"/>
        <v>32.295999999999999</v>
      </c>
      <c r="X264" s="67">
        <f t="shared" ca="1" si="167"/>
        <v>32.295999999999999</v>
      </c>
    </row>
    <row r="265" spans="1:24" x14ac:dyDescent="0.25">
      <c r="D265" s="112"/>
      <c r="E265" s="112"/>
      <c r="F265" s="112"/>
      <c r="G265" s="112"/>
      <c r="H265" s="112"/>
      <c r="I265" s="112"/>
      <c r="J265" s="112"/>
      <c r="K265" s="112"/>
      <c r="L265" s="112"/>
      <c r="M265" s="112"/>
      <c r="N265" s="112"/>
      <c r="O265" s="112"/>
      <c r="P265" s="112"/>
      <c r="Q265" s="112"/>
      <c r="R265" s="112"/>
      <c r="S265" s="112"/>
      <c r="T265" s="112"/>
      <c r="U265" s="112"/>
      <c r="V265" s="112"/>
      <c r="W265" s="112"/>
      <c r="X265" s="112"/>
    </row>
    <row r="266" spans="1:24" x14ac:dyDescent="0.25">
      <c r="A266" s="9" t="s">
        <v>979</v>
      </c>
    </row>
    <row r="267" spans="1:24" x14ac:dyDescent="0.25">
      <c r="A267" s="11" t="s">
        <v>1258</v>
      </c>
      <c r="B267" s="10" t="str">
        <f>$B$38</f>
        <v>From Fiscal Forecasts</v>
      </c>
      <c r="D267" s="35">
        <f>'Fiscal Forecasts'!D$408</f>
        <v>1.8959999999999999</v>
      </c>
      <c r="E267" s="35">
        <f>'Fiscal Forecasts'!E$408</f>
        <v>2.0070000000000001</v>
      </c>
      <c r="F267" s="35">
        <f>'Fiscal Forecasts'!F$408</f>
        <v>2.1320000000000001</v>
      </c>
      <c r="G267" s="35">
        <f>'Fiscal Forecasts'!G$408</f>
        <v>2.2469999999999999</v>
      </c>
      <c r="H267" s="35">
        <f>'Fiscal Forecasts'!H$408</f>
        <v>2.355</v>
      </c>
      <c r="I267" s="35">
        <f>'Fiscal Forecasts'!I$408</f>
        <v>2.71</v>
      </c>
      <c r="J267" s="17">
        <f ca="1">'Fiscal Forecasts'!J$408+IF(OFFSET(Assumptions!$B$56,0,$C$1)="Yes",Allocation!C$28,0)</f>
        <v>2.9649999999999999</v>
      </c>
      <c r="K267" s="17">
        <f ca="1">'Fiscal Forecasts'!K$408+IF(OFFSET(Assumptions!$B$56,0,$C$1)="Yes",Allocation!D$28,0)</f>
        <v>3.0649999999999999</v>
      </c>
      <c r="L267" s="17">
        <f ca="1">'Fiscal Forecasts'!L$408+IF(OFFSET(Assumptions!$B$56,0,$C$1)="Yes",Allocation!E$28,0)</f>
        <v>3.0990000000000002</v>
      </c>
      <c r="M267" s="17">
        <f ca="1">'Fiscal Forecasts'!M$408+IF(OFFSET(Assumptions!$B$56,0,$C$1)="Yes",Allocation!F$28,0)</f>
        <v>3.1419999999999999</v>
      </c>
      <c r="N267" s="17">
        <f ca="1">'Fiscal Forecasts'!N$408+IF(OFFSET(Assumptions!$B$56,0,$C$1)="Yes",Allocation!G$28,0)</f>
        <v>3.1850000000000001</v>
      </c>
      <c r="O267" s="16">
        <f ca="1">N$267+IF(OFFSET(Assumptions!$B$57,0,$C$1)="Yes",Allocation!$B$28*Allocation!$B$16*O$247,IF(OFFSET(Assumptions!$B$58,0,$C$1)="Yes",N$267*(1+SUMPRODUCT(Exogenous!$B$65:$B$70,'Population Treasury'!Z$214:Z$219)+SUMPRODUCT(Exogenous!$C$65:$C$70,'Population Treasury'!Z$259:Z$264))*(1+O$25)*(1+O$29)*(1+OFFSET(Assumptions!$B$61,0,$C$1))/(1+OFFSET(Assumptions!$B$62,0,$C$1))-N$267,0))</f>
        <v>3.1850000000000001</v>
      </c>
      <c r="P267" s="16">
        <f ca="1">O$267+IF(OFFSET(Assumptions!$B$57,0,$C$1)="Yes",Allocation!$B$28*Allocation!$B$16*P$247,IF(OFFSET(Assumptions!$B$58,0,$C$1)="Yes",O$267*(1+SUMPRODUCT(Exogenous!$B$65:$B$70,'Population Treasury'!AA$214:AA$219)+SUMPRODUCT(Exogenous!$C$65:$C$70,'Population Treasury'!AA$259:AA$264))*(1+P$25)*(1+P$29)*(1+OFFSET(Assumptions!$B$61,0,$C$1))/(1+OFFSET(Assumptions!$B$62,0,$C$1))-O$267,0))</f>
        <v>3.1850000000000001</v>
      </c>
      <c r="Q267" s="16">
        <f ca="1">P$267+IF(OFFSET(Assumptions!$B$57,0,$C$1)="Yes",Allocation!$B$28*Allocation!$B$16*Q$247,IF(OFFSET(Assumptions!$B$58,0,$C$1)="Yes",P$267*(1+SUMPRODUCT(Exogenous!$B$65:$B$70,'Population Treasury'!AB$214:AB$219)+SUMPRODUCT(Exogenous!$C$65:$C$70,'Population Treasury'!AB$259:AB$264))*(1+Q$25)*(1+Q$29)*(1+OFFSET(Assumptions!$B$61,0,$C$1))/(1+OFFSET(Assumptions!$B$62,0,$C$1))-P$267,0))</f>
        <v>3.1850000000000001</v>
      </c>
      <c r="R267" s="16">
        <f ca="1">Q$267+IF(OFFSET(Assumptions!$B$57,0,$C$1)="Yes",Allocation!$B$28*Allocation!$B$16*R$247,IF(OFFSET(Assumptions!$B$58,0,$C$1)="Yes",Q$267*(1+SUMPRODUCT(Exogenous!$B$65:$B$70,'Population Treasury'!AC$214:AC$219)+SUMPRODUCT(Exogenous!$C$65:$C$70,'Population Treasury'!AC$259:AC$264))*(1+R$25)*(1+R$29)*(1+OFFSET(Assumptions!$B$61,0,$C$1))/(1+OFFSET(Assumptions!$B$62,0,$C$1))-Q$267,0))</f>
        <v>3.1850000000000001</v>
      </c>
      <c r="S267" s="16">
        <f ca="1">R$267+IF(OFFSET(Assumptions!$B$57,0,$C$1)="Yes",Allocation!$B$28*Allocation!$B$16*S$247,IF(OFFSET(Assumptions!$B$58,0,$C$1)="Yes",R$267*(1+SUMPRODUCT(Exogenous!$B$65:$B$70,'Population Treasury'!AD$214:AD$219)+SUMPRODUCT(Exogenous!$C$65:$C$70,'Population Treasury'!AD$259:AD$264))*(1+S$25)*(1+S$29)*(1+OFFSET(Assumptions!$B$61,0,$C$1))/(1+OFFSET(Assumptions!$B$62,0,$C$1))-R$267,0))</f>
        <v>3.1850000000000001</v>
      </c>
      <c r="T267" s="16">
        <f ca="1">S$267+IF(OFFSET(Assumptions!$B$57,0,$C$1)="Yes",Allocation!$B$28*Allocation!$B$16*T$247,IF(OFFSET(Assumptions!$B$58,0,$C$1)="Yes",S$267*(1+SUMPRODUCT(Exogenous!$B$65:$B$70,'Population Treasury'!AE$214:AE$219)+SUMPRODUCT(Exogenous!$C$65:$C$70,'Population Treasury'!AE$259:AE$264))*(1+T$25)*(1+T$29)*(1+OFFSET(Assumptions!$B$61,0,$C$1))/(1+OFFSET(Assumptions!$B$62,0,$C$1))-S$267,0))</f>
        <v>3.1850000000000001</v>
      </c>
      <c r="U267" s="16">
        <f ca="1">T$267+IF(OFFSET(Assumptions!$B$57,0,$C$1)="Yes",Allocation!$B$28*Allocation!$B$16*U$247,IF(OFFSET(Assumptions!$B$58,0,$C$1)="Yes",T$267*(1+SUMPRODUCT(Exogenous!$B$65:$B$70,'Population Treasury'!AF$214:AF$219)+SUMPRODUCT(Exogenous!$C$65:$C$70,'Population Treasury'!AF$259:AF$264))*(1+U$25)*(1+U$29)*(1+OFFSET(Assumptions!$B$61,0,$C$1))/(1+OFFSET(Assumptions!$B$62,0,$C$1))-T$267,0))</f>
        <v>3.1850000000000001</v>
      </c>
      <c r="V267" s="16">
        <f ca="1">U$267+IF(OFFSET(Assumptions!$B$57,0,$C$1)="Yes",Allocation!$B$28*Allocation!$B$16*V$247,IF(OFFSET(Assumptions!$B$58,0,$C$1)="Yes",U$267*(1+SUMPRODUCT(Exogenous!$B$65:$B$70,'Population Treasury'!AG$214:AG$219)+SUMPRODUCT(Exogenous!$C$65:$C$70,'Population Treasury'!AG$259:AG$264))*(1+V$25)*(1+V$29)*(1+OFFSET(Assumptions!$B$61,0,$C$1))/(1+OFFSET(Assumptions!$B$62,0,$C$1))-U$267,0))</f>
        <v>3.1850000000000001</v>
      </c>
      <c r="W267" s="16">
        <f ca="1">V$267+IF(OFFSET(Assumptions!$B$57,0,$C$1)="Yes",Allocation!$B$28*Allocation!$B$16*W$247,IF(OFFSET(Assumptions!$B$58,0,$C$1)="Yes",V$267*(1+SUMPRODUCT(Exogenous!$B$65:$B$70,'Population Treasury'!AH$214:AH$219)+SUMPRODUCT(Exogenous!$C$65:$C$70,'Population Treasury'!AH$259:AH$264))*(1+W$25)*(1+W$29)*(1+OFFSET(Assumptions!$B$61,0,$C$1))/(1+OFFSET(Assumptions!$B$62,0,$C$1))-V$267,0))</f>
        <v>3.1850000000000001</v>
      </c>
      <c r="X267" s="16">
        <f ca="1">W$267+IF(OFFSET(Assumptions!$B$57,0,$C$1)="Yes",Allocation!$B$28*Allocation!$B$16*X$247,IF(OFFSET(Assumptions!$B$58,0,$C$1)="Yes",W$267*(1+SUMPRODUCT(Exogenous!$B$65:$B$70,'Population Treasury'!AI$214:AI$219)+SUMPRODUCT(Exogenous!$C$65:$C$70,'Population Treasury'!AI$259:AI$264))*(1+X$25)*(1+X$29)*(1+OFFSET(Assumptions!$B$61,0,$C$1))/(1+OFFSET(Assumptions!$B$62,0,$C$1))-W$267,0))</f>
        <v>3.1850000000000001</v>
      </c>
    </row>
    <row r="268" spans="1:24" x14ac:dyDescent="0.25">
      <c r="A268" s="11" t="s">
        <v>1285</v>
      </c>
      <c r="B268" s="10" t="str">
        <f>$B$38</f>
        <v>From Fiscal Forecasts</v>
      </c>
      <c r="D268" s="35">
        <f>'Fiscal Forecasts'!D$409</f>
        <v>3.835</v>
      </c>
      <c r="E268" s="35">
        <f>'Fiscal Forecasts'!E$409</f>
        <v>4.0129999999999999</v>
      </c>
      <c r="F268" s="35">
        <f>'Fiscal Forecasts'!F$409</f>
        <v>4.6470000000000002</v>
      </c>
      <c r="G268" s="35">
        <f>'Fiscal Forecasts'!G$409</f>
        <v>4.7329999999999997</v>
      </c>
      <c r="H268" s="35">
        <f>'Fiscal Forecasts'!H$409</f>
        <v>4.7789999999999999</v>
      </c>
      <c r="I268" s="35">
        <f>'Fiscal Forecasts'!I$409</f>
        <v>5.39</v>
      </c>
      <c r="J268" s="17">
        <f ca="1">'Fiscal Forecasts'!J$409+IF(OFFSET(Assumptions!$B$56,0,$C$1)="Yes",Allocation!C$29,0)</f>
        <v>5.5470000000000006</v>
      </c>
      <c r="K268" s="17">
        <f ca="1">'Fiscal Forecasts'!K$409+IF(OFFSET(Assumptions!$B$56,0,$C$1)="Yes",Allocation!D$29,0)</f>
        <v>5.7140000000000004</v>
      </c>
      <c r="L268" s="17">
        <f ca="1">'Fiscal Forecasts'!L$409+IF(OFFSET(Assumptions!$B$56,0,$C$1)="Yes",Allocation!E$29,0)</f>
        <v>5.6560000000000006</v>
      </c>
      <c r="M268" s="17">
        <f ca="1">'Fiscal Forecasts'!M$409+IF(OFFSET(Assumptions!$B$56,0,$C$1)="Yes",Allocation!F$29,0)</f>
        <v>5.5250000000000004</v>
      </c>
      <c r="N268" s="17">
        <f ca="1">'Fiscal Forecasts'!N$409+IF(OFFSET(Assumptions!$B$56,0,$C$1)="Yes",Allocation!G$29,0)</f>
        <v>5.4489999999999998</v>
      </c>
      <c r="O268" s="16">
        <f ca="1">N$268+IF(OFFSET(Assumptions!$B$57,0,$C$1)="Yes",Allocation!$B$29*Allocation!$B$16*O$247,IF(OFFSET(Assumptions!$B$58,0,$C$1)="Yes",N$268*(1+SUMPRODUCT(Exogenous!$G$65:$G$73,'Population Treasury'!Z$219:Z$227)+SUMPRODUCT(Exogenous!$H$65:$H$73,'Population Treasury'!Z$264:Z$272))*(1+O$25)*(1+O$29)*(1+OFFSET(Assumptions!$B$61,0,$C$1))/(1+OFFSET(Assumptions!$B$62,0,$C$1))-N$268,0))</f>
        <v>5.4489999999999998</v>
      </c>
      <c r="P268" s="16">
        <f ca="1">O$268+IF(OFFSET(Assumptions!$B$57,0,$C$1)="Yes",Allocation!$B$29*Allocation!$B$16*P$247,IF(OFFSET(Assumptions!$B$58,0,$C$1)="Yes",O$268*(1+SUMPRODUCT(Exogenous!$G$65:$G$73,'Population Treasury'!AA$219:AA$227)+SUMPRODUCT(Exogenous!$H$65:$H$73,'Population Treasury'!AA$264:AA$272))*(1+P$25)*(1+P$29)*(1+OFFSET(Assumptions!$B$61,0,$C$1))/(1+OFFSET(Assumptions!$B$62,0,$C$1))-O$268,0))</f>
        <v>5.4489999999999998</v>
      </c>
      <c r="Q268" s="16">
        <f ca="1">P$268+IF(OFFSET(Assumptions!$B$57,0,$C$1)="Yes",Allocation!$B$29*Allocation!$B$16*Q$247,IF(OFFSET(Assumptions!$B$58,0,$C$1)="Yes",P$268*(1+SUMPRODUCT(Exogenous!$G$65:$G$73,'Population Treasury'!AB$219:AB$227)+SUMPRODUCT(Exogenous!$H$65:$H$73,'Population Treasury'!AB$264:AB$272))*(1+Q$25)*(1+Q$29)*(1+OFFSET(Assumptions!$B$61,0,$C$1))/(1+OFFSET(Assumptions!$B$62,0,$C$1))-P$268,0))</f>
        <v>5.4489999999999998</v>
      </c>
      <c r="R268" s="16">
        <f ca="1">Q$268+IF(OFFSET(Assumptions!$B$57,0,$C$1)="Yes",Allocation!$B$29*Allocation!$B$16*R$247,IF(OFFSET(Assumptions!$B$58,0,$C$1)="Yes",Q$268*(1+SUMPRODUCT(Exogenous!$G$65:$G$73,'Population Treasury'!AC$219:AC$227)+SUMPRODUCT(Exogenous!$H$65:$H$73,'Population Treasury'!AC$264:AC$272))*(1+R$25)*(1+R$29)*(1+OFFSET(Assumptions!$B$61,0,$C$1))/(1+OFFSET(Assumptions!$B$62,0,$C$1))-Q$268,0))</f>
        <v>5.4489999999999998</v>
      </c>
      <c r="S268" s="16">
        <f ca="1">R$268+IF(OFFSET(Assumptions!$B$57,0,$C$1)="Yes",Allocation!$B$29*Allocation!$B$16*S$247,IF(OFFSET(Assumptions!$B$58,0,$C$1)="Yes",R$268*(1+SUMPRODUCT(Exogenous!$G$65:$G$73,'Population Treasury'!AD$219:AD$227)+SUMPRODUCT(Exogenous!$H$65:$H$73,'Population Treasury'!AD$264:AD$272))*(1+S$25)*(1+S$29)*(1+OFFSET(Assumptions!$B$61,0,$C$1))/(1+OFFSET(Assumptions!$B$62,0,$C$1))-R$268,0))</f>
        <v>5.4489999999999998</v>
      </c>
      <c r="T268" s="16">
        <f ca="1">S$268+IF(OFFSET(Assumptions!$B$57,0,$C$1)="Yes",Allocation!$B$29*Allocation!$B$16*T$247,IF(OFFSET(Assumptions!$B$58,0,$C$1)="Yes",S$268*(1+SUMPRODUCT(Exogenous!$G$65:$G$73,'Population Treasury'!AE$219:AE$227)+SUMPRODUCT(Exogenous!$H$65:$H$73,'Population Treasury'!AE$264:AE$272))*(1+T$25)*(1+T$29)*(1+OFFSET(Assumptions!$B$61,0,$C$1))/(1+OFFSET(Assumptions!$B$62,0,$C$1))-S$268,0))</f>
        <v>5.4489999999999998</v>
      </c>
      <c r="U268" s="16">
        <f ca="1">T$268+IF(OFFSET(Assumptions!$B$57,0,$C$1)="Yes",Allocation!$B$29*Allocation!$B$16*U$247,IF(OFFSET(Assumptions!$B$58,0,$C$1)="Yes",T$268*(1+SUMPRODUCT(Exogenous!$G$65:$G$73,'Population Treasury'!AF$219:AF$227)+SUMPRODUCT(Exogenous!$H$65:$H$73,'Population Treasury'!AF$264:AF$272))*(1+U$25)*(1+U$29)*(1+OFFSET(Assumptions!$B$61,0,$C$1))/(1+OFFSET(Assumptions!$B$62,0,$C$1))-T$268,0))</f>
        <v>5.4489999999999998</v>
      </c>
      <c r="V268" s="16">
        <f ca="1">U$268+IF(OFFSET(Assumptions!$B$57,0,$C$1)="Yes",Allocation!$B$29*Allocation!$B$16*V$247,IF(OFFSET(Assumptions!$B$58,0,$C$1)="Yes",U$268*(1+SUMPRODUCT(Exogenous!$G$65:$G$73,'Population Treasury'!AG$219:AG$227)+SUMPRODUCT(Exogenous!$H$65:$H$73,'Population Treasury'!AG$264:AG$272))*(1+V$25)*(1+V$29)*(1+OFFSET(Assumptions!$B$61,0,$C$1))/(1+OFFSET(Assumptions!$B$62,0,$C$1))-U$268,0))</f>
        <v>5.4489999999999998</v>
      </c>
      <c r="W268" s="16">
        <f ca="1">V$268+IF(OFFSET(Assumptions!$B$57,0,$C$1)="Yes",Allocation!$B$29*Allocation!$B$16*W$247,IF(OFFSET(Assumptions!$B$58,0,$C$1)="Yes",V$268*(1+SUMPRODUCT(Exogenous!$G$65:$G$73,'Population Treasury'!AH$219:AH$227)+SUMPRODUCT(Exogenous!$H$65:$H$73,'Population Treasury'!AH$264:AH$272))*(1+W$25)*(1+W$29)*(1+OFFSET(Assumptions!$B$61,0,$C$1))/(1+OFFSET(Assumptions!$B$62,0,$C$1))-V$268,0))</f>
        <v>5.4489999999999998</v>
      </c>
      <c r="X268" s="16">
        <f ca="1">W$268+IF(OFFSET(Assumptions!$B$57,0,$C$1)="Yes",Allocation!$B$29*Allocation!$B$16*X$247,IF(OFFSET(Assumptions!$B$58,0,$C$1)="Yes",W$268*(1+SUMPRODUCT(Exogenous!$G$65:$G$73,'Population Treasury'!AI$219:AI$227)+SUMPRODUCT(Exogenous!$H$65:$H$73,'Population Treasury'!AI$264:AI$272))*(1+X$25)*(1+X$29)*(1+OFFSET(Assumptions!$B$61,0,$C$1))/(1+OFFSET(Assumptions!$B$62,0,$C$1))-W$268,0))</f>
        <v>5.4489999999999998</v>
      </c>
    </row>
    <row r="269" spans="1:24" x14ac:dyDescent="0.25">
      <c r="A269" s="11" t="s">
        <v>1286</v>
      </c>
      <c r="B269" s="10" t="str">
        <f>$B$38</f>
        <v>From Fiscal Forecasts</v>
      </c>
      <c r="D269" s="35">
        <f>'Fiscal Forecasts'!D$410</f>
        <v>2.988</v>
      </c>
      <c r="E269" s="35">
        <f>'Fiscal Forecasts'!E$410</f>
        <v>3.0950000000000002</v>
      </c>
      <c r="F269" s="35">
        <f>'Fiscal Forecasts'!F$410</f>
        <v>3.5830000000000002</v>
      </c>
      <c r="G269" s="35">
        <f>'Fiscal Forecasts'!G$410</f>
        <v>3.7450000000000001</v>
      </c>
      <c r="H269" s="35">
        <f>'Fiscal Forecasts'!H$410</f>
        <v>3.8370000000000002</v>
      </c>
      <c r="I269" s="35">
        <f>'Fiscal Forecasts'!I$410</f>
        <v>4.351</v>
      </c>
      <c r="J269" s="17">
        <f ca="1">'Fiscal Forecasts'!J$410+IF(OFFSET(Assumptions!$B$56,0,$C$1)="Yes",Allocation!C$30,0)</f>
        <v>4.5339999999999998</v>
      </c>
      <c r="K269" s="17">
        <f ca="1">'Fiscal Forecasts'!K$410+IF(OFFSET(Assumptions!$B$56,0,$C$1)="Yes",Allocation!D$30,0)</f>
        <v>4.7430000000000003</v>
      </c>
      <c r="L269" s="17">
        <f ca="1">'Fiscal Forecasts'!L$410+IF(OFFSET(Assumptions!$B$56,0,$C$1)="Yes",Allocation!E$30,0)</f>
        <v>4.7009999999999996</v>
      </c>
      <c r="M269" s="17">
        <f ca="1">'Fiscal Forecasts'!M$410+IF(OFFSET(Assumptions!$B$56,0,$C$1)="Yes",Allocation!F$30,0)</f>
        <v>4.6120000000000001</v>
      </c>
      <c r="N269" s="17">
        <f ca="1">'Fiscal Forecasts'!N$410+IF(OFFSET(Assumptions!$B$56,0,$C$1)="Yes",Allocation!G$30,0)</f>
        <v>4.5830000000000002</v>
      </c>
      <c r="O269" s="16">
        <f ca="1">N$269+IF(OFFSET(Assumptions!$B$57,0,$C$1)="Yes",Allocation!$B$30*Allocation!$B$16*O$247,IF(OFFSET(Assumptions!$B$58,0,$C$1)="Yes",N$269*(1+SUMPRODUCT(Exogenous!$L$65:$L$71,'Population Treasury'!Z$227:Z$233)+SUMPRODUCT(Exogenous!$M$65:$M$71,'Population Treasury'!Z$272:Z$278))*(1+O$25)*(1+O$29)*(1+OFFSET(Assumptions!$B$61,0,$C$1))/(1+OFFSET(Assumptions!$B$62,0,$C$1))-N$269,0))</f>
        <v>4.5830000000000002</v>
      </c>
      <c r="P269" s="16">
        <f ca="1">O$269+IF(OFFSET(Assumptions!$B$57,0,$C$1)="Yes",Allocation!$B$30*Allocation!$B$16*P$247,IF(OFFSET(Assumptions!$B$58,0,$C$1)="Yes",O$269*(1+SUMPRODUCT(Exogenous!$L$65:$L$71,'Population Treasury'!AA$227:AA$233)+SUMPRODUCT(Exogenous!$M$65:$M$71,'Population Treasury'!AA$272:AA$278))*(1+P$25)*(1+P$29)*(1+OFFSET(Assumptions!$B$61,0,$C$1))/(1+OFFSET(Assumptions!$B$62,0,$C$1))-O$269,0))</f>
        <v>4.5830000000000002</v>
      </c>
      <c r="Q269" s="16">
        <f ca="1">P$269+IF(OFFSET(Assumptions!$B$57,0,$C$1)="Yes",Allocation!$B$30*Allocation!$B$16*Q$247,IF(OFFSET(Assumptions!$B$58,0,$C$1)="Yes",P$269*(1+SUMPRODUCT(Exogenous!$L$65:$L$71,'Population Treasury'!AB$227:AB$233)+SUMPRODUCT(Exogenous!$M$65:$M$71,'Population Treasury'!AB$272:AB$278))*(1+Q$25)*(1+Q$29)*(1+OFFSET(Assumptions!$B$61,0,$C$1))/(1+OFFSET(Assumptions!$B$62,0,$C$1))-P$269,0))</f>
        <v>4.5830000000000002</v>
      </c>
      <c r="R269" s="16">
        <f ca="1">Q$269+IF(OFFSET(Assumptions!$B$57,0,$C$1)="Yes",Allocation!$B$30*Allocation!$B$16*R$247,IF(OFFSET(Assumptions!$B$58,0,$C$1)="Yes",Q$269*(1+SUMPRODUCT(Exogenous!$L$65:$L$71,'Population Treasury'!AC$227:AC$233)+SUMPRODUCT(Exogenous!$M$65:$M$71,'Population Treasury'!AC$272:AC$278))*(1+R$25)*(1+R$29)*(1+OFFSET(Assumptions!$B$61,0,$C$1))/(1+OFFSET(Assumptions!$B$62,0,$C$1))-Q$269,0))</f>
        <v>4.5830000000000002</v>
      </c>
      <c r="S269" s="16">
        <f ca="1">R$269+IF(OFFSET(Assumptions!$B$57,0,$C$1)="Yes",Allocation!$B$30*Allocation!$B$16*S$247,IF(OFFSET(Assumptions!$B$58,0,$C$1)="Yes",R$269*(1+SUMPRODUCT(Exogenous!$L$65:$L$71,'Population Treasury'!AD$227:AD$233)+SUMPRODUCT(Exogenous!$M$65:$M$71,'Population Treasury'!AD$272:AD$278))*(1+S$25)*(1+S$29)*(1+OFFSET(Assumptions!$B$61,0,$C$1))/(1+OFFSET(Assumptions!$B$62,0,$C$1))-R$269,0))</f>
        <v>4.5830000000000002</v>
      </c>
      <c r="T269" s="16">
        <f ca="1">S$269+IF(OFFSET(Assumptions!$B$57,0,$C$1)="Yes",Allocation!$B$30*Allocation!$B$16*T$247,IF(OFFSET(Assumptions!$B$58,0,$C$1)="Yes",S$269*(1+SUMPRODUCT(Exogenous!$L$65:$L$71,'Population Treasury'!AE$227:AE$233)+SUMPRODUCT(Exogenous!$M$65:$M$71,'Population Treasury'!AE$272:AE$278))*(1+T$25)*(1+T$29)*(1+OFFSET(Assumptions!$B$61,0,$C$1))/(1+OFFSET(Assumptions!$B$62,0,$C$1))-S$269,0))</f>
        <v>4.5830000000000002</v>
      </c>
      <c r="U269" s="16">
        <f ca="1">T$269+IF(OFFSET(Assumptions!$B$57,0,$C$1)="Yes",Allocation!$B$30*Allocation!$B$16*U$247,IF(OFFSET(Assumptions!$B$58,0,$C$1)="Yes",T$269*(1+SUMPRODUCT(Exogenous!$L$65:$L$71,'Population Treasury'!AF$227:AF$233)+SUMPRODUCT(Exogenous!$M$65:$M$71,'Population Treasury'!AF$272:AF$278))*(1+U$25)*(1+U$29)*(1+OFFSET(Assumptions!$B$61,0,$C$1))/(1+OFFSET(Assumptions!$B$62,0,$C$1))-T$269,0))</f>
        <v>4.5830000000000002</v>
      </c>
      <c r="V269" s="16">
        <f ca="1">U$269+IF(OFFSET(Assumptions!$B$57,0,$C$1)="Yes",Allocation!$B$30*Allocation!$B$16*V$247,IF(OFFSET(Assumptions!$B$58,0,$C$1)="Yes",U$269*(1+SUMPRODUCT(Exogenous!$L$65:$L$71,'Population Treasury'!AG$227:AG$233)+SUMPRODUCT(Exogenous!$M$65:$M$71,'Population Treasury'!AG$272:AG$278))*(1+V$25)*(1+V$29)*(1+OFFSET(Assumptions!$B$61,0,$C$1))/(1+OFFSET(Assumptions!$B$62,0,$C$1))-U$269,0))</f>
        <v>4.5830000000000002</v>
      </c>
      <c r="W269" s="16">
        <f ca="1">V$269+IF(OFFSET(Assumptions!$B$57,0,$C$1)="Yes",Allocation!$B$30*Allocation!$B$16*W$247,IF(OFFSET(Assumptions!$B$58,0,$C$1)="Yes",V$269*(1+SUMPRODUCT(Exogenous!$L$65:$L$71,'Population Treasury'!AH$227:AH$233)+SUMPRODUCT(Exogenous!$M$65:$M$71,'Population Treasury'!AH$272:AH$278))*(1+W$25)*(1+W$29)*(1+OFFSET(Assumptions!$B$61,0,$C$1))/(1+OFFSET(Assumptions!$B$62,0,$C$1))-V$269,0))</f>
        <v>4.5830000000000002</v>
      </c>
      <c r="X269" s="16">
        <f ca="1">W$269+IF(OFFSET(Assumptions!$B$57,0,$C$1)="Yes",Allocation!$B$30*Allocation!$B$16*X$247,IF(OFFSET(Assumptions!$B$58,0,$C$1)="Yes",W$269*(1+SUMPRODUCT(Exogenous!$L$65:$L$71,'Population Treasury'!AI$227:AI$233)+SUMPRODUCT(Exogenous!$M$65:$M$71,'Population Treasury'!AI$272:AI$278))*(1+X$25)*(1+X$29)*(1+OFFSET(Assumptions!$B$61,0,$C$1))/(1+OFFSET(Assumptions!$B$62,0,$C$1))-W$269,0))</f>
        <v>4.5830000000000002</v>
      </c>
    </row>
    <row r="270" spans="1:24" x14ac:dyDescent="0.25">
      <c r="A270" s="11" t="s">
        <v>1288</v>
      </c>
      <c r="B270" s="10" t="str">
        <f>$B$38</f>
        <v>From Fiscal Forecasts</v>
      </c>
      <c r="D270" s="35">
        <f>'Fiscal Forecasts'!D$411</f>
        <v>2.9660000000000002</v>
      </c>
      <c r="E270" s="35">
        <f>'Fiscal Forecasts'!E$411</f>
        <v>4.548</v>
      </c>
      <c r="F270" s="35">
        <f>'Fiscal Forecasts'!F$411</f>
        <v>2.4600000000000004</v>
      </c>
      <c r="G270" s="35">
        <f>'Fiscal Forecasts'!G$411</f>
        <v>3.7590000000000003</v>
      </c>
      <c r="H270" s="35">
        <f>'Fiscal Forecasts'!H$411</f>
        <v>3.5869999999999997</v>
      </c>
      <c r="I270" s="35">
        <f>'Fiscal Forecasts'!I$411</f>
        <v>3.9439999999999995</v>
      </c>
      <c r="J270" s="17">
        <f ca="1">'Fiscal Forecasts'!J$411+IF(OFFSET(Assumptions!$B$56,0,$C$1)="Yes",Allocation!C$31,0)</f>
        <v>3.9629999999999996</v>
      </c>
      <c r="K270" s="17">
        <f ca="1">'Fiscal Forecasts'!K$411+IF(OFFSET(Assumptions!$B$56,0,$C$1)="Yes",Allocation!D$31,0)</f>
        <v>3.8710000000000004</v>
      </c>
      <c r="L270" s="17">
        <f ca="1">'Fiscal Forecasts'!L$411+IF(OFFSET(Assumptions!$B$56,0,$C$1)="Yes",Allocation!E$31,0)</f>
        <v>3.8499999999999996</v>
      </c>
      <c r="M270" s="17">
        <f ca="1">'Fiscal Forecasts'!M$411+IF(OFFSET(Assumptions!$B$56,0,$C$1)="Yes",Allocation!F$31,0)</f>
        <v>3.8680000000000003</v>
      </c>
      <c r="N270" s="17">
        <f ca="1">'Fiscal Forecasts'!N$411+IF(OFFSET(Assumptions!$B$56,0,$C$1)="Yes",Allocation!G$31,0)</f>
        <v>3.9330000000000003</v>
      </c>
      <c r="O270" s="16">
        <f ca="1">N$270+IF(OFFSET(Assumptions!$B$57,0,$C$1)="Yes",Allocation!$B$31*Allocation!$B$16*O$247,IF(OFFSET(Assumptions!$B$58,0,$C$1)="Yes",N$270*(1+Exogenous!$Q$65*'Population Treasury'!Z$231+SUMPRODUCT(Exogenous!$Q$66:$Q$69,'Population Treasury'!Z$234:Z$237)+Exogenous!$R$65*'Population Treasury'!Z$276+SUMPRODUCT(Exogenous!$R$66:$R$69,'Population Treasury'!Z$279:Z$282))*(1+O$25)*(1+O$29)*(1+OFFSET(Assumptions!$B$61,0,$C$1))/(1+OFFSET(Assumptions!$B$62,0,$C$1))-N$270,0))</f>
        <v>3.9330000000000003</v>
      </c>
      <c r="P270" s="16">
        <f ca="1">O$270+IF(OFFSET(Assumptions!$B$57,0,$C$1)="Yes",Allocation!$B$31*Allocation!$B$16*P$247,IF(OFFSET(Assumptions!$B$58,0,$C$1)="Yes",O$270*(1+Exogenous!$Q$65*'Population Treasury'!AA$231+SUMPRODUCT(Exogenous!$Q$66:$Q$69,'Population Treasury'!AA$234:AA$237)+Exogenous!$R$65*'Population Treasury'!AA$276+SUMPRODUCT(Exogenous!$R$66:$R$69,'Population Treasury'!AA$279:AA$282))*(1+P$25)*(1+P$29)*(1+OFFSET(Assumptions!$B$61,0,$C$1))/(1+OFFSET(Assumptions!$B$62,0,$C$1))-O$270,0))</f>
        <v>3.9330000000000003</v>
      </c>
      <c r="Q270" s="16">
        <f ca="1">P$270+IF(OFFSET(Assumptions!$B$57,0,$C$1)="Yes",Allocation!$B$31*Allocation!$B$16*Q$247,IF(OFFSET(Assumptions!$B$58,0,$C$1)="Yes",P$270*(1+Exogenous!$Q$65*'Population Treasury'!AB$231+SUMPRODUCT(Exogenous!$Q$66:$Q$69,'Population Treasury'!AB$234:AB$237)+Exogenous!$R$65*'Population Treasury'!AB$276+SUMPRODUCT(Exogenous!$R$66:$R$69,'Population Treasury'!AB$279:AB$282))*(1+Q$25)*(1+Q$29)*(1+OFFSET(Assumptions!$B$61,0,$C$1))/(1+OFFSET(Assumptions!$B$62,0,$C$1))-P$270,0))</f>
        <v>3.9330000000000003</v>
      </c>
      <c r="R270" s="16">
        <f ca="1">Q$270+IF(OFFSET(Assumptions!$B$57,0,$C$1)="Yes",Allocation!$B$31*Allocation!$B$16*R$247,IF(OFFSET(Assumptions!$B$58,0,$C$1)="Yes",Q$270*(1+Exogenous!$Q$65*'Population Treasury'!AC$231+SUMPRODUCT(Exogenous!$Q$66:$Q$69,'Population Treasury'!AC$234:AC$237)+Exogenous!$R$65*'Population Treasury'!AC$276+SUMPRODUCT(Exogenous!$R$66:$R$69,'Population Treasury'!AC$279:AC$282))*(1+R$25)*(1+R$29)*(1+OFFSET(Assumptions!$B$61,0,$C$1))/(1+OFFSET(Assumptions!$B$62,0,$C$1))-Q$270,0))</f>
        <v>3.9330000000000003</v>
      </c>
      <c r="S270" s="16">
        <f ca="1">R$270+IF(OFFSET(Assumptions!$B$57,0,$C$1)="Yes",Allocation!$B$31*Allocation!$B$16*S$247,IF(OFFSET(Assumptions!$B$58,0,$C$1)="Yes",R$270*(1+Exogenous!$Q$65*'Population Treasury'!AD$231+SUMPRODUCT(Exogenous!$Q$66:$Q$69,'Population Treasury'!AD$234:AD$237)+Exogenous!$R$65*'Population Treasury'!AD$276+SUMPRODUCT(Exogenous!$R$66:$R$69,'Population Treasury'!AD$279:AD$282))*(1+S$25)*(1+S$29)*(1+OFFSET(Assumptions!$B$61,0,$C$1))/(1+OFFSET(Assumptions!$B$62,0,$C$1))-R$270,0))</f>
        <v>3.9330000000000003</v>
      </c>
      <c r="T270" s="16">
        <f ca="1">S$270+IF(OFFSET(Assumptions!$B$57,0,$C$1)="Yes",Allocation!$B$31*Allocation!$B$16*T$247,IF(OFFSET(Assumptions!$B$58,0,$C$1)="Yes",S$270*(1+Exogenous!$Q$65*'Population Treasury'!AE$231+SUMPRODUCT(Exogenous!$Q$66:$Q$69,'Population Treasury'!AE$234:AE$237)+Exogenous!$R$65*'Population Treasury'!AE$276+SUMPRODUCT(Exogenous!$R$66:$R$69,'Population Treasury'!AE$279:AE$282))*(1+T$25)*(1+T$29)*(1+OFFSET(Assumptions!$B$61,0,$C$1))/(1+OFFSET(Assumptions!$B$62,0,$C$1))-S$270,0))</f>
        <v>3.9330000000000003</v>
      </c>
      <c r="U270" s="16">
        <f ca="1">T$270+IF(OFFSET(Assumptions!$B$57,0,$C$1)="Yes",Allocation!$B$31*Allocation!$B$16*U$247,IF(OFFSET(Assumptions!$B$58,0,$C$1)="Yes",T$270*(1+Exogenous!$Q$65*'Population Treasury'!AF$231+SUMPRODUCT(Exogenous!$Q$66:$Q$69,'Population Treasury'!AF$234:AF$237)+Exogenous!$R$65*'Population Treasury'!AF$276+SUMPRODUCT(Exogenous!$R$66:$R$69,'Population Treasury'!AF$279:AF$282))*(1+U$25)*(1+U$29)*(1+OFFSET(Assumptions!$B$61,0,$C$1))/(1+OFFSET(Assumptions!$B$62,0,$C$1))-T$270,0))</f>
        <v>3.9330000000000003</v>
      </c>
      <c r="V270" s="16">
        <f ca="1">U$270+IF(OFFSET(Assumptions!$B$57,0,$C$1)="Yes",Allocation!$B$31*Allocation!$B$16*V$247,IF(OFFSET(Assumptions!$B$58,0,$C$1)="Yes",U$270*(1+Exogenous!$Q$65*'Population Treasury'!AG$231+SUMPRODUCT(Exogenous!$Q$66:$Q$69,'Population Treasury'!AG$234:AG$237)+Exogenous!$R$65*'Population Treasury'!AG$276+SUMPRODUCT(Exogenous!$R$66:$R$69,'Population Treasury'!AG$279:AG$282))*(1+V$25)*(1+V$29)*(1+OFFSET(Assumptions!$B$61,0,$C$1))/(1+OFFSET(Assumptions!$B$62,0,$C$1))-U$270,0))</f>
        <v>3.9330000000000003</v>
      </c>
      <c r="W270" s="16">
        <f ca="1">V$270+IF(OFFSET(Assumptions!$B$57,0,$C$1)="Yes",Allocation!$B$31*Allocation!$B$16*W$247,IF(OFFSET(Assumptions!$B$58,0,$C$1)="Yes",V$270*(1+Exogenous!$Q$65*'Population Treasury'!AH$231+SUMPRODUCT(Exogenous!$Q$66:$Q$69,'Population Treasury'!AH$234:AH$237)+Exogenous!$R$65*'Population Treasury'!AH$276+SUMPRODUCT(Exogenous!$R$66:$R$69,'Population Treasury'!AH$279:AH$282))*(1+W$25)*(1+W$29)*(1+OFFSET(Assumptions!$B$61,0,$C$1))/(1+OFFSET(Assumptions!$B$62,0,$C$1))-V$270,0))</f>
        <v>3.9330000000000003</v>
      </c>
      <c r="X270" s="16">
        <f ca="1">W$270+IF(OFFSET(Assumptions!$B$57,0,$C$1)="Yes",Allocation!$B$31*Allocation!$B$16*X$247,IF(OFFSET(Assumptions!$B$58,0,$C$1)="Yes",W$270*(1+Exogenous!$Q$65*'Population Treasury'!AI$231+SUMPRODUCT(Exogenous!$Q$66:$Q$69,'Population Treasury'!AI$234:AI$237)+Exogenous!$R$65*'Population Treasury'!AI$276+SUMPRODUCT(Exogenous!$R$66:$R$69,'Population Treasury'!AI$279:AI$282))*(1+X$25)*(1+X$29)*(1+OFFSET(Assumptions!$B$61,0,$C$1))/(1+OFFSET(Assumptions!$B$62,0,$C$1))-W$270,0))</f>
        <v>3.9330000000000003</v>
      </c>
    </row>
    <row r="271" spans="1:24" x14ac:dyDescent="0.25">
      <c r="A271" s="11" t="s">
        <v>721</v>
      </c>
      <c r="D271" s="35">
        <f t="shared" ref="D271:X271" si="168">D$190</f>
        <v>0.58299999999999996</v>
      </c>
      <c r="E271" s="35">
        <f t="shared" si="168"/>
        <v>0.56699999999999995</v>
      </c>
      <c r="F271" s="35">
        <f t="shared" si="168"/>
        <v>0.59</v>
      </c>
      <c r="G271" s="35">
        <f t="shared" si="168"/>
        <v>0.55600000000000005</v>
      </c>
      <c r="H271" s="35">
        <f t="shared" si="168"/>
        <v>0.52500000000000002</v>
      </c>
      <c r="I271" s="35">
        <f t="shared" si="168"/>
        <v>0.52600000000000002</v>
      </c>
      <c r="J271" s="17">
        <f t="shared" si="168"/>
        <v>0.57799999999999996</v>
      </c>
      <c r="K271" s="17">
        <f t="shared" si="168"/>
        <v>0.63500000000000001</v>
      </c>
      <c r="L271" s="17">
        <f t="shared" si="168"/>
        <v>0.64</v>
      </c>
      <c r="M271" s="17">
        <f t="shared" si="168"/>
        <v>0.63700000000000001</v>
      </c>
      <c r="N271" s="17">
        <f t="shared" si="168"/>
        <v>0.628</v>
      </c>
      <c r="O271" s="16">
        <f t="shared" ca="1" si="168"/>
        <v>0.64562485974176986</v>
      </c>
      <c r="P271" s="16">
        <f t="shared" ca="1" si="168"/>
        <v>0.66194568964686296</v>
      </c>
      <c r="Q271" s="16">
        <f t="shared" ca="1" si="168"/>
        <v>0.67712377808722313</v>
      </c>
      <c r="R271" s="16">
        <f t="shared" ca="1" si="168"/>
        <v>0.69245219913184963</v>
      </c>
      <c r="S271" s="16">
        <f t="shared" ca="1" si="168"/>
        <v>0.70825442012990725</v>
      </c>
      <c r="T271" s="16">
        <f t="shared" ca="1" si="168"/>
        <v>0.72507180469317367</v>
      </c>
      <c r="U271" s="16">
        <f t="shared" ca="1" si="168"/>
        <v>0.74154264390725988</v>
      </c>
      <c r="V271" s="16">
        <f t="shared" ca="1" si="168"/>
        <v>0.75822655773090308</v>
      </c>
      <c r="W271" s="16">
        <f t="shared" ca="1" si="168"/>
        <v>0.77527296537521928</v>
      </c>
      <c r="X271" s="16">
        <f t="shared" ca="1" si="168"/>
        <v>0.79306000206523053</v>
      </c>
    </row>
    <row r="272" spans="1:24" x14ac:dyDescent="0.25">
      <c r="A272" s="11" t="s">
        <v>980</v>
      </c>
      <c r="D272" s="35">
        <f>D$411</f>
        <v>0.56299999999999994</v>
      </c>
      <c r="E272" s="35">
        <f t="shared" ref="E272:X272" si="169">E$411</f>
        <v>0.50600000000000001</v>
      </c>
      <c r="F272" s="35">
        <f t="shared" si="169"/>
        <v>0.46899999999999997</v>
      </c>
      <c r="G272" s="35">
        <f t="shared" si="169"/>
        <v>0.48899999999999999</v>
      </c>
      <c r="H272" s="35">
        <f t="shared" si="169"/>
        <v>0.55100000000000005</v>
      </c>
      <c r="I272" s="35">
        <f t="shared" si="169"/>
        <v>0.54400000000000004</v>
      </c>
      <c r="J272" s="17">
        <f t="shared" si="169"/>
        <v>0.56000000000000005</v>
      </c>
      <c r="K272" s="17">
        <f t="shared" si="169"/>
        <v>0.63600000000000001</v>
      </c>
      <c r="L272" s="17">
        <f t="shared" si="169"/>
        <v>0.628</v>
      </c>
      <c r="M272" s="17">
        <f t="shared" si="169"/>
        <v>0.627</v>
      </c>
      <c r="N272" s="17">
        <f t="shared" si="169"/>
        <v>0.65300000000000002</v>
      </c>
      <c r="O272" s="16">
        <f t="shared" si="169"/>
        <v>0.65600000000000003</v>
      </c>
      <c r="P272" s="16">
        <f t="shared" si="169"/>
        <v>0.67400000000000004</v>
      </c>
      <c r="Q272" s="16">
        <f t="shared" si="169"/>
        <v>0.69299999999999995</v>
      </c>
      <c r="R272" s="16">
        <f t="shared" si="169"/>
        <v>0.71099999999999997</v>
      </c>
      <c r="S272" s="16">
        <f t="shared" si="169"/>
        <v>0.72699999999999998</v>
      </c>
      <c r="T272" s="16">
        <f t="shared" si="169"/>
        <v>0.74199999999999999</v>
      </c>
      <c r="U272" s="16">
        <f t="shared" si="169"/>
        <v>0.75600000000000001</v>
      </c>
      <c r="V272" s="16">
        <f t="shared" si="169"/>
        <v>0.76900000000000002</v>
      </c>
      <c r="W272" s="16">
        <f t="shared" si="169"/>
        <v>0.78300000000000003</v>
      </c>
      <c r="X272" s="16">
        <f t="shared" si="169"/>
        <v>0.79700000000000004</v>
      </c>
    </row>
    <row r="273" spans="1:24" x14ac:dyDescent="0.25">
      <c r="A273" s="11" t="s">
        <v>1287</v>
      </c>
      <c r="B273" s="10" t="str">
        <f>$B$38</f>
        <v>From Fiscal Forecasts</v>
      </c>
      <c r="C273" s="64" cm="1">
        <f t="array" aca="1" ref="C273" ca="1">SUMPRODUCT(OFFSET($N$273,0,0,1,-OFFSET(Assumptions!$B$59,0,$C$1))/OFFSET($N$13,0,0,1,-OFFSET(Assumptions!$B$59,0,$C$1)))/OFFSET(Assumptions!$B$59,0,$C$1)</f>
        <v>6.0716132552386228E-3</v>
      </c>
      <c r="D273" s="35">
        <f>'Fiscal Forecasts'!D$414</f>
        <v>1.462</v>
      </c>
      <c r="E273" s="35">
        <f>'Fiscal Forecasts'!E$414</f>
        <v>1.5860000000000001</v>
      </c>
      <c r="F273" s="35">
        <f>'Fiscal Forecasts'!F$414</f>
        <v>2.1579999999999999</v>
      </c>
      <c r="G273" s="35">
        <f>'Fiscal Forecasts'!G$414</f>
        <v>2.4940000000000002</v>
      </c>
      <c r="H273" s="35">
        <f>'Fiscal Forecasts'!H$414</f>
        <v>2.7690000000000001</v>
      </c>
      <c r="I273" s="35">
        <f>'Fiscal Forecasts'!I$414</f>
        <v>2.758</v>
      </c>
      <c r="J273" s="17">
        <f ca="1">'Fiscal Forecasts'!J$414+IF(OFFSET(Assumptions!$B$56,0,$C$1)="Yes",Allocation!C$32,0)</f>
        <v>2.7749999999999999</v>
      </c>
      <c r="K273" s="17">
        <f ca="1">'Fiscal Forecasts'!K$414+IF(OFFSET(Assumptions!$B$56,0,$C$1)="Yes",Allocation!D$32,0)</f>
        <v>2.79</v>
      </c>
      <c r="L273" s="17">
        <f ca="1">'Fiscal Forecasts'!L$414+IF(OFFSET(Assumptions!$B$56,0,$C$1)="Yes",Allocation!E$32,0)</f>
        <v>2.806</v>
      </c>
      <c r="M273" s="17">
        <f ca="1">'Fiscal Forecasts'!M$414+IF(OFFSET(Assumptions!$B$56,0,$C$1)="Yes",Allocation!F$32,0)</f>
        <v>2.7679999999999998</v>
      </c>
      <c r="N273" s="17">
        <f ca="1">'Fiscal Forecasts'!N$414+IF(OFFSET(Assumptions!$B$56,0,$C$1)="Yes",Allocation!G$32,0)</f>
        <v>2.7659999999999996</v>
      </c>
      <c r="O273" s="16">
        <f ca="1">N$273+IF(OFFSET(Assumptions!$B$57,0,$C$1)="Yes",Allocation!$B$32*Allocation!$B$16*O$247,IF(OFFSET(Assumptions!$B$58,0,$C$1)="Yes",(N$273/N$13+MIN(ABS($C$273-N$273/N$13),OFFSET(Assumptions!$B$60,0,$C$1))*SIGN($C$273-N$273/N$13))*O$13-N$273,0))</f>
        <v>2.7659999999999996</v>
      </c>
      <c r="P273" s="16">
        <f ca="1">O$273+IF(OFFSET(Assumptions!$B$57,0,$C$1)="Yes",Allocation!$B$32*Allocation!$B$16*P$247,IF(OFFSET(Assumptions!$B$58,0,$C$1)="Yes",(O$273/O$13+MIN(ABS($C$273-O$273/O$13),OFFSET(Assumptions!$B$60,0,$C$1))*SIGN($C$273-O$273/O$13))*P$13-O$273,0))</f>
        <v>2.7659999999999996</v>
      </c>
      <c r="Q273" s="16">
        <f ca="1">P$273+IF(OFFSET(Assumptions!$B$57,0,$C$1)="Yes",Allocation!$B$32*Allocation!$B$16*Q$247,IF(OFFSET(Assumptions!$B$58,0,$C$1)="Yes",(P$273/P$13+MIN(ABS($C$273-P$273/P$13),OFFSET(Assumptions!$B$60,0,$C$1))*SIGN($C$273-P$273/P$13))*Q$13-P$273,0))</f>
        <v>2.7659999999999996</v>
      </c>
      <c r="R273" s="16">
        <f ca="1">Q$273+IF(OFFSET(Assumptions!$B$57,0,$C$1)="Yes",Allocation!$B$32*Allocation!$B$16*R$247,IF(OFFSET(Assumptions!$B$58,0,$C$1)="Yes",(Q$273/Q$13+MIN(ABS($C$273-Q$273/Q$13),OFFSET(Assumptions!$B$60,0,$C$1))*SIGN($C$273-Q$273/Q$13))*R$13-Q$273,0))</f>
        <v>2.7659999999999996</v>
      </c>
      <c r="S273" s="16">
        <f ca="1">R$273+IF(OFFSET(Assumptions!$B$57,0,$C$1)="Yes",Allocation!$B$32*Allocation!$B$16*S$247,IF(OFFSET(Assumptions!$B$58,0,$C$1)="Yes",(R$273/R$13+MIN(ABS($C$273-R$273/R$13),OFFSET(Assumptions!$B$60,0,$C$1))*SIGN($C$273-R$273/R$13))*S$13-R$273,0))</f>
        <v>2.7659999999999996</v>
      </c>
      <c r="T273" s="16">
        <f ca="1">S$273+IF(OFFSET(Assumptions!$B$57,0,$C$1)="Yes",Allocation!$B$32*Allocation!$B$16*T$247,IF(OFFSET(Assumptions!$B$58,0,$C$1)="Yes",(S$273/S$13+MIN(ABS($C$273-S$273/S$13),OFFSET(Assumptions!$B$60,0,$C$1))*SIGN($C$273-S$273/S$13))*T$13-S$273,0))</f>
        <v>2.7659999999999996</v>
      </c>
      <c r="U273" s="16">
        <f ca="1">T$273+IF(OFFSET(Assumptions!$B$57,0,$C$1)="Yes",Allocation!$B$32*Allocation!$B$16*U$247,IF(OFFSET(Assumptions!$B$58,0,$C$1)="Yes",(T$273/T$13+MIN(ABS($C$273-T$273/T$13),OFFSET(Assumptions!$B$60,0,$C$1))*SIGN($C$273-T$273/T$13))*U$13-T$273,0))</f>
        <v>2.7659999999999996</v>
      </c>
      <c r="V273" s="16">
        <f ca="1">U$273+IF(OFFSET(Assumptions!$B$57,0,$C$1)="Yes",Allocation!$B$32*Allocation!$B$16*V$247,IF(OFFSET(Assumptions!$B$58,0,$C$1)="Yes",(U$273/U$13+MIN(ABS($C$273-U$273/U$13),OFFSET(Assumptions!$B$60,0,$C$1))*SIGN($C$273-U$273/U$13))*V$13-U$273,0))</f>
        <v>2.7659999999999996</v>
      </c>
      <c r="W273" s="16">
        <f ca="1">V$273+IF(OFFSET(Assumptions!$B$57,0,$C$1)="Yes",Allocation!$B$32*Allocation!$B$16*W$247,IF(OFFSET(Assumptions!$B$58,0,$C$1)="Yes",(V$273/V$13+MIN(ABS($C$273-V$273/V$13),OFFSET(Assumptions!$B$60,0,$C$1))*SIGN($C$273-V$273/V$13))*W$13-V$273,0))</f>
        <v>2.7659999999999996</v>
      </c>
      <c r="X273" s="16">
        <f ca="1">W$273+IF(OFFSET(Assumptions!$B$57,0,$C$1)="Yes",Allocation!$B$32*Allocation!$B$16*X$247,IF(OFFSET(Assumptions!$B$58,0,$C$1)="Yes",(W$273/W$13+MIN(ABS($C$273-W$273/W$13),OFFSET(Assumptions!$B$60,0,$C$1))*SIGN($C$273-W$273/W$13))*X$13-W$273,0))</f>
        <v>2.7659999999999996</v>
      </c>
    </row>
    <row r="274" spans="1:24" x14ac:dyDescent="0.25">
      <c r="A274" s="9" t="s">
        <v>981</v>
      </c>
      <c r="D274" s="65">
        <f>SUM(D$267:D$273)</f>
        <v>14.292999999999999</v>
      </c>
      <c r="E274" s="65">
        <f t="shared" ref="E274:I274" si="170">SUM(E$267:E$273)</f>
        <v>16.321999999999999</v>
      </c>
      <c r="F274" s="65">
        <f t="shared" si="170"/>
        <v>16.039000000000001</v>
      </c>
      <c r="G274" s="65">
        <f t="shared" si="170"/>
        <v>18.023</v>
      </c>
      <c r="H274" s="65">
        <f t="shared" si="170"/>
        <v>18.402999999999999</v>
      </c>
      <c r="I274" s="65">
        <f t="shared" si="170"/>
        <v>20.222999999999999</v>
      </c>
      <c r="J274" s="66">
        <f t="shared" ref="J274:X274" ca="1" si="171">SUM(J$267:J$273)</f>
        <v>20.921999999999997</v>
      </c>
      <c r="K274" s="66">
        <f t="shared" ca="1" si="171"/>
        <v>21.454000000000001</v>
      </c>
      <c r="L274" s="66">
        <f t="shared" ca="1" si="171"/>
        <v>21.38</v>
      </c>
      <c r="M274" s="66">
        <f t="shared" ca="1" si="171"/>
        <v>21.178999999999998</v>
      </c>
      <c r="N274" s="66">
        <f t="shared" ca="1" si="171"/>
        <v>21.196999999999999</v>
      </c>
      <c r="O274" s="67">
        <f t="shared" ca="1" si="171"/>
        <v>21.217624859741768</v>
      </c>
      <c r="P274" s="67">
        <f t="shared" ca="1" si="171"/>
        <v>21.251945689646863</v>
      </c>
      <c r="Q274" s="67">
        <f t="shared" ca="1" si="171"/>
        <v>21.286123778087227</v>
      </c>
      <c r="R274" s="67">
        <f t="shared" ca="1" si="171"/>
        <v>21.319452199131849</v>
      </c>
      <c r="S274" s="67">
        <f t="shared" ca="1" si="171"/>
        <v>21.351254420129909</v>
      </c>
      <c r="T274" s="67">
        <f t="shared" ca="1" si="171"/>
        <v>21.383071804693174</v>
      </c>
      <c r="U274" s="67">
        <f t="shared" ca="1" si="171"/>
        <v>21.41354264390726</v>
      </c>
      <c r="V274" s="67">
        <f t="shared" ca="1" si="171"/>
        <v>21.443226557730902</v>
      </c>
      <c r="W274" s="67">
        <f t="shared" ca="1" si="171"/>
        <v>21.474272965375221</v>
      </c>
      <c r="X274" s="67">
        <f t="shared" ca="1" si="171"/>
        <v>21.506060002065233</v>
      </c>
    </row>
    <row r="275" spans="1:24" x14ac:dyDescent="0.25">
      <c r="A275" s="11" t="s">
        <v>707</v>
      </c>
      <c r="B275" s="10" t="str">
        <f>$B$38</f>
        <v>From Fiscal Forecasts</v>
      </c>
      <c r="D275" s="35">
        <f>'Fiscal Forecasts'!D$208</f>
        <v>11.428000000000001</v>
      </c>
      <c r="E275" s="35">
        <f>'Fiscal Forecasts'!E$208</f>
        <v>13.705</v>
      </c>
      <c r="F275" s="35">
        <f>'Fiscal Forecasts'!F$208</f>
        <v>12.840999999999999</v>
      </c>
      <c r="G275" s="35">
        <f>'Fiscal Forecasts'!G$208</f>
        <v>13.805</v>
      </c>
      <c r="H275" s="35">
        <f>'Fiscal Forecasts'!H$208</f>
        <v>14.166</v>
      </c>
      <c r="I275" s="35">
        <f>'Fiscal Forecasts'!I$208</f>
        <v>15.346</v>
      </c>
      <c r="J275" s="17">
        <f>'Fiscal Forecasts'!J$208</f>
        <v>16.146999999999998</v>
      </c>
      <c r="K275" s="17">
        <f>'Fiscal Forecasts'!K$208</f>
        <v>16.46</v>
      </c>
      <c r="L275" s="17">
        <f>'Fiscal Forecasts'!L$208</f>
        <v>16.408999999999999</v>
      </c>
      <c r="M275" s="17">
        <f>'Fiscal Forecasts'!M$208</f>
        <v>16.244</v>
      </c>
      <c r="N275" s="17">
        <f>'Fiscal Forecasts'!N$208</f>
        <v>16.202999999999999</v>
      </c>
      <c r="O275" s="16">
        <f t="shared" ref="O275:X275" ca="1" si="172">N$275+SUM(O$267:O$270,O$273)-SUM(N$267:N$270,N$273)</f>
        <v>16.202999999999999</v>
      </c>
      <c r="P275" s="16">
        <f t="shared" ca="1" si="172"/>
        <v>16.202999999999999</v>
      </c>
      <c r="Q275" s="16">
        <f t="shared" ca="1" si="172"/>
        <v>16.202999999999999</v>
      </c>
      <c r="R275" s="16">
        <f t="shared" ca="1" si="172"/>
        <v>16.202999999999999</v>
      </c>
      <c r="S275" s="16">
        <f t="shared" ca="1" si="172"/>
        <v>16.202999999999999</v>
      </c>
      <c r="T275" s="16">
        <f t="shared" ca="1" si="172"/>
        <v>16.202999999999999</v>
      </c>
      <c r="U275" s="16">
        <f t="shared" ca="1" si="172"/>
        <v>16.202999999999999</v>
      </c>
      <c r="V275" s="16">
        <f t="shared" ca="1" si="172"/>
        <v>16.202999999999999</v>
      </c>
      <c r="W275" s="16">
        <f t="shared" ca="1" si="172"/>
        <v>16.202999999999999</v>
      </c>
      <c r="X275" s="16">
        <f t="shared" ca="1" si="172"/>
        <v>16.202999999999999</v>
      </c>
    </row>
    <row r="276" spans="1:24" x14ac:dyDescent="0.25">
      <c r="A276" s="11" t="s">
        <v>866</v>
      </c>
      <c r="B276" s="10" t="str">
        <f>$B$38</f>
        <v>From Fiscal Forecasts</v>
      </c>
      <c r="D276" s="35">
        <f>'Fiscal Forecasts'!D$42-SUM(D$274:D$275)</f>
        <v>-10.441000000000001</v>
      </c>
      <c r="E276" s="35">
        <f>'Fiscal Forecasts'!E$42-SUM(E$274:E$275)</f>
        <v>-12.446000000000002</v>
      </c>
      <c r="F276" s="35">
        <f>'Fiscal Forecasts'!F$42-SUM(F$274:F$275)</f>
        <v>-11.496000000000002</v>
      </c>
      <c r="G276" s="35">
        <f>'Fiscal Forecasts'!G$42-SUM(G$274:G$275)</f>
        <v>-12.916999999999998</v>
      </c>
      <c r="H276" s="35">
        <f>'Fiscal Forecasts'!H$42-SUM(H$274:H$275)</f>
        <v>-12.96</v>
      </c>
      <c r="I276" s="35">
        <f>'Fiscal Forecasts'!I$42-SUM(I$274:I$275)</f>
        <v>-14.383000000000003</v>
      </c>
      <c r="J276" s="17">
        <f ca="1">'Fiscal Forecasts'!J$42-SUM(J$274:J$275)+IF(OFFSET(Assumptions!$B$56,0,$C$1)="Yes",Allocation!C$16,0)</f>
        <v>-14.744999999999994</v>
      </c>
      <c r="K276" s="17">
        <f ca="1">'Fiscal Forecasts'!K$42-SUM(K$274:K$275)+IF(OFFSET(Assumptions!$B$56,0,$C$1)="Yes",Allocation!D$16,0)</f>
        <v>-14.965</v>
      </c>
      <c r="L276" s="17">
        <f ca="1">'Fiscal Forecasts'!L$42-SUM(L$274:L$275)+IF(OFFSET(Assumptions!$B$56,0,$C$1)="Yes",Allocation!E$16,0)</f>
        <v>-14.853000000000002</v>
      </c>
      <c r="M276" s="17">
        <f ca="1">'Fiscal Forecasts'!M$42-SUM(M$274:M$275)+IF(OFFSET(Assumptions!$B$56,0,$C$1)="Yes",Allocation!F$16,0)</f>
        <v>-14.612000000000002</v>
      </c>
      <c r="N276" s="17">
        <f ca="1">'Fiscal Forecasts'!N$42-SUM(N$274:N$275)+IF(OFFSET(Assumptions!$B$56,0,$C$1)="Yes",Allocation!G$16,0)</f>
        <v>-14.517999999999997</v>
      </c>
      <c r="O276" s="16">
        <f t="shared" ref="O276:X276" ca="1" si="173">N$276-(SUM(O$267:O$270,O$273)-SUM(N$267:N$270,N$273))</f>
        <v>-14.517999999999997</v>
      </c>
      <c r="P276" s="16">
        <f t="shared" ca="1" si="173"/>
        <v>-14.517999999999997</v>
      </c>
      <c r="Q276" s="16">
        <f t="shared" ca="1" si="173"/>
        <v>-14.517999999999997</v>
      </c>
      <c r="R276" s="16">
        <f t="shared" ca="1" si="173"/>
        <v>-14.517999999999997</v>
      </c>
      <c r="S276" s="16">
        <f t="shared" ca="1" si="173"/>
        <v>-14.517999999999997</v>
      </c>
      <c r="T276" s="16">
        <f t="shared" ca="1" si="173"/>
        <v>-14.517999999999997</v>
      </c>
      <c r="U276" s="16">
        <f t="shared" ca="1" si="173"/>
        <v>-14.517999999999997</v>
      </c>
      <c r="V276" s="16">
        <f t="shared" ca="1" si="173"/>
        <v>-14.517999999999997</v>
      </c>
      <c r="W276" s="16">
        <f t="shared" ca="1" si="173"/>
        <v>-14.517999999999997</v>
      </c>
      <c r="X276" s="16">
        <f t="shared" ca="1" si="173"/>
        <v>-14.517999999999997</v>
      </c>
    </row>
    <row r="277" spans="1:24" x14ac:dyDescent="0.25">
      <c r="A277" s="9" t="s">
        <v>982</v>
      </c>
      <c r="D277" s="65">
        <f t="shared" ref="D277:I277" si="174">SUM(D$274:D$276)</f>
        <v>15.28</v>
      </c>
      <c r="E277" s="65">
        <f t="shared" si="174"/>
        <v>17.581</v>
      </c>
      <c r="F277" s="65">
        <f t="shared" si="174"/>
        <v>17.384</v>
      </c>
      <c r="G277" s="65">
        <f t="shared" si="174"/>
        <v>18.911000000000001</v>
      </c>
      <c r="H277" s="65">
        <f t="shared" si="174"/>
        <v>19.609000000000002</v>
      </c>
      <c r="I277" s="65">
        <f t="shared" si="174"/>
        <v>21.186</v>
      </c>
      <c r="J277" s="66">
        <f t="shared" ref="J277:X277" ca="1" si="175">SUM(J$274:J$276)</f>
        <v>22.324000000000002</v>
      </c>
      <c r="K277" s="66">
        <f t="shared" ca="1" si="175"/>
        <v>22.949000000000002</v>
      </c>
      <c r="L277" s="66">
        <f t="shared" ca="1" si="175"/>
        <v>22.936</v>
      </c>
      <c r="M277" s="66">
        <f t="shared" ca="1" si="175"/>
        <v>22.811</v>
      </c>
      <c r="N277" s="66">
        <f t="shared" ca="1" si="175"/>
        <v>22.882000000000001</v>
      </c>
      <c r="O277" s="67">
        <f t="shared" ca="1" si="175"/>
        <v>22.902624859741767</v>
      </c>
      <c r="P277" s="67">
        <f t="shared" ca="1" si="175"/>
        <v>22.936945689646866</v>
      </c>
      <c r="Q277" s="67">
        <f t="shared" ca="1" si="175"/>
        <v>22.971123778087229</v>
      </c>
      <c r="R277" s="67">
        <f t="shared" ca="1" si="175"/>
        <v>23.004452199131851</v>
      </c>
      <c r="S277" s="67">
        <f t="shared" ca="1" si="175"/>
        <v>23.036254420129911</v>
      </c>
      <c r="T277" s="67">
        <f t="shared" ca="1" si="175"/>
        <v>23.068071804693179</v>
      </c>
      <c r="U277" s="67">
        <f t="shared" ca="1" si="175"/>
        <v>23.098542643907262</v>
      </c>
      <c r="V277" s="67">
        <f t="shared" ca="1" si="175"/>
        <v>23.128226557730901</v>
      </c>
      <c r="W277" s="67">
        <f t="shared" ca="1" si="175"/>
        <v>23.159272965375227</v>
      </c>
      <c r="X277" s="67">
        <f t="shared" ca="1" si="175"/>
        <v>23.191060002065232</v>
      </c>
    </row>
    <row r="279" spans="1:24" x14ac:dyDescent="0.25">
      <c r="A279" s="9" t="s">
        <v>983</v>
      </c>
    </row>
    <row r="280" spans="1:24" x14ac:dyDescent="0.25">
      <c r="A280" s="11" t="s">
        <v>984</v>
      </c>
      <c r="D280" s="35">
        <f t="shared" ref="D280:X280" si="176">D$386</f>
        <v>0.13</v>
      </c>
      <c r="E280" s="35">
        <f t="shared" si="176"/>
        <v>0.15</v>
      </c>
      <c r="F280" s="35">
        <f t="shared" si="176"/>
        <v>0.125</v>
      </c>
      <c r="G280" s="35">
        <f t="shared" si="176"/>
        <v>-0.51700000000000002</v>
      </c>
      <c r="H280" s="35">
        <f t="shared" si="176"/>
        <v>1.054</v>
      </c>
      <c r="I280" s="35">
        <f t="shared" si="176"/>
        <v>0.189</v>
      </c>
      <c r="J280" s="17">
        <f t="shared" si="176"/>
        <v>0.253</v>
      </c>
      <c r="K280" s="17">
        <f t="shared" si="176"/>
        <v>0.314</v>
      </c>
      <c r="L280" s="17">
        <f t="shared" si="176"/>
        <v>0.33600000000000002</v>
      </c>
      <c r="M280" s="17">
        <f t="shared" si="176"/>
        <v>0.36</v>
      </c>
      <c r="N280" s="17">
        <f t="shared" si="176"/>
        <v>0.38700000000000001</v>
      </c>
      <c r="O280" s="16">
        <f t="shared" si="176"/>
        <v>0.40498692258685287</v>
      </c>
      <c r="P280" s="16">
        <f t="shared" si="176"/>
        <v>0.4290963400981489</v>
      </c>
      <c r="Q280" s="16">
        <f t="shared" si="176"/>
        <v>0.45411227529667048</v>
      </c>
      <c r="R280" s="16">
        <f t="shared" si="176"/>
        <v>0.47990498066057363</v>
      </c>
      <c r="S280" s="16">
        <f t="shared" si="176"/>
        <v>0.50634223057610017</v>
      </c>
      <c r="T280" s="16">
        <f t="shared" si="176"/>
        <v>0.53340778741471007</v>
      </c>
      <c r="U280" s="16">
        <f t="shared" si="176"/>
        <v>0.56106866972067093</v>
      </c>
      <c r="V280" s="16">
        <f t="shared" si="176"/>
        <v>0.58929195862916683</v>
      </c>
      <c r="W280" s="16">
        <f t="shared" si="176"/>
        <v>0.61827941534955011</v>
      </c>
      <c r="X280" s="16">
        <f t="shared" si="176"/>
        <v>0.64836147366566821</v>
      </c>
    </row>
    <row r="281" spans="1:24" x14ac:dyDescent="0.25">
      <c r="A281" s="11" t="s">
        <v>985</v>
      </c>
      <c r="D281" s="35">
        <f t="shared" ref="D281:X281" si="177">D$193</f>
        <v>0.70799999999999996</v>
      </c>
      <c r="E281" s="35">
        <f t="shared" si="177"/>
        <v>0.73599999999999999</v>
      </c>
      <c r="F281" s="35">
        <f t="shared" si="177"/>
        <v>0.80400000000000005</v>
      </c>
      <c r="G281" s="35">
        <f t="shared" si="177"/>
        <v>0.82699999999999996</v>
      </c>
      <c r="H281" s="35">
        <f t="shared" si="177"/>
        <v>0.97099999999999997</v>
      </c>
      <c r="I281" s="35">
        <f t="shared" si="177"/>
        <v>1.202</v>
      </c>
      <c r="J281" s="17">
        <f t="shared" si="177"/>
        <v>1.1160000000000001</v>
      </c>
      <c r="K281" s="17">
        <f t="shared" si="177"/>
        <v>0.995</v>
      </c>
      <c r="L281" s="17">
        <f t="shared" si="177"/>
        <v>0.94099999999999995</v>
      </c>
      <c r="M281" s="17">
        <f t="shared" si="177"/>
        <v>0.94099999999999995</v>
      </c>
      <c r="N281" s="17">
        <f t="shared" si="177"/>
        <v>0.94099999999999995</v>
      </c>
      <c r="O281" s="16">
        <f t="shared" si="177"/>
        <v>0.94099999999999995</v>
      </c>
      <c r="P281" s="16">
        <f t="shared" si="177"/>
        <v>0.94099999999999995</v>
      </c>
      <c r="Q281" s="16">
        <f t="shared" si="177"/>
        <v>0.94099999999999995</v>
      </c>
      <c r="R281" s="16">
        <f t="shared" si="177"/>
        <v>0.94099999999999995</v>
      </c>
      <c r="S281" s="16">
        <f t="shared" si="177"/>
        <v>0.94099999999999995</v>
      </c>
      <c r="T281" s="16">
        <f t="shared" si="177"/>
        <v>0.94099999999999995</v>
      </c>
      <c r="U281" s="16">
        <f t="shared" si="177"/>
        <v>0.94099999999999995</v>
      </c>
      <c r="V281" s="16">
        <f t="shared" si="177"/>
        <v>0.94099999999999995</v>
      </c>
      <c r="W281" s="16">
        <f t="shared" si="177"/>
        <v>0.94099999999999995</v>
      </c>
      <c r="X281" s="16">
        <f t="shared" si="177"/>
        <v>0.94099999999999995</v>
      </c>
    </row>
    <row r="282" spans="1:24" x14ac:dyDescent="0.25">
      <c r="A282" s="11" t="s">
        <v>986</v>
      </c>
      <c r="B282" s="10" t="s">
        <v>989</v>
      </c>
      <c r="D282" s="35">
        <f>Exogenous!O$39</f>
        <v>0.82899999999999996</v>
      </c>
      <c r="E282" s="35">
        <f>Exogenous!P$39</f>
        <v>1.3560000000000001</v>
      </c>
      <c r="F282" s="35">
        <f>Exogenous!Q$39</f>
        <v>0.88200000000000001</v>
      </c>
      <c r="G282" s="35">
        <f>Exogenous!R$39</f>
        <v>0.66200000000000003</v>
      </c>
      <c r="H282" s="35">
        <f>Exogenous!S$39</f>
        <v>1.4530000000000001</v>
      </c>
      <c r="I282" s="35">
        <f>Exogenous!T$39</f>
        <v>2.3929999999999998</v>
      </c>
      <c r="J282" s="17">
        <f>Exogenous!U$39</f>
        <v>1.994</v>
      </c>
      <c r="K282" s="17">
        <f>Exogenous!V$39</f>
        <v>1.52</v>
      </c>
      <c r="L282" s="17">
        <f>Exogenous!W$39</f>
        <v>1.425</v>
      </c>
      <c r="M282" s="17">
        <f>Exogenous!X$39</f>
        <v>1.238</v>
      </c>
      <c r="N282" s="17">
        <f>Exogenous!Y$39</f>
        <v>1.238</v>
      </c>
      <c r="O282" s="16">
        <f t="shared" ref="O282:X282" ca="1" si="178">N$282*O$142/N$142</f>
        <v>1.2854607655512149</v>
      </c>
      <c r="P282" s="16">
        <f t="shared" ca="1" si="178"/>
        <v>1.3382317611796564</v>
      </c>
      <c r="Q282" s="16">
        <f t="shared" ca="1" si="178"/>
        <v>1.3926302293240715</v>
      </c>
      <c r="R282" s="16">
        <f t="shared" ca="1" si="178"/>
        <v>1.4471866698592484</v>
      </c>
      <c r="S282" s="16">
        <f t="shared" ca="1" si="178"/>
        <v>1.5029328600455183</v>
      </c>
      <c r="T282" s="16">
        <f t="shared" ca="1" si="178"/>
        <v>1.5597829402393923</v>
      </c>
      <c r="U282" s="16">
        <f t="shared" ca="1" si="178"/>
        <v>1.6173963268725879</v>
      </c>
      <c r="V282" s="16">
        <f t="shared" ca="1" si="178"/>
        <v>1.6758743965777725</v>
      </c>
      <c r="W282" s="16">
        <f t="shared" ca="1" si="178"/>
        <v>1.7352007866578412</v>
      </c>
      <c r="X282" s="16">
        <f t="shared" ca="1" si="178"/>
        <v>1.7958255617751693</v>
      </c>
    </row>
    <row r="283" spans="1:24" x14ac:dyDescent="0.25">
      <c r="A283" s="11" t="s">
        <v>997</v>
      </c>
      <c r="B283" s="10" t="str">
        <f>$B$38</f>
        <v>From Fiscal Forecasts</v>
      </c>
      <c r="C283" s="64" cm="1">
        <f t="array" aca="1" ref="C283" ca="1">SUMPRODUCT(OFFSET($N$283,0,0,1,-OFFSET(Assumptions!$B$59,0,$C$1))/OFFSET($N$13,0,0,1,-OFFSET(Assumptions!$B$59,0,$C$1)))/OFFSET(Assumptions!$B$59,0,$C$1)</f>
        <v>9.8557312718184908E-3</v>
      </c>
      <c r="D283" s="35">
        <f>'Fiscal Forecasts'!D$60-SUM(D$280:D$282)</f>
        <v>3.4990000000000006</v>
      </c>
      <c r="E283" s="35">
        <f>'Fiscal Forecasts'!E$60-SUM(E$280:E$282)</f>
        <v>3.8410000000000002</v>
      </c>
      <c r="F283" s="35">
        <f>'Fiscal Forecasts'!F$60-SUM(F$280:F$282)</f>
        <v>3.9429999999999996</v>
      </c>
      <c r="G283" s="35">
        <f>'Fiscal Forecasts'!G$60-SUM(G$280:G$282)</f>
        <v>4.7479999999999993</v>
      </c>
      <c r="H283" s="35">
        <f>'Fiscal Forecasts'!H$60-SUM(H$280:H$282)</f>
        <v>3.3280000000000003</v>
      </c>
      <c r="I283" s="35">
        <f>'Fiscal Forecasts'!I$60-SUM(I$280:I$282)</f>
        <v>4.6840000000000002</v>
      </c>
      <c r="J283" s="17">
        <f ca="1">'Fiscal Forecasts'!J$60-SUM(J$280:J$282)+IF(OFFSET(Assumptions!$B$56,0,$C$1)="Yes",Allocation!C$17,0)</f>
        <v>4.919999999999999</v>
      </c>
      <c r="K283" s="17">
        <f ca="1">'Fiscal Forecasts'!K$60-SUM(K$280:K$282)+IF(OFFSET(Assumptions!$B$56,0,$C$1)="Yes",Allocation!D$17,0)</f>
        <v>3.8940000000000001</v>
      </c>
      <c r="L283" s="17">
        <f ca="1">'Fiscal Forecasts'!L$60-SUM(L$280:L$282)+IF(OFFSET(Assumptions!$B$56,0,$C$1)="Yes",Allocation!E$17,0)</f>
        <v>4.09</v>
      </c>
      <c r="M283" s="17">
        <f ca="1">'Fiscal Forecasts'!M$60-SUM(M$280:M$282)+IF(OFFSET(Assumptions!$B$56,0,$C$1)="Yes",Allocation!F$17,0)</f>
        <v>3.6150000000000002</v>
      </c>
      <c r="N283" s="17">
        <f ca="1">'Fiscal Forecasts'!N$60-SUM(N$280:N$282)+IF(OFFSET(Assumptions!$B$56,0,$C$1)="Yes",Allocation!G$17,0)</f>
        <v>3.6480000000000006</v>
      </c>
      <c r="O283" s="16">
        <f ca="1">N$283+IF(OFFSET(Assumptions!$B$57,0,$C$1)="Yes",Allocation!$B$17*O$247,IF(OFFSET(Assumptions!$B$58,0,$C$1)="Yes",(N$283/N$13+MIN(ABS($C$283-N$283/N$13),OFFSET(Assumptions!$B$60,0,$C$1))*SIGN($C$283-N$283/N$13))*O$13-N$283,0))</f>
        <v>3.6480000000000006</v>
      </c>
      <c r="P283" s="16">
        <f ca="1">O$283+IF(OFFSET(Assumptions!$B$57,0,$C$1)="Yes",Allocation!$B$17*P$247,IF(OFFSET(Assumptions!$B$58,0,$C$1)="Yes",(O$283/O$13+MIN(ABS($C$283-O$283/O$13),OFFSET(Assumptions!$B$60,0,$C$1))*SIGN($C$283-O$283/O$13))*P$13-O$283,0))</f>
        <v>3.6480000000000006</v>
      </c>
      <c r="Q283" s="16">
        <f ca="1">P$283+IF(OFFSET(Assumptions!$B$57,0,$C$1)="Yes",Allocation!$B$17*Q$247,IF(OFFSET(Assumptions!$B$58,0,$C$1)="Yes",(P$283/P$13+MIN(ABS($C$283-P$283/P$13),OFFSET(Assumptions!$B$60,0,$C$1))*SIGN($C$283-P$283/P$13))*Q$13-P$283,0))</f>
        <v>3.6480000000000006</v>
      </c>
      <c r="R283" s="16">
        <f ca="1">Q$283+IF(OFFSET(Assumptions!$B$57,0,$C$1)="Yes",Allocation!$B$17*R$247,IF(OFFSET(Assumptions!$B$58,0,$C$1)="Yes",(Q$283/Q$13+MIN(ABS($C$283-Q$283/Q$13),OFFSET(Assumptions!$B$60,0,$C$1))*SIGN($C$283-Q$283/Q$13))*R$13-Q$283,0))</f>
        <v>3.6480000000000006</v>
      </c>
      <c r="S283" s="16">
        <f ca="1">R$283+IF(OFFSET(Assumptions!$B$57,0,$C$1)="Yes",Allocation!$B$17*S$247,IF(OFFSET(Assumptions!$B$58,0,$C$1)="Yes",(R$283/R$13+MIN(ABS($C$283-R$283/R$13),OFFSET(Assumptions!$B$60,0,$C$1))*SIGN($C$283-R$283/R$13))*S$13-R$283,0))</f>
        <v>3.6480000000000006</v>
      </c>
      <c r="T283" s="16">
        <f ca="1">S$283+IF(OFFSET(Assumptions!$B$57,0,$C$1)="Yes",Allocation!$B$17*T$247,IF(OFFSET(Assumptions!$B$58,0,$C$1)="Yes",(S$283/S$13+MIN(ABS($C$283-S$283/S$13),OFFSET(Assumptions!$B$60,0,$C$1))*SIGN($C$283-S$283/S$13))*T$13-S$283,0))</f>
        <v>3.6480000000000006</v>
      </c>
      <c r="U283" s="16">
        <f ca="1">T$283+IF(OFFSET(Assumptions!$B$57,0,$C$1)="Yes",Allocation!$B$17*U$247,IF(OFFSET(Assumptions!$B$58,0,$C$1)="Yes",(T$283/T$13+MIN(ABS($C$283-T$283/T$13),OFFSET(Assumptions!$B$60,0,$C$1))*SIGN($C$283-T$283/T$13))*U$13-T$283,0))</f>
        <v>3.6480000000000006</v>
      </c>
      <c r="V283" s="16">
        <f ca="1">U$283+IF(OFFSET(Assumptions!$B$57,0,$C$1)="Yes",Allocation!$B$17*V$247,IF(OFFSET(Assumptions!$B$58,0,$C$1)="Yes",(U$283/U$13+MIN(ABS($C$283-U$283/U$13),OFFSET(Assumptions!$B$60,0,$C$1))*SIGN($C$283-U$283/U$13))*V$13-U$283,0))</f>
        <v>3.6480000000000006</v>
      </c>
      <c r="W283" s="16">
        <f ca="1">V$283+IF(OFFSET(Assumptions!$B$57,0,$C$1)="Yes",Allocation!$B$17*W$247,IF(OFFSET(Assumptions!$B$58,0,$C$1)="Yes",(V$283/V$13+MIN(ABS($C$283-V$283/V$13),OFFSET(Assumptions!$B$60,0,$C$1))*SIGN($C$283-V$283/V$13))*W$13-V$283,0))</f>
        <v>3.6480000000000006</v>
      </c>
      <c r="X283" s="16">
        <f ca="1">W$283+IF(OFFSET(Assumptions!$B$57,0,$C$1)="Yes",Allocation!$B$17*X$247,IF(OFFSET(Assumptions!$B$58,0,$C$1)="Yes",(W$283/W$13+MIN(ABS($C$283-W$283/W$13),OFFSET(Assumptions!$B$60,0,$C$1))*SIGN($C$283-W$283/W$13))*X$13-W$283,0))</f>
        <v>3.6480000000000006</v>
      </c>
    </row>
    <row r="284" spans="1:24" x14ac:dyDescent="0.25">
      <c r="A284" s="9" t="s">
        <v>987</v>
      </c>
      <c r="D284" s="65">
        <f t="shared" ref="D284:I284" si="179">SUM(D$280:D$283)</f>
        <v>5.1660000000000004</v>
      </c>
      <c r="E284" s="65">
        <f t="shared" si="179"/>
        <v>6.0830000000000002</v>
      </c>
      <c r="F284" s="65">
        <f t="shared" si="179"/>
        <v>5.7539999999999996</v>
      </c>
      <c r="G284" s="65">
        <f t="shared" si="179"/>
        <v>5.7199999999999989</v>
      </c>
      <c r="H284" s="65">
        <f t="shared" si="179"/>
        <v>6.806</v>
      </c>
      <c r="I284" s="65">
        <f t="shared" si="179"/>
        <v>8.468</v>
      </c>
      <c r="J284" s="66">
        <f t="shared" ref="J284:X284" ca="1" si="180">SUM(J$280:J$283)</f>
        <v>8.2829999999999995</v>
      </c>
      <c r="K284" s="66">
        <f t="shared" ca="1" si="180"/>
        <v>6.7229999999999999</v>
      </c>
      <c r="L284" s="66">
        <f t="shared" ca="1" si="180"/>
        <v>6.7919999999999998</v>
      </c>
      <c r="M284" s="66">
        <f t="shared" ca="1" si="180"/>
        <v>6.1539999999999999</v>
      </c>
      <c r="N284" s="66">
        <f t="shared" ca="1" si="180"/>
        <v>6.2140000000000004</v>
      </c>
      <c r="O284" s="67">
        <f t="shared" ca="1" si="180"/>
        <v>6.2794476881380685</v>
      </c>
      <c r="P284" s="67">
        <f t="shared" ca="1" si="180"/>
        <v>6.3563281012778061</v>
      </c>
      <c r="Q284" s="67">
        <f t="shared" ca="1" si="180"/>
        <v>6.4357425046207428</v>
      </c>
      <c r="R284" s="67">
        <f t="shared" ca="1" si="180"/>
        <v>6.5160916505198223</v>
      </c>
      <c r="S284" s="67">
        <f t="shared" ca="1" si="180"/>
        <v>6.5982750906216188</v>
      </c>
      <c r="T284" s="67">
        <f t="shared" ca="1" si="180"/>
        <v>6.6821907276541026</v>
      </c>
      <c r="U284" s="67">
        <f t="shared" ca="1" si="180"/>
        <v>6.7674649965932598</v>
      </c>
      <c r="V284" s="67">
        <f t="shared" ca="1" si="180"/>
        <v>6.8541663552069396</v>
      </c>
      <c r="W284" s="67">
        <f t="shared" ca="1" si="180"/>
        <v>6.9424802020073919</v>
      </c>
      <c r="X284" s="67">
        <f t="shared" ca="1" si="180"/>
        <v>7.0331870354408377</v>
      </c>
    </row>
    <row r="285" spans="1:24" x14ac:dyDescent="0.25">
      <c r="A285" s="9" t="s">
        <v>988</v>
      </c>
      <c r="B285" s="10" t="str">
        <f>$B$38</f>
        <v>From Fiscal Forecasts</v>
      </c>
      <c r="D285" s="42">
        <f>'Fiscal Forecasts'!D$43</f>
        <v>4.7320000000000002</v>
      </c>
      <c r="E285" s="42">
        <f>'Fiscal Forecasts'!E$43</f>
        <v>5.8689999999999998</v>
      </c>
      <c r="F285" s="42">
        <f>'Fiscal Forecasts'!F$43</f>
        <v>5.6020000000000003</v>
      </c>
      <c r="G285" s="42">
        <f>'Fiscal Forecasts'!G$43</f>
        <v>5.4260000000000002</v>
      </c>
      <c r="H285" s="42">
        <f>'Fiscal Forecasts'!H$43</f>
        <v>6.6630000000000003</v>
      </c>
      <c r="I285" s="42">
        <f>'Fiscal Forecasts'!I$43</f>
        <v>8.1780000000000008</v>
      </c>
      <c r="J285" s="43">
        <f ca="1">'Fiscal Forecasts'!J$43+IF(OFFSET(Assumptions!$B$56,0,$C$1)="Yes",Allocation!C$17,0)</f>
        <v>7.9550000000000001</v>
      </c>
      <c r="K285" s="43">
        <f ca="1">'Fiscal Forecasts'!K$43+IF(OFFSET(Assumptions!$B$56,0,$C$1)="Yes",Allocation!D$17,0)</f>
        <v>6.5519999999999996</v>
      </c>
      <c r="L285" s="43">
        <f ca="1">'Fiscal Forecasts'!L$43+IF(OFFSET(Assumptions!$B$56,0,$C$1)="Yes",Allocation!E$17,0)</f>
        <v>6.702</v>
      </c>
      <c r="M285" s="43">
        <f ca="1">'Fiscal Forecasts'!M$43+IF(OFFSET(Assumptions!$B$56,0,$C$1)="Yes",Allocation!F$17,0)</f>
        <v>6.0140000000000002</v>
      </c>
      <c r="N285" s="43">
        <f ca="1">'Fiscal Forecasts'!N$43+IF(OFFSET(Assumptions!$B$56,0,$C$1)="Yes",Allocation!G$17,0)</f>
        <v>6.1180000000000003</v>
      </c>
      <c r="O285" s="47">
        <f t="shared" ref="O285:X285" ca="1" si="181">O$284+N$285-N$284</f>
        <v>6.1834476881380684</v>
      </c>
      <c r="P285" s="47">
        <f t="shared" ca="1" si="181"/>
        <v>6.2603281012778051</v>
      </c>
      <c r="Q285" s="47">
        <f t="shared" ca="1" si="181"/>
        <v>6.3397425046207418</v>
      </c>
      <c r="R285" s="47">
        <f t="shared" ca="1" si="181"/>
        <v>6.4200916505198204</v>
      </c>
      <c r="S285" s="47">
        <f t="shared" ca="1" si="181"/>
        <v>6.502275090621616</v>
      </c>
      <c r="T285" s="47">
        <f t="shared" ca="1" si="181"/>
        <v>6.5861907276540999</v>
      </c>
      <c r="U285" s="47">
        <f t="shared" ca="1" si="181"/>
        <v>6.671464996593258</v>
      </c>
      <c r="V285" s="47">
        <f t="shared" ca="1" si="181"/>
        <v>6.7581663552069369</v>
      </c>
      <c r="W285" s="47">
        <f t="shared" ca="1" si="181"/>
        <v>6.8464802020073892</v>
      </c>
      <c r="X285" s="47">
        <f t="shared" ca="1" si="181"/>
        <v>6.9371870354408358</v>
      </c>
    </row>
    <row r="287" spans="1:24" x14ac:dyDescent="0.25">
      <c r="A287" s="9" t="s">
        <v>990</v>
      </c>
    </row>
    <row r="288" spans="1:24" x14ac:dyDescent="0.25">
      <c r="A288" s="9" t="s">
        <v>991</v>
      </c>
      <c r="B288" s="10" t="str">
        <f>$B$38</f>
        <v>From Fiscal Forecasts</v>
      </c>
      <c r="C288" s="64" cm="1">
        <f t="array" aca="1" ref="C288" ca="1">SUMPRODUCT(OFFSET($N$288,0,0,1,-OFFSET(Assumptions!$B$59,0,$C$1))/OFFSET($N$13,0,0,1,-OFFSET(Assumptions!$B$59,0,$C$1)))/OFFSET(Assumptions!$B$59,0,$C$1)</f>
        <v>1.5138340005908449E-2</v>
      </c>
      <c r="D288" s="42">
        <f>'Fiscal Forecasts'!D$61</f>
        <v>4.625</v>
      </c>
      <c r="E288" s="42">
        <f>'Fiscal Forecasts'!E$61</f>
        <v>4.9109999999999996</v>
      </c>
      <c r="F288" s="42">
        <f>'Fiscal Forecasts'!F$61</f>
        <v>5.202</v>
      </c>
      <c r="G288" s="42">
        <f>'Fiscal Forecasts'!G$61</f>
        <v>5.444</v>
      </c>
      <c r="H288" s="42">
        <f>'Fiscal Forecasts'!H$61</f>
        <v>6.165</v>
      </c>
      <c r="I288" s="42">
        <f>'Fiscal Forecasts'!I$61</f>
        <v>6.5270000000000001</v>
      </c>
      <c r="J288" s="43">
        <f ca="1">'Fiscal Forecasts'!J$61+IF(OFFSET(Assumptions!$B$56,0,$C$1)="Yes",Allocation!C$18,0)</f>
        <v>6.9779999999999998</v>
      </c>
      <c r="K288" s="43">
        <f ca="1">'Fiscal Forecasts'!K$61+IF(OFFSET(Assumptions!$B$56,0,$C$1)="Yes",Allocation!D$18,0)</f>
        <v>7.3419999999999996</v>
      </c>
      <c r="L288" s="43">
        <f ca="1">'Fiscal Forecasts'!L$61+IF(OFFSET(Assumptions!$B$56,0,$C$1)="Yes",Allocation!E$18,0)</f>
        <v>7.2629999999999999</v>
      </c>
      <c r="M288" s="43">
        <f ca="1">'Fiscal Forecasts'!M$61+IF(OFFSET(Assumptions!$B$56,0,$C$1)="Yes",Allocation!F$18,0)</f>
        <v>7.1130000000000004</v>
      </c>
      <c r="N288" s="43">
        <f ca="1">'Fiscal Forecasts'!N$61+IF(OFFSET(Assumptions!$B$56,0,$C$1)="Yes",Allocation!G$18,0)</f>
        <v>7.0720000000000001</v>
      </c>
      <c r="O288" s="47">
        <f ca="1">N$288+IF(OFFSET(Assumptions!$B$57,0,$C$1)="Yes",Allocation!$B$18*O$247,IF(OFFSET(Assumptions!$B$58,0,$C$1)="Yes",(N$288/N$13+MIN(ABS($C$288-N$288/N$13),OFFSET(Assumptions!$B$60,0,$C$1))*SIGN($C$288-N$288/N$13))*O$13-N$288,0))</f>
        <v>7.0720000000000001</v>
      </c>
      <c r="P288" s="47">
        <f ca="1">O$288+IF(OFFSET(Assumptions!$B$57,0,$C$1)="Yes",Allocation!$B$18*P$247,IF(OFFSET(Assumptions!$B$58,0,$C$1)="Yes",(O$288/O$13+MIN(ABS($C$288-O$288/O$13),OFFSET(Assumptions!$B$60,0,$C$1))*SIGN($C$288-O$288/O$13))*P$13-O$288,0))</f>
        <v>7.0720000000000001</v>
      </c>
      <c r="Q288" s="47">
        <f ca="1">P$288+IF(OFFSET(Assumptions!$B$57,0,$C$1)="Yes",Allocation!$B$18*Q$247,IF(OFFSET(Assumptions!$B$58,0,$C$1)="Yes",(P$288/P$13+MIN(ABS($C$288-P$288/P$13),OFFSET(Assumptions!$B$60,0,$C$1))*SIGN($C$288-P$288/P$13))*Q$13-P$288,0))</f>
        <v>7.0720000000000001</v>
      </c>
      <c r="R288" s="47">
        <f ca="1">Q$288+IF(OFFSET(Assumptions!$B$57,0,$C$1)="Yes",Allocation!$B$18*R$247,IF(OFFSET(Assumptions!$B$58,0,$C$1)="Yes",(Q$288/Q$13+MIN(ABS($C$288-Q$288/Q$13),OFFSET(Assumptions!$B$60,0,$C$1))*SIGN($C$288-Q$288/Q$13))*R$13-Q$288,0))</f>
        <v>7.0720000000000001</v>
      </c>
      <c r="S288" s="47">
        <f ca="1">R$288+IF(OFFSET(Assumptions!$B$57,0,$C$1)="Yes",Allocation!$B$18*S$247,IF(OFFSET(Assumptions!$B$58,0,$C$1)="Yes",(R$288/R$13+MIN(ABS($C$288-R$288/R$13),OFFSET(Assumptions!$B$60,0,$C$1))*SIGN($C$288-R$288/R$13))*S$13-R$288,0))</f>
        <v>7.0720000000000001</v>
      </c>
      <c r="T288" s="47">
        <f ca="1">S$288+IF(OFFSET(Assumptions!$B$57,0,$C$1)="Yes",Allocation!$B$18*T$247,IF(OFFSET(Assumptions!$B$58,0,$C$1)="Yes",(S$288/S$13+MIN(ABS($C$288-S$288/S$13),OFFSET(Assumptions!$B$60,0,$C$1))*SIGN($C$288-S$288/S$13))*T$13-S$288,0))</f>
        <v>7.0720000000000001</v>
      </c>
      <c r="U288" s="47">
        <f ca="1">T$288+IF(OFFSET(Assumptions!$B$57,0,$C$1)="Yes",Allocation!$B$18*U$247,IF(OFFSET(Assumptions!$B$58,0,$C$1)="Yes",(T$288/T$13+MIN(ABS($C$288-T$288/T$13),OFFSET(Assumptions!$B$60,0,$C$1))*SIGN($C$288-T$288/T$13))*U$13-T$288,0))</f>
        <v>7.0720000000000001</v>
      </c>
      <c r="V288" s="47">
        <f ca="1">U$288+IF(OFFSET(Assumptions!$B$57,0,$C$1)="Yes",Allocation!$B$18*V$247,IF(OFFSET(Assumptions!$B$58,0,$C$1)="Yes",(U$288/U$13+MIN(ABS($C$288-U$288/U$13),OFFSET(Assumptions!$B$60,0,$C$1))*SIGN($C$288-U$288/U$13))*V$13-U$288,0))</f>
        <v>7.0720000000000001</v>
      </c>
      <c r="W288" s="47">
        <f ca="1">V$288+IF(OFFSET(Assumptions!$B$57,0,$C$1)="Yes",Allocation!$B$18*W$247,IF(OFFSET(Assumptions!$B$58,0,$C$1)="Yes",(V$288/V$13+MIN(ABS($C$288-V$288/V$13),OFFSET(Assumptions!$B$60,0,$C$1))*SIGN($C$288-V$288/V$13))*W$13-V$288,0))</f>
        <v>7.0720000000000001</v>
      </c>
      <c r="X288" s="47">
        <f ca="1">W$288+IF(OFFSET(Assumptions!$B$57,0,$C$1)="Yes",Allocation!$B$18*X$247,IF(OFFSET(Assumptions!$B$58,0,$C$1)="Yes",(W$288/W$13+MIN(ABS($C$288-W$288/W$13),OFFSET(Assumptions!$B$60,0,$C$1))*SIGN($C$288-W$288/W$13))*X$13-W$288,0))</f>
        <v>7.0720000000000001</v>
      </c>
    </row>
    <row r="289" spans="1:24" x14ac:dyDescent="0.25">
      <c r="A289" s="9" t="s">
        <v>992</v>
      </c>
      <c r="B289" s="10" t="str">
        <f>$B$38</f>
        <v>From Fiscal Forecasts</v>
      </c>
      <c r="D289" s="42">
        <f>'Fiscal Forecasts'!D$44</f>
        <v>5.05</v>
      </c>
      <c r="E289" s="42">
        <f>'Fiscal Forecasts'!E$44</f>
        <v>5.3040000000000003</v>
      </c>
      <c r="F289" s="42">
        <f>'Fiscal Forecasts'!F$44</f>
        <v>5.5330000000000004</v>
      </c>
      <c r="G289" s="42">
        <f>'Fiscal Forecasts'!G$44</f>
        <v>5.9210000000000003</v>
      </c>
      <c r="H289" s="42">
        <f>'Fiscal Forecasts'!H$44</f>
        <v>6.6660000000000004</v>
      </c>
      <c r="I289" s="42">
        <f>'Fiscal Forecasts'!I$44</f>
        <v>7.0720000000000001</v>
      </c>
      <c r="J289" s="43">
        <f ca="1">'Fiscal Forecasts'!J$44+IF(OFFSET(Assumptions!$B$56,0,$C$1)="Yes",Allocation!C$18,0)</f>
        <v>7.55</v>
      </c>
      <c r="K289" s="43">
        <f ca="1">'Fiscal Forecasts'!K$44+IF(OFFSET(Assumptions!$B$56,0,$C$1)="Yes",Allocation!D$18,0)</f>
        <v>7.9459999999999997</v>
      </c>
      <c r="L289" s="43">
        <f ca="1">'Fiscal Forecasts'!L$44+IF(OFFSET(Assumptions!$B$56,0,$C$1)="Yes",Allocation!E$18,0)</f>
        <v>7.7690000000000001</v>
      </c>
      <c r="M289" s="43">
        <f ca="1">'Fiscal Forecasts'!M$44+IF(OFFSET(Assumptions!$B$56,0,$C$1)="Yes",Allocation!F$18,0)</f>
        <v>7.7460000000000004</v>
      </c>
      <c r="N289" s="43">
        <f ca="1">'Fiscal Forecasts'!N$44+IF(OFFSET(Assumptions!$B$56,0,$C$1)="Yes",Allocation!G$18,0)</f>
        <v>7.6929999999999996</v>
      </c>
      <c r="O289" s="47">
        <f t="shared" ref="O289:X289" ca="1" si="182">O$288+(N$289-N$288)*(1+O$29)</f>
        <v>7.7054199999999993</v>
      </c>
      <c r="P289" s="47">
        <f t="shared" ca="1" si="182"/>
        <v>7.7180883999999992</v>
      </c>
      <c r="Q289" s="47">
        <f t="shared" ca="1" si="182"/>
        <v>7.7310101679999992</v>
      </c>
      <c r="R289" s="47">
        <f t="shared" ca="1" si="182"/>
        <v>7.7441903713599993</v>
      </c>
      <c r="S289" s="47">
        <f t="shared" ca="1" si="182"/>
        <v>7.7576341787871996</v>
      </c>
      <c r="T289" s="47">
        <f t="shared" ca="1" si="182"/>
        <v>7.7713468623629431</v>
      </c>
      <c r="U289" s="47">
        <f t="shared" ca="1" si="182"/>
        <v>7.7853337996102017</v>
      </c>
      <c r="V289" s="47">
        <f t="shared" ca="1" si="182"/>
        <v>7.7996004756024053</v>
      </c>
      <c r="W289" s="47">
        <f t="shared" ca="1" si="182"/>
        <v>7.8141524851144535</v>
      </c>
      <c r="X289" s="47">
        <f t="shared" ca="1" si="182"/>
        <v>7.8289955348167428</v>
      </c>
    </row>
    <row r="291" spans="1:24" x14ac:dyDescent="0.25">
      <c r="A291" s="9" t="s">
        <v>993</v>
      </c>
    </row>
    <row r="292" spans="1:24" x14ac:dyDescent="0.25">
      <c r="A292" s="9" t="s">
        <v>1106</v>
      </c>
      <c r="B292" s="10" t="str">
        <f>$B$38</f>
        <v>From Fiscal Forecasts</v>
      </c>
      <c r="D292" s="42">
        <f>'Fiscal Forecasts'!D$62</f>
        <v>2.8889999999999998</v>
      </c>
      <c r="E292" s="42">
        <f>'Fiscal Forecasts'!E$62</f>
        <v>3.1789999999999998</v>
      </c>
      <c r="F292" s="42">
        <f>'Fiscal Forecasts'!F$62</f>
        <v>5.6559999999999997</v>
      </c>
      <c r="G292" s="42">
        <f>'Fiscal Forecasts'!G$62</f>
        <v>4.657</v>
      </c>
      <c r="H292" s="42">
        <f>'Fiscal Forecasts'!H$62</f>
        <v>5.4720000000000004</v>
      </c>
      <c r="I292" s="42">
        <f>'Fiscal Forecasts'!I$62</f>
        <v>5.4870000000000001</v>
      </c>
      <c r="J292" s="43">
        <f>'Fiscal Forecasts'!J$62</f>
        <v>5.9160000000000004</v>
      </c>
      <c r="K292" s="43">
        <f>'Fiscal Forecasts'!K$62</f>
        <v>7.226</v>
      </c>
      <c r="L292" s="43">
        <f>'Fiscal Forecasts'!L$62</f>
        <v>5.0199999999999996</v>
      </c>
      <c r="M292" s="43">
        <f>'Fiscal Forecasts'!M$62</f>
        <v>4.7279999999999998</v>
      </c>
      <c r="N292" s="43">
        <f>'Fiscal Forecasts'!N$62</f>
        <v>5.1059999999999999</v>
      </c>
      <c r="O292" s="47">
        <f t="shared" ref="O292:X292" ca="1" si="183">N$292*O$138/N$138</f>
        <v>5.0972257715457987</v>
      </c>
      <c r="P292" s="47">
        <f t="shared" ca="1" si="183"/>
        <v>5.0757671352064904</v>
      </c>
      <c r="Q292" s="47">
        <f t="shared" ca="1" si="183"/>
        <v>5.2436769084205697</v>
      </c>
      <c r="R292" s="47">
        <f t="shared" ca="1" si="183"/>
        <v>5.4501545536941585</v>
      </c>
      <c r="S292" s="47">
        <f t="shared" ca="1" si="183"/>
        <v>5.6611849610539693</v>
      </c>
      <c r="T292" s="47">
        <f t="shared" ca="1" si="183"/>
        <v>5.8764460792302238</v>
      </c>
      <c r="U292" s="47">
        <f t="shared" ca="1" si="183"/>
        <v>6.0945772851107982</v>
      </c>
      <c r="V292" s="47">
        <f t="shared" ca="1" si="183"/>
        <v>6.3159880515803426</v>
      </c>
      <c r="W292" s="47">
        <f t="shared" ca="1" si="183"/>
        <v>6.5406701296517049</v>
      </c>
      <c r="X292" s="47">
        <f t="shared" ca="1" si="183"/>
        <v>6.7703166177289056</v>
      </c>
    </row>
    <row r="293" spans="1:24" x14ac:dyDescent="0.25">
      <c r="A293" s="11" t="s">
        <v>707</v>
      </c>
      <c r="B293" s="10" t="str">
        <f>$B$38</f>
        <v>From Fiscal Forecasts</v>
      </c>
      <c r="D293" s="35">
        <f>'Fiscal Forecasts'!D$209</f>
        <v>3.21</v>
      </c>
      <c r="E293" s="35">
        <f>'Fiscal Forecasts'!E$209</f>
        <v>3.8239999999999998</v>
      </c>
      <c r="F293" s="35">
        <f>'Fiscal Forecasts'!F$209</f>
        <v>4.2590000000000003</v>
      </c>
      <c r="G293" s="35">
        <f>'Fiscal Forecasts'!G$209</f>
        <v>4.5030000000000001</v>
      </c>
      <c r="H293" s="35">
        <f>'Fiscal Forecasts'!H$209</f>
        <v>6.1050000000000004</v>
      </c>
      <c r="I293" s="35">
        <f>'Fiscal Forecasts'!I$209</f>
        <v>6.6280000000000001</v>
      </c>
      <c r="J293" s="17">
        <f>'Fiscal Forecasts'!J$209</f>
        <v>6.51</v>
      </c>
      <c r="K293" s="17">
        <f>'Fiscal Forecasts'!K$209</f>
        <v>5.9379999999999997</v>
      </c>
      <c r="L293" s="17">
        <f>'Fiscal Forecasts'!L$209</f>
        <v>5.9710000000000001</v>
      </c>
      <c r="M293" s="17">
        <f>'Fiscal Forecasts'!M$209</f>
        <v>5.1829999999999998</v>
      </c>
      <c r="N293" s="17">
        <f>'Fiscal Forecasts'!N$209</f>
        <v>5.306</v>
      </c>
      <c r="O293" s="16">
        <f t="shared" ref="O293:X293" ca="1" si="184">O$292+(N$293-N$292)*(1+O$14)</f>
        <v>5.305855280297572</v>
      </c>
      <c r="P293" s="16">
        <f t="shared" ca="1" si="184"/>
        <v>5.2932947255773781</v>
      </c>
      <c r="Q293" s="16">
        <f t="shared" ca="1" si="184"/>
        <v>5.4701219005768253</v>
      </c>
      <c r="R293" s="16">
        <f t="shared" ca="1" si="184"/>
        <v>5.6855161571483634</v>
      </c>
      <c r="S293" s="16">
        <f t="shared" ca="1" si="184"/>
        <v>5.9056597840626788</v>
      </c>
      <c r="T293" s="16">
        <f t="shared" ca="1" si="184"/>
        <v>6.1302168224621436</v>
      </c>
      <c r="U293" s="16">
        <f t="shared" ca="1" si="184"/>
        <v>6.357767891554607</v>
      </c>
      <c r="V293" s="16">
        <f t="shared" ca="1" si="184"/>
        <v>6.5887401470617375</v>
      </c>
      <c r="W293" s="16">
        <f t="shared" ca="1" si="184"/>
        <v>6.8231249837688992</v>
      </c>
      <c r="X293" s="16">
        <f t="shared" ca="1" si="184"/>
        <v>7.062688615503034</v>
      </c>
    </row>
    <row r="294" spans="1:24" x14ac:dyDescent="0.25">
      <c r="A294" s="11" t="s">
        <v>904</v>
      </c>
      <c r="B294" s="10" t="str">
        <f>$B$38</f>
        <v>From Fiscal Forecasts</v>
      </c>
      <c r="D294" s="35">
        <f>'Fiscal Forecasts'!D$210</f>
        <v>5.4009999999999998</v>
      </c>
      <c r="E294" s="35">
        <f>'Fiscal Forecasts'!E$210</f>
        <v>8.9149999999999991</v>
      </c>
      <c r="F294" s="35">
        <f>'Fiscal Forecasts'!F$210</f>
        <v>5.8360000000000003</v>
      </c>
      <c r="G294" s="35">
        <f>'Fiscal Forecasts'!G$210</f>
        <v>4.8730000000000002</v>
      </c>
      <c r="H294" s="35">
        <f>'Fiscal Forecasts'!H$210</f>
        <v>8.5990000000000002</v>
      </c>
      <c r="I294" s="35">
        <f>'Fiscal Forecasts'!I$210</f>
        <v>10.317</v>
      </c>
      <c r="J294" s="17">
        <f>'Fiscal Forecasts'!J$210</f>
        <v>9.6999999999999993</v>
      </c>
      <c r="K294" s="17">
        <f>'Fiscal Forecasts'!K$210</f>
        <v>10.332000000000001</v>
      </c>
      <c r="L294" s="17">
        <f>'Fiscal Forecasts'!L$210</f>
        <v>10.58</v>
      </c>
      <c r="M294" s="17">
        <f>'Fiscal Forecasts'!M$210</f>
        <v>10.975</v>
      </c>
      <c r="N294" s="17">
        <f>'Fiscal Forecasts'!N$210</f>
        <v>11.539</v>
      </c>
      <c r="O294" s="16">
        <f t="shared" ref="O294:X294" ca="1" si="185">N$294*(1+O$19)*(1+O$29)</f>
        <v>11.91558332577668</v>
      </c>
      <c r="P294" s="16">
        <f t="shared" ca="1" si="185"/>
        <v>12.295729163494226</v>
      </c>
      <c r="Q294" s="16">
        <f t="shared" ca="1" si="185"/>
        <v>12.680445043678345</v>
      </c>
      <c r="R294" s="16">
        <f t="shared" ca="1" si="185"/>
        <v>13.066279166812539</v>
      </c>
      <c r="S294" s="16">
        <f t="shared" ca="1" si="185"/>
        <v>13.455279449697001</v>
      </c>
      <c r="T294" s="16">
        <f t="shared" ca="1" si="185"/>
        <v>13.846534233795651</v>
      </c>
      <c r="U294" s="16">
        <f t="shared" ca="1" si="185"/>
        <v>14.245158691202095</v>
      </c>
      <c r="V294" s="16">
        <f t="shared" ca="1" si="185"/>
        <v>14.649160143755896</v>
      </c>
      <c r="W294" s="16">
        <f t="shared" ca="1" si="185"/>
        <v>15.052784605713301</v>
      </c>
      <c r="X294" s="16">
        <f t="shared" ca="1" si="185"/>
        <v>15.46029102219522</v>
      </c>
    </row>
    <row r="295" spans="1:24" x14ac:dyDescent="0.25">
      <c r="A295" s="11" t="s">
        <v>866</v>
      </c>
      <c r="B295" s="10" t="str">
        <f>$B$38</f>
        <v>From Fiscal Forecasts</v>
      </c>
      <c r="D295" s="35">
        <f>'Fiscal Forecasts'!D$45-SUM(D$292:D$294)</f>
        <v>-3.0709999999999997</v>
      </c>
      <c r="E295" s="35">
        <f>'Fiscal Forecasts'!E$45-SUM(E$292:E$294)</f>
        <v>-2.9559999999999995</v>
      </c>
      <c r="F295" s="35">
        <f>'Fiscal Forecasts'!F$45-SUM(F$292:F$294)</f>
        <v>-5.4159999999999986</v>
      </c>
      <c r="G295" s="35">
        <f>'Fiscal Forecasts'!G$45-SUM(G$292:G$294)</f>
        <v>-4.5050000000000008</v>
      </c>
      <c r="H295" s="35">
        <f>'Fiscal Forecasts'!H$45-SUM(H$292:H$294)</f>
        <v>-5.7480000000000011</v>
      </c>
      <c r="I295" s="35">
        <f>'Fiscal Forecasts'!I$45-SUM(I$292:I$294)</f>
        <v>-5.6990000000000016</v>
      </c>
      <c r="J295" s="17">
        <f>'Fiscal Forecasts'!J$45-SUM(J$292:J$294)</f>
        <v>-5.9019999999999975</v>
      </c>
      <c r="K295" s="17">
        <f>'Fiscal Forecasts'!K$45-SUM(K$292:K$294)</f>
        <v>-5.1730000000000018</v>
      </c>
      <c r="L295" s="17">
        <f>'Fiscal Forecasts'!L$45-SUM(L$292:L$294)</f>
        <v>-5.0519999999999996</v>
      </c>
      <c r="M295" s="17">
        <f>'Fiscal Forecasts'!M$45-SUM(M$292:M$294)</f>
        <v>-4.7740000000000009</v>
      </c>
      <c r="N295" s="17">
        <f>'Fiscal Forecasts'!N$45-SUM(N$292:N$294)</f>
        <v>-5.2390000000000008</v>
      </c>
      <c r="O295" s="16">
        <f t="shared" ref="O295:X295" ca="1" si="186">N$295-(O$292-N$292)</f>
        <v>-5.2302257715457996</v>
      </c>
      <c r="P295" s="16">
        <f t="shared" ca="1" si="186"/>
        <v>-5.2087671352064913</v>
      </c>
      <c r="Q295" s="16">
        <f t="shared" ca="1" si="186"/>
        <v>-5.3766769084205706</v>
      </c>
      <c r="R295" s="16">
        <f t="shared" ca="1" si="186"/>
        <v>-5.5831545536941594</v>
      </c>
      <c r="S295" s="16">
        <f t="shared" ca="1" si="186"/>
        <v>-5.7941849610539702</v>
      </c>
      <c r="T295" s="16">
        <f t="shared" ca="1" si="186"/>
        <v>-6.0094460792302247</v>
      </c>
      <c r="U295" s="16">
        <f t="shared" ca="1" si="186"/>
        <v>-6.2275772851107991</v>
      </c>
      <c r="V295" s="16">
        <f t="shared" ca="1" si="186"/>
        <v>-6.4489880515803435</v>
      </c>
      <c r="W295" s="16">
        <f t="shared" ca="1" si="186"/>
        <v>-6.6736701296517058</v>
      </c>
      <c r="X295" s="16">
        <f t="shared" ca="1" si="186"/>
        <v>-6.9033166177289065</v>
      </c>
    </row>
    <row r="296" spans="1:24" x14ac:dyDescent="0.25">
      <c r="A296" s="9" t="s">
        <v>994</v>
      </c>
      <c r="D296" s="65">
        <f t="shared" ref="D296:N296" si="187">SUM(D$292:D$295)</f>
        <v>8.4290000000000003</v>
      </c>
      <c r="E296" s="65">
        <f t="shared" si="187"/>
        <v>12.962</v>
      </c>
      <c r="F296" s="65">
        <f t="shared" si="187"/>
        <v>10.335000000000001</v>
      </c>
      <c r="G296" s="65">
        <f t="shared" si="187"/>
        <v>9.5280000000000005</v>
      </c>
      <c r="H296" s="65">
        <f t="shared" si="187"/>
        <v>14.428000000000001</v>
      </c>
      <c r="I296" s="65">
        <f t="shared" si="187"/>
        <v>16.733000000000001</v>
      </c>
      <c r="J296" s="66">
        <f t="shared" si="187"/>
        <v>16.224</v>
      </c>
      <c r="K296" s="66">
        <f t="shared" si="187"/>
        <v>18.323</v>
      </c>
      <c r="L296" s="66">
        <f t="shared" si="187"/>
        <v>16.518999999999998</v>
      </c>
      <c r="M296" s="66">
        <f t="shared" si="187"/>
        <v>16.111999999999998</v>
      </c>
      <c r="N296" s="66">
        <f t="shared" si="187"/>
        <v>16.712</v>
      </c>
      <c r="O296" s="67">
        <f t="shared" ref="O296:X296" ca="1" si="188">SUM(O$292:O$295)</f>
        <v>17.088438606074252</v>
      </c>
      <c r="P296" s="67">
        <f t="shared" ca="1" si="188"/>
        <v>17.456023889071602</v>
      </c>
      <c r="Q296" s="67">
        <f t="shared" ca="1" si="188"/>
        <v>18.017566944255172</v>
      </c>
      <c r="R296" s="67">
        <f t="shared" ca="1" si="188"/>
        <v>18.618795323960903</v>
      </c>
      <c r="S296" s="67">
        <f t="shared" ca="1" si="188"/>
        <v>19.227939233759678</v>
      </c>
      <c r="T296" s="67">
        <f t="shared" ca="1" si="188"/>
        <v>19.843751056257794</v>
      </c>
      <c r="U296" s="67">
        <f t="shared" ca="1" si="188"/>
        <v>20.469926582756699</v>
      </c>
      <c r="V296" s="67">
        <f t="shared" ca="1" si="188"/>
        <v>21.104900290817632</v>
      </c>
      <c r="W296" s="67">
        <f t="shared" ca="1" si="188"/>
        <v>21.742909589482203</v>
      </c>
      <c r="X296" s="67">
        <f t="shared" ca="1" si="188"/>
        <v>22.389979637698254</v>
      </c>
    </row>
    <row r="298" spans="1:24" x14ac:dyDescent="0.25">
      <c r="A298" s="9" t="s">
        <v>995</v>
      </c>
    </row>
    <row r="299" spans="1:24" x14ac:dyDescent="0.25">
      <c r="A299" s="11" t="s">
        <v>996</v>
      </c>
      <c r="D299" s="35">
        <f t="shared" ref="D299:N299" si="189">D$237</f>
        <v>0</v>
      </c>
      <c r="E299" s="35">
        <f t="shared" si="189"/>
        <v>0</v>
      </c>
      <c r="F299" s="35">
        <f t="shared" si="189"/>
        <v>1E-3</v>
      </c>
      <c r="G299" s="35">
        <f t="shared" si="189"/>
        <v>1E-3</v>
      </c>
      <c r="H299" s="35">
        <f t="shared" si="189"/>
        <v>3.0000000000000001E-3</v>
      </c>
      <c r="I299" s="35">
        <f t="shared" si="189"/>
        <v>2E-3</v>
      </c>
      <c r="J299" s="17">
        <f t="shared" si="189"/>
        <v>3.0000000000000001E-3</v>
      </c>
      <c r="K299" s="17">
        <f t="shared" si="189"/>
        <v>3.0000000000000001E-3</v>
      </c>
      <c r="L299" s="17">
        <f t="shared" si="189"/>
        <v>3.0000000000000001E-3</v>
      </c>
      <c r="M299" s="17">
        <f t="shared" si="189"/>
        <v>2E-3</v>
      </c>
      <c r="N299" s="17">
        <f t="shared" si="189"/>
        <v>3.0000000000000001E-3</v>
      </c>
      <c r="O299" s="16">
        <f t="shared" ref="O299:X299" ca="1" si="190">O$237</f>
        <v>0</v>
      </c>
      <c r="P299" s="16">
        <f t="shared" ca="1" si="190"/>
        <v>0</v>
      </c>
      <c r="Q299" s="16">
        <f t="shared" ca="1" si="190"/>
        <v>0</v>
      </c>
      <c r="R299" s="16">
        <f t="shared" ca="1" si="190"/>
        <v>0</v>
      </c>
      <c r="S299" s="16">
        <f t="shared" ca="1" si="190"/>
        <v>0</v>
      </c>
      <c r="T299" s="16">
        <f t="shared" ca="1" si="190"/>
        <v>0</v>
      </c>
      <c r="U299" s="16">
        <f t="shared" ca="1" si="190"/>
        <v>0</v>
      </c>
      <c r="V299" s="16">
        <f t="shared" ca="1" si="190"/>
        <v>0</v>
      </c>
      <c r="W299" s="16">
        <f t="shared" ca="1" si="190"/>
        <v>0</v>
      </c>
      <c r="X299" s="16">
        <f t="shared" ca="1" si="190"/>
        <v>0</v>
      </c>
    </row>
    <row r="300" spans="1:24" x14ac:dyDescent="0.25">
      <c r="A300" s="11" t="s">
        <v>952</v>
      </c>
      <c r="D300" s="35">
        <f t="shared" ref="D300:X300" si="191">D$192</f>
        <v>0.95099999999999996</v>
      </c>
      <c r="E300" s="35">
        <f t="shared" si="191"/>
        <v>0.89300000000000002</v>
      </c>
      <c r="F300" s="35">
        <f t="shared" si="191"/>
        <v>0.91600000000000004</v>
      </c>
      <c r="G300" s="35">
        <f t="shared" si="191"/>
        <v>0.96399999999999997</v>
      </c>
      <c r="H300" s="35">
        <f t="shared" si="191"/>
        <v>0.997</v>
      </c>
      <c r="I300" s="35">
        <f t="shared" si="191"/>
        <v>1.014</v>
      </c>
      <c r="J300" s="17">
        <f t="shared" si="191"/>
        <v>1.06</v>
      </c>
      <c r="K300" s="17">
        <f t="shared" si="191"/>
        <v>0.54500000000000004</v>
      </c>
      <c r="L300" s="17">
        <f t="shared" si="191"/>
        <v>0.56499999999999995</v>
      </c>
      <c r="M300" s="17">
        <f t="shared" si="191"/>
        <v>0.58799999999999997</v>
      </c>
      <c r="N300" s="17">
        <f t="shared" si="191"/>
        <v>0.61299999999999999</v>
      </c>
      <c r="O300" s="16">
        <f t="shared" si="191"/>
        <v>0.63900000000000001</v>
      </c>
      <c r="P300" s="16">
        <f t="shared" si="191"/>
        <v>0.67</v>
      </c>
      <c r="Q300" s="16">
        <f t="shared" si="191"/>
        <v>0.7</v>
      </c>
      <c r="R300" s="16">
        <f t="shared" ca="1" si="191"/>
        <v>0.72756355019879493</v>
      </c>
      <c r="S300" s="16">
        <f t="shared" ca="1" si="191"/>
        <v>0.75573486733594508</v>
      </c>
      <c r="T300" s="16">
        <f t="shared" ca="1" si="191"/>
        <v>0.78447095946271272</v>
      </c>
      <c r="U300" s="16">
        <f t="shared" ca="1" si="191"/>
        <v>0.81359019140303346</v>
      </c>
      <c r="V300" s="16">
        <f t="shared" ca="1" si="191"/>
        <v>0.84314722537661679</v>
      </c>
      <c r="W300" s="16">
        <f t="shared" ca="1" si="191"/>
        <v>0.87314096019223619</v>
      </c>
      <c r="X300" s="16">
        <f t="shared" ca="1" si="191"/>
        <v>0.90379741452028528</v>
      </c>
    </row>
    <row r="301" spans="1:24" x14ac:dyDescent="0.25">
      <c r="A301" s="11" t="s">
        <v>998</v>
      </c>
      <c r="B301" s="10" t="str">
        <f>$B$38</f>
        <v>From Fiscal Forecasts</v>
      </c>
      <c r="C301" s="64" cm="1">
        <f t="array" aca="1" ref="C301" ca="1">SUMPRODUCT(OFFSET($N$301,0,0,1,-OFFSET(Assumptions!$B$59,0,$C$1))/OFFSET($N$13,0,0,1,-OFFSET(Assumptions!$B$59,0,$C$1)))/OFFSET(Assumptions!$B$59,0,$C$1)</f>
        <v>8.0164306407672688E-3</v>
      </c>
      <c r="D301" s="35">
        <f>'Fiscal Forecasts'!D$63-SUM(D$299:D$300)</f>
        <v>2.0549999999999997</v>
      </c>
      <c r="E301" s="35">
        <f>'Fiscal Forecasts'!E$63-SUM(E$299:E$300)</f>
        <v>3.0949999999999998</v>
      </c>
      <c r="F301" s="35">
        <f>'Fiscal Forecasts'!F$63-SUM(F$299:F$300)</f>
        <v>3.5640000000000001</v>
      </c>
      <c r="G301" s="35">
        <f>'Fiscal Forecasts'!G$63-SUM(G$299:G$300)</f>
        <v>7.1129999999999995</v>
      </c>
      <c r="H301" s="35">
        <f>'Fiscal Forecasts'!H$63-SUM(H$299:H$300)</f>
        <v>2.69</v>
      </c>
      <c r="I301" s="35">
        <f>'Fiscal Forecasts'!I$63-SUM(I$299:I$300)</f>
        <v>2.9939999999999998</v>
      </c>
      <c r="J301" s="17">
        <f ca="1">'Fiscal Forecasts'!J$63-SUM(J$299:J$300)+IF(OFFSET(Assumptions!$B$56,0,$C$1)="Yes",Allocation!C$19,0)</f>
        <v>2.84</v>
      </c>
      <c r="K301" s="17">
        <f ca="1">'Fiscal Forecasts'!K$63-SUM(K$299:K$300)+IF(OFFSET(Assumptions!$B$56,0,$C$1)="Yes",Allocation!D$19,0)</f>
        <v>2.6869999999999998</v>
      </c>
      <c r="L301" s="17">
        <f ca="1">'Fiscal Forecasts'!L$63-SUM(L$299:L$300)+IF(OFFSET(Assumptions!$B$56,0,$C$1)="Yes",Allocation!E$19,0)</f>
        <v>2.5539999999999998</v>
      </c>
      <c r="M301" s="17">
        <f ca="1">'Fiscal Forecasts'!M$63-SUM(M$299:M$300)+IF(OFFSET(Assumptions!$B$56,0,$C$1)="Yes",Allocation!F$19,0)</f>
        <v>2.3380000000000001</v>
      </c>
      <c r="N301" s="17">
        <f ca="1">'Fiscal Forecasts'!N$63-SUM(N$299:N$300)+IF(OFFSET(Assumptions!$B$56,0,$C$1)="Yes",Allocation!G$19,0)</f>
        <v>2.2789999999999999</v>
      </c>
      <c r="O301" s="16">
        <f ca="1">N$301+IF(OFFSET(Assumptions!$B$57,0,$C$1)="Yes",Allocation!$B$19*O$247,IF(OFFSET(Assumptions!$B$58,0,$C$1)="Yes",(N$301/N$13+MIN(ABS($C$301-N$301/N$13),OFFSET(Assumptions!$B$60,0,$C$1))*SIGN($C$301-N$301/N$13))*O$13-N$301,0))</f>
        <v>2.2789999999999999</v>
      </c>
      <c r="P301" s="16">
        <f ca="1">O$301+IF(OFFSET(Assumptions!$B$57,0,$C$1)="Yes",Allocation!$B$19*P$247,IF(OFFSET(Assumptions!$B$58,0,$C$1)="Yes",(O$301/O$13+MIN(ABS($C$301-O$301/O$13),OFFSET(Assumptions!$B$60,0,$C$1))*SIGN($C$301-O$301/O$13))*P$13-O$301,0))</f>
        <v>2.2789999999999999</v>
      </c>
      <c r="Q301" s="16">
        <f ca="1">P$301+IF(OFFSET(Assumptions!$B$57,0,$C$1)="Yes",Allocation!$B$19*Q$247,IF(OFFSET(Assumptions!$B$58,0,$C$1)="Yes",(P$301/P$13+MIN(ABS($C$301-P$301/P$13),OFFSET(Assumptions!$B$60,0,$C$1))*SIGN($C$301-P$301/P$13))*Q$13-P$301,0))</f>
        <v>2.2789999999999999</v>
      </c>
      <c r="R301" s="16">
        <f ca="1">Q$301+IF(OFFSET(Assumptions!$B$57,0,$C$1)="Yes",Allocation!$B$19*R$247,IF(OFFSET(Assumptions!$B$58,0,$C$1)="Yes",(Q$301/Q$13+MIN(ABS($C$301-Q$301/Q$13),OFFSET(Assumptions!$B$60,0,$C$1))*SIGN($C$301-Q$301/Q$13))*R$13-Q$301,0))</f>
        <v>2.2789999999999999</v>
      </c>
      <c r="S301" s="16">
        <f ca="1">R$301+IF(OFFSET(Assumptions!$B$57,0,$C$1)="Yes",Allocation!$B$19*S$247,IF(OFFSET(Assumptions!$B$58,0,$C$1)="Yes",(R$301/R$13+MIN(ABS($C$301-R$301/R$13),OFFSET(Assumptions!$B$60,0,$C$1))*SIGN($C$301-R$301/R$13))*S$13-R$301,0))</f>
        <v>2.2789999999999999</v>
      </c>
      <c r="T301" s="16">
        <f ca="1">S$301+IF(OFFSET(Assumptions!$B$57,0,$C$1)="Yes",Allocation!$B$19*T$247,IF(OFFSET(Assumptions!$B$58,0,$C$1)="Yes",(S$301/S$13+MIN(ABS($C$301-S$301/S$13),OFFSET(Assumptions!$B$60,0,$C$1))*SIGN($C$301-S$301/S$13))*T$13-S$301,0))</f>
        <v>2.2789999999999999</v>
      </c>
      <c r="U301" s="16">
        <f ca="1">T$301+IF(OFFSET(Assumptions!$B$57,0,$C$1)="Yes",Allocation!$B$19*U$247,IF(OFFSET(Assumptions!$B$58,0,$C$1)="Yes",(T$301/T$13+MIN(ABS($C$301-T$301/T$13),OFFSET(Assumptions!$B$60,0,$C$1))*SIGN($C$301-T$301/T$13))*U$13-T$301,0))</f>
        <v>2.2789999999999999</v>
      </c>
      <c r="V301" s="16">
        <f ca="1">U$301+IF(OFFSET(Assumptions!$B$57,0,$C$1)="Yes",Allocation!$B$19*V$247,IF(OFFSET(Assumptions!$B$58,0,$C$1)="Yes",(U$301/U$13+MIN(ABS($C$301-U$301/U$13),OFFSET(Assumptions!$B$60,0,$C$1))*SIGN($C$301-U$301/U$13))*V$13-U$301,0))</f>
        <v>2.2789999999999999</v>
      </c>
      <c r="W301" s="16">
        <f ca="1">V$301+IF(OFFSET(Assumptions!$B$57,0,$C$1)="Yes",Allocation!$B$19*W$247,IF(OFFSET(Assumptions!$B$58,0,$C$1)="Yes",(V$301/V$13+MIN(ABS($C$301-V$301/V$13),OFFSET(Assumptions!$B$60,0,$C$1))*SIGN($C$301-V$301/V$13))*W$13-V$301,0))</f>
        <v>2.2789999999999999</v>
      </c>
      <c r="X301" s="16">
        <f ca="1">W$301+IF(OFFSET(Assumptions!$B$57,0,$C$1)="Yes",Allocation!$B$19*X$247,IF(OFFSET(Assumptions!$B$58,0,$C$1)="Yes",(W$301/W$13+MIN(ABS($C$301-W$301/W$13),OFFSET(Assumptions!$B$60,0,$C$1))*SIGN($C$301-W$301/W$13))*X$13-W$301,0))</f>
        <v>2.2789999999999999</v>
      </c>
    </row>
    <row r="302" spans="1:24" x14ac:dyDescent="0.25">
      <c r="A302" s="9" t="s">
        <v>999</v>
      </c>
      <c r="D302" s="65">
        <f t="shared" ref="D302:I302" si="192">SUM(D$299:D$301)</f>
        <v>3.0059999999999998</v>
      </c>
      <c r="E302" s="65">
        <f t="shared" si="192"/>
        <v>3.9879999999999995</v>
      </c>
      <c r="F302" s="65">
        <f t="shared" si="192"/>
        <v>4.4809999999999999</v>
      </c>
      <c r="G302" s="65">
        <f t="shared" si="192"/>
        <v>8.0779999999999994</v>
      </c>
      <c r="H302" s="65">
        <f t="shared" si="192"/>
        <v>3.69</v>
      </c>
      <c r="I302" s="65">
        <f t="shared" si="192"/>
        <v>4.01</v>
      </c>
      <c r="J302" s="66">
        <f t="shared" ref="J302:X302" ca="1" si="193">SUM(J$299:J$301)</f>
        <v>3.9029999999999996</v>
      </c>
      <c r="K302" s="66">
        <f t="shared" ca="1" si="193"/>
        <v>3.2349999999999999</v>
      </c>
      <c r="L302" s="66">
        <f t="shared" ca="1" si="193"/>
        <v>3.1219999999999999</v>
      </c>
      <c r="M302" s="66">
        <f t="shared" ca="1" si="193"/>
        <v>2.9279999999999999</v>
      </c>
      <c r="N302" s="66">
        <f t="shared" ca="1" si="193"/>
        <v>2.895</v>
      </c>
      <c r="O302" s="67">
        <f t="shared" ca="1" si="193"/>
        <v>2.9180000000000001</v>
      </c>
      <c r="P302" s="67">
        <f t="shared" ca="1" si="193"/>
        <v>2.9489999999999998</v>
      </c>
      <c r="Q302" s="67">
        <f t="shared" ca="1" si="193"/>
        <v>2.9790000000000001</v>
      </c>
      <c r="R302" s="67">
        <f t="shared" ca="1" si="193"/>
        <v>3.0065635501987948</v>
      </c>
      <c r="S302" s="67">
        <f t="shared" ca="1" si="193"/>
        <v>3.0347348673359451</v>
      </c>
      <c r="T302" s="67">
        <f t="shared" ca="1" si="193"/>
        <v>3.0634709594627125</v>
      </c>
      <c r="U302" s="67">
        <f t="shared" ca="1" si="193"/>
        <v>3.0925901914030334</v>
      </c>
      <c r="V302" s="67">
        <f t="shared" ca="1" si="193"/>
        <v>3.1221472253766169</v>
      </c>
      <c r="W302" s="67">
        <f t="shared" ca="1" si="193"/>
        <v>3.1521409601922361</v>
      </c>
      <c r="X302" s="67">
        <f t="shared" ca="1" si="193"/>
        <v>3.1827974145202851</v>
      </c>
    </row>
    <row r="303" spans="1:24" x14ac:dyDescent="0.25">
      <c r="A303" s="9" t="s">
        <v>1000</v>
      </c>
      <c r="B303" s="10" t="str">
        <f>$B$38</f>
        <v>From Fiscal Forecasts</v>
      </c>
      <c r="D303" s="42">
        <f>'Fiscal Forecasts'!D$46</f>
        <v>10.433</v>
      </c>
      <c r="E303" s="42">
        <f>'Fiscal Forecasts'!E$46</f>
        <v>11.246</v>
      </c>
      <c r="F303" s="42">
        <f>'Fiscal Forecasts'!F$46</f>
        <v>13.429</v>
      </c>
      <c r="G303" s="42">
        <f>'Fiscal Forecasts'!G$46</f>
        <v>16.672999999999998</v>
      </c>
      <c r="H303" s="42">
        <f>'Fiscal Forecasts'!H$46</f>
        <v>12.384</v>
      </c>
      <c r="I303" s="42">
        <f>'Fiscal Forecasts'!I$46</f>
        <v>16.007999999999999</v>
      </c>
      <c r="J303" s="43">
        <f ca="1">'Fiscal Forecasts'!J$46+IF(OFFSET(Assumptions!$B$56,0,$C$1)="Yes",Allocation!C$19,0)</f>
        <v>16.617000000000001</v>
      </c>
      <c r="K303" s="43">
        <f ca="1">'Fiscal Forecasts'!K$46+IF(OFFSET(Assumptions!$B$56,0,$C$1)="Yes",Allocation!D$19,0)</f>
        <v>15.885999999999999</v>
      </c>
      <c r="L303" s="43">
        <f ca="1">'Fiscal Forecasts'!L$46+IF(OFFSET(Assumptions!$B$56,0,$C$1)="Yes",Allocation!E$19,0)</f>
        <v>15.853</v>
      </c>
      <c r="M303" s="43">
        <f ca="1">'Fiscal Forecasts'!M$46+IF(OFFSET(Assumptions!$B$56,0,$C$1)="Yes",Allocation!F$19,0)</f>
        <v>16.274000000000001</v>
      </c>
      <c r="N303" s="43">
        <f ca="1">'Fiscal Forecasts'!N$46+IF(OFFSET(Assumptions!$B$56,0,$C$1)="Yes",Allocation!G$19,0)</f>
        <v>16.192</v>
      </c>
      <c r="O303" s="47">
        <f t="shared" ref="O303:X303" ca="1" si="194">O$302+(N$303-N$302)*(1+O$29)</f>
        <v>16.48094</v>
      </c>
      <c r="P303" s="47">
        <f t="shared" ca="1" si="194"/>
        <v>16.783198800000001</v>
      </c>
      <c r="Q303" s="47">
        <f t="shared" ca="1" si="194"/>
        <v>17.089882776000003</v>
      </c>
      <c r="R303" s="47">
        <f t="shared" ca="1" si="194"/>
        <v>17.399663981718799</v>
      </c>
      <c r="S303" s="47">
        <f t="shared" ca="1" si="194"/>
        <v>17.715697307486348</v>
      </c>
      <c r="T303" s="47">
        <f t="shared" ca="1" si="194"/>
        <v>18.038052648416123</v>
      </c>
      <c r="U303" s="47">
        <f t="shared" ca="1" si="194"/>
        <v>18.36666351413551</v>
      </c>
      <c r="V303" s="47">
        <f t="shared" ca="1" si="194"/>
        <v>18.701702014563743</v>
      </c>
      <c r="W303" s="47">
        <f t="shared" ca="1" si="194"/>
        <v>19.043286845163106</v>
      </c>
      <c r="X303" s="47">
        <f t="shared" ca="1" si="194"/>
        <v>19.391766217190572</v>
      </c>
    </row>
    <row r="305" spans="1:24" x14ac:dyDescent="0.25">
      <c r="A305" s="9" t="s">
        <v>1001</v>
      </c>
    </row>
    <row r="306" spans="1:24" x14ac:dyDescent="0.25">
      <c r="A306" s="9" t="s">
        <v>1002</v>
      </c>
      <c r="B306" s="10" t="str">
        <f>$B$38</f>
        <v>From Fiscal Forecasts</v>
      </c>
      <c r="C306" s="64" cm="1">
        <f t="array" aca="1" ref="C306" ca="1">SUMPRODUCT(OFFSET($N$306,0,0,1,-OFFSET(Assumptions!$B$59,0,$C$1))/OFFSET($N$13,0,0,1,-OFFSET(Assumptions!$B$59,0,$C$1)))/OFFSET(Assumptions!$B$59,0,$C$1)</f>
        <v>7.4971409751286855E-3</v>
      </c>
      <c r="D306" s="42">
        <f>'Fiscal Forecasts'!D$64</f>
        <v>2.395</v>
      </c>
      <c r="E306" s="42">
        <f>'Fiscal Forecasts'!E$64</f>
        <v>2.4990000000000001</v>
      </c>
      <c r="F306" s="42">
        <f>'Fiscal Forecasts'!F$64</f>
        <v>2.6640000000000001</v>
      </c>
      <c r="G306" s="42">
        <f>'Fiscal Forecasts'!G$64</f>
        <v>2.8319999999999999</v>
      </c>
      <c r="H306" s="42">
        <f>'Fiscal Forecasts'!H$64</f>
        <v>2.8860000000000001</v>
      </c>
      <c r="I306" s="42">
        <f>'Fiscal Forecasts'!I$64</f>
        <v>3.1629999999999998</v>
      </c>
      <c r="J306" s="43">
        <f ca="1">'Fiscal Forecasts'!J$64+IF(OFFSET(Assumptions!$B$56,0,$C$1)="Yes",Allocation!C$20,0)</f>
        <v>3.3180000000000001</v>
      </c>
      <c r="K306" s="43">
        <f ca="1">'Fiscal Forecasts'!K$64+IF(OFFSET(Assumptions!$B$56,0,$C$1)="Yes",Allocation!D$20,0)</f>
        <v>3.552</v>
      </c>
      <c r="L306" s="43">
        <f ca="1">'Fiscal Forecasts'!L$64+IF(OFFSET(Assumptions!$B$56,0,$C$1)="Yes",Allocation!E$20,0)</f>
        <v>3.5750000000000002</v>
      </c>
      <c r="M306" s="43">
        <f ca="1">'Fiscal Forecasts'!M$64+IF(OFFSET(Assumptions!$B$56,0,$C$1)="Yes",Allocation!F$20,0)</f>
        <v>3.593</v>
      </c>
      <c r="N306" s="43">
        <f ca="1">'Fiscal Forecasts'!N$64+IF(OFFSET(Assumptions!$B$56,0,$C$1)="Yes",Allocation!G$20,0)</f>
        <v>3.581</v>
      </c>
      <c r="O306" s="47">
        <f ca="1">N$306+IF(OFFSET(Assumptions!$B$57,0,$C$1)="Yes",Allocation!$B$20*O$247,IF(OFFSET(Assumptions!$B$58,0,$C$1)="Yes",(N$306/N$13+MIN(ABS($C$306-N$306/N$13),OFFSET(Assumptions!$B$60,0,$C$1))*SIGN($C$306-N$306/N$13))*O$13-N$306,0))</f>
        <v>3.581</v>
      </c>
      <c r="P306" s="47">
        <f ca="1">O$306+IF(OFFSET(Assumptions!$B$57,0,$C$1)="Yes",Allocation!$B$20*P$247,IF(OFFSET(Assumptions!$B$58,0,$C$1)="Yes",(O$306/O$13+MIN(ABS($C$306-O$306/O$13),OFFSET(Assumptions!$B$60,0,$C$1))*SIGN($C$306-O$306/O$13))*P$13-O$306,0))</f>
        <v>3.581</v>
      </c>
      <c r="Q306" s="47">
        <f ca="1">P$306+IF(OFFSET(Assumptions!$B$57,0,$C$1)="Yes",Allocation!$B$20*Q$247,IF(OFFSET(Assumptions!$B$58,0,$C$1)="Yes",(P$306/P$13+MIN(ABS($C$306-P$306/P$13),OFFSET(Assumptions!$B$60,0,$C$1))*SIGN($C$306-P$306/P$13))*Q$13-P$306,0))</f>
        <v>3.581</v>
      </c>
      <c r="R306" s="47">
        <f ca="1">Q$306+IF(OFFSET(Assumptions!$B$57,0,$C$1)="Yes",Allocation!$B$20*R$247,IF(OFFSET(Assumptions!$B$58,0,$C$1)="Yes",(Q$306/Q$13+MIN(ABS($C$306-Q$306/Q$13),OFFSET(Assumptions!$B$60,0,$C$1))*SIGN($C$306-Q$306/Q$13))*R$13-Q$306,0))</f>
        <v>3.581</v>
      </c>
      <c r="S306" s="47">
        <f ca="1">R$306+IF(OFFSET(Assumptions!$B$57,0,$C$1)="Yes",Allocation!$B$20*S$247,IF(OFFSET(Assumptions!$B$58,0,$C$1)="Yes",(R$306/R$13+MIN(ABS($C$306-R$306/R$13),OFFSET(Assumptions!$B$60,0,$C$1))*SIGN($C$306-R$306/R$13))*S$13-R$306,0))</f>
        <v>3.581</v>
      </c>
      <c r="T306" s="47">
        <f ca="1">S$306+IF(OFFSET(Assumptions!$B$57,0,$C$1)="Yes",Allocation!$B$20*T$247,IF(OFFSET(Assumptions!$B$58,0,$C$1)="Yes",(S$306/S$13+MIN(ABS($C$306-S$306/S$13),OFFSET(Assumptions!$B$60,0,$C$1))*SIGN($C$306-S$306/S$13))*T$13-S$306,0))</f>
        <v>3.581</v>
      </c>
      <c r="U306" s="47">
        <f ca="1">T$306+IF(OFFSET(Assumptions!$B$57,0,$C$1)="Yes",Allocation!$B$20*U$247,IF(OFFSET(Assumptions!$B$58,0,$C$1)="Yes",(T$306/T$13+MIN(ABS($C$306-T$306/T$13),OFFSET(Assumptions!$B$60,0,$C$1))*SIGN($C$306-T$306/T$13))*U$13-T$306,0))</f>
        <v>3.581</v>
      </c>
      <c r="V306" s="47">
        <f ca="1">U$306+IF(OFFSET(Assumptions!$B$57,0,$C$1)="Yes",Allocation!$B$20*V$247,IF(OFFSET(Assumptions!$B$58,0,$C$1)="Yes",(U$306/U$13+MIN(ABS($C$306-U$306/U$13),OFFSET(Assumptions!$B$60,0,$C$1))*SIGN($C$306-U$306/U$13))*V$13-U$306,0))</f>
        <v>3.581</v>
      </c>
      <c r="W306" s="47">
        <f ca="1">V$306+IF(OFFSET(Assumptions!$B$57,0,$C$1)="Yes",Allocation!$B$20*W$247,IF(OFFSET(Assumptions!$B$58,0,$C$1)="Yes",(V$306/V$13+MIN(ABS($C$306-V$306/V$13),OFFSET(Assumptions!$B$60,0,$C$1))*SIGN($C$306-V$306/V$13))*W$13-V$306,0))</f>
        <v>3.581</v>
      </c>
      <c r="X306" s="47">
        <f ca="1">W$306+IF(OFFSET(Assumptions!$B$57,0,$C$1)="Yes",Allocation!$B$20*X$247,IF(OFFSET(Assumptions!$B$58,0,$C$1)="Yes",(W$306/W$13+MIN(ABS($C$306-W$306/W$13),OFFSET(Assumptions!$B$60,0,$C$1))*SIGN($C$306-W$306/W$13))*X$13-W$306,0))</f>
        <v>3.581</v>
      </c>
    </row>
    <row r="307" spans="1:24" x14ac:dyDescent="0.25">
      <c r="A307" s="9" t="s">
        <v>1003</v>
      </c>
      <c r="B307" s="10" t="str">
        <f>$B$38</f>
        <v>From Fiscal Forecasts</v>
      </c>
      <c r="D307" s="42">
        <f>'Fiscal Forecasts'!D$47</f>
        <v>2.39</v>
      </c>
      <c r="E307" s="42">
        <f>'Fiscal Forecasts'!E$47</f>
        <v>2.4820000000000002</v>
      </c>
      <c r="F307" s="42">
        <f>'Fiscal Forecasts'!F$47</f>
        <v>2.6480000000000001</v>
      </c>
      <c r="G307" s="42">
        <f>'Fiscal Forecasts'!G$47</f>
        <v>2.8029999999999999</v>
      </c>
      <c r="H307" s="42">
        <f>'Fiscal Forecasts'!H$47</f>
        <v>2.8380000000000001</v>
      </c>
      <c r="I307" s="42">
        <f>'Fiscal Forecasts'!I$47</f>
        <v>3.125</v>
      </c>
      <c r="J307" s="43">
        <f ca="1">'Fiscal Forecasts'!J$47+IF(OFFSET(Assumptions!$B$56,0,$C$1)="Yes",Allocation!C$20,0)</f>
        <v>3.2730000000000001</v>
      </c>
      <c r="K307" s="43">
        <f ca="1">'Fiscal Forecasts'!K$47+IF(OFFSET(Assumptions!$B$56,0,$C$1)="Yes",Allocation!D$20,0)</f>
        <v>3.5070000000000001</v>
      </c>
      <c r="L307" s="43">
        <f ca="1">'Fiscal Forecasts'!L$47+IF(OFFSET(Assumptions!$B$56,0,$C$1)="Yes",Allocation!E$20,0)</f>
        <v>3.5289999999999999</v>
      </c>
      <c r="M307" s="43">
        <f ca="1">'Fiscal Forecasts'!M$47+IF(OFFSET(Assumptions!$B$56,0,$C$1)="Yes",Allocation!F$20,0)</f>
        <v>3.5470000000000002</v>
      </c>
      <c r="N307" s="43">
        <f ca="1">'Fiscal Forecasts'!N$47+IF(OFFSET(Assumptions!$B$56,0,$C$1)="Yes",Allocation!G$20,0)</f>
        <v>3.5350000000000001</v>
      </c>
      <c r="O307" s="47">
        <f t="shared" ref="O307:X307" ca="1" si="195">O$306</f>
        <v>3.581</v>
      </c>
      <c r="P307" s="47">
        <f t="shared" ca="1" si="195"/>
        <v>3.581</v>
      </c>
      <c r="Q307" s="47">
        <f t="shared" ca="1" si="195"/>
        <v>3.581</v>
      </c>
      <c r="R307" s="47">
        <f t="shared" ca="1" si="195"/>
        <v>3.581</v>
      </c>
      <c r="S307" s="47">
        <f t="shared" ca="1" si="195"/>
        <v>3.581</v>
      </c>
      <c r="T307" s="47">
        <f t="shared" ca="1" si="195"/>
        <v>3.581</v>
      </c>
      <c r="U307" s="47">
        <f t="shared" ca="1" si="195"/>
        <v>3.581</v>
      </c>
      <c r="V307" s="47">
        <f t="shared" ca="1" si="195"/>
        <v>3.581</v>
      </c>
      <c r="W307" s="47">
        <f t="shared" ca="1" si="195"/>
        <v>3.581</v>
      </c>
      <c r="X307" s="47">
        <f t="shared" ca="1" si="195"/>
        <v>3.581</v>
      </c>
    </row>
    <row r="309" spans="1:24" x14ac:dyDescent="0.25">
      <c r="A309" s="9" t="s">
        <v>1004</v>
      </c>
    </row>
    <row r="310" spans="1:24" x14ac:dyDescent="0.25">
      <c r="A310" s="9" t="s">
        <v>1005</v>
      </c>
      <c r="B310" s="10" t="str">
        <f>$B$38</f>
        <v>From Fiscal Forecasts</v>
      </c>
      <c r="C310" s="64" cm="1">
        <f t="array" aca="1" ref="C310" ca="1">SUMPRODUCT(OFFSET($N$310,0,0,1,-OFFSET(Assumptions!$B$59,0,$C$1))/OFFSET($N$13,0,0,1,-OFFSET(Assumptions!$B$59,0,$C$1)))/OFFSET(Assumptions!$B$59,0,$C$1)</f>
        <v>3.3492653657043181E-3</v>
      </c>
      <c r="D310" s="42">
        <f>'Fiscal Forecasts'!D$65</f>
        <v>0.91800000000000004</v>
      </c>
      <c r="E310" s="42">
        <f>'Fiscal Forecasts'!E$65</f>
        <v>1.1060000000000001</v>
      </c>
      <c r="F310" s="42">
        <f>'Fiscal Forecasts'!F$65</f>
        <v>1.42</v>
      </c>
      <c r="G310" s="42">
        <f>'Fiscal Forecasts'!G$65</f>
        <v>1.468</v>
      </c>
      <c r="H310" s="42">
        <f>'Fiscal Forecasts'!H$65</f>
        <v>1.5369999999999999</v>
      </c>
      <c r="I310" s="42">
        <f>'Fiscal Forecasts'!I$65</f>
        <v>1.504</v>
      </c>
      <c r="J310" s="43">
        <f ca="1">'Fiscal Forecasts'!J$65+IF(OFFSET(Assumptions!$B$56,0,$C$1)="Yes",Allocation!C$21,0)</f>
        <v>1.4570000000000001</v>
      </c>
      <c r="K310" s="43">
        <f ca="1">'Fiscal Forecasts'!K$65+IF(OFFSET(Assumptions!$B$56,0,$C$1)="Yes",Allocation!D$21,0)</f>
        <v>1.4159999999999999</v>
      </c>
      <c r="L310" s="43">
        <f ca="1">'Fiscal Forecasts'!L$65+IF(OFFSET(Assumptions!$B$56,0,$C$1)="Yes",Allocation!E$21,0)</f>
        <v>1.36</v>
      </c>
      <c r="M310" s="43">
        <f ca="1">'Fiscal Forecasts'!M$65+IF(OFFSET(Assumptions!$B$56,0,$C$1)="Yes",Allocation!F$21,0)</f>
        <v>1.3360000000000001</v>
      </c>
      <c r="N310" s="43">
        <f ca="1">'Fiscal Forecasts'!N$65+IF(OFFSET(Assumptions!$B$56,0,$C$1)="Yes",Allocation!G$21,0)</f>
        <v>1.3069999999999999</v>
      </c>
      <c r="O310" s="47">
        <f ca="1">N$310+IF(OFFSET(Assumptions!$B$57,0,$C$1)="Yes",Allocation!$B$21*O$247,IF(OFFSET(Assumptions!$B$58,0,$C$1)="Yes",(N$310/N$13+MIN(ABS($C$310-N$310/N$13),OFFSET(Assumptions!$B$60,0,$C$1))*SIGN($C$310-N$310/N$13))*O$13-N$310,0))</f>
        <v>1.3069999999999999</v>
      </c>
      <c r="P310" s="47">
        <f ca="1">O$310+IF(OFFSET(Assumptions!$B$57,0,$C$1)="Yes",Allocation!$B$21*P$247,IF(OFFSET(Assumptions!$B$58,0,$C$1)="Yes",(O$310/O$13+MIN(ABS($C$310-O$310/O$13),OFFSET(Assumptions!$B$60,0,$C$1))*SIGN($C$310-O$310/O$13))*P$13-O$310,0))</f>
        <v>1.3069999999999999</v>
      </c>
      <c r="Q310" s="47">
        <f ca="1">P$310+IF(OFFSET(Assumptions!$B$57,0,$C$1)="Yes",Allocation!$B$21*Q$247,IF(OFFSET(Assumptions!$B$58,0,$C$1)="Yes",(P$310/P$13+MIN(ABS($C$310-P$310/P$13),OFFSET(Assumptions!$B$60,0,$C$1))*SIGN($C$310-P$310/P$13))*Q$13-P$310,0))</f>
        <v>1.3069999999999999</v>
      </c>
      <c r="R310" s="47">
        <f ca="1">Q$310+IF(OFFSET(Assumptions!$B$57,0,$C$1)="Yes",Allocation!$B$21*R$247,IF(OFFSET(Assumptions!$B$58,0,$C$1)="Yes",(Q$310/Q$13+MIN(ABS($C$310-Q$310/Q$13),OFFSET(Assumptions!$B$60,0,$C$1))*SIGN($C$310-Q$310/Q$13))*R$13-Q$310,0))</f>
        <v>1.3069999999999999</v>
      </c>
      <c r="S310" s="47">
        <f ca="1">R$310+IF(OFFSET(Assumptions!$B$57,0,$C$1)="Yes",Allocation!$B$21*S$247,IF(OFFSET(Assumptions!$B$58,0,$C$1)="Yes",(R$310/R$13+MIN(ABS($C$310-R$310/R$13),OFFSET(Assumptions!$B$60,0,$C$1))*SIGN($C$310-R$310/R$13))*S$13-R$310,0))</f>
        <v>1.3069999999999999</v>
      </c>
      <c r="T310" s="47">
        <f ca="1">S$310+IF(OFFSET(Assumptions!$B$57,0,$C$1)="Yes",Allocation!$B$21*T$247,IF(OFFSET(Assumptions!$B$58,0,$C$1)="Yes",(S$310/S$13+MIN(ABS($C$310-S$310/S$13),OFFSET(Assumptions!$B$60,0,$C$1))*SIGN($C$310-S$310/S$13))*T$13-S$310,0))</f>
        <v>1.3069999999999999</v>
      </c>
      <c r="U310" s="47">
        <f ca="1">T$310+IF(OFFSET(Assumptions!$B$57,0,$C$1)="Yes",Allocation!$B$21*U$247,IF(OFFSET(Assumptions!$B$58,0,$C$1)="Yes",(T$310/T$13+MIN(ABS($C$310-T$310/T$13),OFFSET(Assumptions!$B$60,0,$C$1))*SIGN($C$310-T$310/T$13))*U$13-T$310,0))</f>
        <v>1.3069999999999999</v>
      </c>
      <c r="V310" s="47">
        <f ca="1">U$310+IF(OFFSET(Assumptions!$B$57,0,$C$1)="Yes",Allocation!$B$21*V$247,IF(OFFSET(Assumptions!$B$58,0,$C$1)="Yes",(U$310/U$13+MIN(ABS($C$310-U$310/U$13),OFFSET(Assumptions!$B$60,0,$C$1))*SIGN($C$310-U$310/U$13))*V$13-U$310,0))</f>
        <v>1.3069999999999999</v>
      </c>
      <c r="W310" s="47">
        <f ca="1">V$310+IF(OFFSET(Assumptions!$B$57,0,$C$1)="Yes",Allocation!$B$21*W$247,IF(OFFSET(Assumptions!$B$58,0,$C$1)="Yes",(V$310/V$13+MIN(ABS($C$310-V$310/V$13),OFFSET(Assumptions!$B$60,0,$C$1))*SIGN($C$310-V$310/V$13))*W$13-V$310,0))</f>
        <v>1.3069999999999999</v>
      </c>
      <c r="X310" s="47">
        <f ca="1">W$310+IF(OFFSET(Assumptions!$B$57,0,$C$1)="Yes",Allocation!$B$21*X$247,IF(OFFSET(Assumptions!$B$58,0,$C$1)="Yes",(W$310/W$13+MIN(ABS($C$310-W$310/W$13),OFFSET(Assumptions!$B$60,0,$C$1))*SIGN($C$310-W$310/W$13))*X$13-W$310,0))</f>
        <v>1.3069999999999999</v>
      </c>
    </row>
    <row r="311" spans="1:24" x14ac:dyDescent="0.25">
      <c r="A311" s="9" t="s">
        <v>1006</v>
      </c>
      <c r="B311" s="10" t="str">
        <f>$B$38</f>
        <v>From Fiscal Forecasts</v>
      </c>
      <c r="D311" s="42">
        <f>'Fiscal Forecasts'!D$48</f>
        <v>2.5030000000000001</v>
      </c>
      <c r="E311" s="42">
        <f>'Fiscal Forecasts'!E$48</f>
        <v>2.9039999999999999</v>
      </c>
      <c r="F311" s="42">
        <f>'Fiscal Forecasts'!F$48</f>
        <v>3.0230000000000001</v>
      </c>
      <c r="G311" s="42">
        <f>'Fiscal Forecasts'!G$48</f>
        <v>3.26</v>
      </c>
      <c r="H311" s="42">
        <f>'Fiscal Forecasts'!H$48</f>
        <v>3.4169999999999998</v>
      </c>
      <c r="I311" s="42">
        <f>'Fiscal Forecasts'!I$48</f>
        <v>3.6080000000000001</v>
      </c>
      <c r="J311" s="43">
        <f ca="1">'Fiscal Forecasts'!J$48+IF(OFFSET(Assumptions!$B$56,0,$C$1)="Yes",Allocation!C$21,0)</f>
        <v>3.2730000000000001</v>
      </c>
      <c r="K311" s="43">
        <f ca="1">'Fiscal Forecasts'!K$48+IF(OFFSET(Assumptions!$B$56,0,$C$1)="Yes",Allocation!D$21,0)</f>
        <v>3.3679999999999999</v>
      </c>
      <c r="L311" s="43">
        <f ca="1">'Fiscal Forecasts'!L$48+IF(OFFSET(Assumptions!$B$56,0,$C$1)="Yes",Allocation!E$21,0)</f>
        <v>3.4129999999999998</v>
      </c>
      <c r="M311" s="43">
        <f ca="1">'Fiscal Forecasts'!M$48+IF(OFFSET(Assumptions!$B$56,0,$C$1)="Yes",Allocation!F$21,0)</f>
        <v>3.4409999999999998</v>
      </c>
      <c r="N311" s="43">
        <f ca="1">'Fiscal Forecasts'!N$48+IF(OFFSET(Assumptions!$B$56,0,$C$1)="Yes",Allocation!G$21,0)</f>
        <v>3.4740000000000002</v>
      </c>
      <c r="O311" s="47">
        <f t="shared" ref="O311:X311" ca="1" si="196">O$310+(N$311-N$310)*(1+O$29)</f>
        <v>3.5173400000000004</v>
      </c>
      <c r="P311" s="47">
        <f t="shared" ca="1" si="196"/>
        <v>3.5615468000000003</v>
      </c>
      <c r="Q311" s="47">
        <f t="shared" ca="1" si="196"/>
        <v>3.6066377360000006</v>
      </c>
      <c r="R311" s="47">
        <f t="shared" ca="1" si="196"/>
        <v>3.6526304907200005</v>
      </c>
      <c r="S311" s="47">
        <f t="shared" ca="1" si="196"/>
        <v>3.6995431005344006</v>
      </c>
      <c r="T311" s="47">
        <f t="shared" ca="1" si="196"/>
        <v>3.7473939625450887</v>
      </c>
      <c r="U311" s="47">
        <f t="shared" ca="1" si="196"/>
        <v>3.7962018417959906</v>
      </c>
      <c r="V311" s="47">
        <f t="shared" ca="1" si="196"/>
        <v>3.8459858786319105</v>
      </c>
      <c r="W311" s="47">
        <f t="shared" ca="1" si="196"/>
        <v>3.8967655962045487</v>
      </c>
      <c r="X311" s="47">
        <f t="shared" ca="1" si="196"/>
        <v>3.9485609081286395</v>
      </c>
    </row>
    <row r="313" spans="1:24" x14ac:dyDescent="0.25">
      <c r="A313" s="9" t="s">
        <v>1009</v>
      </c>
    </row>
    <row r="314" spans="1:24" x14ac:dyDescent="0.25">
      <c r="A314" s="9" t="s">
        <v>1007</v>
      </c>
      <c r="B314" s="10" t="str">
        <f>$B$38</f>
        <v>From Fiscal Forecasts</v>
      </c>
      <c r="C314" s="64" cm="1">
        <f t="array" aca="1" ref="C314" ca="1">SUMPRODUCT(OFFSET($N$314,0,0,1,-OFFSET(Assumptions!$B$59,0,$C$1))/OFFSET($N$13,0,0,1,-OFFSET(Assumptions!$B$59,0,$C$1)))/OFFSET(Assumptions!$B$59,0,$C$1)</f>
        <v>2.494172651555646E-3</v>
      </c>
      <c r="D314" s="42">
        <f>'Fiscal Forecasts'!D$66</f>
        <v>0.96</v>
      </c>
      <c r="E314" s="42">
        <f>'Fiscal Forecasts'!E$66</f>
        <v>0.96099999999999997</v>
      </c>
      <c r="F314" s="42">
        <f>'Fiscal Forecasts'!F$66</f>
        <v>1.0149999999999999</v>
      </c>
      <c r="G314" s="42">
        <f>'Fiscal Forecasts'!G$66</f>
        <v>0.94899999999999995</v>
      </c>
      <c r="H314" s="42">
        <f>'Fiscal Forecasts'!H$66</f>
        <v>1.1559999999999999</v>
      </c>
      <c r="I314" s="42">
        <f>'Fiscal Forecasts'!I$66</f>
        <v>1.0620000000000001</v>
      </c>
      <c r="J314" s="43">
        <f ca="1">'Fiscal Forecasts'!J$66+IF(OFFSET(Assumptions!$B$56,0,$C$1)="Yes",Allocation!C$22,0)</f>
        <v>1.2569999999999999</v>
      </c>
      <c r="K314" s="43">
        <f ca="1">'Fiscal Forecasts'!K$66+IF(OFFSET(Assumptions!$B$56,0,$C$1)="Yes",Allocation!D$22,0)</f>
        <v>1.0449999999999999</v>
      </c>
      <c r="L314" s="43">
        <f ca="1">'Fiscal Forecasts'!L$66+IF(OFFSET(Assumptions!$B$56,0,$C$1)="Yes",Allocation!E$22,0)</f>
        <v>0.97799999999999998</v>
      </c>
      <c r="M314" s="43">
        <f ca="1">'Fiscal Forecasts'!M$66+IF(OFFSET(Assumptions!$B$56,0,$C$1)="Yes",Allocation!F$22,0)</f>
        <v>0.95899999999999996</v>
      </c>
      <c r="N314" s="43">
        <f ca="1">'Fiscal Forecasts'!N$66+IF(OFFSET(Assumptions!$B$56,0,$C$1)="Yes",Allocation!G$22,0)</f>
        <v>0.95499999999999996</v>
      </c>
      <c r="O314" s="47">
        <f ca="1">N$314+IF(OFFSET(Assumptions!$B$57,0,$C$1)="Yes",Allocation!$B$22*O$247,IF(OFFSET(Assumptions!$B$58,0,$C$1)="Yes",(N$314/N$13+MIN(ABS($C$314-N$314/N$13),OFFSET(Assumptions!$B$60,0,$C$1))*SIGN($C$314-N$314/N$13))*O$13-N$314,0))</f>
        <v>0.95499999999999996</v>
      </c>
      <c r="P314" s="47">
        <f ca="1">O$314+IF(OFFSET(Assumptions!$B$57,0,$C$1)="Yes",Allocation!$B$22*P$247,IF(OFFSET(Assumptions!$B$58,0,$C$1)="Yes",(O$314/O$13+MIN(ABS($C$314-O$314/O$13),OFFSET(Assumptions!$B$60,0,$C$1))*SIGN($C$314-O$314/O$13))*P$13-O$314,0))</f>
        <v>0.95499999999999996</v>
      </c>
      <c r="Q314" s="47">
        <f ca="1">P$314+IF(OFFSET(Assumptions!$B$57,0,$C$1)="Yes",Allocation!$B$22*Q$247,IF(OFFSET(Assumptions!$B$58,0,$C$1)="Yes",(P$314/P$13+MIN(ABS($C$314-P$314/P$13),OFFSET(Assumptions!$B$60,0,$C$1))*SIGN($C$314-P$314/P$13))*Q$13-P$314,0))</f>
        <v>0.95499999999999996</v>
      </c>
      <c r="R314" s="47">
        <f ca="1">Q$314+IF(OFFSET(Assumptions!$B$57,0,$C$1)="Yes",Allocation!$B$22*R$247,IF(OFFSET(Assumptions!$B$58,0,$C$1)="Yes",(Q$314/Q$13+MIN(ABS($C$314-Q$314/Q$13),OFFSET(Assumptions!$B$60,0,$C$1))*SIGN($C$314-Q$314/Q$13))*R$13-Q$314,0))</f>
        <v>0.95499999999999996</v>
      </c>
      <c r="S314" s="47">
        <f ca="1">R$314+IF(OFFSET(Assumptions!$B$57,0,$C$1)="Yes",Allocation!$B$22*S$247,IF(OFFSET(Assumptions!$B$58,0,$C$1)="Yes",(R$314/R$13+MIN(ABS($C$314-R$314/R$13),OFFSET(Assumptions!$B$60,0,$C$1))*SIGN($C$314-R$314/R$13))*S$13-R$314,0))</f>
        <v>0.95499999999999996</v>
      </c>
      <c r="T314" s="47">
        <f ca="1">S$314+IF(OFFSET(Assumptions!$B$57,0,$C$1)="Yes",Allocation!$B$22*T$247,IF(OFFSET(Assumptions!$B$58,0,$C$1)="Yes",(S$314/S$13+MIN(ABS($C$314-S$314/S$13),OFFSET(Assumptions!$B$60,0,$C$1))*SIGN($C$314-S$314/S$13))*T$13-S$314,0))</f>
        <v>0.95499999999999996</v>
      </c>
      <c r="U314" s="47">
        <f ca="1">T$314+IF(OFFSET(Assumptions!$B$57,0,$C$1)="Yes",Allocation!$B$22*U$247,IF(OFFSET(Assumptions!$B$58,0,$C$1)="Yes",(T$314/T$13+MIN(ABS($C$314-T$314/T$13),OFFSET(Assumptions!$B$60,0,$C$1))*SIGN($C$314-T$314/T$13))*U$13-T$314,0))</f>
        <v>0.95499999999999996</v>
      </c>
      <c r="V314" s="47">
        <f ca="1">U$314+IF(OFFSET(Assumptions!$B$57,0,$C$1)="Yes",Allocation!$B$22*V$247,IF(OFFSET(Assumptions!$B$58,0,$C$1)="Yes",(U$314/U$13+MIN(ABS($C$314-U$314/U$13),OFFSET(Assumptions!$B$60,0,$C$1))*SIGN($C$314-U$314/U$13))*V$13-U$314,0))</f>
        <v>0.95499999999999996</v>
      </c>
      <c r="W314" s="47">
        <f ca="1">V$314+IF(OFFSET(Assumptions!$B$57,0,$C$1)="Yes",Allocation!$B$22*W$247,IF(OFFSET(Assumptions!$B$58,0,$C$1)="Yes",(V$314/V$13+MIN(ABS($C$314-V$314/V$13),OFFSET(Assumptions!$B$60,0,$C$1))*SIGN($C$314-V$314/V$13))*W$13-V$314,0))</f>
        <v>0.95499999999999996</v>
      </c>
      <c r="X314" s="47">
        <f ca="1">W$314+IF(OFFSET(Assumptions!$B$57,0,$C$1)="Yes",Allocation!$B$22*X$247,IF(OFFSET(Assumptions!$B$58,0,$C$1)="Yes",(W$314/W$13+MIN(ABS($C$314-W$314/W$13),OFFSET(Assumptions!$B$60,0,$C$1))*SIGN($C$314-W$314/W$13))*X$13-W$314,0))</f>
        <v>0.95499999999999996</v>
      </c>
    </row>
    <row r="315" spans="1:24" x14ac:dyDescent="0.25">
      <c r="A315" s="9" t="s">
        <v>1008</v>
      </c>
      <c r="B315" s="10" t="str">
        <f>$B$38</f>
        <v>From Fiscal Forecasts</v>
      </c>
      <c r="D315" s="42">
        <f>'Fiscal Forecasts'!D$49</f>
        <v>2.395</v>
      </c>
      <c r="E315" s="42">
        <f>'Fiscal Forecasts'!E$49</f>
        <v>2.4300000000000002</v>
      </c>
      <c r="F315" s="42">
        <f>'Fiscal Forecasts'!F$49</f>
        <v>2.3980000000000001</v>
      </c>
      <c r="G315" s="42">
        <f>'Fiscal Forecasts'!G$49</f>
        <v>2.302</v>
      </c>
      <c r="H315" s="42">
        <f>'Fiscal Forecasts'!H$49</f>
        <v>2.74</v>
      </c>
      <c r="I315" s="42">
        <f>'Fiscal Forecasts'!I$49</f>
        <v>2.6360000000000001</v>
      </c>
      <c r="J315" s="43">
        <f ca="1">'Fiscal Forecasts'!J$49+IF(OFFSET(Assumptions!$B$56,0,$C$1)="Yes",Allocation!C$22,0)</f>
        <v>2.8730000000000002</v>
      </c>
      <c r="K315" s="43">
        <f ca="1">'Fiscal Forecasts'!K$49+IF(OFFSET(Assumptions!$B$56,0,$C$1)="Yes",Allocation!D$22,0)</f>
        <v>2.5169999999999999</v>
      </c>
      <c r="L315" s="43">
        <f ca="1">'Fiscal Forecasts'!L$49+IF(OFFSET(Assumptions!$B$56,0,$C$1)="Yes",Allocation!E$22,0)</f>
        <v>2.4580000000000002</v>
      </c>
      <c r="M315" s="43">
        <f ca="1">'Fiscal Forecasts'!M$49+IF(OFFSET(Assumptions!$B$56,0,$C$1)="Yes",Allocation!F$22,0)</f>
        <v>2.4089999999999998</v>
      </c>
      <c r="N315" s="43">
        <f ca="1">'Fiscal Forecasts'!N$49+IF(OFFSET(Assumptions!$B$56,0,$C$1)="Yes",Allocation!G$22,0)</f>
        <v>2.3610000000000002</v>
      </c>
      <c r="O315" s="47">
        <f t="shared" ref="O315:X315" ca="1" si="197">O$314+(N$315-N$314)*(1+O$29)</f>
        <v>2.3891200000000001</v>
      </c>
      <c r="P315" s="47">
        <f t="shared" ca="1" si="197"/>
        <v>2.4178024000000002</v>
      </c>
      <c r="Q315" s="47">
        <f t="shared" ca="1" si="197"/>
        <v>2.4470584479999999</v>
      </c>
      <c r="R315" s="47">
        <f t="shared" ca="1" si="197"/>
        <v>2.4768996169599999</v>
      </c>
      <c r="S315" s="47">
        <f t="shared" ca="1" si="197"/>
        <v>2.5073376092991997</v>
      </c>
      <c r="T315" s="47">
        <f t="shared" ca="1" si="197"/>
        <v>2.5383843614851838</v>
      </c>
      <c r="U315" s="47">
        <f t="shared" ca="1" si="197"/>
        <v>2.5700520487148872</v>
      </c>
      <c r="V315" s="47">
        <f t="shared" ca="1" si="197"/>
        <v>2.6023530896891849</v>
      </c>
      <c r="W315" s="47">
        <f t="shared" ca="1" si="197"/>
        <v>2.6353001514829684</v>
      </c>
      <c r="X315" s="47">
        <f t="shared" ca="1" si="197"/>
        <v>2.6689061545126278</v>
      </c>
    </row>
    <row r="317" spans="1:24" x14ac:dyDescent="0.25">
      <c r="A317" s="9" t="s">
        <v>1012</v>
      </c>
    </row>
    <row r="318" spans="1:24" x14ac:dyDescent="0.25">
      <c r="A318" s="9" t="s">
        <v>1010</v>
      </c>
      <c r="B318" s="10" t="str">
        <f>$B$38</f>
        <v>From Fiscal Forecasts</v>
      </c>
      <c r="C318" s="64" cm="1">
        <f t="array" aca="1" ref="C318" ca="1">SUMPRODUCT(OFFSET($N$318,0,0,1,-OFFSET(Assumptions!$B$59,0,$C$1))/OFFSET($N$13,0,0,1,-OFFSET(Assumptions!$B$59,0,$C$1)))/OFFSET(Assumptions!$B$59,0,$C$1)</f>
        <v>4.9008474675142502E-3</v>
      </c>
      <c r="D318" s="42">
        <f>'Fiscal Forecasts'!D$67</f>
        <v>0.72699999999999998</v>
      </c>
      <c r="E318" s="42">
        <f>'Fiscal Forecasts'!E$67</f>
        <v>1.0149999999999999</v>
      </c>
      <c r="F318" s="42">
        <f>'Fiscal Forecasts'!F$67</f>
        <v>1.8129999999999999</v>
      </c>
      <c r="G318" s="42">
        <f>'Fiscal Forecasts'!G$67</f>
        <v>2.0329999999999999</v>
      </c>
      <c r="H318" s="42">
        <f>'Fiscal Forecasts'!H$67</f>
        <v>2.3119999999999998</v>
      </c>
      <c r="I318" s="42">
        <f>'Fiscal Forecasts'!I$67</f>
        <v>2.512</v>
      </c>
      <c r="J318" s="43">
        <f ca="1">'Fiscal Forecasts'!J$67+IF(OFFSET(Assumptions!$B$56,0,$C$1)="Yes",Allocation!C$23,0)</f>
        <v>2.411</v>
      </c>
      <c r="K318" s="43">
        <f ca="1">'Fiscal Forecasts'!K$67+IF(OFFSET(Assumptions!$B$56,0,$C$1)="Yes",Allocation!D$23,0)</f>
        <v>2.3959999999999999</v>
      </c>
      <c r="L318" s="43">
        <f ca="1">'Fiscal Forecasts'!L$67+IF(OFFSET(Assumptions!$B$56,0,$C$1)="Yes",Allocation!E$23,0)</f>
        <v>2.2610000000000001</v>
      </c>
      <c r="M318" s="43">
        <f ca="1">'Fiscal Forecasts'!M$67+IF(OFFSET(Assumptions!$B$56,0,$C$1)="Yes",Allocation!F$23,0)</f>
        <v>1.927</v>
      </c>
      <c r="N318" s="43">
        <f ca="1">'Fiscal Forecasts'!N$67+IF(OFFSET(Assumptions!$B$56,0,$C$1)="Yes",Allocation!G$23,0)</f>
        <v>2.0310000000000001</v>
      </c>
      <c r="O318" s="47">
        <f ca="1">N$318+IF(OFFSET(Assumptions!$B$57,0,$C$1)="Yes",Allocation!$B$23*O$247,IF(OFFSET(Assumptions!$B$58,0,$C$1)="Yes",(N$318/N$13+MIN(ABS($C$318-N$318/N$13),OFFSET(Assumptions!$B$60,0,$C$1))*SIGN($C$318-N$318/N$13))*O$13-N$318,0))</f>
        <v>2.0310000000000001</v>
      </c>
      <c r="P318" s="47">
        <f ca="1">O$318+IF(OFFSET(Assumptions!$B$57,0,$C$1)="Yes",Allocation!$B$23*P$247,IF(OFFSET(Assumptions!$B$58,0,$C$1)="Yes",(O$318/O$13+MIN(ABS($C$318-O$318/O$13),OFFSET(Assumptions!$B$60,0,$C$1))*SIGN($C$318-O$318/O$13))*P$13-O$318,0))</f>
        <v>2.0310000000000001</v>
      </c>
      <c r="Q318" s="47">
        <f ca="1">P$318+IF(OFFSET(Assumptions!$B$57,0,$C$1)="Yes",Allocation!$B$23*Q$247,IF(OFFSET(Assumptions!$B$58,0,$C$1)="Yes",(P$318/P$13+MIN(ABS($C$318-P$318/P$13),OFFSET(Assumptions!$B$60,0,$C$1))*SIGN($C$318-P$318/P$13))*Q$13-P$318,0))</f>
        <v>2.0310000000000001</v>
      </c>
      <c r="R318" s="47">
        <f ca="1">Q$318+IF(OFFSET(Assumptions!$B$57,0,$C$1)="Yes",Allocation!$B$23*R$247,IF(OFFSET(Assumptions!$B$58,0,$C$1)="Yes",(Q$318/Q$13+MIN(ABS($C$318-Q$318/Q$13),OFFSET(Assumptions!$B$60,0,$C$1))*SIGN($C$318-Q$318/Q$13))*R$13-Q$318,0))</f>
        <v>2.0310000000000001</v>
      </c>
      <c r="S318" s="47">
        <f ca="1">R$318+IF(OFFSET(Assumptions!$B$57,0,$C$1)="Yes",Allocation!$B$23*S$247,IF(OFFSET(Assumptions!$B$58,0,$C$1)="Yes",(R$318/R$13+MIN(ABS($C$318-R$318/R$13),OFFSET(Assumptions!$B$60,0,$C$1))*SIGN($C$318-R$318/R$13))*S$13-R$318,0))</f>
        <v>2.0310000000000001</v>
      </c>
      <c r="T318" s="47">
        <f ca="1">S$318+IF(OFFSET(Assumptions!$B$57,0,$C$1)="Yes",Allocation!$B$23*T$247,IF(OFFSET(Assumptions!$B$58,0,$C$1)="Yes",(S$318/S$13+MIN(ABS($C$318-S$318/S$13),OFFSET(Assumptions!$B$60,0,$C$1))*SIGN($C$318-S$318/S$13))*T$13-S$318,0))</f>
        <v>2.0310000000000001</v>
      </c>
      <c r="U318" s="47">
        <f ca="1">T$318+IF(OFFSET(Assumptions!$B$57,0,$C$1)="Yes",Allocation!$B$23*U$247,IF(OFFSET(Assumptions!$B$58,0,$C$1)="Yes",(T$318/T$13+MIN(ABS($C$318-T$318/T$13),OFFSET(Assumptions!$B$60,0,$C$1))*SIGN($C$318-T$318/T$13))*U$13-T$318,0))</f>
        <v>2.0310000000000001</v>
      </c>
      <c r="V318" s="47">
        <f ca="1">U$318+IF(OFFSET(Assumptions!$B$57,0,$C$1)="Yes",Allocation!$B$23*V$247,IF(OFFSET(Assumptions!$B$58,0,$C$1)="Yes",(U$318/U$13+MIN(ABS($C$318-U$318/U$13),OFFSET(Assumptions!$B$60,0,$C$1))*SIGN($C$318-U$318/U$13))*V$13-U$318,0))</f>
        <v>2.0310000000000001</v>
      </c>
      <c r="W318" s="47">
        <f ca="1">V$318+IF(OFFSET(Assumptions!$B$57,0,$C$1)="Yes",Allocation!$B$23*W$247,IF(OFFSET(Assumptions!$B$58,0,$C$1)="Yes",(V$318/V$13+MIN(ABS($C$318-V$318/V$13),OFFSET(Assumptions!$B$60,0,$C$1))*SIGN($C$318-V$318/V$13))*W$13-V$318,0))</f>
        <v>2.0310000000000001</v>
      </c>
      <c r="X318" s="47">
        <f ca="1">W$318+IF(OFFSET(Assumptions!$B$57,0,$C$1)="Yes",Allocation!$B$23*X$247,IF(OFFSET(Assumptions!$B$58,0,$C$1)="Yes",(W$318/W$13+MIN(ABS($C$318-W$318/W$13),OFFSET(Assumptions!$B$60,0,$C$1))*SIGN($C$318-W$318/W$13))*X$13-W$318,0))</f>
        <v>2.0310000000000001</v>
      </c>
    </row>
    <row r="319" spans="1:24" x14ac:dyDescent="0.25">
      <c r="A319" s="9" t="s">
        <v>1011</v>
      </c>
      <c r="B319" s="10" t="str">
        <f>$B$38</f>
        <v>From Fiscal Forecasts</v>
      </c>
      <c r="D319" s="42">
        <f>'Fiscal Forecasts'!D$50</f>
        <v>2.02</v>
      </c>
      <c r="E319" s="42">
        <f>'Fiscal Forecasts'!E$50</f>
        <v>2.3929999999999998</v>
      </c>
      <c r="F319" s="42">
        <f>'Fiscal Forecasts'!F$50</f>
        <v>3.351</v>
      </c>
      <c r="G319" s="42">
        <f>'Fiscal Forecasts'!G$50</f>
        <v>3.9350000000000001</v>
      </c>
      <c r="H319" s="42">
        <f>'Fiscal Forecasts'!H$50</f>
        <v>4.3959999999999999</v>
      </c>
      <c r="I319" s="42">
        <f>'Fiscal Forecasts'!I$50</f>
        <v>4.7889999999999997</v>
      </c>
      <c r="J319" s="43">
        <f ca="1">'Fiscal Forecasts'!J$50+IF(OFFSET(Assumptions!$B$56,0,$C$1)="Yes",Allocation!C$23,0)</f>
        <v>4.8079999999999998</v>
      </c>
      <c r="K319" s="43">
        <f ca="1">'Fiscal Forecasts'!K$50+IF(OFFSET(Assumptions!$B$56,0,$C$1)="Yes",Allocation!D$23,0)</f>
        <v>4.7279999999999998</v>
      </c>
      <c r="L319" s="43">
        <f ca="1">'Fiscal Forecasts'!L$50+IF(OFFSET(Assumptions!$B$56,0,$C$1)="Yes",Allocation!E$23,0)</f>
        <v>4.7789999999999999</v>
      </c>
      <c r="M319" s="43">
        <f ca="1">'Fiscal Forecasts'!M$50+IF(OFFSET(Assumptions!$B$56,0,$C$1)="Yes",Allocation!F$23,0)</f>
        <v>4.4660000000000002</v>
      </c>
      <c r="N319" s="43">
        <f ca="1">'Fiscal Forecasts'!N$50+IF(OFFSET(Assumptions!$B$56,0,$C$1)="Yes",Allocation!G$23,0)</f>
        <v>4.4660000000000002</v>
      </c>
      <c r="O319" s="47">
        <f t="shared" ref="O319:X319" ca="1" si="198">O$318+(N$319-N$318)*(1+O$29)</f>
        <v>4.5147000000000004</v>
      </c>
      <c r="P319" s="47">
        <f t="shared" ca="1" si="198"/>
        <v>4.5643740000000008</v>
      </c>
      <c r="Q319" s="47">
        <f t="shared" ca="1" si="198"/>
        <v>4.6150414800000004</v>
      </c>
      <c r="R319" s="47">
        <f t="shared" ca="1" si="198"/>
        <v>4.6667223096000008</v>
      </c>
      <c r="S319" s="47">
        <f t="shared" ca="1" si="198"/>
        <v>4.7194367557920014</v>
      </c>
      <c r="T319" s="47">
        <f t="shared" ca="1" si="198"/>
        <v>4.7732054909078414</v>
      </c>
      <c r="U319" s="47">
        <f t="shared" ca="1" si="198"/>
        <v>4.8280496007259988</v>
      </c>
      <c r="V319" s="47">
        <f t="shared" ca="1" si="198"/>
        <v>4.8839905927405187</v>
      </c>
      <c r="W319" s="47">
        <f t="shared" ca="1" si="198"/>
        <v>4.9410504045953285</v>
      </c>
      <c r="X319" s="47">
        <f t="shared" ca="1" si="198"/>
        <v>4.9992514126872347</v>
      </c>
    </row>
    <row r="321" spans="1:24" x14ac:dyDescent="0.25">
      <c r="A321" s="9" t="s">
        <v>1014</v>
      </c>
    </row>
    <row r="322" spans="1:24" x14ac:dyDescent="0.25">
      <c r="A322" s="11" t="s">
        <v>1013</v>
      </c>
      <c r="B322" s="10" t="str">
        <f>$B$38</f>
        <v>From Fiscal Forecasts</v>
      </c>
      <c r="D322" s="35">
        <f>'Fiscal Forecasts'!D$376</f>
        <v>0.54300000000000004</v>
      </c>
      <c r="E322" s="35">
        <f>'Fiscal Forecasts'!E$376</f>
        <v>0.65</v>
      </c>
      <c r="F322" s="35">
        <f>'Fiscal Forecasts'!F$376</f>
        <v>1.853</v>
      </c>
      <c r="G322" s="35">
        <f>'Fiscal Forecasts'!G$376</f>
        <v>1.4890000000000001</v>
      </c>
      <c r="H322" s="35">
        <f>'Fiscal Forecasts'!H$376</f>
        <v>1.103</v>
      </c>
      <c r="I322" s="35">
        <f>'Fiscal Forecasts'!I$376</f>
        <v>0.83399999999999996</v>
      </c>
      <c r="J322" s="17">
        <f>'Fiscal Forecasts'!J$376</f>
        <v>1.194</v>
      </c>
      <c r="K322" s="17">
        <f>'Fiscal Forecasts'!K$376</f>
        <v>1.1739999999999999</v>
      </c>
      <c r="L322" s="17">
        <f>'Fiscal Forecasts'!L$376</f>
        <v>1.3680000000000001</v>
      </c>
      <c r="M322" s="17">
        <f>'Fiscal Forecasts'!M$376</f>
        <v>1.4219999999999999</v>
      </c>
      <c r="N322" s="17">
        <f>'Fiscal Forecasts'!N$376</f>
        <v>1.448</v>
      </c>
      <c r="O322" s="16">
        <f t="shared" ref="O322:X322" ca="1" si="199">N$322*(1+O$29)</f>
        <v>1.4769600000000001</v>
      </c>
      <c r="P322" s="16">
        <f t="shared" ca="1" si="199"/>
        <v>1.5064992000000001</v>
      </c>
      <c r="Q322" s="16">
        <f t="shared" ca="1" si="199"/>
        <v>1.5366291840000001</v>
      </c>
      <c r="R322" s="16">
        <f t="shared" ca="1" si="199"/>
        <v>1.5673617676800002</v>
      </c>
      <c r="S322" s="16">
        <f t="shared" ca="1" si="199"/>
        <v>1.5987090030336002</v>
      </c>
      <c r="T322" s="16">
        <f t="shared" ca="1" si="199"/>
        <v>1.6306831830942723</v>
      </c>
      <c r="U322" s="16">
        <f t="shared" ca="1" si="199"/>
        <v>1.6632968467561577</v>
      </c>
      <c r="V322" s="16">
        <f t="shared" ca="1" si="199"/>
        <v>1.6965627836912809</v>
      </c>
      <c r="W322" s="16">
        <f t="shared" ca="1" si="199"/>
        <v>1.7304940393651065</v>
      </c>
      <c r="X322" s="16">
        <f t="shared" ca="1" si="199"/>
        <v>1.7651039201524086</v>
      </c>
    </row>
    <row r="323" spans="1:24" x14ac:dyDescent="0.25">
      <c r="A323" s="11" t="s">
        <v>1015</v>
      </c>
      <c r="B323" s="10" t="str">
        <f>$B$38</f>
        <v>From Fiscal Forecasts</v>
      </c>
      <c r="C323" s="64" cm="1">
        <f t="array" aca="1" ref="C323" ca="1">SUMPRODUCT(OFFSET($N$323,0,0,1,-OFFSET(Assumptions!$B$59,0,$C$1))/OFFSET($N$13,0,0,1,-OFFSET(Assumptions!$B$59,0,$C$1)))/OFFSET(Assumptions!$B$59,0,$C$1)</f>
        <v>2.6129615871008914E-3</v>
      </c>
      <c r="D323" s="35">
        <f>'Fiscal Forecasts'!D$68-D$322</f>
        <v>0.57599999999999996</v>
      </c>
      <c r="E323" s="35">
        <f>'Fiscal Forecasts'!E$68-E$322</f>
        <v>0.83500000000000008</v>
      </c>
      <c r="F323" s="35">
        <f>'Fiscal Forecasts'!F$68-F$322</f>
        <v>5.2999999999999936E-2</v>
      </c>
      <c r="G323" s="35">
        <f>'Fiscal Forecasts'!G$68-G$322</f>
        <v>1.0599999999999998</v>
      </c>
      <c r="H323" s="35">
        <f>'Fiscal Forecasts'!H$68-H$322</f>
        <v>1.2779999999999998</v>
      </c>
      <c r="I323" s="35">
        <f>'Fiscal Forecasts'!I$68-I$322</f>
        <v>1.4630000000000001</v>
      </c>
      <c r="J323" s="17">
        <f ca="1">'Fiscal Forecasts'!J$68-J$322+IF(OFFSET(Assumptions!$B$56,0,$C$1)="Yes",Allocation!C$24,0)</f>
        <v>1.5169999999999999</v>
      </c>
      <c r="K323" s="17">
        <f ca="1">'Fiscal Forecasts'!K$68-K$322+IF(OFFSET(Assumptions!$B$56,0,$C$1)="Yes",Allocation!D$24,0)</f>
        <v>1.4410000000000003</v>
      </c>
      <c r="L323" s="17">
        <f ca="1">'Fiscal Forecasts'!L$68-L$322+IF(OFFSET(Assumptions!$B$56,0,$C$1)="Yes",Allocation!E$24,0)</f>
        <v>1.2529999999999999</v>
      </c>
      <c r="M323" s="17">
        <f ca="1">'Fiscal Forecasts'!M$68-M$322+IF(OFFSET(Assumptions!$B$56,0,$C$1)="Yes",Allocation!F$24,0)</f>
        <v>1.159</v>
      </c>
      <c r="N323" s="17">
        <f ca="1">'Fiscal Forecasts'!N$68-N$322+IF(OFFSET(Assumptions!$B$56,0,$C$1)="Yes",Allocation!G$24,0)</f>
        <v>1.157</v>
      </c>
      <c r="O323" s="16">
        <f ca="1">N$323+IF(OFFSET(Assumptions!$B$57,0,$C$1)="Yes",Allocation!$B$24*O$247,IF(OFFSET(Assumptions!$B$58,0,$C$1)="Yes",(N$323/N$13+MIN(ABS($C$323-N$323/N$13),OFFSET(Assumptions!$B$60,0,$C$1))*SIGN($C$323-N$323/N$13))*O$13-N$323,0))</f>
        <v>1.157</v>
      </c>
      <c r="P323" s="16">
        <f ca="1">O$323+IF(OFFSET(Assumptions!$B$57,0,$C$1)="Yes",Allocation!$B$24*P$247,IF(OFFSET(Assumptions!$B$58,0,$C$1)="Yes",(O$323/O$13+MIN(ABS($C$323-O$323/O$13),OFFSET(Assumptions!$B$60,0,$C$1))*SIGN($C$323-O$323/O$13))*P$13-O$323,0))</f>
        <v>1.157</v>
      </c>
      <c r="Q323" s="16">
        <f ca="1">P$323+IF(OFFSET(Assumptions!$B$57,0,$C$1)="Yes",Allocation!$B$24*Q$247,IF(OFFSET(Assumptions!$B$58,0,$C$1)="Yes",(P$323/P$13+MIN(ABS($C$323-P$323/P$13),OFFSET(Assumptions!$B$60,0,$C$1))*SIGN($C$323-P$323/P$13))*Q$13-P$323,0))</f>
        <v>1.157</v>
      </c>
      <c r="R323" s="16">
        <f ca="1">Q$323+IF(OFFSET(Assumptions!$B$57,0,$C$1)="Yes",Allocation!$B$24*R$247,IF(OFFSET(Assumptions!$B$58,0,$C$1)="Yes",(Q$323/Q$13+MIN(ABS($C$323-Q$323/Q$13),OFFSET(Assumptions!$B$60,0,$C$1))*SIGN($C$323-Q$323/Q$13))*R$13-Q$323,0))</f>
        <v>1.157</v>
      </c>
      <c r="S323" s="16">
        <f ca="1">R$323+IF(OFFSET(Assumptions!$B$57,0,$C$1)="Yes",Allocation!$B$24*S$247,IF(OFFSET(Assumptions!$B$58,0,$C$1)="Yes",(R$323/R$13+MIN(ABS($C$323-R$323/R$13),OFFSET(Assumptions!$B$60,0,$C$1))*SIGN($C$323-R$323/R$13))*S$13-R$323,0))</f>
        <v>1.157</v>
      </c>
      <c r="T323" s="16">
        <f ca="1">S$323+IF(OFFSET(Assumptions!$B$57,0,$C$1)="Yes",Allocation!$B$24*T$247,IF(OFFSET(Assumptions!$B$58,0,$C$1)="Yes",(S$323/S$13+MIN(ABS($C$323-S$323/S$13),OFFSET(Assumptions!$B$60,0,$C$1))*SIGN($C$323-S$323/S$13))*T$13-S$323,0))</f>
        <v>1.157</v>
      </c>
      <c r="U323" s="16">
        <f ca="1">T$323+IF(OFFSET(Assumptions!$B$57,0,$C$1)="Yes",Allocation!$B$24*U$247,IF(OFFSET(Assumptions!$B$58,0,$C$1)="Yes",(T$323/T$13+MIN(ABS($C$323-T$323/T$13),OFFSET(Assumptions!$B$60,0,$C$1))*SIGN($C$323-T$323/T$13))*U$13-T$323,0))</f>
        <v>1.157</v>
      </c>
      <c r="V323" s="16">
        <f ca="1">U$323+IF(OFFSET(Assumptions!$B$57,0,$C$1)="Yes",Allocation!$B$24*V$247,IF(OFFSET(Assumptions!$B$58,0,$C$1)="Yes",(U$323/U$13+MIN(ABS($C$323-U$323/U$13),OFFSET(Assumptions!$B$60,0,$C$1))*SIGN($C$323-U$323/U$13))*V$13-U$323,0))</f>
        <v>1.157</v>
      </c>
      <c r="W323" s="16">
        <f ca="1">V$323+IF(OFFSET(Assumptions!$B$57,0,$C$1)="Yes",Allocation!$B$24*W$247,IF(OFFSET(Assumptions!$B$58,0,$C$1)="Yes",(V$323/V$13+MIN(ABS($C$323-V$323/V$13),OFFSET(Assumptions!$B$60,0,$C$1))*SIGN($C$323-V$323/V$13))*W$13-V$323,0))</f>
        <v>1.157</v>
      </c>
      <c r="X323" s="16">
        <f ca="1">W$323+IF(OFFSET(Assumptions!$B$57,0,$C$1)="Yes",Allocation!$B$24*X$247,IF(OFFSET(Assumptions!$B$58,0,$C$1)="Yes",(W$323/W$13+MIN(ABS($C$323-W$323/W$13),OFFSET(Assumptions!$B$60,0,$C$1))*SIGN($C$323-W$323/W$13))*X$13-W$323,0))</f>
        <v>1.157</v>
      </c>
    </row>
    <row r="324" spans="1:24" x14ac:dyDescent="0.25">
      <c r="A324" s="9" t="s">
        <v>1016</v>
      </c>
      <c r="D324" s="65">
        <f t="shared" ref="D324:I324" si="200">SUM(D$322:D$323)</f>
        <v>1.119</v>
      </c>
      <c r="E324" s="65">
        <f t="shared" si="200"/>
        <v>1.4850000000000001</v>
      </c>
      <c r="F324" s="65">
        <f t="shared" si="200"/>
        <v>1.9059999999999999</v>
      </c>
      <c r="G324" s="65">
        <f t="shared" si="200"/>
        <v>2.5489999999999999</v>
      </c>
      <c r="H324" s="65">
        <f t="shared" si="200"/>
        <v>2.3809999999999998</v>
      </c>
      <c r="I324" s="65">
        <f t="shared" si="200"/>
        <v>2.2970000000000002</v>
      </c>
      <c r="J324" s="66">
        <f t="shared" ref="J324:X324" ca="1" si="201">SUM(J$322:J$323)</f>
        <v>2.7109999999999999</v>
      </c>
      <c r="K324" s="66">
        <f t="shared" ca="1" si="201"/>
        <v>2.6150000000000002</v>
      </c>
      <c r="L324" s="66">
        <f t="shared" ca="1" si="201"/>
        <v>2.621</v>
      </c>
      <c r="M324" s="66">
        <f t="shared" ca="1" si="201"/>
        <v>2.581</v>
      </c>
      <c r="N324" s="66">
        <f t="shared" ca="1" si="201"/>
        <v>2.605</v>
      </c>
      <c r="O324" s="67">
        <f t="shared" ca="1" si="201"/>
        <v>2.6339600000000001</v>
      </c>
      <c r="P324" s="67">
        <f t="shared" ca="1" si="201"/>
        <v>2.6634992000000004</v>
      </c>
      <c r="Q324" s="67">
        <f t="shared" ca="1" si="201"/>
        <v>2.6936291840000002</v>
      </c>
      <c r="R324" s="67">
        <f t="shared" ca="1" si="201"/>
        <v>2.7243617676800005</v>
      </c>
      <c r="S324" s="67">
        <f t="shared" ca="1" si="201"/>
        <v>2.7557090030336004</v>
      </c>
      <c r="T324" s="67">
        <f t="shared" ca="1" si="201"/>
        <v>2.7876831830942725</v>
      </c>
      <c r="U324" s="67">
        <f t="shared" ca="1" si="201"/>
        <v>2.8202968467561575</v>
      </c>
      <c r="V324" s="67">
        <f t="shared" ca="1" si="201"/>
        <v>2.8535627836912809</v>
      </c>
      <c r="W324" s="67">
        <f t="shared" ca="1" si="201"/>
        <v>2.8874940393651065</v>
      </c>
      <c r="X324" s="67">
        <f t="shared" ca="1" si="201"/>
        <v>2.9221039201524084</v>
      </c>
    </row>
    <row r="325" spans="1:24" x14ac:dyDescent="0.25">
      <c r="A325" s="9" t="s">
        <v>1017</v>
      </c>
      <c r="B325" s="10" t="str">
        <f>$B$38</f>
        <v>From Fiscal Forecasts</v>
      </c>
      <c r="D325" s="42">
        <f>'Fiscal Forecasts'!D$51</f>
        <v>1.1080000000000001</v>
      </c>
      <c r="E325" s="42">
        <f>'Fiscal Forecasts'!E$51</f>
        <v>1.472</v>
      </c>
      <c r="F325" s="42">
        <f>'Fiscal Forecasts'!F$51</f>
        <v>1.889</v>
      </c>
      <c r="G325" s="42">
        <f>'Fiscal Forecasts'!G$51</f>
        <v>2.5350000000000001</v>
      </c>
      <c r="H325" s="42">
        <f>'Fiscal Forecasts'!H$51</f>
        <v>2.3530000000000002</v>
      </c>
      <c r="I325" s="42">
        <f>'Fiscal Forecasts'!I$51</f>
        <v>2.2770000000000001</v>
      </c>
      <c r="J325" s="43">
        <f ca="1">'Fiscal Forecasts'!J$51+IF(OFFSET(Assumptions!$B$56,0,$C$1)="Yes",Allocation!C$24,0)</f>
        <v>2.71</v>
      </c>
      <c r="K325" s="43">
        <f ca="1">'Fiscal Forecasts'!K$51+IF(OFFSET(Assumptions!$B$56,0,$C$1)="Yes",Allocation!D$24,0)</f>
        <v>2.6110000000000002</v>
      </c>
      <c r="L325" s="43">
        <f ca="1">'Fiscal Forecasts'!L$51+IF(OFFSET(Assumptions!$B$56,0,$C$1)="Yes",Allocation!E$24,0)</f>
        <v>2.617</v>
      </c>
      <c r="M325" s="43">
        <f ca="1">'Fiscal Forecasts'!M$51+IF(OFFSET(Assumptions!$B$56,0,$C$1)="Yes",Allocation!F$24,0)</f>
        <v>2.577</v>
      </c>
      <c r="N325" s="43">
        <f ca="1">'Fiscal Forecasts'!N$51+IF(OFFSET(Assumptions!$B$56,0,$C$1)="Yes",Allocation!G$24,0)</f>
        <v>2.601</v>
      </c>
      <c r="O325" s="47">
        <f t="shared" ref="O325:X325" ca="1" si="202">O$324</f>
        <v>2.6339600000000001</v>
      </c>
      <c r="P325" s="47">
        <f t="shared" ca="1" si="202"/>
        <v>2.6634992000000004</v>
      </c>
      <c r="Q325" s="47">
        <f t="shared" ca="1" si="202"/>
        <v>2.6936291840000002</v>
      </c>
      <c r="R325" s="47">
        <f t="shared" ca="1" si="202"/>
        <v>2.7243617676800005</v>
      </c>
      <c r="S325" s="47">
        <f t="shared" ca="1" si="202"/>
        <v>2.7557090030336004</v>
      </c>
      <c r="T325" s="47">
        <f t="shared" ca="1" si="202"/>
        <v>2.7876831830942725</v>
      </c>
      <c r="U325" s="47">
        <f t="shared" ca="1" si="202"/>
        <v>2.8202968467561575</v>
      </c>
      <c r="V325" s="47">
        <f t="shared" ca="1" si="202"/>
        <v>2.8535627836912809</v>
      </c>
      <c r="W325" s="47">
        <f t="shared" ca="1" si="202"/>
        <v>2.8874940393651065</v>
      </c>
      <c r="X325" s="47">
        <f t="shared" ca="1" si="202"/>
        <v>2.9221039201524084</v>
      </c>
    </row>
    <row r="327" spans="1:24" x14ac:dyDescent="0.25">
      <c r="A327" s="9" t="s">
        <v>1018</v>
      </c>
    </row>
    <row r="328" spans="1:24" x14ac:dyDescent="0.25">
      <c r="A328" s="9" t="s">
        <v>1019</v>
      </c>
      <c r="B328" s="10" t="str">
        <f>$B$38</f>
        <v>From Fiscal Forecasts</v>
      </c>
      <c r="D328" s="42">
        <f>'Fiscal Forecasts'!D$70</f>
        <v>9.6000000000000002E-2</v>
      </c>
      <c r="E328" s="42">
        <f>'Fiscal Forecasts'!E$70</f>
        <v>6.3E-2</v>
      </c>
      <c r="F328" s="42">
        <f>'Fiscal Forecasts'!F$70</f>
        <v>0.254</v>
      </c>
      <c r="G328" s="42">
        <f>'Fiscal Forecasts'!G$70</f>
        <v>0.26900000000000002</v>
      </c>
      <c r="H328" s="42">
        <f>'Fiscal Forecasts'!H$70</f>
        <v>0.13300000000000001</v>
      </c>
      <c r="I328" s="42">
        <f>'Fiscal Forecasts'!I$70</f>
        <v>0.14499999999999999</v>
      </c>
      <c r="J328" s="43">
        <f>'Fiscal Forecasts'!J$70+0.001</f>
        <v>0.25600000000000001</v>
      </c>
      <c r="K328" s="43">
        <f>'Fiscal Forecasts'!K$70</f>
        <v>9.2999999999999999E-2</v>
      </c>
      <c r="L328" s="43">
        <f>'Fiscal Forecasts'!L$70</f>
        <v>0.316</v>
      </c>
      <c r="M328" s="43">
        <f>'Fiscal Forecasts'!M$70</f>
        <v>0.316</v>
      </c>
      <c r="N328" s="43">
        <f>'Fiscal Forecasts'!N$70</f>
        <v>0.316</v>
      </c>
      <c r="O328" s="47">
        <f ca="1">IF(O$6=OFFSET(Assumptions!$B$8,0,$C$1),OFFSET(Assumptions!$B$9,0,$C$1),N$328)</f>
        <v>0</v>
      </c>
      <c r="P328" s="47">
        <f ca="1">IF(P$6=OFFSET(Assumptions!$B$8,0,$C$1),OFFSET(Assumptions!$B$9,0,$C$1),O$328)</f>
        <v>0</v>
      </c>
      <c r="Q328" s="47">
        <f ca="1">IF(Q$6=OFFSET(Assumptions!$B$8,0,$C$1),OFFSET(Assumptions!$B$9,0,$C$1),P$328)</f>
        <v>0</v>
      </c>
      <c r="R328" s="47">
        <f ca="1">IF(R$6=OFFSET(Assumptions!$B$8,0,$C$1),OFFSET(Assumptions!$B$9,0,$C$1),Q$328)</f>
        <v>0</v>
      </c>
      <c r="S328" s="47">
        <f ca="1">IF(S$6=OFFSET(Assumptions!$B$8,0,$C$1),OFFSET(Assumptions!$B$9,0,$C$1),R$328)</f>
        <v>0</v>
      </c>
      <c r="T328" s="47">
        <f ca="1">IF(T$6=OFFSET(Assumptions!$B$8,0,$C$1),OFFSET(Assumptions!$B$9,0,$C$1),S$328)</f>
        <v>0</v>
      </c>
      <c r="U328" s="47">
        <f ca="1">IF(U$6=OFFSET(Assumptions!$B$8,0,$C$1),OFFSET(Assumptions!$B$9,0,$C$1),T$328)</f>
        <v>0</v>
      </c>
      <c r="V328" s="47">
        <f ca="1">IF(V$6=OFFSET(Assumptions!$B$8,0,$C$1),OFFSET(Assumptions!$B$9,0,$C$1),U$328)</f>
        <v>0</v>
      </c>
      <c r="W328" s="47">
        <f ca="1">IF(W$6=OFFSET(Assumptions!$B$8,0,$C$1),OFFSET(Assumptions!$B$9,0,$C$1),V$328)</f>
        <v>0</v>
      </c>
      <c r="X328" s="47">
        <f ca="1">IF(X$6=OFFSET(Assumptions!$B$8,0,$C$1),OFFSET(Assumptions!$B$9,0,$C$1),W$328)</f>
        <v>0</v>
      </c>
    </row>
    <row r="329" spans="1:24" x14ac:dyDescent="0.25">
      <c r="A329" s="9" t="s">
        <v>1020</v>
      </c>
      <c r="B329" s="10" t="str">
        <f>$B$38</f>
        <v>From Fiscal Forecasts</v>
      </c>
      <c r="D329" s="42">
        <f>'Fiscal Forecasts'!D$53</f>
        <v>9.6000000000000002E-2</v>
      </c>
      <c r="E329" s="42">
        <f>'Fiscal Forecasts'!E$53</f>
        <v>6.3E-2</v>
      </c>
      <c r="F329" s="42">
        <f>'Fiscal Forecasts'!F$53</f>
        <v>0.254</v>
      </c>
      <c r="G329" s="42">
        <f>'Fiscal Forecasts'!G$53</f>
        <v>0.24199999999999999</v>
      </c>
      <c r="H329" s="42">
        <f>'Fiscal Forecasts'!H$53</f>
        <v>0.13300000000000001</v>
      </c>
      <c r="I329" s="42">
        <f>'Fiscal Forecasts'!I$53</f>
        <v>0.14499999999999999</v>
      </c>
      <c r="J329" s="43">
        <f>'Fiscal Forecasts'!J$53</f>
        <v>0.255</v>
      </c>
      <c r="K329" s="43">
        <f>'Fiscal Forecasts'!K$53</f>
        <v>9.2999999999999999E-2</v>
      </c>
      <c r="L329" s="43">
        <f>'Fiscal Forecasts'!L$53</f>
        <v>0.316</v>
      </c>
      <c r="M329" s="43">
        <f>'Fiscal Forecasts'!M$53</f>
        <v>0.316</v>
      </c>
      <c r="N329" s="43">
        <f>'Fiscal Forecasts'!N$53</f>
        <v>0.316</v>
      </c>
      <c r="O329" s="47">
        <f ca="1">IF(O$6=OFFSET(Assumptions!$B$8,0,$C$1),OFFSET(Assumptions!$B$9,0,$C$1),N$329)</f>
        <v>0</v>
      </c>
      <c r="P329" s="47">
        <f ca="1">IF(P$6=OFFSET(Assumptions!$B$8,0,$C$1),OFFSET(Assumptions!$B$9,0,$C$1),O$329)</f>
        <v>0</v>
      </c>
      <c r="Q329" s="47">
        <f ca="1">IF(Q$6=OFFSET(Assumptions!$B$8,0,$C$1),OFFSET(Assumptions!$B$9,0,$C$1),P$329)</f>
        <v>0</v>
      </c>
      <c r="R329" s="47">
        <f ca="1">IF(R$6=OFFSET(Assumptions!$B$8,0,$C$1),OFFSET(Assumptions!$B$9,0,$C$1),Q$329)</f>
        <v>0</v>
      </c>
      <c r="S329" s="47">
        <f ca="1">IF(S$6=OFFSET(Assumptions!$B$8,0,$C$1),OFFSET(Assumptions!$B$9,0,$C$1),R$329)</f>
        <v>0</v>
      </c>
      <c r="T329" s="47">
        <f ca="1">IF(T$6=OFFSET(Assumptions!$B$8,0,$C$1),OFFSET(Assumptions!$B$9,0,$C$1),S$329)</f>
        <v>0</v>
      </c>
      <c r="U329" s="47">
        <f ca="1">IF(U$6=OFFSET(Assumptions!$B$8,0,$C$1),OFFSET(Assumptions!$B$9,0,$C$1),T$329)</f>
        <v>0</v>
      </c>
      <c r="V329" s="47">
        <f ca="1">IF(V$6=OFFSET(Assumptions!$B$8,0,$C$1),OFFSET(Assumptions!$B$9,0,$C$1),U$329)</f>
        <v>0</v>
      </c>
      <c r="W329" s="47">
        <f ca="1">IF(W$6=OFFSET(Assumptions!$B$8,0,$C$1),OFFSET(Assumptions!$B$9,0,$C$1),V$329)</f>
        <v>0</v>
      </c>
      <c r="X329" s="47">
        <f ca="1">IF(X$6=OFFSET(Assumptions!$B$8,0,$C$1),OFFSET(Assumptions!$B$9,0,$C$1),W$329)</f>
        <v>0</v>
      </c>
    </row>
    <row r="331" spans="1:24" x14ac:dyDescent="0.25">
      <c r="A331" s="12" t="s">
        <v>1021</v>
      </c>
    </row>
    <row r="332" spans="1:24" x14ac:dyDescent="0.25">
      <c r="A332" s="9" t="s">
        <v>1022</v>
      </c>
      <c r="D332" s="42">
        <f t="shared" ref="D332:X332" si="203">SUM(D$196,D$261,D$267:D$270,D$273,D$283,D$288,D$301,D$306,D$310,D$314,D$318,D$324)</f>
        <v>50.609000000000002</v>
      </c>
      <c r="E332" s="42">
        <f t="shared" si="203"/>
        <v>57.67</v>
      </c>
      <c r="F332" s="42">
        <f t="shared" si="203"/>
        <v>62.933000000000007</v>
      </c>
      <c r="G332" s="42">
        <f t="shared" si="203"/>
        <v>73.015000000000001</v>
      </c>
      <c r="H332" s="42">
        <f t="shared" si="203"/>
        <v>73.475000000000009</v>
      </c>
      <c r="I332" s="42">
        <f t="shared" si="203"/>
        <v>79.288999999999987</v>
      </c>
      <c r="J332" s="43">
        <f t="shared" ca="1" si="203"/>
        <v>82.172999999999988</v>
      </c>
      <c r="K332" s="43">
        <f t="shared" ca="1" si="203"/>
        <v>83.652000000000001</v>
      </c>
      <c r="L332" s="43">
        <f t="shared" ca="1" si="203"/>
        <v>84.725999999999999</v>
      </c>
      <c r="M332" s="43">
        <f t="shared" ca="1" si="203"/>
        <v>83.350000000000009</v>
      </c>
      <c r="N332" s="43">
        <f t="shared" ca="1" si="203"/>
        <v>83.543000000000006</v>
      </c>
      <c r="O332" s="47">
        <f t="shared" ca="1" si="203"/>
        <v>83.571960000000004</v>
      </c>
      <c r="P332" s="47">
        <f t="shared" ca="1" si="203"/>
        <v>83.601499200000006</v>
      </c>
      <c r="Q332" s="47">
        <f t="shared" ca="1" si="203"/>
        <v>83.631629184000005</v>
      </c>
      <c r="R332" s="47">
        <f t="shared" ca="1" si="203"/>
        <v>83.662361767679997</v>
      </c>
      <c r="S332" s="47">
        <f t="shared" ca="1" si="203"/>
        <v>83.693709003033604</v>
      </c>
      <c r="T332" s="47">
        <f t="shared" ca="1" si="203"/>
        <v>83.725683183094276</v>
      </c>
      <c r="U332" s="47">
        <f t="shared" ca="1" si="203"/>
        <v>83.758296846756167</v>
      </c>
      <c r="V332" s="47">
        <f t="shared" ca="1" si="203"/>
        <v>83.79156278369129</v>
      </c>
      <c r="W332" s="47">
        <f t="shared" ca="1" si="203"/>
        <v>83.825494039365111</v>
      </c>
      <c r="X332" s="47">
        <f t="shared" ca="1" si="203"/>
        <v>83.860103920152412</v>
      </c>
    </row>
    <row r="333" spans="1:24" x14ac:dyDescent="0.25">
      <c r="A333" s="9" t="s">
        <v>1023</v>
      </c>
      <c r="D333" s="42">
        <f>SUM(D$261,D$272,D$267:D$270,D$273,D$280,D$282,D$292,D$328)</f>
        <v>35.922000000000004</v>
      </c>
      <c r="E333" s="42">
        <f t="shared" ref="E333:I333" si="204">SUM(E$261,E$272,E$267:E$270,E$273,E$280,E$282,E$292,E$328)</f>
        <v>40.394000000000005</v>
      </c>
      <c r="F333" s="42">
        <f t="shared" si="204"/>
        <v>45.15</v>
      </c>
      <c r="G333" s="42">
        <f t="shared" si="204"/>
        <v>50.318999999999996</v>
      </c>
      <c r="H333" s="42">
        <f t="shared" si="204"/>
        <v>54.479000000000006</v>
      </c>
      <c r="I333" s="42">
        <f t="shared" si="204"/>
        <v>57.910000000000011</v>
      </c>
      <c r="J333" s="43">
        <f t="shared" ref="J333:X333" ca="1" si="205">SUM(J$261,J$272,J$267:J$270,J$273,J$280,J$282,J$292,J$328)</f>
        <v>59.698000000000008</v>
      </c>
      <c r="K333" s="43">
        <f t="shared" ca="1" si="205"/>
        <v>62.681000000000012</v>
      </c>
      <c r="L333" s="43">
        <f t="shared" ca="1" si="205"/>
        <v>61.891999999999996</v>
      </c>
      <c r="M333" s="43">
        <f t="shared" ca="1" si="205"/>
        <v>61.378000000000014</v>
      </c>
      <c r="N333" s="43">
        <f t="shared" ca="1" si="205"/>
        <v>61.955999999999996</v>
      </c>
      <c r="O333" s="47">
        <f t="shared" ca="1" si="205"/>
        <v>61.699673459683858</v>
      </c>
      <c r="P333" s="47">
        <f t="shared" ca="1" si="205"/>
        <v>61.773095236484288</v>
      </c>
      <c r="Q333" s="47">
        <f t="shared" ca="1" si="205"/>
        <v>62.039419413041301</v>
      </c>
      <c r="R333" s="47">
        <f t="shared" ca="1" si="205"/>
        <v>62.344246204213974</v>
      </c>
      <c r="S333" s="47">
        <f t="shared" ca="1" si="205"/>
        <v>62.65346005167558</v>
      </c>
      <c r="T333" s="47">
        <f t="shared" ca="1" si="205"/>
        <v>62.967636806884315</v>
      </c>
      <c r="U333" s="47">
        <f t="shared" ca="1" si="205"/>
        <v>63.285042281704051</v>
      </c>
      <c r="V333" s="47">
        <f t="shared" ca="1" si="205"/>
        <v>63.606154406787276</v>
      </c>
      <c r="W333" s="47">
        <f t="shared" ca="1" si="205"/>
        <v>63.933150331659093</v>
      </c>
      <c r="X333" s="47">
        <f t="shared" ca="1" si="205"/>
        <v>64.267503653169726</v>
      </c>
    </row>
    <row r="334" spans="1:24" x14ac:dyDescent="0.25">
      <c r="A334" s="12" t="s">
        <v>1024</v>
      </c>
    </row>
    <row r="335" spans="1:24" x14ac:dyDescent="0.25">
      <c r="A335" s="9" t="s">
        <v>1025</v>
      </c>
      <c r="B335" s="10" t="str">
        <f>$B$38</f>
        <v>From Fiscal Forecasts</v>
      </c>
      <c r="D335" s="42">
        <f>'Fiscal Forecasts'!D$211</f>
        <v>6.7160000000000002</v>
      </c>
      <c r="E335" s="42">
        <f>'Fiscal Forecasts'!E$211</f>
        <v>7.5140000000000002</v>
      </c>
      <c r="F335" s="42">
        <f>'Fiscal Forecasts'!F$211</f>
        <v>8.0459999999999994</v>
      </c>
      <c r="G335" s="42">
        <f>'Fiscal Forecasts'!G$211</f>
        <v>8.5389999999999997</v>
      </c>
      <c r="H335" s="42">
        <f>'Fiscal Forecasts'!H$211</f>
        <v>10.163</v>
      </c>
      <c r="I335" s="42">
        <f>'Fiscal Forecasts'!I$211</f>
        <v>10.747999999999999</v>
      </c>
      <c r="J335" s="43">
        <f>'Fiscal Forecasts'!J$211</f>
        <v>10.715999999999999</v>
      </c>
      <c r="K335" s="43">
        <f>'Fiscal Forecasts'!K$211</f>
        <v>10.582000000000001</v>
      </c>
      <c r="L335" s="43">
        <f>'Fiscal Forecasts'!L$211</f>
        <v>10.785</v>
      </c>
      <c r="M335" s="43">
        <f>'Fiscal Forecasts'!M$211</f>
        <v>10.513999999999999</v>
      </c>
      <c r="N335" s="43">
        <f>'Fiscal Forecasts'!N$211</f>
        <v>10.589</v>
      </c>
      <c r="O335" s="47">
        <f ca="1">IF(O$6=OFFSET(Assumptions!$B$8,0,$C$1),AVERAGE(L$335/SUM(L$252-L$251,L$285-L$284,L$289-L$288,,L$307-L$306,L$311-L$310,L$315-L$314,L$319-L$318,L$325-L$324),M$335/SUM(M$252-M$251,M$285-M$284,M$289-M$288,,M$307-M$306,M$311-M$310,M$315-M$314,M$319-M$318,M$325-M$324),N$335/SUM(N$252-N$251,N$285-N$284,N$289-N$288,,N$307-N$306,N$311-N$310,N$315-N$314,N$319-N$318,N$325-N$324)),N$335/SUM(N$252-N$251,N$285-N$284,N$289-N$288,,N$307-N$306,N$311-N$310,N$315-N$314,N$319-N$318,N$325-N$324))*SUM(O$252-O$251,O$285-O$284,O$289-O$288,,O$307-O$306,O$311-O$310,O$315-O$314,O$319-O$318,O$325-O$324)</f>
        <v>10.933351291983374</v>
      </c>
      <c r="P335" s="47">
        <f ca="1">IF(P$6=OFFSET(Assumptions!$B$8,0,$C$1),AVERAGE(M$335/SUM(M$252-M$251,M$285-M$284,M$289-M$288,,M$307-M$306,M$311-M$310,M$315-M$314,M$319-M$318,M$325-M$324),N$335/SUM(N$252-N$251,N$285-N$284,N$289-N$288,,N$307-N$306,N$311-N$310,N$315-N$314,N$319-N$318,N$325-N$324),O$335/SUM(O$252-O$251,O$285-O$284,O$289-O$288,,O$307-O$306,O$311-O$310,O$315-O$314,O$319-O$318,O$325-O$324)),O$335/SUM(O$252-O$251,O$285-O$284,O$289-O$288,,O$307-O$306,O$311-O$310,O$315-O$314,O$319-O$318,O$325-O$324))*SUM(P$252-P$251,P$285-P$284,P$289-P$288,,P$307-P$306,P$311-P$310,P$315-P$314,P$319-P$318,P$325-P$324)</f>
        <v>11.151276459309566</v>
      </c>
      <c r="Q335" s="47">
        <f ca="1">IF(Q$6=OFFSET(Assumptions!$B$8,0,$C$1),AVERAGE(N$335/SUM(N$252-N$251,N$285-N$284,N$289-N$288,,N$307-N$306,N$311-N$310,N$315-N$314,N$319-N$318,N$325-N$324),O$335/SUM(O$252-O$251,O$285-O$284,O$289-O$288,,O$307-O$306,O$311-O$310,O$315-O$314,O$319-O$318,O$325-O$324),P$335/SUM(P$252-P$251,P$285-P$284,P$289-P$288,,P$307-P$306,P$311-P$310,P$315-P$314,P$319-P$318,P$325-P$324)),P$335/SUM(P$252-P$251,P$285-P$284,P$289-P$288,,P$307-P$306,P$311-P$310,P$315-P$314,P$319-P$318,P$325-P$324))*SUM(Q$252-Q$251,Q$285-Q$284,Q$289-Q$288,,Q$307-Q$306,Q$311-Q$310,Q$315-Q$314,Q$319-Q$318,Q$325-Q$324)</f>
        <v>11.373613760309013</v>
      </c>
      <c r="R335" s="47">
        <f ca="1">IF(R$6=OFFSET(Assumptions!$B$8,0,$C$1),AVERAGE(O$335/SUM(O$252-O$251,O$285-O$284,O$289-O$288,,O$307-O$306,O$311-O$310,O$315-O$314,O$319-O$318,O$325-O$324),P$335/SUM(P$252-P$251,P$285-P$284,P$289-P$288,,P$307-P$306,P$311-P$310,P$315-P$314,P$319-P$318,P$325-P$324),Q$335/SUM(Q$252-Q$251,Q$285-Q$284,Q$289-Q$288,,Q$307-Q$306,Q$311-Q$310,Q$315-Q$314,Q$319-Q$318,Q$325-Q$324)),Q$335/SUM(Q$252-Q$251,Q$285-Q$284,Q$289-Q$288,,Q$307-Q$306,Q$311-Q$310,Q$315-Q$314,Q$319-Q$318,Q$325-Q$324))*SUM(R$252-R$251,R$285-R$284,R$289-R$288,,R$307-R$306,R$311-R$310,R$315-R$314,R$319-R$318,R$325-R$324)</f>
        <v>11.600451437655186</v>
      </c>
      <c r="S335" s="47">
        <f ca="1">IF(S$6=OFFSET(Assumptions!$B$8,0,$C$1),AVERAGE(P$335/SUM(P$252-P$251,P$285-P$284,P$289-P$288,,P$307-P$306,P$311-P$310,P$315-P$314,P$319-P$318,P$325-P$324),Q$335/SUM(Q$252-Q$251,Q$285-Q$284,Q$289-Q$288,,Q$307-Q$306,Q$311-Q$310,Q$315-Q$314,Q$319-Q$318,Q$325-Q$324),R$335/SUM(R$252-R$251,R$285-R$284,R$289-R$288,,R$307-R$306,R$311-R$310,R$315-R$314,R$319-R$318,R$325-R$324)),R$335/SUM(R$252-R$251,R$285-R$284,R$289-R$288,,R$307-R$306,R$311-R$310,R$315-R$314,R$319-R$318,R$325-R$324))*SUM(S$252-S$251,S$285-S$284,S$289-S$288,,S$307-S$306,S$311-S$310,S$315-S$314,S$319-S$318,S$325-S$324)</f>
        <v>11.831879498875015</v>
      </c>
      <c r="T335" s="47">
        <f ca="1">IF(T$6=OFFSET(Assumptions!$B$8,0,$C$1),AVERAGE(Q$335/SUM(Q$252-Q$251,Q$285-Q$284,Q$289-Q$288,,Q$307-Q$306,Q$311-Q$310,Q$315-Q$314,Q$319-Q$318,Q$325-Q$324),R$335/SUM(R$252-R$251,R$285-R$284,R$289-R$288,,R$307-R$306,R$311-R$310,R$315-R$314,R$319-R$318,R$325-R$324),S$335/SUM(S$252-S$251,S$285-S$284,S$289-S$288,,S$307-S$306,S$311-S$310,S$315-S$314,S$319-S$318,S$325-S$324)),S$335/SUM(S$252-S$251,S$285-S$284,S$289-S$288,,S$307-S$306,S$311-S$310,S$315-S$314,S$319-S$318,S$325-S$324))*SUM(T$252-T$251,T$285-T$284,T$289-T$288,,T$307-T$306,T$311-T$310,T$315-T$314,T$319-T$318,T$325-T$324)</f>
        <v>12.067832015390875</v>
      </c>
      <c r="U335" s="47">
        <f ca="1">IF(U$6=OFFSET(Assumptions!$B$8,0,$C$1),AVERAGE(R$335/SUM(R$252-R$251,R$285-R$284,R$289-R$288,,R$307-R$306,R$311-R$310,R$315-R$314,R$319-R$318,R$325-R$324),S$335/SUM(S$252-S$251,S$285-S$284,S$289-S$288,,S$307-S$306,S$311-S$310,S$315-S$314,S$319-S$318,S$325-S$324),T$335/SUM(T$252-T$251,T$285-T$284,T$289-T$288,,T$307-T$306,T$311-T$310,T$315-T$314,T$319-T$318,T$325-T$324)),T$335/SUM(T$252-T$251,T$285-T$284,T$289-T$288,,T$307-T$306,T$311-T$310,T$315-T$314,T$319-T$318,T$325-T$324))*SUM(U$252-U$251,U$285-U$284,U$289-U$288,,U$307-U$306,U$311-U$310,U$315-U$314,U$319-U$318,U$325-U$324)</f>
        <v>12.308875839799098</v>
      </c>
      <c r="V335" s="47">
        <f ca="1">IF(V$6=OFFSET(Assumptions!$B$8,0,$C$1),AVERAGE(S$335/SUM(S$252-S$251,S$285-S$284,S$289-S$288,,S$307-S$306,S$311-S$310,S$315-S$314,S$319-S$318,S$325-S$324),T$335/SUM(T$252-T$251,T$285-T$284,T$289-T$288,,T$307-T$306,T$311-T$310,T$315-T$314,T$319-T$318,T$325-T$324),U$335/SUM(U$252-U$251,U$285-U$284,U$289-U$288,,U$307-U$306,U$311-U$310,U$315-U$314,U$319-U$318,U$325-U$324)),U$335/SUM(U$252-U$251,U$285-U$284,U$289-U$288,,U$307-U$306,U$311-U$310,U$315-U$314,U$319-U$318,U$325-U$324))*SUM(V$252-V$251,V$285-V$284,V$289-V$288,,V$307-V$306,V$311-V$310,V$315-V$314,V$319-V$318,V$325-V$324)</f>
        <v>12.554791016297116</v>
      </c>
      <c r="W335" s="47">
        <f ca="1">IF(W$6=OFFSET(Assumptions!$B$8,0,$C$1),AVERAGE(T$335/SUM(T$252-T$251,T$285-T$284,T$289-T$288,,T$307-T$306,T$311-T$310,T$315-T$314,T$319-T$318,T$325-T$324),U$335/SUM(U$252-U$251,U$285-U$284,U$289-U$288,,U$307-U$306,U$311-U$310,U$315-U$314,U$319-U$318,U$325-U$324),V$335/SUM(V$252-V$251,V$285-V$284,V$289-V$288,,V$307-V$306,V$311-V$310,V$315-V$314,V$319-V$318,V$325-V$324)),V$335/SUM(V$252-V$251,V$285-V$284,V$289-V$288,,V$307-V$306,V$311-V$310,V$315-V$314,V$319-V$318,V$325-V$324))*SUM(W$252-W$251,W$285-W$284,W$289-W$288,,W$307-W$306,W$311-W$310,W$315-W$314,W$319-W$318,W$325-W$324)</f>
        <v>12.805517235671624</v>
      </c>
      <c r="X335" s="47">
        <f ca="1">IF(X$6=OFFSET(Assumptions!$B$8,0,$C$1),AVERAGE(U$335/SUM(U$252-U$251,U$285-U$284,U$289-U$288,,U$307-U$306,U$311-U$310,U$315-U$314,U$319-U$318,U$325-U$324),V$335/SUM(V$252-V$251,V$285-V$284,V$289-V$288,,V$307-V$306,V$311-V$310,V$315-V$314,V$319-V$318,V$325-V$324),W$335/SUM(W$252-W$251,W$285-W$284,W$289-W$288,,W$307-W$306,W$311-W$310,W$315-W$314,W$319-W$318,W$325-W$324)),W$335/SUM(W$252-W$251,W$285-W$284,W$289-W$288,,W$307-W$306,W$311-W$310,W$315-W$314,W$319-W$318,W$325-W$324))*SUM(X$252-X$251,X$285-X$284,X$289-X$288,,X$307-X$306,X$311-X$310,X$315-X$314,X$319-X$318,X$325-X$324)</f>
        <v>13.061311609760359</v>
      </c>
    </row>
    <row r="336" spans="1:24" x14ac:dyDescent="0.25">
      <c r="A336" s="9" t="s">
        <v>1026</v>
      </c>
      <c r="B336" s="10" t="str">
        <f>$B$38</f>
        <v>From Fiscal Forecasts</v>
      </c>
      <c r="D336" s="42">
        <f>'Fiscal Forecasts'!D$212</f>
        <v>8.64</v>
      </c>
      <c r="E336" s="42">
        <f>'Fiscal Forecasts'!E$212</f>
        <v>8.3070000000000004</v>
      </c>
      <c r="F336" s="42">
        <f>'Fiscal Forecasts'!F$212</f>
        <v>10.321999999999999</v>
      </c>
      <c r="G336" s="42">
        <f>'Fiscal Forecasts'!G$212</f>
        <v>9.5259999999999998</v>
      </c>
      <c r="H336" s="42">
        <f>'Fiscal Forecasts'!H$212</f>
        <v>8.5609999999999999</v>
      </c>
      <c r="I336" s="42">
        <f>'Fiscal Forecasts'!I$212</f>
        <v>12.183</v>
      </c>
      <c r="J336" s="43">
        <f>'Fiscal Forecasts'!J$212</f>
        <v>12.733000000000001</v>
      </c>
      <c r="K336" s="43">
        <f>'Fiscal Forecasts'!K$212</f>
        <v>12.682</v>
      </c>
      <c r="L336" s="43">
        <f>'Fiscal Forecasts'!L$212</f>
        <v>12.77</v>
      </c>
      <c r="M336" s="43">
        <f>'Fiscal Forecasts'!M$212</f>
        <v>13.486000000000001</v>
      </c>
      <c r="N336" s="43">
        <f>'Fiscal Forecasts'!N$212</f>
        <v>13.352</v>
      </c>
      <c r="O336" s="47">
        <f ca="1">IF(O$6=OFFSET(Assumptions!$B$8,0,$C$1),AVERAGE(L$336/(L$303-L$302),M$336/(M$303-M$302),N$336/(N$303-N$302)),N$336/(N$303-N$302))*(O$303-O$302)</f>
        <v>13.642914754523931</v>
      </c>
      <c r="P336" s="47">
        <f ca="1">IF(P$6=OFFSET(Assumptions!$B$8,0,$C$1),AVERAGE(M$336/(M$303-M$302),N$336/(N$303-N$302),O$336/(O$303-O$302)),O$336/(O$303-O$302))*(P$303-P$302)</f>
        <v>13.915773049614408</v>
      </c>
      <c r="Q336" s="47">
        <f ca="1">IF(Q$6=OFFSET(Assumptions!$B$8,0,$C$1),AVERAGE(N$336/(N$303-N$302),O$336/(O$303-O$302),P$336/(P$303-P$302)),P$336/(P$303-P$302))*(Q$303-Q$302)</f>
        <v>14.194088510606699</v>
      </c>
      <c r="R336" s="47">
        <f ca="1">IF(R$6=OFFSET(Assumptions!$B$8,0,$C$1),AVERAGE(O$336/(O$303-O$302),P$336/(P$303-P$302),Q$336/(Q$303-Q$302)),Q$336/(Q$303-Q$302))*(R$303-R$302)</f>
        <v>14.477970280818834</v>
      </c>
      <c r="S336" s="47">
        <f ca="1">IF(S$6=OFFSET(Assumptions!$B$8,0,$C$1),AVERAGE(P$336/(P$303-P$302),Q$336/(Q$303-Q$302),R$336/(R$303-R$302)),R$336/(R$303-R$302))*(S$303-S$302)</f>
        <v>14.767529686435209</v>
      </c>
      <c r="T336" s="47">
        <f ca="1">IF(T$6=OFFSET(Assumptions!$B$8,0,$C$1),AVERAGE(Q$336/(Q$303-Q$302),R$336/(R$303-R$302),S$336/(S$303-S$302)),S$336/(S$303-S$302))*(T$303-T$302)</f>
        <v>15.062880280163913</v>
      </c>
      <c r="U336" s="47">
        <f ca="1">IF(U$6=OFFSET(Assumptions!$B$8,0,$C$1),AVERAGE(R$336/(R$303-R$302),S$336/(S$303-S$302),T$336/(T$303-T$302)),T$336/(T$303-T$302))*(U$303-U$302)</f>
        <v>15.364137885767189</v>
      </c>
      <c r="V336" s="47">
        <f ca="1">IF(V$6=OFFSET(Assumptions!$B$8,0,$C$1),AVERAGE(S$336/(S$303-S$302),T$336/(T$303-T$302),U$336/(U$303-U$302)),U$336/(U$303-U$302))*(V$303-V$302)</f>
        <v>15.671420643482532</v>
      </c>
      <c r="W336" s="47">
        <f ca="1">IF(W$6=OFFSET(Assumptions!$B$8,0,$C$1),AVERAGE(T$336/(T$303-T$302),U$336/(U$303-U$302),V$336/(V$303-V$302)),V$336/(V$303-V$302))*(W$303-W$302)</f>
        <v>15.984849056352184</v>
      </c>
      <c r="X336" s="47">
        <f ca="1">IF(X$6=OFFSET(Assumptions!$B$8,0,$C$1),AVERAGE(U$336/(U$303-U$302),V$336/(V$303-V$302),W$336/(W$303-W$302)),W$336/(W$303-W$302))*(X$303-X$302)</f>
        <v>16.304546037479231</v>
      </c>
    </row>
    <row r="337" spans="1:24" x14ac:dyDescent="0.25">
      <c r="A337" s="9" t="s">
        <v>1027</v>
      </c>
      <c r="B337" s="10" t="str">
        <f>$B$38</f>
        <v>From Fiscal Forecasts</v>
      </c>
      <c r="D337" s="42">
        <f>'Fiscal Forecasts'!D$213</f>
        <v>-3.629</v>
      </c>
      <c r="E337" s="42">
        <f>'Fiscal Forecasts'!E$213</f>
        <v>-3.7549999999999999</v>
      </c>
      <c r="F337" s="42">
        <f>'Fiscal Forecasts'!F$213</f>
        <v>-4.7350000000000003</v>
      </c>
      <c r="G337" s="42">
        <f>'Fiscal Forecasts'!G$213</f>
        <v>-4.2939999999999996</v>
      </c>
      <c r="H337" s="42">
        <f>'Fiscal Forecasts'!H$213</f>
        <v>-4.1829999999999998</v>
      </c>
      <c r="I337" s="42">
        <f>'Fiscal Forecasts'!I$213</f>
        <v>-4.7560000000000002</v>
      </c>
      <c r="J337" s="43">
        <f>'Fiscal Forecasts'!J$213</f>
        <v>-4.673</v>
      </c>
      <c r="K337" s="43">
        <f>'Fiscal Forecasts'!K$213</f>
        <v>-4.4359999999999999</v>
      </c>
      <c r="L337" s="43">
        <f>'Fiscal Forecasts'!L$213</f>
        <v>-4.37</v>
      </c>
      <c r="M337" s="43">
        <f>'Fiscal Forecasts'!M$213</f>
        <v>-4.0789999999999997</v>
      </c>
      <c r="N337" s="43">
        <f>'Fiscal Forecasts'!N$213</f>
        <v>-4.1230000000000002</v>
      </c>
      <c r="O337" s="47">
        <f t="shared" ref="O337:X337" ca="1" si="206">SUM(O$252-O$251,O$285-O$284,O$289-O$288,O$303-O$302,O$307-O$306,O$311-O$310,O$315-O$314,O$319-O$318,O$325-O$324,-O$335,-O$336)</f>
        <v>-4.3111964281866957</v>
      </c>
      <c r="P337" s="47">
        <f t="shared" ca="1" si="206"/>
        <v>-4.3971332565066685</v>
      </c>
      <c r="Q337" s="47">
        <f t="shared" ca="1" si="206"/>
        <v>-4.4848095764017142</v>
      </c>
      <c r="R337" s="47">
        <f t="shared" ca="1" si="206"/>
        <v>-4.5742601777033318</v>
      </c>
      <c r="S337" s="47">
        <f t="shared" ca="1" si="206"/>
        <v>-4.6655205460396427</v>
      </c>
      <c r="T337" s="47">
        <f t="shared" ca="1" si="206"/>
        <v>-4.7585658326082108</v>
      </c>
      <c r="U337" s="47">
        <f t="shared" ca="1" si="206"/>
        <v>-4.8536160890859694</v>
      </c>
      <c r="V337" s="47">
        <f t="shared" ca="1" si="206"/>
        <v>-4.9505868848190939</v>
      </c>
      <c r="W337" s="47">
        <f t="shared" ca="1" si="206"/>
        <v>-5.0494555864495396</v>
      </c>
      <c r="X337" s="47">
        <f t="shared" ca="1" si="206"/>
        <v>-5.1503224171212594</v>
      </c>
    </row>
    <row r="339" spans="1:24" x14ac:dyDescent="0.25">
      <c r="A339" s="9" t="s">
        <v>1028</v>
      </c>
    </row>
    <row r="340" spans="1:24" x14ac:dyDescent="0.25">
      <c r="A340" s="11" t="s">
        <v>1029</v>
      </c>
      <c r="D340" s="35">
        <f t="shared" ref="D340:X340" si="207">D$387</f>
        <v>1.9550000000000001</v>
      </c>
      <c r="E340" s="35">
        <f t="shared" si="207"/>
        <v>1.7000000000000001E-2</v>
      </c>
      <c r="F340" s="35">
        <f t="shared" si="207"/>
        <v>12.786</v>
      </c>
      <c r="G340" s="35">
        <f t="shared" si="207"/>
        <v>-5.133</v>
      </c>
      <c r="H340" s="35">
        <f t="shared" si="207"/>
        <v>5.766</v>
      </c>
      <c r="I340" s="35">
        <f t="shared" si="207"/>
        <v>8.3520000000000003</v>
      </c>
      <c r="J340" s="17">
        <f t="shared" si="207"/>
        <v>6.6360000000000001</v>
      </c>
      <c r="K340" s="17">
        <f t="shared" si="207"/>
        <v>4.9329999999999998</v>
      </c>
      <c r="L340" s="17">
        <f t="shared" si="207"/>
        <v>5.2549999999999999</v>
      </c>
      <c r="M340" s="17">
        <f t="shared" si="207"/>
        <v>5.57</v>
      </c>
      <c r="N340" s="17">
        <f t="shared" si="207"/>
        <v>5.9210000000000003</v>
      </c>
      <c r="O340" s="16">
        <f t="shared" si="207"/>
        <v>6.2610978231927454</v>
      </c>
      <c r="P340" s="16">
        <f t="shared" si="207"/>
        <v>6.6338294179173811</v>
      </c>
      <c r="Q340" s="16">
        <f t="shared" si="207"/>
        <v>7.0205757760865257</v>
      </c>
      <c r="R340" s="16">
        <f t="shared" si="207"/>
        <v>7.419331001012468</v>
      </c>
      <c r="S340" s="16">
        <f t="shared" si="207"/>
        <v>7.8280508847065082</v>
      </c>
      <c r="T340" s="16">
        <f t="shared" si="207"/>
        <v>8.2464843934314178</v>
      </c>
      <c r="U340" s="16">
        <f t="shared" si="207"/>
        <v>8.6741216338815725</v>
      </c>
      <c r="V340" s="16">
        <f t="shared" si="207"/>
        <v>9.1104536804069181</v>
      </c>
      <c r="W340" s="16">
        <f t="shared" si="207"/>
        <v>9.558599761304043</v>
      </c>
      <c r="X340" s="16">
        <f t="shared" si="207"/>
        <v>10.023668382871231</v>
      </c>
    </row>
    <row r="341" spans="1:24" x14ac:dyDescent="0.25">
      <c r="A341" s="11" t="s">
        <v>1030</v>
      </c>
      <c r="B341" s="10" t="str">
        <f>$B$38</f>
        <v>From Fiscal Forecasts</v>
      </c>
      <c r="D341" s="35">
        <f>SUM('Fiscal Forecasts'!D$300,'Fiscal Forecasts'!D$306)-D$340</f>
        <v>1.2330000000000001</v>
      </c>
      <c r="E341" s="35">
        <f>SUM('Fiscal Forecasts'!E$300,'Fiscal Forecasts'!E$306)-E$340</f>
        <v>-3.9489999999999994</v>
      </c>
      <c r="F341" s="35">
        <f>SUM('Fiscal Forecasts'!F$300,'Fiscal Forecasts'!F$306)-F$340</f>
        <v>-5.2540000000000004</v>
      </c>
      <c r="G341" s="35">
        <f>SUM('Fiscal Forecasts'!G$300,'Fiscal Forecasts'!G$306)-G$340</f>
        <v>-6.0860000000000012</v>
      </c>
      <c r="H341" s="35">
        <f>SUM('Fiscal Forecasts'!H$300,'Fiscal Forecasts'!H$306)-H$340</f>
        <v>6.798</v>
      </c>
      <c r="I341" s="35">
        <f>SUM('Fiscal Forecasts'!I$300,'Fiscal Forecasts'!I$306)-I$340</f>
        <v>-0.45800000000000018</v>
      </c>
      <c r="J341" s="17">
        <f>SUM('Fiscal Forecasts'!J$300,'Fiscal Forecasts'!J$306)-J$340</f>
        <v>0.60099999999999998</v>
      </c>
      <c r="K341" s="17">
        <f>SUM('Fiscal Forecasts'!K$300,'Fiscal Forecasts'!K$306)-K$340</f>
        <v>0.22799999999999976</v>
      </c>
      <c r="L341" s="17">
        <f>SUM('Fiscal Forecasts'!L$300,'Fiscal Forecasts'!L$306)-L$340</f>
        <v>0.18200000000000038</v>
      </c>
      <c r="M341" s="17">
        <f>SUM('Fiscal Forecasts'!M$300,'Fiscal Forecasts'!M$306)-M$340</f>
        <v>0.17799999999999994</v>
      </c>
      <c r="N341" s="17">
        <f>SUM('Fiscal Forecasts'!N$300,'Fiscal Forecasts'!N$306)-N$340</f>
        <v>0.16199999999999992</v>
      </c>
      <c r="O341" s="16">
        <f t="shared" ref="O341:X341" ca="1" si="208">N$341*(1+O$14)</f>
        <v>0.16898990208893588</v>
      </c>
      <c r="P341" s="16">
        <f t="shared" ca="1" si="208"/>
        <v>0.17619734820041857</v>
      </c>
      <c r="Q341" s="16">
        <f t="shared" ca="1" si="208"/>
        <v>0.18342044364656629</v>
      </c>
      <c r="R341" s="16">
        <f t="shared" ca="1" si="208"/>
        <v>0.19064289879790539</v>
      </c>
      <c r="S341" s="16">
        <f t="shared" ca="1" si="208"/>
        <v>0.19802460663705423</v>
      </c>
      <c r="T341" s="16">
        <f t="shared" ca="1" si="208"/>
        <v>0.20555430201785468</v>
      </c>
      <c r="U341" s="16">
        <f t="shared" ca="1" si="208"/>
        <v>0.21318439121948451</v>
      </c>
      <c r="V341" s="16">
        <f t="shared" ca="1" si="208"/>
        <v>0.22092919733992919</v>
      </c>
      <c r="W341" s="16">
        <f t="shared" ca="1" si="208"/>
        <v>0.22878843183492686</v>
      </c>
      <c r="X341" s="16">
        <f t="shared" ca="1" si="208"/>
        <v>0.23682131819704325</v>
      </c>
    </row>
    <row r="342" spans="1:24" x14ac:dyDescent="0.25">
      <c r="A342" s="9" t="s">
        <v>1031</v>
      </c>
      <c r="D342" s="65">
        <f t="shared" ref="D342:N342" si="209">SUM(D$340:D$341)</f>
        <v>3.1880000000000002</v>
      </c>
      <c r="E342" s="65">
        <f t="shared" si="209"/>
        <v>-3.9319999999999995</v>
      </c>
      <c r="F342" s="65">
        <f t="shared" si="209"/>
        <v>7.5319999999999991</v>
      </c>
      <c r="G342" s="65">
        <f t="shared" si="209"/>
        <v>-11.219000000000001</v>
      </c>
      <c r="H342" s="65">
        <f t="shared" si="209"/>
        <v>12.564</v>
      </c>
      <c r="I342" s="65">
        <f t="shared" si="209"/>
        <v>7.8940000000000001</v>
      </c>
      <c r="J342" s="66">
        <f t="shared" si="209"/>
        <v>7.2370000000000001</v>
      </c>
      <c r="K342" s="66">
        <f t="shared" si="209"/>
        <v>5.1609999999999996</v>
      </c>
      <c r="L342" s="66">
        <f t="shared" si="209"/>
        <v>5.4370000000000003</v>
      </c>
      <c r="M342" s="66">
        <f t="shared" si="209"/>
        <v>5.7480000000000002</v>
      </c>
      <c r="N342" s="66">
        <f t="shared" si="209"/>
        <v>6.0830000000000002</v>
      </c>
      <c r="O342" s="67">
        <f t="shared" ref="O342:X342" ca="1" si="210">SUM(O$340:O$341)</f>
        <v>6.4300877252816813</v>
      </c>
      <c r="P342" s="67">
        <f t="shared" ca="1" si="210"/>
        <v>6.8100267661178</v>
      </c>
      <c r="Q342" s="67">
        <f t="shared" ca="1" si="210"/>
        <v>7.2039962197330922</v>
      </c>
      <c r="R342" s="67">
        <f t="shared" ca="1" si="210"/>
        <v>7.609973899810373</v>
      </c>
      <c r="S342" s="67">
        <f t="shared" ca="1" si="210"/>
        <v>8.0260754913435619</v>
      </c>
      <c r="T342" s="67">
        <f t="shared" ca="1" si="210"/>
        <v>8.4520386954492732</v>
      </c>
      <c r="U342" s="67">
        <f t="shared" ca="1" si="210"/>
        <v>8.8873060251010578</v>
      </c>
      <c r="V342" s="67">
        <f t="shared" ca="1" si="210"/>
        <v>9.3313828777468473</v>
      </c>
      <c r="W342" s="67">
        <f t="shared" ca="1" si="210"/>
        <v>9.7873881931389697</v>
      </c>
      <c r="X342" s="67">
        <f t="shared" ca="1" si="210"/>
        <v>10.260489701068273</v>
      </c>
    </row>
    <row r="343" spans="1:24" x14ac:dyDescent="0.25">
      <c r="A343" s="11" t="s">
        <v>707</v>
      </c>
      <c r="B343" s="10" t="str">
        <f>$B$38</f>
        <v>From Fiscal Forecasts</v>
      </c>
      <c r="D343" s="35">
        <f>SUM('Fiscal Forecasts'!D$301,'Fiscal Forecasts'!D$307)</f>
        <v>-7.8920000000000003</v>
      </c>
      <c r="E343" s="35">
        <f>SUM('Fiscal Forecasts'!E$301,'Fiscal Forecasts'!E$307)</f>
        <v>-4.32</v>
      </c>
      <c r="F343" s="35">
        <f>SUM('Fiscal Forecasts'!F$301,'Fiscal Forecasts'!F$307)</f>
        <v>12.293999999999999</v>
      </c>
      <c r="G343" s="35">
        <f>SUM('Fiscal Forecasts'!G$301,'Fiscal Forecasts'!G$307)</f>
        <v>1.3290000000000006</v>
      </c>
      <c r="H343" s="35">
        <f>SUM('Fiscal Forecasts'!H$301,'Fiscal Forecasts'!H$307)</f>
        <v>3</v>
      </c>
      <c r="I343" s="35">
        <f>SUM('Fiscal Forecasts'!I$301,'Fiscal Forecasts'!I$307)</f>
        <v>-3.415</v>
      </c>
      <c r="J343" s="17">
        <f>SUM('Fiscal Forecasts'!J$301,'Fiscal Forecasts'!J$307)</f>
        <v>2.4390000000000001</v>
      </c>
      <c r="K343" s="17">
        <f>SUM('Fiscal Forecasts'!K$301,'Fiscal Forecasts'!K$307)</f>
        <v>0.495</v>
      </c>
      <c r="L343" s="17">
        <f>SUM('Fiscal Forecasts'!L$301,'Fiscal Forecasts'!L$307)</f>
        <v>0.55799999999999994</v>
      </c>
      <c r="M343" s="17">
        <f>SUM('Fiscal Forecasts'!M$301,'Fiscal Forecasts'!M$307)</f>
        <v>0.71799999999999997</v>
      </c>
      <c r="N343" s="17">
        <f>SUM('Fiscal Forecasts'!N$301,'Fiscal Forecasts'!N$307)</f>
        <v>0.84599999999999997</v>
      </c>
      <c r="O343" s="16">
        <f>N$343*Exogenous!Z$30/Exogenous!Y$30</f>
        <v>0.87030895247456774</v>
      </c>
      <c r="P343" s="16">
        <f>O$343*Exogenous!AA$30/Exogenous!Z$30</f>
        <v>0.90021458989623016</v>
      </c>
      <c r="Q343" s="16">
        <f>P$343*Exogenous!AB$30/Exogenous!AA$30</f>
        <v>0.93718600357118453</v>
      </c>
      <c r="R343" s="16">
        <f>Q$343*Exogenous!AC$30/Exogenous!AB$30</f>
        <v>0.98201162734610326</v>
      </c>
      <c r="S343" s="16">
        <f>R$343*Exogenous!AD$30/Exogenous!AC$30</f>
        <v>1.0357638501687936</v>
      </c>
      <c r="T343" s="16">
        <f>S$343*Exogenous!AE$30/Exogenous!AD$30</f>
        <v>1.0999479685204643</v>
      </c>
      <c r="U343" s="16">
        <f>T$343*Exogenous!AF$30/Exogenous!AE$30</f>
        <v>1.1760406188486949</v>
      </c>
      <c r="V343" s="16">
        <f>U$343*Exogenous!AG$30/Exogenous!AF$30</f>
        <v>1.2601233386649373</v>
      </c>
      <c r="W343" s="16">
        <f>V$343*Exogenous!AH$30/Exogenous!AG$30</f>
        <v>1.3477984052712371</v>
      </c>
      <c r="X343" s="16">
        <f>W$343*Exogenous!AI$30/Exogenous!AH$30</f>
        <v>1.4380528436061066</v>
      </c>
    </row>
    <row r="344" spans="1:24" x14ac:dyDescent="0.25">
      <c r="A344" s="11" t="s">
        <v>904</v>
      </c>
      <c r="B344" s="10" t="str">
        <f>$B$38</f>
        <v>From Fiscal Forecasts</v>
      </c>
      <c r="D344" s="35">
        <f>SUM('Fiscal Forecasts'!D$302,'Fiscal Forecasts'!D$308)</f>
        <v>0.254</v>
      </c>
      <c r="E344" s="35">
        <f>SUM('Fiscal Forecasts'!E$302,'Fiscal Forecasts'!E$308)</f>
        <v>-6.9000000000000006E-2</v>
      </c>
      <c r="F344" s="35">
        <f>SUM('Fiscal Forecasts'!F$302,'Fiscal Forecasts'!F$308)</f>
        <v>0.23199999999999998</v>
      </c>
      <c r="G344" s="35">
        <f>SUM('Fiscal Forecasts'!G$302,'Fiscal Forecasts'!G$308)</f>
        <v>0.85899999999999999</v>
      </c>
      <c r="H344" s="35">
        <f>SUM('Fiscal Forecasts'!H$302,'Fiscal Forecasts'!H$308)</f>
        <v>-0.13799999999999998</v>
      </c>
      <c r="I344" s="35">
        <f>SUM('Fiscal Forecasts'!I$302,'Fiscal Forecasts'!I$308)</f>
        <v>0.46499999999999997</v>
      </c>
      <c r="J344" s="17">
        <f>SUM('Fiscal Forecasts'!J$302,'Fiscal Forecasts'!J$308)</f>
        <v>7.5999999999999998E-2</v>
      </c>
      <c r="K344" s="17">
        <f>SUM('Fiscal Forecasts'!K$302,'Fiscal Forecasts'!K$308)</f>
        <v>0.1</v>
      </c>
      <c r="L344" s="17">
        <f>SUM('Fiscal Forecasts'!L$302,'Fiscal Forecasts'!L$308)</f>
        <v>6.4000000000000001E-2</v>
      </c>
      <c r="M344" s="17">
        <f>SUM('Fiscal Forecasts'!M$302,'Fiscal Forecasts'!M$308)</f>
        <v>5.7000000000000002E-2</v>
      </c>
      <c r="N344" s="17">
        <f>SUM('Fiscal Forecasts'!N$302,'Fiscal Forecasts'!N$308)</f>
        <v>3.7999999999999999E-2</v>
      </c>
      <c r="O344" s="16">
        <f t="shared" ref="O344:X344" ca="1" si="211">N$344*(1+O$14)</f>
        <v>3.9639606662836828E-2</v>
      </c>
      <c r="P344" s="16">
        <f t="shared" ca="1" si="211"/>
        <v>4.1330242170468573E-2</v>
      </c>
      <c r="Q344" s="16">
        <f t="shared" ca="1" si="211"/>
        <v>4.3024548509688412E-2</v>
      </c>
      <c r="R344" s="16">
        <f t="shared" ca="1" si="211"/>
        <v>4.4718704656298819E-2</v>
      </c>
      <c r="S344" s="16">
        <f t="shared" ca="1" si="211"/>
        <v>4.6450216371654723E-2</v>
      </c>
      <c r="T344" s="16">
        <f t="shared" ca="1" si="211"/>
        <v>4.8216441214064709E-2</v>
      </c>
      <c r="U344" s="16">
        <f t="shared" ca="1" si="211"/>
        <v>5.0006215224323559E-2</v>
      </c>
      <c r="V344" s="16">
        <f t="shared" ca="1" si="211"/>
        <v>5.1822898141464908E-2</v>
      </c>
      <c r="W344" s="16">
        <f t="shared" ca="1" si="211"/>
        <v>5.3666422282266833E-2</v>
      </c>
      <c r="X344" s="16">
        <f t="shared" ca="1" si="211"/>
        <v>5.5550679577084254E-2</v>
      </c>
    </row>
    <row r="345" spans="1:24" x14ac:dyDescent="0.25">
      <c r="A345" s="11" t="s">
        <v>866</v>
      </c>
      <c r="B345" s="10" t="str">
        <f>$B$38</f>
        <v>From Fiscal Forecasts</v>
      </c>
      <c r="D345" s="35">
        <f>SUM('Fiscal Forecasts'!D$24,'Fiscal Forecasts'!D$25)-SUM(D$342:D$344)</f>
        <v>-2.6809999999999983</v>
      </c>
      <c r="E345" s="35">
        <f>SUM('Fiscal Forecasts'!E$24,'Fiscal Forecasts'!E$25)-SUM(E$342:E$344)</f>
        <v>-0.4009999999999998</v>
      </c>
      <c r="F345" s="35">
        <f>SUM('Fiscal Forecasts'!F$24,'Fiscal Forecasts'!F$25)-SUM(F$342:F$344)</f>
        <v>0.96500000000000341</v>
      </c>
      <c r="G345" s="35">
        <f>SUM('Fiscal Forecasts'!G$24,'Fiscal Forecasts'!G$25)-SUM(G$342:G$344)</f>
        <v>2.3090000000000011</v>
      </c>
      <c r="H345" s="35">
        <f>SUM('Fiscal Forecasts'!H$24,'Fiscal Forecasts'!H$25)-SUM(H$342:H$344)</f>
        <v>-0.76799999999999891</v>
      </c>
      <c r="I345" s="35">
        <f>SUM('Fiscal Forecasts'!I$24,'Fiscal Forecasts'!I$25)-SUM(I$342:I$344)</f>
        <v>-0.27700000000000014</v>
      </c>
      <c r="J345" s="17">
        <f>SUM('Fiscal Forecasts'!J$24,'Fiscal Forecasts'!J$25)-SUM(J$342:J$344)</f>
        <v>-0.67099999999999937</v>
      </c>
      <c r="K345" s="17">
        <f>SUM('Fiscal Forecasts'!K$24,'Fiscal Forecasts'!K$25)-SUM(K$342:K$344)</f>
        <v>-6.3999999999999169E-2</v>
      </c>
      <c r="L345" s="17">
        <f>SUM('Fiscal Forecasts'!L$24,'Fiscal Forecasts'!L$25)-SUM(L$342:L$344)</f>
        <v>-4.1999999999999815E-2</v>
      </c>
      <c r="M345" s="17">
        <f>SUM('Fiscal Forecasts'!M$24,'Fiscal Forecasts'!M$25)-SUM(M$342:M$344)</f>
        <v>-4.9000000000000377E-2</v>
      </c>
      <c r="N345" s="17">
        <f>SUM('Fiscal Forecasts'!N$24,'Fiscal Forecasts'!N$25)-SUM(N$342:N$344)</f>
        <v>-5.3000000000000824E-2</v>
      </c>
      <c r="O345" s="16">
        <f t="shared" ref="O345:X345" ca="1" si="212">N$345*(1+O$14)</f>
        <v>-5.5286819819220651E-2</v>
      </c>
      <c r="P345" s="16">
        <f t="shared" ca="1" si="212"/>
        <v>-5.7644811448286017E-2</v>
      </c>
      <c r="Q345" s="16">
        <f t="shared" ca="1" si="212"/>
        <v>-6.0007922921408455E-2</v>
      </c>
      <c r="R345" s="16">
        <f t="shared" ca="1" si="212"/>
        <v>-6.2370824915365108E-2</v>
      </c>
      <c r="S345" s="16">
        <f t="shared" ca="1" si="212"/>
        <v>-6.4785828097308901E-2</v>
      </c>
      <c r="T345" s="16">
        <f t="shared" ca="1" si="212"/>
        <v>-6.7249246956459702E-2</v>
      </c>
      <c r="U345" s="16">
        <f t="shared" ca="1" si="212"/>
        <v>-6.9745510707610245E-2</v>
      </c>
      <c r="V345" s="16">
        <f t="shared" ca="1" si="212"/>
        <v>-7.2279305302570582E-2</v>
      </c>
      <c r="W345" s="16">
        <f t="shared" ca="1" si="212"/>
        <v>-7.4850536341057525E-2</v>
      </c>
      <c r="X345" s="16">
        <f t="shared" ca="1" si="212"/>
        <v>-7.7478579410145021E-2</v>
      </c>
    </row>
    <row r="346" spans="1:24" x14ac:dyDescent="0.25">
      <c r="A346" s="9" t="s">
        <v>1032</v>
      </c>
      <c r="D346" s="65">
        <f t="shared" ref="D346:N346" si="213">SUM(D$342:D$345)</f>
        <v>-7.1309999999999993</v>
      </c>
      <c r="E346" s="65">
        <f t="shared" si="213"/>
        <v>-8.7219999999999995</v>
      </c>
      <c r="F346" s="65">
        <f t="shared" si="213"/>
        <v>21.023</v>
      </c>
      <c r="G346" s="65">
        <f t="shared" si="213"/>
        <v>-6.7219999999999995</v>
      </c>
      <c r="H346" s="65">
        <f t="shared" si="213"/>
        <v>14.658000000000001</v>
      </c>
      <c r="I346" s="65">
        <f t="shared" si="213"/>
        <v>4.6669999999999998</v>
      </c>
      <c r="J346" s="66">
        <f t="shared" si="213"/>
        <v>9.0810000000000013</v>
      </c>
      <c r="K346" s="66">
        <f t="shared" si="213"/>
        <v>5.6920000000000002</v>
      </c>
      <c r="L346" s="66">
        <f t="shared" si="213"/>
        <v>6.0170000000000003</v>
      </c>
      <c r="M346" s="66">
        <f t="shared" si="213"/>
        <v>6.4740000000000002</v>
      </c>
      <c r="N346" s="66">
        <f t="shared" si="213"/>
        <v>6.9139999999999997</v>
      </c>
      <c r="O346" s="67">
        <f t="shared" ref="O346:X346" ca="1" si="214">SUM(O$342:O$345)</f>
        <v>7.2847494645998649</v>
      </c>
      <c r="P346" s="67">
        <f t="shared" ca="1" si="214"/>
        <v>7.6939267867362133</v>
      </c>
      <c r="Q346" s="67">
        <f t="shared" ca="1" si="214"/>
        <v>8.1241988488925561</v>
      </c>
      <c r="R346" s="67">
        <f t="shared" ca="1" si="214"/>
        <v>8.5743334068974093</v>
      </c>
      <c r="S346" s="67">
        <f t="shared" ca="1" si="214"/>
        <v>9.0435037297867016</v>
      </c>
      <c r="T346" s="67">
        <f t="shared" ca="1" si="214"/>
        <v>9.5329538582273425</v>
      </c>
      <c r="U346" s="67">
        <f t="shared" ca="1" si="214"/>
        <v>10.043607348466466</v>
      </c>
      <c r="V346" s="67">
        <f t="shared" ca="1" si="214"/>
        <v>10.571049809250679</v>
      </c>
      <c r="W346" s="67">
        <f t="shared" ca="1" si="214"/>
        <v>11.114002484351417</v>
      </c>
      <c r="X346" s="67">
        <f t="shared" ca="1" si="214"/>
        <v>11.676614644841319</v>
      </c>
    </row>
    <row r="348" spans="1:24" x14ac:dyDescent="0.25">
      <c r="A348" s="9" t="s">
        <v>546</v>
      </c>
    </row>
    <row r="349" spans="1:24" x14ac:dyDescent="0.25">
      <c r="A349" s="9" t="s">
        <v>1033</v>
      </c>
      <c r="B349" s="10" t="str">
        <f>$B$38</f>
        <v>From Fiscal Forecasts</v>
      </c>
      <c r="D349" s="42">
        <f>'Fiscal Forecasts'!D$177-SUM('Fiscal Forecasts'!D$300,'Fiscal Forecasts'!D$306)</f>
        <v>4.0000000000000036E-3</v>
      </c>
      <c r="E349" s="42">
        <f>'Fiscal Forecasts'!E$177-SUM('Fiscal Forecasts'!E$300,'Fiscal Forecasts'!E$306)</f>
        <v>-4.2000000000000703E-2</v>
      </c>
      <c r="F349" s="42">
        <f>'Fiscal Forecasts'!F$177-SUM('Fiscal Forecasts'!F$300,'Fiscal Forecasts'!F$306)</f>
        <v>-3.199999999999914E-2</v>
      </c>
      <c r="G349" s="42">
        <f>'Fiscal Forecasts'!G$177-SUM('Fiscal Forecasts'!G$300,'Fiscal Forecasts'!G$306)</f>
        <v>-0.18699999999999939</v>
      </c>
      <c r="H349" s="42">
        <f>'Fiscal Forecasts'!H$177-SUM('Fiscal Forecasts'!H$300,'Fiscal Forecasts'!H$306)</f>
        <v>-9.5000000000000639E-2</v>
      </c>
      <c r="I349" s="42">
        <f>'Fiscal Forecasts'!I$177-SUM('Fiscal Forecasts'!I$300,'Fiscal Forecasts'!I$306)</f>
        <v>-9.9999999999997868E-3</v>
      </c>
      <c r="J349" s="43">
        <f>'Fiscal Forecasts'!J$177-SUM('Fiscal Forecasts'!J$300,'Fiscal Forecasts'!J$306)</f>
        <v>9.0000000000003411E-3</v>
      </c>
      <c r="K349" s="43">
        <f>'Fiscal Forecasts'!K$177-SUM('Fiscal Forecasts'!K$300,'Fiscal Forecasts'!K$306)</f>
        <v>1.4000000000000234E-2</v>
      </c>
      <c r="L349" s="43">
        <f>'Fiscal Forecasts'!L$177-SUM('Fiscal Forecasts'!L$300,'Fiscal Forecasts'!L$306)</f>
        <v>1.2999999999999901E-2</v>
      </c>
      <c r="M349" s="43">
        <f>'Fiscal Forecasts'!M$177-SUM('Fiscal Forecasts'!M$300,'Fiscal Forecasts'!M$306)</f>
        <v>9.9999999999997868E-3</v>
      </c>
      <c r="N349" s="43">
        <f>'Fiscal Forecasts'!N$177-SUM('Fiscal Forecasts'!N$300,'Fiscal Forecasts'!N$306)</f>
        <v>1.4000000000000234E-2</v>
      </c>
      <c r="O349" s="47">
        <f t="shared" ref="O349:X349" ca="1" si="215">N$349*(1+O$14)</f>
        <v>1.460406561262434E-2</v>
      </c>
      <c r="P349" s="47">
        <f t="shared" ca="1" si="215"/>
        <v>1.522693132596236E-2</v>
      </c>
      <c r="Q349" s="47">
        <f t="shared" ca="1" si="215"/>
        <v>1.5851149450938101E-2</v>
      </c>
      <c r="R349" s="47">
        <f t="shared" ca="1" si="215"/>
        <v>1.6475312241794576E-2</v>
      </c>
      <c r="S349" s="47">
        <f t="shared" ca="1" si="215"/>
        <v>1.711323761060992E-2</v>
      </c>
      <c r="T349" s="47">
        <f t="shared" ca="1" si="215"/>
        <v>1.7763952026234663E-2</v>
      </c>
      <c r="U349" s="47">
        <f t="shared" ca="1" si="215"/>
        <v>1.8423342451066884E-2</v>
      </c>
      <c r="V349" s="47">
        <f t="shared" ca="1" si="215"/>
        <v>1.9092646683697919E-2</v>
      </c>
      <c r="W349" s="47">
        <f t="shared" ca="1" si="215"/>
        <v>1.9771839788203904E-2</v>
      </c>
      <c r="X349" s="47">
        <f t="shared" ca="1" si="215"/>
        <v>2.0466039844189283E-2</v>
      </c>
    </row>
    <row r="350" spans="1:24" x14ac:dyDescent="0.25">
      <c r="A350" s="9" t="s">
        <v>1034</v>
      </c>
      <c r="B350" s="10" t="str">
        <f>$B$38</f>
        <v>From Fiscal Forecasts</v>
      </c>
      <c r="D350" s="42">
        <f>'Fiscal Forecasts'!D$27</f>
        <v>0.20599999999999999</v>
      </c>
      <c r="E350" s="42">
        <f>'Fiscal Forecasts'!E$27</f>
        <v>1.1930000000000001</v>
      </c>
      <c r="F350" s="42">
        <f>'Fiscal Forecasts'!F$27</f>
        <v>-0.36</v>
      </c>
      <c r="G350" s="42">
        <f>'Fiscal Forecasts'!G$27</f>
        <v>-0.126</v>
      </c>
      <c r="H350" s="42">
        <f>'Fiscal Forecasts'!H$27</f>
        <v>2.9000000000000001E-2</v>
      </c>
      <c r="I350" s="42">
        <f>'Fiscal Forecasts'!I$27</f>
        <v>0.12</v>
      </c>
      <c r="J350" s="43">
        <f>'Fiscal Forecasts'!J$27</f>
        <v>0.192</v>
      </c>
      <c r="K350" s="43">
        <f>'Fiscal Forecasts'!K$27</f>
        <v>7.0999999999999994E-2</v>
      </c>
      <c r="L350" s="43">
        <f>'Fiscal Forecasts'!L$27</f>
        <v>0.114</v>
      </c>
      <c r="M350" s="43">
        <f>'Fiscal Forecasts'!M$27</f>
        <v>0.14799999999999999</v>
      </c>
      <c r="N350" s="43">
        <f>'Fiscal Forecasts'!N$27</f>
        <v>0.21099999999999999</v>
      </c>
      <c r="O350" s="47">
        <f t="shared" ref="O350:X350" ca="1" si="216">O$349+(N$350-N$349)*(1+O$14)</f>
        <v>0.2201041317331203</v>
      </c>
      <c r="P350" s="47">
        <f t="shared" ca="1" si="216"/>
        <v>0.22949160784128603</v>
      </c>
      <c r="Q350" s="47">
        <f t="shared" ca="1" si="216"/>
        <v>0.2388994667248488</v>
      </c>
      <c r="R350" s="47">
        <f t="shared" ca="1" si="216"/>
        <v>0.24830649164418553</v>
      </c>
      <c r="S350" s="47">
        <f t="shared" ca="1" si="216"/>
        <v>0.25792093827418805</v>
      </c>
      <c r="T350" s="47">
        <f t="shared" ca="1" si="216"/>
        <v>0.26772813410967505</v>
      </c>
      <c r="U350" s="47">
        <f t="shared" ca="1" si="216"/>
        <v>0.27766608979821761</v>
      </c>
      <c r="V350" s="47">
        <f t="shared" ca="1" si="216"/>
        <v>0.28775346073287089</v>
      </c>
      <c r="W350" s="47">
        <f t="shared" ca="1" si="216"/>
        <v>0.2979898710936395</v>
      </c>
      <c r="X350" s="47">
        <f t="shared" ca="1" si="216"/>
        <v>0.30845245765170465</v>
      </c>
    </row>
    <row r="352" spans="1:24" x14ac:dyDescent="0.25">
      <c r="A352" s="9" t="s">
        <v>618</v>
      </c>
    </row>
    <row r="353" spans="1:24" x14ac:dyDescent="0.25">
      <c r="A353" s="11" t="s">
        <v>1035</v>
      </c>
      <c r="D353" s="35">
        <f ca="1">OFFSET(Assumptions!$B$49,0,$C$1)*(D$393-D$359-D$400)</f>
        <v>2.1936</v>
      </c>
      <c r="E353" s="35">
        <f ca="1">OFFSET(Assumptions!$B$49,0,$C$1)*(E$393-E$359-E$400)</f>
        <v>2.1622500000000002</v>
      </c>
      <c r="F353" s="35">
        <f ca="1">OFFSET(Assumptions!$B$49,0,$C$1)*(F$393-F$359-F$400)</f>
        <v>2.7988999999999997</v>
      </c>
      <c r="G353" s="35">
        <f ca="1">OFFSET(Assumptions!$B$49,0,$C$1)*(G$393-G$359-G$400)</f>
        <v>3.0148999999999999</v>
      </c>
      <c r="H353" s="35">
        <f ca="1">OFFSET(Assumptions!$B$49,0,$C$1)*(H$393-H$359-H$400)</f>
        <v>2.9520000000000008</v>
      </c>
      <c r="I353" s="35">
        <f ca="1">OFFSET(Assumptions!$B$49,0,$C$1)*(I$393-I$359-I$400)</f>
        <v>3.3731499999999999</v>
      </c>
      <c r="J353" s="17">
        <f ca="1">OFFSET(Assumptions!$B$49,0,$C$1)*(J$393-J$359-J$400)</f>
        <v>4.0500500000000006</v>
      </c>
      <c r="K353" s="17">
        <f ca="1">OFFSET(Assumptions!$B$49,0,$C$1)*(K$393-K$359-K$400)</f>
        <v>4.2547000000000006</v>
      </c>
      <c r="L353" s="17">
        <f ca="1">OFFSET(Assumptions!$B$49,0,$C$1)*(L$393-L$359-L$400)</f>
        <v>4.6192500000000001</v>
      </c>
      <c r="M353" s="17">
        <f ca="1">OFFSET(Assumptions!$B$49,0,$C$1)*(M$393-M$359-M$400)</f>
        <v>4.8220500000000008</v>
      </c>
      <c r="N353" s="17">
        <f ca="1">OFFSET(Assumptions!$B$49,0,$C$1)*(N$393-N$359-N$400)</f>
        <v>5.0848000000000004</v>
      </c>
      <c r="O353" s="16">
        <f ca="1">OFFSET(Assumptions!$B$49,0,$C$1)*(O$393-O$359-O$400)</f>
        <v>5.2691407492428883</v>
      </c>
      <c r="P353" s="16">
        <f ca="1">OFFSET(Assumptions!$B$49,0,$C$1)*(P$393-P$359-P$400)</f>
        <v>5.5756066603188899</v>
      </c>
      <c r="Q353" s="16">
        <f ca="1">OFFSET(Assumptions!$B$49,0,$C$1)*(Q$393-Q$359-Q$400)</f>
        <v>5.89270989439121</v>
      </c>
      <c r="R353" s="16">
        <f ca="1">OFFSET(Assumptions!$B$49,0,$C$1)*(R$393-R$359-R$400)</f>
        <v>6.21830869392819</v>
      </c>
      <c r="S353" s="16">
        <f ca="1">OFFSET(Assumptions!$B$49,0,$C$1)*(S$393-S$359-S$400)</f>
        <v>6.551355696471119</v>
      </c>
      <c r="T353" s="16">
        <f ca="1">OFFSET(Assumptions!$B$49,0,$C$1)*(T$393-T$359-T$400)</f>
        <v>6.8926672220266711</v>
      </c>
      <c r="U353" s="16">
        <f ca="1">OFFSET(Assumptions!$B$49,0,$C$1)*(U$393-U$359-U$400)</f>
        <v>7.2403549648485566</v>
      </c>
      <c r="V353" s="16">
        <f ca="1">OFFSET(Assumptions!$B$49,0,$C$1)*(V$393-V$359-V$400)</f>
        <v>7.595790712662998</v>
      </c>
      <c r="W353" s="16">
        <f ca="1">OFFSET(Assumptions!$B$49,0,$C$1)*(W$393-W$359-W$400)</f>
        <v>7.9628571614521393</v>
      </c>
      <c r="X353" s="16">
        <f ca="1">OFFSET(Assumptions!$B$49,0,$C$1)*(X$393-X$359-X$400)</f>
        <v>8.3459421601523438</v>
      </c>
    </row>
    <row r="354" spans="1:24" x14ac:dyDescent="0.25">
      <c r="A354" s="11" t="s">
        <v>1037</v>
      </c>
      <c r="B354" s="10" t="str">
        <f>$B$38</f>
        <v>From Fiscal Forecasts</v>
      </c>
      <c r="D354" s="35">
        <f ca="1">'Fiscal Forecasts'!D$180-D$353</f>
        <v>15.1844</v>
      </c>
      <c r="E354" s="35">
        <f ca="1">'Fiscal Forecasts'!E$180-E$353</f>
        <v>16.018750000000001</v>
      </c>
      <c r="F354" s="35">
        <f ca="1">'Fiscal Forecasts'!F$180-F$353</f>
        <v>10.3301</v>
      </c>
      <c r="G354" s="35">
        <f ca="1">'Fiscal Forecasts'!G$180-G$353</f>
        <v>8.3931000000000004</v>
      </c>
      <c r="H354" s="35">
        <f ca="1">'Fiscal Forecasts'!H$180-H$353</f>
        <v>8.0210000000000008</v>
      </c>
      <c r="I354" s="35">
        <f ca="1">'Fiscal Forecasts'!I$180-I$353</f>
        <v>5.7378500000000008</v>
      </c>
      <c r="J354" s="17">
        <f ca="1">'Fiscal Forecasts'!J$180-J$353</f>
        <v>12.328950000000001</v>
      </c>
      <c r="K354" s="17">
        <f ca="1">'Fiscal Forecasts'!K$180-K$353</f>
        <v>12.519300000000001</v>
      </c>
      <c r="L354" s="17">
        <f ca="1">'Fiscal Forecasts'!L$180-L$353</f>
        <v>13.011749999999999</v>
      </c>
      <c r="M354" s="17">
        <f ca="1">'Fiscal Forecasts'!M$180-M$353</f>
        <v>11.965949999999999</v>
      </c>
      <c r="N354" s="17">
        <f ca="1">'Fiscal Forecasts'!N$180-N$353</f>
        <v>11.277199999999997</v>
      </c>
      <c r="O354" s="16">
        <f t="shared" ref="O354:X354" ca="1" si="217">N$354</f>
        <v>11.277199999999997</v>
      </c>
      <c r="P354" s="16">
        <f t="shared" ca="1" si="217"/>
        <v>11.277199999999997</v>
      </c>
      <c r="Q354" s="16">
        <f t="shared" ca="1" si="217"/>
        <v>11.277199999999997</v>
      </c>
      <c r="R354" s="16">
        <f t="shared" ca="1" si="217"/>
        <v>11.277199999999997</v>
      </c>
      <c r="S354" s="16">
        <f t="shared" ca="1" si="217"/>
        <v>11.277199999999997</v>
      </c>
      <c r="T354" s="16">
        <f t="shared" ca="1" si="217"/>
        <v>11.277199999999997</v>
      </c>
      <c r="U354" s="16">
        <f t="shared" ca="1" si="217"/>
        <v>11.277199999999997</v>
      </c>
      <c r="V354" s="16">
        <f t="shared" ca="1" si="217"/>
        <v>11.277199999999997</v>
      </c>
      <c r="W354" s="16">
        <f t="shared" ca="1" si="217"/>
        <v>11.277199999999997</v>
      </c>
      <c r="X354" s="16">
        <f t="shared" ca="1" si="217"/>
        <v>11.277199999999997</v>
      </c>
    </row>
    <row r="355" spans="1:24" x14ac:dyDescent="0.25">
      <c r="A355" s="9" t="s">
        <v>1038</v>
      </c>
      <c r="D355" s="65">
        <f t="shared" ref="D355:X355" ca="1" si="218">SUM(D$353:D$354)</f>
        <v>17.378</v>
      </c>
      <c r="E355" s="65">
        <f t="shared" ca="1" si="218"/>
        <v>18.181000000000001</v>
      </c>
      <c r="F355" s="65">
        <f t="shared" ca="1" si="218"/>
        <v>13.129</v>
      </c>
      <c r="G355" s="65">
        <f t="shared" ca="1" si="218"/>
        <v>11.408000000000001</v>
      </c>
      <c r="H355" s="65">
        <f t="shared" ca="1" si="218"/>
        <v>10.973000000000003</v>
      </c>
      <c r="I355" s="65">
        <f t="shared" ca="1" si="218"/>
        <v>9.1110000000000007</v>
      </c>
      <c r="J355" s="66">
        <f t="shared" ca="1" si="218"/>
        <v>16.379000000000001</v>
      </c>
      <c r="K355" s="66">
        <f t="shared" ca="1" si="218"/>
        <v>16.774000000000001</v>
      </c>
      <c r="L355" s="66">
        <f t="shared" ca="1" si="218"/>
        <v>17.631</v>
      </c>
      <c r="M355" s="66">
        <f t="shared" ca="1" si="218"/>
        <v>16.788</v>
      </c>
      <c r="N355" s="66">
        <f t="shared" ca="1" si="218"/>
        <v>16.361999999999998</v>
      </c>
      <c r="O355" s="67">
        <f t="shared" ca="1" si="218"/>
        <v>16.546340749242887</v>
      </c>
      <c r="P355" s="67">
        <f t="shared" ca="1" si="218"/>
        <v>16.852806660318887</v>
      </c>
      <c r="Q355" s="67">
        <f t="shared" ca="1" si="218"/>
        <v>17.169909894391207</v>
      </c>
      <c r="R355" s="67">
        <f t="shared" ca="1" si="218"/>
        <v>17.495508693928187</v>
      </c>
      <c r="S355" s="67">
        <f t="shared" ca="1" si="218"/>
        <v>17.828555696471117</v>
      </c>
      <c r="T355" s="67">
        <f t="shared" ca="1" si="218"/>
        <v>18.169867222026667</v>
      </c>
      <c r="U355" s="67">
        <f t="shared" ca="1" si="218"/>
        <v>18.517554964848554</v>
      </c>
      <c r="V355" s="67">
        <f t="shared" ca="1" si="218"/>
        <v>18.872990712662997</v>
      </c>
      <c r="W355" s="67">
        <f t="shared" ca="1" si="218"/>
        <v>19.240057161452135</v>
      </c>
      <c r="X355" s="67">
        <f t="shared" ca="1" si="218"/>
        <v>19.623142160152341</v>
      </c>
    </row>
    <row r="356" spans="1:24" x14ac:dyDescent="0.25">
      <c r="A356" s="9" t="s">
        <v>1039</v>
      </c>
      <c r="B356" s="10" t="str">
        <f>$B$38</f>
        <v>From Fiscal Forecasts</v>
      </c>
      <c r="D356" s="42">
        <f>'Fiscal Forecasts'!D$120</f>
        <v>20.248000000000001</v>
      </c>
      <c r="E356" s="42">
        <f>'Fiscal Forecasts'!E$120</f>
        <v>21.927</v>
      </c>
      <c r="F356" s="42">
        <f>'Fiscal Forecasts'!F$120</f>
        <v>18.754999999999999</v>
      </c>
      <c r="G356" s="42">
        <f>'Fiscal Forecasts'!G$120</f>
        <v>17.835000000000001</v>
      </c>
      <c r="H356" s="42">
        <f>'Fiscal Forecasts'!H$120</f>
        <v>18.791</v>
      </c>
      <c r="I356" s="42">
        <f>'Fiscal Forecasts'!I$120</f>
        <v>16.212</v>
      </c>
      <c r="J356" s="43">
        <f>'Fiscal Forecasts'!J$120</f>
        <v>22.709</v>
      </c>
      <c r="K356" s="43">
        <f>'Fiscal Forecasts'!K$120</f>
        <v>22.849</v>
      </c>
      <c r="L356" s="43">
        <f>'Fiscal Forecasts'!L$120</f>
        <v>23.614999999999998</v>
      </c>
      <c r="M356" s="43">
        <f>'Fiscal Forecasts'!M$120</f>
        <v>22.956</v>
      </c>
      <c r="N356" s="43">
        <f>'Fiscal Forecasts'!N$120</f>
        <v>22.818000000000001</v>
      </c>
      <c r="O356" s="47">
        <f t="shared" ref="O356:X356" ca="1" si="219">O$355+(N$356-N$355)*(1+O$29)</f>
        <v>23.131460749242891</v>
      </c>
      <c r="P356" s="47">
        <f t="shared" ca="1" si="219"/>
        <v>23.569629060318888</v>
      </c>
      <c r="Q356" s="47">
        <f t="shared" ca="1" si="219"/>
        <v>24.021068742391208</v>
      </c>
      <c r="R356" s="47">
        <f t="shared" ca="1" si="219"/>
        <v>24.483690718888187</v>
      </c>
      <c r="S356" s="47">
        <f t="shared" ca="1" si="219"/>
        <v>24.956501361930318</v>
      </c>
      <c r="T356" s="47">
        <f t="shared" ca="1" si="219"/>
        <v>25.440371800795052</v>
      </c>
      <c r="U356" s="47">
        <f t="shared" ca="1" si="219"/>
        <v>25.933469635192306</v>
      </c>
      <c r="V356" s="47">
        <f t="shared" ca="1" si="219"/>
        <v>26.437223676413623</v>
      </c>
      <c r="W356" s="47">
        <f t="shared" ca="1" si="219"/>
        <v>26.955574784477776</v>
      </c>
      <c r="X356" s="47">
        <f t="shared" ca="1" si="219"/>
        <v>27.492970135638494</v>
      </c>
    </row>
    <row r="358" spans="1:24" x14ac:dyDescent="0.25">
      <c r="A358" s="9" t="s">
        <v>619</v>
      </c>
    </row>
    <row r="359" spans="1:24" x14ac:dyDescent="0.25">
      <c r="A359" s="11" t="s">
        <v>1040</v>
      </c>
      <c r="D359" s="35">
        <f t="shared" ref="D359:N359" si="220">D$393-D$76+D$75-D$72</f>
        <v>-1.567999999999997</v>
      </c>
      <c r="E359" s="35">
        <f t="shared" si="220"/>
        <v>1.2899999999999934</v>
      </c>
      <c r="F359" s="35">
        <f t="shared" si="220"/>
        <v>0.86300000000000299</v>
      </c>
      <c r="G359" s="35">
        <f t="shared" si="220"/>
        <v>0.49900000000000599</v>
      </c>
      <c r="H359" s="35">
        <f t="shared" si="220"/>
        <v>1.8429999999999807</v>
      </c>
      <c r="I359" s="35">
        <f t="shared" si="220"/>
        <v>2.6770000000000094</v>
      </c>
      <c r="J359" s="17">
        <f t="shared" si="220"/>
        <v>-0.41299999999999581</v>
      </c>
      <c r="K359" s="17">
        <f t="shared" si="220"/>
        <v>-0.78700000000000259</v>
      </c>
      <c r="L359" s="17">
        <f t="shared" si="220"/>
        <v>-1.8110000000000026</v>
      </c>
      <c r="M359" s="17">
        <f t="shared" si="220"/>
        <v>-1.0680000000000067</v>
      </c>
      <c r="N359" s="17">
        <f t="shared" si="220"/>
        <v>-0.71799999999999375</v>
      </c>
      <c r="O359" s="16">
        <f t="shared" ref="O359:X359" ca="1" si="221">SUM(N$359,O$457-N$457,O$483-N$483)</f>
        <v>1.966872180400745</v>
      </c>
      <c r="P359" s="16">
        <f t="shared" ca="1" si="221"/>
        <v>2.1636306626569968</v>
      </c>
      <c r="Q359" s="16">
        <f t="shared" ca="1" si="221"/>
        <v>2.3672185619948354</v>
      </c>
      <c r="R359" s="16">
        <f t="shared" ca="1" si="221"/>
        <v>2.5762608185917402</v>
      </c>
      <c r="S359" s="16">
        <f t="shared" ca="1" si="221"/>
        <v>2.7900850005709548</v>
      </c>
      <c r="T359" s="16">
        <f t="shared" ca="1" si="221"/>
        <v>3.009215205000848</v>
      </c>
      <c r="U359" s="16">
        <f t="shared" ca="1" si="221"/>
        <v>3.2324390941980119</v>
      </c>
      <c r="V359" s="16">
        <f t="shared" ca="1" si="221"/>
        <v>3.4606373888600248</v>
      </c>
      <c r="W359" s="16">
        <f t="shared" ca="1" si="221"/>
        <v>3.6963028731462466</v>
      </c>
      <c r="X359" s="16">
        <f t="shared" ca="1" si="221"/>
        <v>3.9422526515563479</v>
      </c>
    </row>
    <row r="360" spans="1:24" x14ac:dyDescent="0.25">
      <c r="A360" s="11" t="s">
        <v>752</v>
      </c>
      <c r="B360" s="10" t="str">
        <f>$B$38</f>
        <v>From Fiscal Forecasts</v>
      </c>
      <c r="D360" s="35">
        <f>'Fiscal Forecasts'!D$318</f>
        <v>13.763999999999999</v>
      </c>
      <c r="E360" s="35">
        <f>'Fiscal Forecasts'!E$318</f>
        <v>14.29</v>
      </c>
      <c r="F360" s="35">
        <f>'Fiscal Forecasts'!F$318</f>
        <v>15.641999999999999</v>
      </c>
      <c r="G360" s="35">
        <f>'Fiscal Forecasts'!G$318</f>
        <v>20.076000000000001</v>
      </c>
      <c r="H360" s="35">
        <f>'Fiscal Forecasts'!H$318</f>
        <v>20.298999999999999</v>
      </c>
      <c r="I360" s="35">
        <f>'Fiscal Forecasts'!I$318</f>
        <v>22.413</v>
      </c>
      <c r="J360" s="17">
        <f>'Fiscal Forecasts'!J$318</f>
        <v>19.824999999999999</v>
      </c>
      <c r="K360" s="17">
        <f>'Fiscal Forecasts'!K$318</f>
        <v>20.443000000000001</v>
      </c>
      <c r="L360" s="17">
        <f>'Fiscal Forecasts'!L$318</f>
        <v>19.733000000000001</v>
      </c>
      <c r="M360" s="17">
        <f>'Fiscal Forecasts'!M$318</f>
        <v>20.024999999999999</v>
      </c>
      <c r="N360" s="17">
        <f>'Fiscal Forecasts'!N$318</f>
        <v>20.614999999999998</v>
      </c>
      <c r="O360" s="16">
        <f t="shared" ref="O360:X360" ca="1" si="222">N$360*O$142/N$142</f>
        <v>21.405309920709445</v>
      </c>
      <c r="P360" s="16">
        <f t="shared" ca="1" si="222"/>
        <v>22.284045037737169</v>
      </c>
      <c r="Q360" s="16">
        <f t="shared" ca="1" si="222"/>
        <v>23.189880595731612</v>
      </c>
      <c r="R360" s="16">
        <f t="shared" ca="1" si="222"/>
        <v>24.098346687518909</v>
      </c>
      <c r="S360" s="16">
        <f t="shared" ca="1" si="222"/>
        <v>25.026624321355708</v>
      </c>
      <c r="T360" s="16">
        <f t="shared" ca="1" si="222"/>
        <v>25.97328377466485</v>
      </c>
      <c r="U360" s="16">
        <f t="shared" ca="1" si="222"/>
        <v>26.932653698286277</v>
      </c>
      <c r="V360" s="16">
        <f t="shared" ca="1" si="222"/>
        <v>27.906422201494983</v>
      </c>
      <c r="W360" s="16">
        <f t="shared" ca="1" si="222"/>
        <v>28.894316814984979</v>
      </c>
      <c r="X360" s="16">
        <f t="shared" ca="1" si="222"/>
        <v>29.903831951530794</v>
      </c>
    </row>
    <row r="361" spans="1:24" x14ac:dyDescent="0.25">
      <c r="A361" s="11" t="s">
        <v>1041</v>
      </c>
      <c r="B361" s="10" t="str">
        <f>$B$38</f>
        <v>From Fiscal Forecasts</v>
      </c>
      <c r="D361" s="35">
        <f>'Fiscal Forecasts'!D$181-SUM(D$359:D$360)</f>
        <v>4.3769999999999989</v>
      </c>
      <c r="E361" s="35">
        <f>'Fiscal Forecasts'!E$181-SUM(E$359:E$360)</f>
        <v>2.5200000000000085</v>
      </c>
      <c r="F361" s="35">
        <f>'Fiscal Forecasts'!F$181-SUM(F$359:F$360)</f>
        <v>3.7319999999999958</v>
      </c>
      <c r="G361" s="35">
        <f>'Fiscal Forecasts'!G$181-SUM(G$359:G$360)</f>
        <v>7.7129999999999939</v>
      </c>
      <c r="H361" s="35">
        <f>'Fiscal Forecasts'!H$181-SUM(H$359:H$360)</f>
        <v>3.5320000000000178</v>
      </c>
      <c r="I361" s="35">
        <f>'Fiscal Forecasts'!I$181-SUM(I$359:I$360)</f>
        <v>3.5489999999999888</v>
      </c>
      <c r="J361" s="17">
        <f>'Fiscal Forecasts'!J$181-SUM(J$359:J$360)</f>
        <v>8.519999999999996</v>
      </c>
      <c r="K361" s="17">
        <f>'Fiscal Forecasts'!K$181-SUM(K$359:K$360)</f>
        <v>8.5370000000000026</v>
      </c>
      <c r="L361" s="17">
        <f>'Fiscal Forecasts'!L$181-SUM(L$359:L$360)</f>
        <v>9.8010000000000019</v>
      </c>
      <c r="M361" s="17">
        <f>'Fiscal Forecasts'!M$181-SUM(M$359:M$360)</f>
        <v>9.3910000000000053</v>
      </c>
      <c r="N361" s="17">
        <f>'Fiscal Forecasts'!N$181-SUM(N$359:N$360)</f>
        <v>9.3809999999999931</v>
      </c>
      <c r="O361" s="16">
        <f t="shared" ref="O361:X361" ca="1" si="223">SUM(N$361,O$459-N$459,O$484-N$484)</f>
        <v>9.7844199999999919</v>
      </c>
      <c r="P361" s="16">
        <f t="shared" ca="1" si="223"/>
        <v>10.195908399999992</v>
      </c>
      <c r="Q361" s="16">
        <f t="shared" ca="1" si="223"/>
        <v>10.615626567999991</v>
      </c>
      <c r="R361" s="16">
        <f t="shared" ca="1" si="223"/>
        <v>11.043739099359991</v>
      </c>
      <c r="S361" s="16">
        <f t="shared" ca="1" si="223"/>
        <v>11.480413881347191</v>
      </c>
      <c r="T361" s="16">
        <f t="shared" ca="1" si="223"/>
        <v>11.925822158974135</v>
      </c>
      <c r="U361" s="16">
        <f t="shared" ca="1" si="223"/>
        <v>12.380138602153618</v>
      </c>
      <c r="V361" s="16">
        <f t="shared" ca="1" si="223"/>
        <v>12.843541374196692</v>
      </c>
      <c r="W361" s="16">
        <f t="shared" ca="1" si="223"/>
        <v>13.316212201680626</v>
      </c>
      <c r="X361" s="16">
        <f t="shared" ca="1" si="223"/>
        <v>13.79833644571424</v>
      </c>
    </row>
    <row r="362" spans="1:24" x14ac:dyDescent="0.25">
      <c r="A362" s="9" t="s">
        <v>1042</v>
      </c>
      <c r="D362" s="65">
        <f t="shared" ref="D362:N362" si="224">SUM(D$359:D$361)</f>
        <v>16.573</v>
      </c>
      <c r="E362" s="65">
        <f t="shared" si="224"/>
        <v>18.100000000000001</v>
      </c>
      <c r="F362" s="65">
        <f t="shared" si="224"/>
        <v>20.236999999999998</v>
      </c>
      <c r="G362" s="65">
        <f t="shared" si="224"/>
        <v>28.288</v>
      </c>
      <c r="H362" s="65">
        <f t="shared" si="224"/>
        <v>25.673999999999999</v>
      </c>
      <c r="I362" s="65">
        <f t="shared" si="224"/>
        <v>28.638999999999999</v>
      </c>
      <c r="J362" s="66">
        <f t="shared" si="224"/>
        <v>27.931999999999999</v>
      </c>
      <c r="K362" s="66">
        <f t="shared" si="224"/>
        <v>28.193000000000001</v>
      </c>
      <c r="L362" s="66">
        <f t="shared" si="224"/>
        <v>27.722999999999999</v>
      </c>
      <c r="M362" s="66">
        <f t="shared" si="224"/>
        <v>28.347999999999999</v>
      </c>
      <c r="N362" s="66">
        <f t="shared" si="224"/>
        <v>29.277999999999999</v>
      </c>
      <c r="O362" s="67">
        <f t="shared" ref="O362:X362" ca="1" si="225">SUM(O$359:O$361)</f>
        <v>33.156602101110181</v>
      </c>
      <c r="P362" s="67">
        <f t="shared" ca="1" si="225"/>
        <v>34.643584100394158</v>
      </c>
      <c r="Q362" s="67">
        <f t="shared" ca="1" si="225"/>
        <v>36.172725725726437</v>
      </c>
      <c r="R362" s="67">
        <f t="shared" ca="1" si="225"/>
        <v>37.718346605470643</v>
      </c>
      <c r="S362" s="67">
        <f t="shared" ca="1" si="225"/>
        <v>39.297123203273856</v>
      </c>
      <c r="T362" s="67">
        <f t="shared" ca="1" si="225"/>
        <v>40.908321138639835</v>
      </c>
      <c r="U362" s="67">
        <f t="shared" ca="1" si="225"/>
        <v>42.545231394637909</v>
      </c>
      <c r="V362" s="67">
        <f t="shared" ca="1" si="225"/>
        <v>44.210600964551702</v>
      </c>
      <c r="W362" s="67">
        <f t="shared" ca="1" si="225"/>
        <v>45.906831889811855</v>
      </c>
      <c r="X362" s="67">
        <f t="shared" ca="1" si="225"/>
        <v>47.644421048801384</v>
      </c>
    </row>
    <row r="363" spans="1:24" x14ac:dyDescent="0.25">
      <c r="A363" s="9" t="s">
        <v>1043</v>
      </c>
      <c r="B363" s="10" t="str">
        <f>$B$38</f>
        <v>From Fiscal Forecasts</v>
      </c>
      <c r="D363" s="42">
        <f>'Fiscal Forecasts'!D$121</f>
        <v>23.327000000000002</v>
      </c>
      <c r="E363" s="42">
        <f>'Fiscal Forecasts'!E$121</f>
        <v>24.742999999999999</v>
      </c>
      <c r="F363" s="42">
        <f>'Fiscal Forecasts'!F$121</f>
        <v>26.829000000000001</v>
      </c>
      <c r="G363" s="42">
        <f>'Fiscal Forecasts'!G$121</f>
        <v>35.134999999999998</v>
      </c>
      <c r="H363" s="42">
        <f>'Fiscal Forecasts'!H$121</f>
        <v>33.548000000000002</v>
      </c>
      <c r="I363" s="42">
        <f>'Fiscal Forecasts'!I$121</f>
        <v>37.231999999999999</v>
      </c>
      <c r="J363" s="43">
        <f>'Fiscal Forecasts'!J$121</f>
        <v>36.374000000000002</v>
      </c>
      <c r="K363" s="43">
        <f>'Fiscal Forecasts'!K$121</f>
        <v>37.006999999999998</v>
      </c>
      <c r="L363" s="43">
        <f>'Fiscal Forecasts'!L$121</f>
        <v>37.020000000000003</v>
      </c>
      <c r="M363" s="43">
        <f>'Fiscal Forecasts'!M$121</f>
        <v>38.235999999999997</v>
      </c>
      <c r="N363" s="43">
        <f>'Fiscal Forecasts'!N$121</f>
        <v>39.780999999999999</v>
      </c>
      <c r="O363" s="47">
        <f t="shared" ref="O363:X363" ca="1" si="226">SUM(N$363,O$362-N$362,,O$461-N$461,O$469-N$469,O$486-N$486)-SUM(O$460-N$460,O$468-N$468,O$485-N$485)</f>
        <v>43.981242101110183</v>
      </c>
      <c r="P363" s="47">
        <f t="shared" ca="1" si="226"/>
        <v>45.796296900394161</v>
      </c>
      <c r="Q363" s="47">
        <f t="shared" ca="1" si="226"/>
        <v>47.660072781726448</v>
      </c>
      <c r="R363" s="47">
        <f t="shared" ca="1" si="226"/>
        <v>49.547020602590656</v>
      </c>
      <c r="S363" s="47">
        <f t="shared" ca="1" si="226"/>
        <v>51.473950680336273</v>
      </c>
      <c r="T363" s="47">
        <f t="shared" ca="1" si="226"/>
        <v>53.440265165243503</v>
      </c>
      <c r="U363" s="47">
        <f t="shared" ca="1" si="226"/>
        <v>55.439394301773646</v>
      </c>
      <c r="V363" s="47">
        <f t="shared" ca="1" si="226"/>
        <v>57.474227129830147</v>
      </c>
      <c r="W363" s="47">
        <f t="shared" ca="1" si="226"/>
        <v>59.547310578395866</v>
      </c>
      <c r="X363" s="47">
        <f t="shared" ca="1" si="226"/>
        <v>61.66928931115708</v>
      </c>
    </row>
    <row r="365" spans="1:24" x14ac:dyDescent="0.25">
      <c r="A365" s="9" t="s">
        <v>620</v>
      </c>
    </row>
    <row r="366" spans="1:24" x14ac:dyDescent="0.25">
      <c r="A366" s="11" t="s">
        <v>1049</v>
      </c>
      <c r="D366" s="35">
        <f ca="1">OFFSET(Assumptions!$B$50,0,$C$1)*(D$393-D$359-D$400)</f>
        <v>14.03904</v>
      </c>
      <c r="E366" s="35">
        <f ca="1">OFFSET(Assumptions!$B$50,0,$C$1)*(E$393-E$359-E$400)</f>
        <v>13.838400000000002</v>
      </c>
      <c r="F366" s="35">
        <f ca="1">OFFSET(Assumptions!$B$50,0,$C$1)*(F$393-F$359-F$400)</f>
        <v>17.912959999999998</v>
      </c>
      <c r="G366" s="35">
        <f ca="1">OFFSET(Assumptions!$B$50,0,$C$1)*(G$393-G$359-G$400)</f>
        <v>19.295359999999999</v>
      </c>
      <c r="H366" s="35">
        <f ca="1">OFFSET(Assumptions!$B$50,0,$C$1)*(H$393-H$359-H$400)</f>
        <v>18.892800000000005</v>
      </c>
      <c r="I366" s="35">
        <f ca="1">OFFSET(Assumptions!$B$50,0,$C$1)*(I$393-I$359-I$400)</f>
        <v>21.588159999999998</v>
      </c>
      <c r="J366" s="17">
        <f ca="1">OFFSET(Assumptions!$B$50,0,$C$1)*(J$393-J$359-J$400)</f>
        <v>25.920320000000004</v>
      </c>
      <c r="K366" s="17">
        <f ca="1">OFFSET(Assumptions!$B$50,0,$C$1)*(K$393-K$359-K$400)</f>
        <v>27.230080000000005</v>
      </c>
      <c r="L366" s="17">
        <f ca="1">OFFSET(Assumptions!$B$50,0,$C$1)*(L$393-L$359-L$400)</f>
        <v>29.563200000000002</v>
      </c>
      <c r="M366" s="17">
        <f ca="1">OFFSET(Assumptions!$B$50,0,$C$1)*(M$393-M$359-M$400)</f>
        <v>30.861120000000003</v>
      </c>
      <c r="N366" s="17">
        <f ca="1">OFFSET(Assumptions!$B$50,0,$C$1)*(N$393-N$359-N$400)</f>
        <v>32.542720000000003</v>
      </c>
      <c r="O366" s="16">
        <f ca="1">OFFSET(Assumptions!$B$50,0,$C$1)*(O$393-O$359-O$400)</f>
        <v>33.722500795154481</v>
      </c>
      <c r="P366" s="16">
        <f ca="1">OFFSET(Assumptions!$B$50,0,$C$1)*(P$393-P$359-P$400)</f>
        <v>35.683882626040898</v>
      </c>
      <c r="Q366" s="16">
        <f ca="1">OFFSET(Assumptions!$B$50,0,$C$1)*(Q$393-Q$359-Q$400)</f>
        <v>37.713343324103739</v>
      </c>
      <c r="R366" s="16">
        <f ca="1">OFFSET(Assumptions!$B$50,0,$C$1)*(R$393-R$359-R$400)</f>
        <v>39.79717564114042</v>
      </c>
      <c r="S366" s="16">
        <f ca="1">OFFSET(Assumptions!$B$50,0,$C$1)*(S$393-S$359-S$400)</f>
        <v>41.928676457415158</v>
      </c>
      <c r="T366" s="16">
        <f ca="1">OFFSET(Assumptions!$B$50,0,$C$1)*(T$393-T$359-T$400)</f>
        <v>44.113070220970698</v>
      </c>
      <c r="U366" s="16">
        <f ca="1">OFFSET(Assumptions!$B$50,0,$C$1)*(U$393-U$359-U$400)</f>
        <v>46.338271775030762</v>
      </c>
      <c r="V366" s="16">
        <f ca="1">OFFSET(Assumptions!$B$50,0,$C$1)*(V$393-V$359-V$400)</f>
        <v>48.613060561043184</v>
      </c>
      <c r="W366" s="16">
        <f ca="1">OFFSET(Assumptions!$B$50,0,$C$1)*(W$393-W$359-W$400)</f>
        <v>50.962285833293691</v>
      </c>
      <c r="X366" s="16">
        <f ca="1">OFFSET(Assumptions!$B$50,0,$C$1)*(X$393-X$359-X$400)</f>
        <v>53.414029824974996</v>
      </c>
    </row>
    <row r="367" spans="1:24" x14ac:dyDescent="0.25">
      <c r="A367" s="11" t="s">
        <v>1050</v>
      </c>
      <c r="B367" s="10" t="str">
        <f>$B$38</f>
        <v>From Fiscal Forecasts</v>
      </c>
      <c r="D367" s="35">
        <f ca="1">'Fiscal Forecasts'!D$182-D$366</f>
        <v>13.366959999999999</v>
      </c>
      <c r="E367" s="35">
        <f ca="1">'Fiscal Forecasts'!E$182-E$366</f>
        <v>29.827599999999997</v>
      </c>
      <c r="F367" s="35">
        <f ca="1">'Fiscal Forecasts'!F$182-F$366</f>
        <v>19.820039999999999</v>
      </c>
      <c r="G367" s="35">
        <f ca="1">'Fiscal Forecasts'!G$182-G$366</f>
        <v>24.468640000000004</v>
      </c>
      <c r="H367" s="35">
        <f ca="1">'Fiscal Forecasts'!H$182-H$366</f>
        <v>25.522199999999994</v>
      </c>
      <c r="I367" s="35">
        <f ca="1">'Fiscal Forecasts'!I$182-I$366</f>
        <v>30.382839999999998</v>
      </c>
      <c r="J367" s="17">
        <f ca="1">'Fiscal Forecasts'!J$182-J$366</f>
        <v>38.730679999999992</v>
      </c>
      <c r="K367" s="17">
        <f ca="1">'Fiscal Forecasts'!K$182-K$366</f>
        <v>46.704920000000001</v>
      </c>
      <c r="L367" s="17">
        <f ca="1">'Fiscal Forecasts'!L$182-L$366</f>
        <v>45.037799999999997</v>
      </c>
      <c r="M367" s="17">
        <f ca="1">'Fiscal Forecasts'!M$182-M$366</f>
        <v>45.951880000000003</v>
      </c>
      <c r="N367" s="17">
        <f ca="1">'Fiscal Forecasts'!N$182-N$366</f>
        <v>46.982280000000003</v>
      </c>
      <c r="O367" s="16">
        <f t="shared" ref="O367:X367" ca="1" si="227">N$367</f>
        <v>46.982280000000003</v>
      </c>
      <c r="P367" s="16">
        <f t="shared" ca="1" si="227"/>
        <v>46.982280000000003</v>
      </c>
      <c r="Q367" s="16">
        <f t="shared" ca="1" si="227"/>
        <v>46.982280000000003</v>
      </c>
      <c r="R367" s="16">
        <f t="shared" ca="1" si="227"/>
        <v>46.982280000000003</v>
      </c>
      <c r="S367" s="16">
        <f t="shared" ca="1" si="227"/>
        <v>46.982280000000003</v>
      </c>
      <c r="T367" s="16">
        <f t="shared" ca="1" si="227"/>
        <v>46.982280000000003</v>
      </c>
      <c r="U367" s="16">
        <f t="shared" ca="1" si="227"/>
        <v>46.982280000000003</v>
      </c>
      <c r="V367" s="16">
        <f t="shared" ca="1" si="227"/>
        <v>46.982280000000003</v>
      </c>
      <c r="W367" s="16">
        <f t="shared" ca="1" si="227"/>
        <v>46.982280000000003</v>
      </c>
      <c r="X367" s="16">
        <f t="shared" ca="1" si="227"/>
        <v>46.982280000000003</v>
      </c>
    </row>
    <row r="368" spans="1:24" x14ac:dyDescent="0.25">
      <c r="A368" s="9" t="s">
        <v>1051</v>
      </c>
      <c r="D368" s="65">
        <f t="shared" ref="D368:X368" ca="1" si="228">SUM(D$366:D$367)</f>
        <v>27.405999999999999</v>
      </c>
      <c r="E368" s="65">
        <f t="shared" ca="1" si="228"/>
        <v>43.665999999999997</v>
      </c>
      <c r="F368" s="65">
        <f t="shared" ca="1" si="228"/>
        <v>37.732999999999997</v>
      </c>
      <c r="G368" s="65">
        <f t="shared" ca="1" si="228"/>
        <v>43.764000000000003</v>
      </c>
      <c r="H368" s="65">
        <f t="shared" ca="1" si="228"/>
        <v>44.414999999999999</v>
      </c>
      <c r="I368" s="65">
        <f t="shared" ca="1" si="228"/>
        <v>51.970999999999997</v>
      </c>
      <c r="J368" s="66">
        <f t="shared" ca="1" si="228"/>
        <v>64.650999999999996</v>
      </c>
      <c r="K368" s="66">
        <f t="shared" ca="1" si="228"/>
        <v>73.935000000000002</v>
      </c>
      <c r="L368" s="66">
        <f t="shared" ca="1" si="228"/>
        <v>74.600999999999999</v>
      </c>
      <c r="M368" s="66">
        <f t="shared" ca="1" si="228"/>
        <v>76.813000000000002</v>
      </c>
      <c r="N368" s="66">
        <f t="shared" ca="1" si="228"/>
        <v>79.525000000000006</v>
      </c>
      <c r="O368" s="67">
        <f t="shared" ca="1" si="228"/>
        <v>80.704780795154477</v>
      </c>
      <c r="P368" s="67">
        <f t="shared" ca="1" si="228"/>
        <v>82.666162626040901</v>
      </c>
      <c r="Q368" s="67">
        <f t="shared" ca="1" si="228"/>
        <v>84.695623324103735</v>
      </c>
      <c r="R368" s="67">
        <f t="shared" ca="1" si="228"/>
        <v>86.77945564114043</v>
      </c>
      <c r="S368" s="67">
        <f t="shared" ca="1" si="228"/>
        <v>88.910956457415153</v>
      </c>
      <c r="T368" s="67">
        <f t="shared" ca="1" si="228"/>
        <v>91.095350220970701</v>
      </c>
      <c r="U368" s="67">
        <f t="shared" ca="1" si="228"/>
        <v>93.320551775030765</v>
      </c>
      <c r="V368" s="67">
        <f t="shared" ca="1" si="228"/>
        <v>95.595340561043187</v>
      </c>
      <c r="W368" s="67">
        <f t="shared" ca="1" si="228"/>
        <v>97.944565833293694</v>
      </c>
      <c r="X368" s="67">
        <f t="shared" ca="1" si="228"/>
        <v>100.39630982497499</v>
      </c>
    </row>
    <row r="369" spans="1:24" x14ac:dyDescent="0.25">
      <c r="A369" s="11" t="s">
        <v>707</v>
      </c>
      <c r="B369" s="10" t="str">
        <f>$B$38</f>
        <v>From Fiscal Forecasts</v>
      </c>
      <c r="D369" s="35">
        <f>'Fiscal Forecasts'!D$214</f>
        <v>33.838000000000001</v>
      </c>
      <c r="E369" s="35">
        <f>'Fiscal Forecasts'!E$214</f>
        <v>34.494</v>
      </c>
      <c r="F369" s="35">
        <f>'Fiscal Forecasts'!F$214</f>
        <v>33.545999999999999</v>
      </c>
      <c r="G369" s="35">
        <f>'Fiscal Forecasts'!G$214</f>
        <v>31.513000000000002</v>
      </c>
      <c r="H369" s="35">
        <f>'Fiscal Forecasts'!H$214</f>
        <v>34.506</v>
      </c>
      <c r="I369" s="35">
        <f>'Fiscal Forecasts'!I$214</f>
        <v>39.212000000000003</v>
      </c>
      <c r="J369" s="17">
        <f>'Fiscal Forecasts'!J$214</f>
        <v>44.709000000000003</v>
      </c>
      <c r="K369" s="17">
        <f>'Fiscal Forecasts'!K$214</f>
        <v>45.356000000000002</v>
      </c>
      <c r="L369" s="17">
        <f>'Fiscal Forecasts'!L$214</f>
        <v>45.789000000000001</v>
      </c>
      <c r="M369" s="17">
        <f>'Fiscal Forecasts'!M$214</f>
        <v>46.503999999999998</v>
      </c>
      <c r="N369" s="17">
        <f>'Fiscal Forecasts'!N$214</f>
        <v>47.848999999999997</v>
      </c>
      <c r="O369" s="16">
        <f ca="1">N$369*AVERAGE(Exogenous!Z$30/Exogenous!Y$30,1+O$29)</f>
        <v>49.014936257065948</v>
      </c>
      <c r="P369" s="16">
        <f ca="1">O$369*AVERAGE(Exogenous!AA$30/Exogenous!Z$30,1+P$29)</f>
        <v>50.347213525928908</v>
      </c>
      <c r="Q369" s="16">
        <f ca="1">P$369*AVERAGE(Exogenous!AB$30/Exogenous!AA$30,1+Q$29)</f>
        <v>51.884554518425304</v>
      </c>
      <c r="R369" s="16">
        <f ca="1">Q$369*AVERAGE(Exogenous!AC$30/Exogenous!AB$30,1+R$29)</f>
        <v>53.644219661698841</v>
      </c>
      <c r="S369" s="16">
        <f ca="1">R$369*AVERAGE(Exogenous!AD$30/Exogenous!AC$30,1+S$29)</f>
        <v>55.648819652026312</v>
      </c>
      <c r="T369" s="16">
        <f ca="1">S$369*AVERAGE(Exogenous!AE$30/Exogenous!AD$30,1+T$29)</f>
        <v>57.929528300001017</v>
      </c>
      <c r="U369" s="16">
        <f ca="1">T$369*AVERAGE(Exogenous!AF$30/Exogenous!AE$30,1+U$29)</f>
        <v>60.512559880882698</v>
      </c>
      <c r="V369" s="16">
        <f ca="1">U$369*AVERAGE(Exogenous!AG$30/Exogenous!AF$30,1+V$29)</f>
        <v>63.28090184155873</v>
      </c>
      <c r="W369" s="16">
        <f ca="1">V$369*AVERAGE(Exogenous!AH$30/Exogenous!AG$30,1+W$29)</f>
        <v>66.115145082176525</v>
      </c>
      <c r="X369" s="16">
        <f ca="1">W$369*AVERAGE(Exogenous!AI$30/Exogenous!AH$30,1+X$29)</f>
        <v>68.989975248406552</v>
      </c>
    </row>
    <row r="370" spans="1:24" x14ac:dyDescent="0.25">
      <c r="A370" s="11" t="s">
        <v>904</v>
      </c>
      <c r="B370" s="10" t="str">
        <f>$B$38</f>
        <v>From Fiscal Forecasts</v>
      </c>
      <c r="D370" s="35">
        <f>'Fiscal Forecasts'!D$215</f>
        <v>3.3879999999999999</v>
      </c>
      <c r="E370" s="35">
        <f>'Fiscal Forecasts'!E$215</f>
        <v>3.88</v>
      </c>
      <c r="F370" s="35">
        <f>'Fiscal Forecasts'!F$215</f>
        <v>3.3250000000000002</v>
      </c>
      <c r="G370" s="35">
        <f>'Fiscal Forecasts'!G$215</f>
        <v>5.3479999999999999</v>
      </c>
      <c r="H370" s="35">
        <f>'Fiscal Forecasts'!H$215</f>
        <v>3.9380000000000002</v>
      </c>
      <c r="I370" s="35">
        <f>'Fiscal Forecasts'!I$215</f>
        <v>2.9710000000000001</v>
      </c>
      <c r="J370" s="17">
        <f>'Fiscal Forecasts'!J$215</f>
        <v>3.2130000000000001</v>
      </c>
      <c r="K370" s="17">
        <f>'Fiscal Forecasts'!K$215</f>
        <v>2.7749999999999999</v>
      </c>
      <c r="L370" s="17">
        <f>'Fiscal Forecasts'!L$215</f>
        <v>2.8260000000000001</v>
      </c>
      <c r="M370" s="17">
        <f>'Fiscal Forecasts'!M$215</f>
        <v>3.0030000000000001</v>
      </c>
      <c r="N370" s="17">
        <f>'Fiscal Forecasts'!N$215</f>
        <v>2.976</v>
      </c>
      <c r="O370" s="16">
        <f t="shared" ref="O370:X370" ca="1" si="229">N$370*(1+O$14)</f>
        <v>3.1044070902263794</v>
      </c>
      <c r="P370" s="16">
        <f t="shared" ca="1" si="229"/>
        <v>3.2368105447188023</v>
      </c>
      <c r="Q370" s="16">
        <f t="shared" ca="1" si="229"/>
        <v>3.3695014832850716</v>
      </c>
      <c r="R370" s="16">
        <f t="shared" ca="1" si="229"/>
        <v>3.5021806593985603</v>
      </c>
      <c r="S370" s="16">
        <f t="shared" ca="1" si="229"/>
        <v>3.6377853663695907</v>
      </c>
      <c r="T370" s="16">
        <f t="shared" ca="1" si="229"/>
        <v>3.7761086592909621</v>
      </c>
      <c r="U370" s="16">
        <f t="shared" ca="1" si="229"/>
        <v>3.916276223883866</v>
      </c>
      <c r="V370" s="16">
        <f t="shared" ca="1" si="229"/>
        <v>4.0585511807631462</v>
      </c>
      <c r="W370" s="16">
        <f t="shared" ca="1" si="229"/>
        <v>4.2029282292638444</v>
      </c>
      <c r="X370" s="16">
        <f t="shared" ca="1" si="229"/>
        <v>4.3504953268790194</v>
      </c>
    </row>
    <row r="371" spans="1:24" x14ac:dyDescent="0.25">
      <c r="A371" s="11" t="s">
        <v>866</v>
      </c>
      <c r="B371" s="10" t="str">
        <f>$B$38</f>
        <v>From Fiscal Forecasts</v>
      </c>
      <c r="D371" s="35">
        <f ca="1">'Fiscal Forecasts'!D$122-SUM(D$368:D$370)</f>
        <v>-21.016000000000005</v>
      </c>
      <c r="E371" s="35">
        <f ca="1">'Fiscal Forecasts'!E$122-SUM(E$368:E$370)</f>
        <v>-21.034999999999989</v>
      </c>
      <c r="F371" s="35">
        <f ca="1">'Fiscal Forecasts'!F$122-SUM(F$368:F$370)</f>
        <v>-17.820999999999998</v>
      </c>
      <c r="G371" s="35">
        <f ca="1">'Fiscal Forecasts'!G$122-SUM(G$368:G$370)</f>
        <v>-15.168999999999997</v>
      </c>
      <c r="H371" s="35">
        <f ca="1">'Fiscal Forecasts'!H$122-SUM(H$368:H$370)</f>
        <v>-16.369</v>
      </c>
      <c r="I371" s="35">
        <f ca="1">'Fiscal Forecasts'!I$122-SUM(I$368:I$370)</f>
        <v>-20.507999999999996</v>
      </c>
      <c r="J371" s="17">
        <f ca="1">'Fiscal Forecasts'!J$122-SUM(J$368:J$370)</f>
        <v>-26.075999999999993</v>
      </c>
      <c r="K371" s="17">
        <f ca="1">'Fiscal Forecasts'!K$122-SUM(K$368:K$370)</f>
        <v>-26.134</v>
      </c>
      <c r="L371" s="17">
        <f ca="1">'Fiscal Forecasts'!L$122-SUM(L$368:L$370)</f>
        <v>-26.244</v>
      </c>
      <c r="M371" s="17">
        <f ca="1">'Fiscal Forecasts'!M$122-SUM(M$368:M$370)</f>
        <v>-26.624000000000009</v>
      </c>
      <c r="N371" s="17">
        <f ca="1">'Fiscal Forecasts'!N$122-SUM(N$368:N$370)</f>
        <v>-27.197999999999993</v>
      </c>
      <c r="O371" s="16">
        <f t="shared" ref="O371:X371" ca="1" si="230">N$371*O$369/N$369</f>
        <v>-27.860733480734797</v>
      </c>
      <c r="P371" s="16">
        <f t="shared" ca="1" si="230"/>
        <v>-28.618017377128343</v>
      </c>
      <c r="Q371" s="16">
        <f t="shared" ca="1" si="230"/>
        <v>-29.491862187133087</v>
      </c>
      <c r="R371" s="16">
        <f t="shared" ca="1" si="230"/>
        <v>-30.492078964218368</v>
      </c>
      <c r="S371" s="16">
        <f t="shared" ca="1" si="230"/>
        <v>-31.631519925093755</v>
      </c>
      <c r="T371" s="16">
        <f t="shared" ca="1" si="230"/>
        <v>-32.927904673105537</v>
      </c>
      <c r="U371" s="16">
        <f t="shared" ca="1" si="230"/>
        <v>-34.396133746582933</v>
      </c>
      <c r="V371" s="16">
        <f t="shared" ca="1" si="230"/>
        <v>-35.969695673613103</v>
      </c>
      <c r="W371" s="16">
        <f t="shared" ca="1" si="230"/>
        <v>-37.58071675364242</v>
      </c>
      <c r="X371" s="16">
        <f t="shared" ca="1" si="230"/>
        <v>-39.214807975217042</v>
      </c>
    </row>
    <row r="372" spans="1:24" x14ac:dyDescent="0.25">
      <c r="A372" s="9" t="s">
        <v>1052</v>
      </c>
      <c r="D372" s="65">
        <f t="shared" ref="D372:X372" ca="1" si="231">SUM(D$368:D$371)</f>
        <v>43.616</v>
      </c>
      <c r="E372" s="65">
        <f t="shared" ca="1" si="231"/>
        <v>61.005000000000003</v>
      </c>
      <c r="F372" s="65">
        <f t="shared" ca="1" si="231"/>
        <v>56.783000000000001</v>
      </c>
      <c r="G372" s="65">
        <f t="shared" ca="1" si="231"/>
        <v>65.456000000000003</v>
      </c>
      <c r="H372" s="65">
        <f t="shared" ca="1" si="231"/>
        <v>66.489999999999995</v>
      </c>
      <c r="I372" s="65">
        <f t="shared" ca="1" si="231"/>
        <v>73.646000000000001</v>
      </c>
      <c r="J372" s="66">
        <f t="shared" ca="1" si="231"/>
        <v>86.497</v>
      </c>
      <c r="K372" s="66">
        <f t="shared" ca="1" si="231"/>
        <v>95.932000000000002</v>
      </c>
      <c r="L372" s="66">
        <f t="shared" ca="1" si="231"/>
        <v>96.971999999999994</v>
      </c>
      <c r="M372" s="66">
        <f t="shared" ca="1" si="231"/>
        <v>99.695999999999998</v>
      </c>
      <c r="N372" s="66">
        <f t="shared" ca="1" si="231"/>
        <v>103.152</v>
      </c>
      <c r="O372" s="67">
        <f t="shared" ca="1" si="231"/>
        <v>104.96339066171201</v>
      </c>
      <c r="P372" s="67">
        <f t="shared" ca="1" si="231"/>
        <v>107.63216931956025</v>
      </c>
      <c r="Q372" s="67">
        <f t="shared" ca="1" si="231"/>
        <v>110.45781713868104</v>
      </c>
      <c r="R372" s="67">
        <f t="shared" ca="1" si="231"/>
        <v>113.43377699801948</v>
      </c>
      <c r="S372" s="67">
        <f t="shared" ca="1" si="231"/>
        <v>116.5660415507173</v>
      </c>
      <c r="T372" s="67">
        <f t="shared" ca="1" si="231"/>
        <v>119.87308250715716</v>
      </c>
      <c r="U372" s="67">
        <f t="shared" ca="1" si="231"/>
        <v>123.35325413321439</v>
      </c>
      <c r="V372" s="67">
        <f t="shared" ca="1" si="231"/>
        <v>126.96509790975196</v>
      </c>
      <c r="W372" s="67">
        <f t="shared" ca="1" si="231"/>
        <v>130.68192239109163</v>
      </c>
      <c r="X372" s="67">
        <f t="shared" ca="1" si="231"/>
        <v>134.52197242504351</v>
      </c>
    </row>
    <row r="374" spans="1:24" x14ac:dyDescent="0.25">
      <c r="A374" s="9" t="s">
        <v>621</v>
      </c>
    </row>
    <row r="375" spans="1:24" x14ac:dyDescent="0.25">
      <c r="A375" s="11" t="s">
        <v>1053</v>
      </c>
      <c r="D375" s="35">
        <f ca="1">SUM(OFFSET(Assumptions!$B$51,0,$C$1),OFFSET(Assumptions!$B$52,0,$C$1))*(D$393-D$359-D$400)-D$397</f>
        <v>23.951360000000001</v>
      </c>
      <c r="E375" s="35">
        <f ca="1">SUM(OFFSET(Assumptions!$B$51,0,$C$1),OFFSET(Assumptions!$B$52,0,$C$1))*(E$393-E$359-E$400)-E$397</f>
        <v>23.024350000000005</v>
      </c>
      <c r="F375" s="35">
        <f ca="1">SUM(OFFSET(Assumptions!$B$51,0,$C$1),OFFSET(Assumptions!$B$52,0,$C$1))*(F$393-F$359-F$400)-F$397</f>
        <v>30.54814</v>
      </c>
      <c r="G375" s="35">
        <f ca="1">SUM(OFFSET(Assumptions!$B$51,0,$C$1),OFFSET(Assumptions!$B$52,0,$C$1))*(G$393-G$359-G$400)-G$397</f>
        <v>31.891739999999995</v>
      </c>
      <c r="H375" s="35">
        <f ca="1">SUM(OFFSET(Assumptions!$B$51,0,$C$1),OFFSET(Assumptions!$B$52,0,$C$1))*(H$393-H$359-H$400)-H$397</f>
        <v>29.878200000000007</v>
      </c>
      <c r="I375" s="35">
        <f ca="1">SUM(OFFSET(Assumptions!$B$51,0,$C$1),OFFSET(Assumptions!$B$52,0,$C$1))*(I$393-I$359-I$400)-I$397</f>
        <v>35.327689999999997</v>
      </c>
      <c r="J375" s="17">
        <f ca="1">SUM(OFFSET(Assumptions!$B$51,0,$C$1),OFFSET(Assumptions!$B$52,0,$C$1))*(J$393-J$359-J$400)-J$397</f>
        <v>42.631630000000001</v>
      </c>
      <c r="K375" s="17">
        <f ca="1">SUM(OFFSET(Assumptions!$B$51,0,$C$1),OFFSET(Assumptions!$B$52,0,$C$1))*(K$393-K$359-K$400)-K$397</f>
        <v>44.30022000000001</v>
      </c>
      <c r="L375" s="17">
        <f ca="1">SUM(OFFSET(Assumptions!$B$51,0,$C$1),OFFSET(Assumptions!$B$52,0,$C$1))*(L$393-L$359-L$400)-L$397</f>
        <v>47.376550000000002</v>
      </c>
      <c r="M375" s="17">
        <f ca="1">SUM(OFFSET(Assumptions!$B$51,0,$C$1),OFFSET(Assumptions!$B$52,0,$C$1))*(M$393-M$359-M$400)-M$397</f>
        <v>48.376830000000005</v>
      </c>
      <c r="N375" s="17">
        <f ca="1">SUM(OFFSET(Assumptions!$B$51,0,$C$1),OFFSET(Assumptions!$B$52,0,$C$1))*(N$393-N$359-N$400)-N$397</f>
        <v>50.054479999999998</v>
      </c>
      <c r="O375" s="16">
        <f ca="1">OFFSET(Assumptions!$B$51,0,$C$1)*(O$393-O$359-O$400)</f>
        <v>55.852891941974619</v>
      </c>
      <c r="P375" s="16">
        <f ca="1">OFFSET(Assumptions!$B$51,0,$C$1)*(P$393-P$359-P$400)</f>
        <v>59.101430599380237</v>
      </c>
      <c r="Q375" s="16">
        <f ca="1">OFFSET(Assumptions!$B$51,0,$C$1)*(Q$393-Q$359-Q$400)</f>
        <v>62.462724880546823</v>
      </c>
      <c r="R375" s="16">
        <f ca="1">OFFSET(Assumptions!$B$51,0,$C$1)*(R$393-R$359-R$400)</f>
        <v>65.91407215563882</v>
      </c>
      <c r="S375" s="16">
        <f ca="1">OFFSET(Assumptions!$B$51,0,$C$1)*(S$393-S$359-S$400)</f>
        <v>69.44437038259386</v>
      </c>
      <c r="T375" s="16">
        <f ca="1">OFFSET(Assumptions!$B$51,0,$C$1)*(T$393-T$359-T$400)</f>
        <v>73.062272553482714</v>
      </c>
      <c r="U375" s="16">
        <f ca="1">OFFSET(Assumptions!$B$51,0,$C$1)*(U$393-U$359-U$400)</f>
        <v>76.747762627394707</v>
      </c>
      <c r="V375" s="16">
        <f ca="1">OFFSET(Assumptions!$B$51,0,$C$1)*(V$393-V$359-V$400)</f>
        <v>80.515381554227773</v>
      </c>
      <c r="W375" s="16">
        <f ca="1">OFFSET(Assumptions!$B$51,0,$C$1)*(W$393-W$359-W$400)</f>
        <v>84.406285911392672</v>
      </c>
      <c r="X375" s="16">
        <f ca="1">OFFSET(Assumptions!$B$51,0,$C$1)*(X$393-X$359-X$400)</f>
        <v>88.466986897614845</v>
      </c>
    </row>
    <row r="376" spans="1:24" x14ac:dyDescent="0.25">
      <c r="A376" s="11" t="s">
        <v>1054</v>
      </c>
      <c r="B376" s="10" t="str">
        <f>$B$38</f>
        <v>From Fiscal Forecasts</v>
      </c>
      <c r="D376" s="35">
        <f ca="1">'Fiscal Forecasts'!D$183-D$375</f>
        <v>2.4436399999999985</v>
      </c>
      <c r="E376" s="35">
        <f ca="1">'Fiscal Forecasts'!E$183-E$375</f>
        <v>-5.164350000000006</v>
      </c>
      <c r="F376" s="35">
        <f ca="1">'Fiscal Forecasts'!F$183-F$375</f>
        <v>-1.9041400000000017</v>
      </c>
      <c r="G376" s="35">
        <f ca="1">'Fiscal Forecasts'!G$183-G$375</f>
        <v>-2.7387399999999964</v>
      </c>
      <c r="H376" s="35">
        <f ca="1">'Fiscal Forecasts'!H$183-H$375</f>
        <v>-0.88020000000000564</v>
      </c>
      <c r="I376" s="35">
        <f ca="1">'Fiscal Forecasts'!I$183-I$375</f>
        <v>2.010310000000004</v>
      </c>
      <c r="J376" s="17">
        <f ca="1">'Fiscal Forecasts'!J$183-J$375</f>
        <v>1.3833699999999993</v>
      </c>
      <c r="K376" s="17">
        <f ca="1">'Fiscal Forecasts'!K$183-K$375</f>
        <v>0.96277999999998798</v>
      </c>
      <c r="L376" s="17">
        <f ca="1">'Fiscal Forecasts'!L$183-L$375</f>
        <v>-0.15955000000000297</v>
      </c>
      <c r="M376" s="17">
        <f ca="1">'Fiscal Forecasts'!M$183-M$375</f>
        <v>0.82116999999999507</v>
      </c>
      <c r="N376" s="17">
        <f ca="1">'Fiscal Forecasts'!N$183-N$375</f>
        <v>1.1585200000000029</v>
      </c>
      <c r="O376" s="16">
        <f t="shared" ref="O376:X376" ca="1" si="232">N$376</f>
        <v>1.1585200000000029</v>
      </c>
      <c r="P376" s="16">
        <f t="shared" ca="1" si="232"/>
        <v>1.1585200000000029</v>
      </c>
      <c r="Q376" s="16">
        <f t="shared" ca="1" si="232"/>
        <v>1.1585200000000029</v>
      </c>
      <c r="R376" s="16">
        <f t="shared" ca="1" si="232"/>
        <v>1.1585200000000029</v>
      </c>
      <c r="S376" s="16">
        <f t="shared" ca="1" si="232"/>
        <v>1.1585200000000029</v>
      </c>
      <c r="T376" s="16">
        <f t="shared" ca="1" si="232"/>
        <v>1.1585200000000029</v>
      </c>
      <c r="U376" s="16">
        <f t="shared" ca="1" si="232"/>
        <v>1.1585200000000029</v>
      </c>
      <c r="V376" s="16">
        <f t="shared" ca="1" si="232"/>
        <v>1.1585200000000029</v>
      </c>
      <c r="W376" s="16">
        <f t="shared" ca="1" si="232"/>
        <v>1.1585200000000029</v>
      </c>
      <c r="X376" s="16">
        <f t="shared" ca="1" si="232"/>
        <v>1.1585200000000029</v>
      </c>
    </row>
    <row r="377" spans="1:24" x14ac:dyDescent="0.25">
      <c r="A377" s="9" t="s">
        <v>1055</v>
      </c>
      <c r="D377" s="65">
        <f t="shared" ref="D377:X377" ca="1" si="233">SUM(D$375:D$376)</f>
        <v>26.395</v>
      </c>
      <c r="E377" s="65">
        <f t="shared" ca="1" si="233"/>
        <v>17.86</v>
      </c>
      <c r="F377" s="65">
        <f t="shared" ca="1" si="233"/>
        <v>28.643999999999998</v>
      </c>
      <c r="G377" s="65">
        <f t="shared" ca="1" si="233"/>
        <v>29.152999999999999</v>
      </c>
      <c r="H377" s="65">
        <f t="shared" ca="1" si="233"/>
        <v>28.998000000000001</v>
      </c>
      <c r="I377" s="65">
        <f t="shared" ca="1" si="233"/>
        <v>37.338000000000001</v>
      </c>
      <c r="J377" s="66">
        <f t="shared" ca="1" si="233"/>
        <v>44.015000000000001</v>
      </c>
      <c r="K377" s="66">
        <f t="shared" ca="1" si="233"/>
        <v>45.262999999999998</v>
      </c>
      <c r="L377" s="66">
        <f t="shared" ca="1" si="233"/>
        <v>47.216999999999999</v>
      </c>
      <c r="M377" s="66">
        <f t="shared" ca="1" si="233"/>
        <v>49.198</v>
      </c>
      <c r="N377" s="66">
        <f t="shared" ca="1" si="233"/>
        <v>51.213000000000001</v>
      </c>
      <c r="O377" s="67">
        <f t="shared" ca="1" si="233"/>
        <v>57.011411941974622</v>
      </c>
      <c r="P377" s="67">
        <f t="shared" ca="1" si="233"/>
        <v>60.25995059938024</v>
      </c>
      <c r="Q377" s="67">
        <f t="shared" ca="1" si="233"/>
        <v>63.621244880546826</v>
      </c>
      <c r="R377" s="67">
        <f t="shared" ca="1" si="233"/>
        <v>67.07259215563883</v>
      </c>
      <c r="S377" s="67">
        <f t="shared" ca="1" si="233"/>
        <v>70.60289038259387</v>
      </c>
      <c r="T377" s="67">
        <f t="shared" ca="1" si="233"/>
        <v>74.22079255348271</v>
      </c>
      <c r="U377" s="67">
        <f t="shared" ca="1" si="233"/>
        <v>77.906282627394717</v>
      </c>
      <c r="V377" s="67">
        <f t="shared" ca="1" si="233"/>
        <v>81.673901554227768</v>
      </c>
      <c r="W377" s="67">
        <f t="shared" ca="1" si="233"/>
        <v>85.564805911392682</v>
      </c>
      <c r="X377" s="67">
        <f t="shared" ca="1" si="233"/>
        <v>89.625506897614855</v>
      </c>
    </row>
    <row r="378" spans="1:24" x14ac:dyDescent="0.25">
      <c r="A378" s="11" t="s">
        <v>707</v>
      </c>
      <c r="B378" s="10" t="str">
        <f>$B$38</f>
        <v>From Fiscal Forecasts</v>
      </c>
      <c r="D378" s="35">
        <f>'Fiscal Forecasts'!D$216</f>
        <v>14.254</v>
      </c>
      <c r="E378" s="35">
        <f>'Fiscal Forecasts'!E$216</f>
        <v>17.135000000000002</v>
      </c>
      <c r="F378" s="35">
        <f>'Fiscal Forecasts'!F$216</f>
        <v>21.521999999999998</v>
      </c>
      <c r="G378" s="35">
        <f>'Fiscal Forecasts'!G$216</f>
        <v>18.613</v>
      </c>
      <c r="H378" s="35">
        <f>'Fiscal Forecasts'!H$216</f>
        <v>19.635000000000002</v>
      </c>
      <c r="I378" s="35">
        <f>'Fiscal Forecasts'!I$216</f>
        <v>16.818999999999999</v>
      </c>
      <c r="J378" s="17">
        <f>'Fiscal Forecasts'!J$216</f>
        <v>16.510000000000002</v>
      </c>
      <c r="K378" s="17">
        <f>'Fiscal Forecasts'!K$216</f>
        <v>16.564</v>
      </c>
      <c r="L378" s="17">
        <f>'Fiscal Forecasts'!L$216</f>
        <v>16.648</v>
      </c>
      <c r="M378" s="17">
        <f>'Fiscal Forecasts'!M$216</f>
        <v>16.707999999999998</v>
      </c>
      <c r="N378" s="17">
        <f>'Fiscal Forecasts'!N$216</f>
        <v>16.702999999999999</v>
      </c>
      <c r="O378" s="16">
        <f ca="1">N$378*AVERAGE(Exogenous!Z$30/Exogenous!Y$30,1+O$29)</f>
        <v>17.11000188722382</v>
      </c>
      <c r="P378" s="16">
        <f ca="1">O$378*AVERAGE(Exogenous!AA$30/Exogenous!Z$30,1+P$29)</f>
        <v>17.575069646671626</v>
      </c>
      <c r="Q378" s="16">
        <f ca="1">P$378*AVERAGE(Exogenous!AB$30/Exogenous!AA$30,1+Q$29)</f>
        <v>18.111720498260318</v>
      </c>
      <c r="R378" s="16">
        <f ca="1">Q$378*AVERAGE(Exogenous!AC$30/Exogenous!AB$30,1+R$29)</f>
        <v>18.725979665392295</v>
      </c>
      <c r="S378" s="16">
        <f ca="1">R$378*AVERAGE(Exogenous!AD$30/Exogenous!AC$30,1+S$29)</f>
        <v>19.425740029003649</v>
      </c>
      <c r="T378" s="16">
        <f ca="1">S$378*AVERAGE(Exogenous!AE$30/Exogenous!AD$30,1+T$29)</f>
        <v>20.22188365890441</v>
      </c>
      <c r="U378" s="16">
        <f ca="1">T$378*AVERAGE(Exogenous!AF$30/Exogenous!AE$30,1+U$29)</f>
        <v>21.123561363672884</v>
      </c>
      <c r="V378" s="16">
        <f ca="1">U$378*AVERAGE(Exogenous!AG$30/Exogenous!AF$30,1+V$29)</f>
        <v>22.089926716536514</v>
      </c>
      <c r="W378" s="16">
        <f ca="1">V$378*AVERAGE(Exogenous!AH$30/Exogenous!AG$30,1+W$29)</f>
        <v>23.079296710643789</v>
      </c>
      <c r="X378" s="16">
        <f ca="1">W$378*AVERAGE(Exogenous!AI$30/Exogenous!AH$30,1+X$29)</f>
        <v>24.082834679390057</v>
      </c>
    </row>
    <row r="379" spans="1:24" x14ac:dyDescent="0.25">
      <c r="A379" s="11" t="s">
        <v>904</v>
      </c>
      <c r="B379" s="10" t="str">
        <f>$B$38</f>
        <v>From Fiscal Forecasts</v>
      </c>
      <c r="D379" s="35">
        <f>'Fiscal Forecasts'!D$217</f>
        <v>0.27900000000000003</v>
      </c>
      <c r="E379" s="35">
        <f>'Fiscal Forecasts'!E$217</f>
        <v>3.7999999999999999E-2</v>
      </c>
      <c r="F379" s="35">
        <f>'Fiscal Forecasts'!F$217</f>
        <v>3.7999999999999999E-2</v>
      </c>
      <c r="G379" s="35">
        <f>'Fiscal Forecasts'!G$217</f>
        <v>3.4000000000000002E-2</v>
      </c>
      <c r="H379" s="35">
        <f>'Fiscal Forecasts'!H$217</f>
        <v>3.5999999999999997E-2</v>
      </c>
      <c r="I379" s="35">
        <f>'Fiscal Forecasts'!I$217</f>
        <v>3.2000000000000001E-2</v>
      </c>
      <c r="J379" s="17">
        <f>'Fiscal Forecasts'!J$217</f>
        <v>3.2000000000000001E-2</v>
      </c>
      <c r="K379" s="17">
        <f>'Fiscal Forecasts'!K$217</f>
        <v>2.1999999999999999E-2</v>
      </c>
      <c r="L379" s="17">
        <f>'Fiscal Forecasts'!L$217</f>
        <v>2.3E-2</v>
      </c>
      <c r="M379" s="17">
        <f>'Fiscal Forecasts'!M$217</f>
        <v>2.3E-2</v>
      </c>
      <c r="N379" s="17">
        <f>'Fiscal Forecasts'!N$217</f>
        <v>2.3E-2</v>
      </c>
      <c r="O379" s="16">
        <f t="shared" ref="O379:X379" si="234">N$379</f>
        <v>2.3E-2</v>
      </c>
      <c r="P379" s="16">
        <f t="shared" si="234"/>
        <v>2.3E-2</v>
      </c>
      <c r="Q379" s="16">
        <f t="shared" si="234"/>
        <v>2.3E-2</v>
      </c>
      <c r="R379" s="16">
        <f t="shared" si="234"/>
        <v>2.3E-2</v>
      </c>
      <c r="S379" s="16">
        <f t="shared" si="234"/>
        <v>2.3E-2</v>
      </c>
      <c r="T379" s="16">
        <f t="shared" si="234"/>
        <v>2.3E-2</v>
      </c>
      <c r="U379" s="16">
        <f t="shared" si="234"/>
        <v>2.3E-2</v>
      </c>
      <c r="V379" s="16">
        <f t="shared" si="234"/>
        <v>2.3E-2</v>
      </c>
      <c r="W379" s="16">
        <f t="shared" si="234"/>
        <v>2.3E-2</v>
      </c>
      <c r="X379" s="16">
        <f t="shared" si="234"/>
        <v>2.3E-2</v>
      </c>
    </row>
    <row r="380" spans="1:24" x14ac:dyDescent="0.25">
      <c r="A380" s="11" t="s">
        <v>866</v>
      </c>
      <c r="B380" s="10" t="str">
        <f>$B$38</f>
        <v>From Fiscal Forecasts</v>
      </c>
      <c r="D380" s="35">
        <f ca="1">'Fiscal Forecasts'!D$123-SUM(D$377:D$379)</f>
        <v>-1.3760000000000048</v>
      </c>
      <c r="E380" s="35">
        <f ca="1">'Fiscal Forecasts'!E$123-SUM(E$377:E$379)</f>
        <v>-1.2420000000000044</v>
      </c>
      <c r="F380" s="35">
        <f ca="1">'Fiscal Forecasts'!F$123-SUM(F$377:F$379)</f>
        <v>-1.664999999999992</v>
      </c>
      <c r="G380" s="35">
        <f ca="1">'Fiscal Forecasts'!G$123-SUM(G$377:G$379)</f>
        <v>-1.5389999999999944</v>
      </c>
      <c r="H380" s="35">
        <f ca="1">'Fiscal Forecasts'!H$123-SUM(H$377:H$379)</f>
        <v>-0.62300000000000466</v>
      </c>
      <c r="I380" s="35">
        <f ca="1">'Fiscal Forecasts'!I$123-SUM(I$377:I$379)</f>
        <v>-0.69399999999999551</v>
      </c>
      <c r="J380" s="17">
        <f ca="1">'Fiscal Forecasts'!J$123-SUM(J$377:J$379)</f>
        <v>-0.67500000000000426</v>
      </c>
      <c r="K380" s="17">
        <f ca="1">'Fiscal Forecasts'!K$123-SUM(K$377:K$379)</f>
        <v>-0.68599999999999994</v>
      </c>
      <c r="L380" s="17">
        <f ca="1">'Fiscal Forecasts'!L$123-SUM(L$377:L$379)</f>
        <v>-0.70199999999999818</v>
      </c>
      <c r="M380" s="17">
        <f ca="1">'Fiscal Forecasts'!M$123-SUM(M$377:M$379)</f>
        <v>-0.72100000000000364</v>
      </c>
      <c r="N380" s="17">
        <f ca="1">'Fiscal Forecasts'!N$123-SUM(N$377:N$379)</f>
        <v>-0.74699999999999989</v>
      </c>
      <c r="O380" s="16">
        <f t="shared" ref="O380:X380" ca="1" si="235">N$380*AVERAGE(O$377/N$377,O$378/N$378)</f>
        <v>-0.79838929682699777</v>
      </c>
      <c r="P380" s="16">
        <f t="shared" ca="1" si="235"/>
        <v>-0.83198613514568998</v>
      </c>
      <c r="Q380" s="16">
        <f t="shared" ca="1" si="235"/>
        <v>-0.86789244467487292</v>
      </c>
      <c r="R380" s="16">
        <f t="shared" ca="1" si="235"/>
        <v>-0.90615059940228104</v>
      </c>
      <c r="S380" s="16">
        <f t="shared" ca="1" si="235"/>
        <v>-0.94692847103303912</v>
      </c>
      <c r="T380" s="16">
        <f t="shared" ca="1" si="235"/>
        <v>-0.99059462348465999</v>
      </c>
      <c r="U380" s="16">
        <f t="shared" ca="1" si="235"/>
        <v>-1.0372739024343125</v>
      </c>
      <c r="V380" s="16">
        <f t="shared" ca="1" si="235"/>
        <v>-1.0860823765602119</v>
      </c>
      <c r="W380" s="16">
        <f t="shared" ca="1" si="235"/>
        <v>-1.1362744757333609</v>
      </c>
      <c r="X380" s="16">
        <f t="shared" ca="1" si="235"/>
        <v>-1.1879407514277145</v>
      </c>
    </row>
    <row r="381" spans="1:24" x14ac:dyDescent="0.25">
      <c r="A381" s="9" t="s">
        <v>1056</v>
      </c>
      <c r="D381" s="65">
        <f t="shared" ref="D381:X381" ca="1" si="236">SUM(D$377:D$380)</f>
        <v>39.552</v>
      </c>
      <c r="E381" s="65">
        <f t="shared" ca="1" si="236"/>
        <v>33.790999999999997</v>
      </c>
      <c r="F381" s="65">
        <f t="shared" ca="1" si="236"/>
        <v>48.539000000000001</v>
      </c>
      <c r="G381" s="65">
        <f t="shared" ca="1" si="236"/>
        <v>46.261000000000003</v>
      </c>
      <c r="H381" s="65">
        <f t="shared" ca="1" si="236"/>
        <v>48.045999999999999</v>
      </c>
      <c r="I381" s="65">
        <f t="shared" ca="1" si="236"/>
        <v>53.494999999999997</v>
      </c>
      <c r="J381" s="66">
        <f t="shared" ca="1" si="236"/>
        <v>59.881999999999998</v>
      </c>
      <c r="K381" s="66">
        <f t="shared" ca="1" si="236"/>
        <v>61.162999999999997</v>
      </c>
      <c r="L381" s="66">
        <f t="shared" ca="1" si="236"/>
        <v>63.186</v>
      </c>
      <c r="M381" s="66">
        <f t="shared" ca="1" si="236"/>
        <v>65.207999999999998</v>
      </c>
      <c r="N381" s="66">
        <f t="shared" ca="1" si="236"/>
        <v>67.191999999999993</v>
      </c>
      <c r="O381" s="67">
        <f t="shared" ca="1" si="236"/>
        <v>73.346024532371445</v>
      </c>
      <c r="P381" s="67">
        <f t="shared" ca="1" si="236"/>
        <v>77.026034110906181</v>
      </c>
      <c r="Q381" s="67">
        <f t="shared" ca="1" si="236"/>
        <v>80.888072934132254</v>
      </c>
      <c r="R381" s="67">
        <f t="shared" ca="1" si="236"/>
        <v>84.915421221628833</v>
      </c>
      <c r="S381" s="67">
        <f t="shared" ca="1" si="236"/>
        <v>89.104701940564482</v>
      </c>
      <c r="T381" s="67">
        <f t="shared" ca="1" si="236"/>
        <v>93.475081588902455</v>
      </c>
      <c r="U381" s="67">
        <f t="shared" ca="1" si="236"/>
        <v>98.015570088633282</v>
      </c>
      <c r="V381" s="67">
        <f t="shared" ca="1" si="236"/>
        <v>102.70074589420406</v>
      </c>
      <c r="W381" s="67">
        <f t="shared" ca="1" si="236"/>
        <v>107.53082814630311</v>
      </c>
      <c r="X381" s="67">
        <f t="shared" ca="1" si="236"/>
        <v>112.54340082557719</v>
      </c>
    </row>
    <row r="383" spans="1:24" x14ac:dyDescent="0.25">
      <c r="A383" s="9" t="s">
        <v>777</v>
      </c>
    </row>
    <row r="384" spans="1:24" x14ac:dyDescent="0.25">
      <c r="A384" s="11" t="s">
        <v>778</v>
      </c>
      <c r="B384" s="10" t="str">
        <f>$B$38</f>
        <v>From Fiscal Forecasts</v>
      </c>
      <c r="D384" s="35">
        <f>'Fiscal Forecasts'!D$358</f>
        <v>0.98199999999999998</v>
      </c>
      <c r="E384" s="35">
        <f>'Fiscal Forecasts'!E$358</f>
        <v>0.80300000000000005</v>
      </c>
      <c r="F384" s="35">
        <f>'Fiscal Forecasts'!F$358</f>
        <v>0.74199999999999999</v>
      </c>
      <c r="G384" s="35">
        <f>'Fiscal Forecasts'!G$358</f>
        <v>1.077</v>
      </c>
      <c r="H384" s="35">
        <f>'Fiscal Forecasts'!H$358</f>
        <v>1.32</v>
      </c>
      <c r="I384" s="35">
        <f>'Fiscal Forecasts'!I$358</f>
        <v>1.659</v>
      </c>
      <c r="J384" s="17">
        <f>'Fiscal Forecasts'!J$358</f>
        <v>1.7050000000000001</v>
      </c>
      <c r="K384" s="17">
        <f>'Fiscal Forecasts'!K$358</f>
        <v>1.7729999999999999</v>
      </c>
      <c r="L384" s="17">
        <f>'Fiscal Forecasts'!L$358</f>
        <v>1.869</v>
      </c>
      <c r="M384" s="17">
        <f>'Fiscal Forecasts'!M$358</f>
        <v>1.9930000000000001</v>
      </c>
      <c r="N384" s="17">
        <f>'Fiscal Forecasts'!N$358</f>
        <v>2.1160000000000001</v>
      </c>
      <c r="O384" s="16">
        <f>Exogenous!Z$7</f>
        <v>2.2436275511311652</v>
      </c>
      <c r="P384" s="16">
        <f>Exogenous!AA$7</f>
        <v>2.3771937241437446</v>
      </c>
      <c r="Q384" s="16">
        <f>Exogenous!AB$7</f>
        <v>2.5157820051435547</v>
      </c>
      <c r="R384" s="16">
        <f>Exogenous!AC$7</f>
        <v>2.6586735928595782</v>
      </c>
      <c r="S384" s="16">
        <f>Exogenous!AD$7</f>
        <v>2.8051359573915953</v>
      </c>
      <c r="T384" s="16">
        <f>Exogenous!AE$7</f>
        <v>2.9550791422774938</v>
      </c>
      <c r="U384" s="16">
        <f>Exogenous!AF$7</f>
        <v>3.1083204302525171</v>
      </c>
      <c r="V384" s="16">
        <f>Exogenous!AG$7</f>
        <v>3.2646774508055842</v>
      </c>
      <c r="W384" s="16">
        <f>Exogenous!AH$7</f>
        <v>3.4252679610365075</v>
      </c>
      <c r="X384" s="16">
        <f>Exogenous!AI$7</f>
        <v>3.5919225641078021</v>
      </c>
    </row>
    <row r="385" spans="1:24" x14ac:dyDescent="0.25">
      <c r="A385" s="11" t="s">
        <v>872</v>
      </c>
      <c r="B385" s="10" t="str">
        <f>$B$38</f>
        <v>From Fiscal Forecasts</v>
      </c>
      <c r="D385" s="35">
        <f>'Fiscal Forecasts'!D$359</f>
        <v>0.504</v>
      </c>
      <c r="E385" s="35">
        <f>'Fiscal Forecasts'!E$359</f>
        <v>0.44800000000000001</v>
      </c>
      <c r="F385" s="35">
        <f>'Fiscal Forecasts'!F$359</f>
        <v>2.1560000000000001</v>
      </c>
      <c r="G385" s="35">
        <f>'Fiscal Forecasts'!G$359</f>
        <v>3.5000000000000003E-2</v>
      </c>
      <c r="H385" s="35">
        <f>'Fiscal Forecasts'!H$359</f>
        <v>0.127</v>
      </c>
      <c r="I385" s="35">
        <f>'Fiscal Forecasts'!I$359</f>
        <v>1.29</v>
      </c>
      <c r="J385" s="17">
        <f>'Fiscal Forecasts'!J$359</f>
        <v>1.389</v>
      </c>
      <c r="K385" s="17">
        <f>'Fiscal Forecasts'!K$359</f>
        <v>1.518</v>
      </c>
      <c r="L385" s="17">
        <f>'Fiscal Forecasts'!L$359</f>
        <v>1.6120000000000001</v>
      </c>
      <c r="M385" s="17">
        <f>'Fiscal Forecasts'!M$359</f>
        <v>1.7110000000000001</v>
      </c>
      <c r="N385" s="17">
        <f>'Fiscal Forecasts'!N$359</f>
        <v>1.8169999999999999</v>
      </c>
      <c r="O385" s="16">
        <f>Exogenous!Z$8</f>
        <v>1.9439372284168936</v>
      </c>
      <c r="P385" s="16">
        <f>Exogenous!AA$8</f>
        <v>2.0596624324711144</v>
      </c>
      <c r="Q385" s="16">
        <f>Exogenous!AB$8</f>
        <v>2.1797389214240179</v>
      </c>
      <c r="R385" s="16">
        <f>Exogenous!AC$8</f>
        <v>2.3035439071707531</v>
      </c>
      <c r="S385" s="16">
        <f>Exogenous!AD$8</f>
        <v>2.4304427067652807</v>
      </c>
      <c r="T385" s="16">
        <f>Exogenous!AE$8</f>
        <v>2.5603573795906081</v>
      </c>
      <c r="U385" s="16">
        <f>Exogenous!AF$8</f>
        <v>2.6931296146592203</v>
      </c>
      <c r="V385" s="16">
        <f>Exogenous!AG$8</f>
        <v>2.8286014014200003</v>
      </c>
      <c r="W385" s="16">
        <f>Exogenous!AH$8</f>
        <v>2.9677411936778402</v>
      </c>
      <c r="X385" s="16">
        <f>Exogenous!AI$8</f>
        <v>3.1121350735952071</v>
      </c>
    </row>
    <row r="386" spans="1:24" x14ac:dyDescent="0.25">
      <c r="A386" s="11" t="s">
        <v>873</v>
      </c>
      <c r="B386" s="10" t="str">
        <f>$B$38</f>
        <v>From Fiscal Forecasts</v>
      </c>
      <c r="D386" s="35">
        <f>'Fiscal Forecasts'!D$360</f>
        <v>0.13</v>
      </c>
      <c r="E386" s="35">
        <f>'Fiscal Forecasts'!E$360</f>
        <v>0.15</v>
      </c>
      <c r="F386" s="35">
        <f>'Fiscal Forecasts'!F$360</f>
        <v>0.125</v>
      </c>
      <c r="G386" s="35">
        <f>'Fiscal Forecasts'!G$360</f>
        <v>-0.51700000000000002</v>
      </c>
      <c r="H386" s="35">
        <f>'Fiscal Forecasts'!H$360</f>
        <v>1.054</v>
      </c>
      <c r="I386" s="35">
        <f>'Fiscal Forecasts'!I$360</f>
        <v>0.189</v>
      </c>
      <c r="J386" s="17">
        <f>'Fiscal Forecasts'!J$360</f>
        <v>0.253</v>
      </c>
      <c r="K386" s="17">
        <f>'Fiscal Forecasts'!K$360</f>
        <v>0.314</v>
      </c>
      <c r="L386" s="17">
        <f>'Fiscal Forecasts'!L$360</f>
        <v>0.33600000000000002</v>
      </c>
      <c r="M386" s="17">
        <f>'Fiscal Forecasts'!M$360</f>
        <v>0.36</v>
      </c>
      <c r="N386" s="17">
        <f>'Fiscal Forecasts'!N$360</f>
        <v>0.38700000000000001</v>
      </c>
      <c r="O386" s="16">
        <f>Exogenous!Z$9</f>
        <v>0.40498692258685287</v>
      </c>
      <c r="P386" s="16">
        <f>Exogenous!AA$9</f>
        <v>0.4290963400981489</v>
      </c>
      <c r="Q386" s="16">
        <f>Exogenous!AB$9</f>
        <v>0.45411227529667048</v>
      </c>
      <c r="R386" s="16">
        <f>Exogenous!AC$9</f>
        <v>0.47990498066057363</v>
      </c>
      <c r="S386" s="16">
        <f>Exogenous!AD$9</f>
        <v>0.50634223057610017</v>
      </c>
      <c r="T386" s="16">
        <f>Exogenous!AE$9</f>
        <v>0.53340778741471007</v>
      </c>
      <c r="U386" s="16">
        <f>Exogenous!AF$9</f>
        <v>0.56106866972067093</v>
      </c>
      <c r="V386" s="16">
        <f>Exogenous!AG$9</f>
        <v>0.58929195862916683</v>
      </c>
      <c r="W386" s="16">
        <f>Exogenous!AH$9</f>
        <v>0.61827941534955011</v>
      </c>
      <c r="X386" s="16">
        <f>Exogenous!AI$9</f>
        <v>0.64836147366566821</v>
      </c>
    </row>
    <row r="387" spans="1:24" x14ac:dyDescent="0.25">
      <c r="A387" s="11" t="s">
        <v>868</v>
      </c>
      <c r="B387" s="10" t="str">
        <f>$B$38</f>
        <v>From Fiscal Forecasts</v>
      </c>
      <c r="D387" s="35">
        <f>'Fiscal Forecasts'!D$361</f>
        <v>1.9550000000000001</v>
      </c>
      <c r="E387" s="35">
        <f>'Fiscal Forecasts'!E$361</f>
        <v>1.7000000000000001E-2</v>
      </c>
      <c r="F387" s="35">
        <f>'Fiscal Forecasts'!F$361</f>
        <v>12.786</v>
      </c>
      <c r="G387" s="35">
        <f>'Fiscal Forecasts'!G$361</f>
        <v>-5.133</v>
      </c>
      <c r="H387" s="35">
        <f>'Fiscal Forecasts'!H$361</f>
        <v>5.766</v>
      </c>
      <c r="I387" s="35">
        <f>'Fiscal Forecasts'!I$361</f>
        <v>8.3520000000000003</v>
      </c>
      <c r="J387" s="17">
        <f>'Fiscal Forecasts'!J$361</f>
        <v>6.6360000000000001</v>
      </c>
      <c r="K387" s="17">
        <f>'Fiscal Forecasts'!K$361</f>
        <v>4.9329999999999998</v>
      </c>
      <c r="L387" s="17">
        <f>'Fiscal Forecasts'!L$361</f>
        <v>5.2549999999999999</v>
      </c>
      <c r="M387" s="17">
        <f>'Fiscal Forecasts'!M$361</f>
        <v>5.57</v>
      </c>
      <c r="N387" s="17">
        <f>'Fiscal Forecasts'!N$361</f>
        <v>5.9210000000000003</v>
      </c>
      <c r="O387" s="16">
        <f>Exogenous!Z$10</f>
        <v>6.2610978231927454</v>
      </c>
      <c r="P387" s="16">
        <f>Exogenous!AA$10</f>
        <v>6.6338294179173811</v>
      </c>
      <c r="Q387" s="16">
        <f>Exogenous!AB$10</f>
        <v>7.0205757760865257</v>
      </c>
      <c r="R387" s="16">
        <f>Exogenous!AC$10</f>
        <v>7.419331001012468</v>
      </c>
      <c r="S387" s="16">
        <f>Exogenous!AD$10</f>
        <v>7.8280508847065082</v>
      </c>
      <c r="T387" s="16">
        <f>Exogenous!AE$10</f>
        <v>8.2464843934314178</v>
      </c>
      <c r="U387" s="16">
        <f>Exogenous!AF$10</f>
        <v>8.6741216338815725</v>
      </c>
      <c r="V387" s="16">
        <f>Exogenous!AG$10</f>
        <v>9.1104536804069181</v>
      </c>
      <c r="W387" s="16">
        <f>Exogenous!AH$10</f>
        <v>9.558599761304043</v>
      </c>
      <c r="X387" s="16">
        <f>Exogenous!AI$10</f>
        <v>10.023668382871231</v>
      </c>
    </row>
    <row r="388" spans="1:24" x14ac:dyDescent="0.25">
      <c r="A388" s="9" t="s">
        <v>874</v>
      </c>
      <c r="D388" s="65">
        <f t="shared" ref="D388:X388" si="237">D$384-D$385-D$386+D$387</f>
        <v>2.3029999999999999</v>
      </c>
      <c r="E388" s="65">
        <f t="shared" si="237"/>
        <v>0.22200000000000003</v>
      </c>
      <c r="F388" s="65">
        <f t="shared" si="237"/>
        <v>11.247</v>
      </c>
      <c r="G388" s="65">
        <f t="shared" si="237"/>
        <v>-3.5739999999999998</v>
      </c>
      <c r="H388" s="65">
        <f t="shared" si="237"/>
        <v>5.9050000000000002</v>
      </c>
      <c r="I388" s="65">
        <f t="shared" si="237"/>
        <v>8.532</v>
      </c>
      <c r="J388" s="66">
        <f t="shared" si="237"/>
        <v>6.6989999999999998</v>
      </c>
      <c r="K388" s="66">
        <f t="shared" si="237"/>
        <v>4.8739999999999997</v>
      </c>
      <c r="L388" s="66">
        <f t="shared" si="237"/>
        <v>5.1760000000000002</v>
      </c>
      <c r="M388" s="66">
        <f t="shared" si="237"/>
        <v>5.492</v>
      </c>
      <c r="N388" s="66">
        <f t="shared" si="237"/>
        <v>5.8330000000000002</v>
      </c>
      <c r="O388" s="67">
        <f t="shared" si="237"/>
        <v>6.1558012233201644</v>
      </c>
      <c r="P388" s="67">
        <f t="shared" si="237"/>
        <v>6.5222643694918627</v>
      </c>
      <c r="Q388" s="67">
        <f t="shared" si="237"/>
        <v>6.9025065845093918</v>
      </c>
      <c r="R388" s="67">
        <f t="shared" si="237"/>
        <v>7.2945557060407191</v>
      </c>
      <c r="S388" s="67">
        <f t="shared" si="237"/>
        <v>7.6964019047567227</v>
      </c>
      <c r="T388" s="67">
        <f t="shared" si="237"/>
        <v>8.1077983687035928</v>
      </c>
      <c r="U388" s="67">
        <f t="shared" si="237"/>
        <v>8.5282437797541988</v>
      </c>
      <c r="V388" s="67">
        <f t="shared" si="237"/>
        <v>8.9572377711633351</v>
      </c>
      <c r="W388" s="67">
        <f t="shared" si="237"/>
        <v>9.3978471133131602</v>
      </c>
      <c r="X388" s="67">
        <f t="shared" si="237"/>
        <v>9.8550943997181566</v>
      </c>
    </row>
    <row r="389" spans="1:24" x14ac:dyDescent="0.25">
      <c r="A389" s="11" t="s">
        <v>869</v>
      </c>
      <c r="B389" s="10" t="str">
        <f>$B$38</f>
        <v>From Fiscal Forecasts</v>
      </c>
      <c r="D389" s="35">
        <f>'Fiscal Forecasts'!D$362</f>
        <v>1</v>
      </c>
      <c r="E389" s="35">
        <f>'Fiscal Forecasts'!E$362</f>
        <v>1.46</v>
      </c>
      <c r="F389" s="35">
        <f>'Fiscal Forecasts'!F$362</f>
        <v>2.12</v>
      </c>
      <c r="G389" s="35">
        <f>'Fiscal Forecasts'!G$362</f>
        <v>2.42</v>
      </c>
      <c r="H389" s="35">
        <f>'Fiscal Forecasts'!H$362</f>
        <v>2.5579999999999998</v>
      </c>
      <c r="I389" s="35">
        <f>'Fiscal Forecasts'!I$362</f>
        <v>1.6140000000000001</v>
      </c>
      <c r="J389" s="17">
        <f>'Fiscal Forecasts'!J$362</f>
        <v>0.879</v>
      </c>
      <c r="K389" s="17">
        <f>'Fiscal Forecasts'!K$362</f>
        <v>0</v>
      </c>
      <c r="L389" s="17">
        <f>'Fiscal Forecasts'!L$362</f>
        <v>4.0000000000000001E-3</v>
      </c>
      <c r="M389" s="17">
        <f>'Fiscal Forecasts'!M$362</f>
        <v>-3.2000000000000001E-2</v>
      </c>
      <c r="N389" s="17">
        <f>'Fiscal Forecasts'!N$362</f>
        <v>6.3E-2</v>
      </c>
      <c r="O389" s="16">
        <f>Exogenous!Z$11</f>
        <v>7.8931226568819568E-2</v>
      </c>
      <c r="P389" s="16">
        <f>Exogenous!AA$11</f>
        <v>-3.7546449235872359E-2</v>
      </c>
      <c r="Q389" s="16">
        <f>Exogenous!AB$11</f>
        <v>-0.19270640692964491</v>
      </c>
      <c r="R389" s="16">
        <f>Exogenous!AC$11</f>
        <v>-0.40499215635222185</v>
      </c>
      <c r="S389" s="16">
        <f>Exogenous!AD$11</f>
        <v>-0.64923682824001006</v>
      </c>
      <c r="T389" s="16">
        <f>Exogenous!AE$11</f>
        <v>-0.88575870240245536</v>
      </c>
      <c r="U389" s="16">
        <f>Exogenous!AF$11</f>
        <v>-1.1712854524337715</v>
      </c>
      <c r="V389" s="16">
        <f>Exogenous!AG$11</f>
        <v>-1.4363342055452506</v>
      </c>
      <c r="W389" s="16">
        <f>Exogenous!AH$11</f>
        <v>-1.6308417389458754</v>
      </c>
      <c r="X389" s="16">
        <f>Exogenous!AI$11</f>
        <v>-1.7491417757201475</v>
      </c>
    </row>
    <row r="390" spans="1:24" x14ac:dyDescent="0.25">
      <c r="A390" s="11" t="s">
        <v>468</v>
      </c>
      <c r="B390" s="10" t="str">
        <f>$B$38</f>
        <v>From Fiscal Forecasts</v>
      </c>
      <c r="D390" s="35">
        <f>'Fiscal Forecasts'!D$363</f>
        <v>8.8999999999999996E-2</v>
      </c>
      <c r="E390" s="35">
        <f>'Fiscal Forecasts'!E$363</f>
        <v>-0.13</v>
      </c>
      <c r="F390" s="35">
        <f>'Fiscal Forecasts'!F$363</f>
        <v>1E-3</v>
      </c>
      <c r="G390" s="35">
        <f>'Fiscal Forecasts'!G$363</f>
        <v>-1E-3</v>
      </c>
      <c r="H390" s="35">
        <f>'Fiscal Forecasts'!H$363</f>
        <v>0</v>
      </c>
      <c r="I390" s="35">
        <f>'Fiscal Forecasts'!I$363</f>
        <v>0</v>
      </c>
      <c r="J390" s="17">
        <f>'Fiscal Forecasts'!J$363</f>
        <v>0</v>
      </c>
      <c r="K390" s="17">
        <f>'Fiscal Forecasts'!K$363</f>
        <v>0</v>
      </c>
      <c r="L390" s="17">
        <f>'Fiscal Forecasts'!L$363</f>
        <v>0</v>
      </c>
      <c r="M390" s="17">
        <f>'Fiscal Forecasts'!M$363</f>
        <v>0</v>
      </c>
      <c r="N390" s="17">
        <f>'Fiscal Forecasts'!N$363</f>
        <v>0</v>
      </c>
      <c r="O390" s="16">
        <f>Exogenous!Z$12</f>
        <v>0</v>
      </c>
      <c r="P390" s="16">
        <f>Exogenous!AA$12</f>
        <v>0</v>
      </c>
      <c r="Q390" s="16">
        <f>Exogenous!AB$12</f>
        <v>0</v>
      </c>
      <c r="R390" s="16">
        <f>Exogenous!AC$12</f>
        <v>0</v>
      </c>
      <c r="S390" s="16">
        <f>Exogenous!AD$12</f>
        <v>0</v>
      </c>
      <c r="T390" s="16">
        <f>Exogenous!AE$12</f>
        <v>0</v>
      </c>
      <c r="U390" s="16">
        <f>Exogenous!AF$12</f>
        <v>0</v>
      </c>
      <c r="V390" s="16">
        <f>Exogenous!AG$12</f>
        <v>0</v>
      </c>
      <c r="W390" s="16">
        <f>Exogenous!AH$12</f>
        <v>0</v>
      </c>
      <c r="X390" s="16">
        <f>Exogenous!AI$12</f>
        <v>0</v>
      </c>
    </row>
    <row r="391" spans="1:24" x14ac:dyDescent="0.25">
      <c r="A391" s="9" t="s">
        <v>783</v>
      </c>
      <c r="C391" s="76">
        <f>'Fiscal Forecasts'!$C$364</f>
        <v>39.052999999999997</v>
      </c>
      <c r="D391" s="65">
        <f t="shared" ref="D391:X391" si="238">SUM(C$391,D$388,D$389,D$390)</f>
        <v>42.444999999999993</v>
      </c>
      <c r="E391" s="65">
        <f t="shared" si="238"/>
        <v>43.996999999999993</v>
      </c>
      <c r="F391" s="65">
        <f t="shared" si="238"/>
        <v>57.364999999999988</v>
      </c>
      <c r="G391" s="65">
        <f t="shared" si="238"/>
        <v>56.209999999999994</v>
      </c>
      <c r="H391" s="65">
        <f t="shared" si="238"/>
        <v>64.673000000000002</v>
      </c>
      <c r="I391" s="65">
        <f t="shared" si="238"/>
        <v>74.819000000000003</v>
      </c>
      <c r="J391" s="66">
        <f t="shared" si="238"/>
        <v>82.397000000000006</v>
      </c>
      <c r="K391" s="66">
        <f t="shared" si="238"/>
        <v>87.271000000000001</v>
      </c>
      <c r="L391" s="66">
        <f t="shared" si="238"/>
        <v>92.451000000000008</v>
      </c>
      <c r="M391" s="66">
        <f t="shared" si="238"/>
        <v>97.911000000000016</v>
      </c>
      <c r="N391" s="66">
        <f t="shared" si="238"/>
        <v>103.80700000000002</v>
      </c>
      <c r="O391" s="67">
        <f t="shared" si="238"/>
        <v>110.041732449889</v>
      </c>
      <c r="P391" s="67">
        <f t="shared" si="238"/>
        <v>116.52645037014499</v>
      </c>
      <c r="Q391" s="67">
        <f t="shared" si="238"/>
        <v>123.23625054772474</v>
      </c>
      <c r="R391" s="67">
        <f t="shared" si="238"/>
        <v>130.12581409741324</v>
      </c>
      <c r="S391" s="67">
        <f t="shared" si="238"/>
        <v>137.17297917392995</v>
      </c>
      <c r="T391" s="67">
        <f t="shared" si="238"/>
        <v>144.39501884023107</v>
      </c>
      <c r="U391" s="67">
        <f t="shared" si="238"/>
        <v>151.7519771675515</v>
      </c>
      <c r="V391" s="67">
        <f t="shared" si="238"/>
        <v>159.27288073316959</v>
      </c>
      <c r="W391" s="67">
        <f t="shared" si="238"/>
        <v>167.03988610753686</v>
      </c>
      <c r="X391" s="67">
        <f t="shared" si="238"/>
        <v>175.14583873153487</v>
      </c>
    </row>
    <row r="392" spans="1:24" x14ac:dyDescent="0.25">
      <c r="A392" s="10" t="s">
        <v>870</v>
      </c>
    </row>
    <row r="393" spans="1:24" x14ac:dyDescent="0.25">
      <c r="A393" s="11" t="s">
        <v>784</v>
      </c>
      <c r="B393" s="10" t="str">
        <f>$B$38</f>
        <v>From Fiscal Forecasts</v>
      </c>
      <c r="D393" s="35">
        <f>'Fiscal Forecasts'!D$365</f>
        <v>44.307000000000002</v>
      </c>
      <c r="E393" s="35">
        <f>'Fiscal Forecasts'!E$365</f>
        <v>48.220999999999997</v>
      </c>
      <c r="F393" s="35">
        <f>'Fiscal Forecasts'!F$365</f>
        <v>62.311999999999998</v>
      </c>
      <c r="G393" s="35">
        <f>'Fiscal Forecasts'!G$365</f>
        <v>65.411000000000001</v>
      </c>
      <c r="H393" s="35">
        <f>'Fiscal Forecasts'!H$365</f>
        <v>68.233999999999995</v>
      </c>
      <c r="I393" s="35">
        <f>'Fiscal Forecasts'!I$365</f>
        <v>79.058000000000007</v>
      </c>
      <c r="J393" s="17">
        <f>'Fiscal Forecasts'!J$365</f>
        <v>90.405000000000001</v>
      </c>
      <c r="K393" s="17">
        <f>'Fiscal Forecasts'!K$365</f>
        <v>94.126000000000005</v>
      </c>
      <c r="L393" s="17">
        <f>'Fiscal Forecasts'!L$365</f>
        <v>100.392</v>
      </c>
      <c r="M393" s="17">
        <f>'Fiscal Forecasts'!M$365</f>
        <v>105.19</v>
      </c>
      <c r="N393" s="17">
        <f>'Fiscal Forecasts'!N$365</f>
        <v>110.79600000000001</v>
      </c>
      <c r="O393" s="16">
        <f ca="1">IF(O$6=OFFSET(Assumptions!$B$8,0,$C$1),AVERAGE(L$393/L$391,M$393/M$391,N$393/N$391),N$393/N$391)*O$391</f>
        <v>118.38891290089084</v>
      </c>
      <c r="P393" s="16">
        <f ca="1">IF(P$6=OFFSET(Assumptions!$B$8,0,$C$1),AVERAGE(M$393/M$391,N$393/N$391,O$393/O$391),O$393/O$391)*P$391</f>
        <v>125.36552702678746</v>
      </c>
      <c r="Q393" s="16">
        <f ca="1">IF(Q$6=OFFSET(Assumptions!$B$8,0,$C$1),AVERAGE(N$393/N$391,O$393/O$391,P$393/P$391),P$393/P$391)*Q$391</f>
        <v>132.58429695271181</v>
      </c>
      <c r="R393" s="16">
        <f ca="1">IF(R$6=OFFSET(Assumptions!$B$8,0,$C$1),AVERAGE(O$393/O$391,P$393/P$391,Q$393/Q$391),Q$393/Q$391)*R$391</f>
        <v>139.99646614389258</v>
      </c>
      <c r="S393" s="16">
        <f ca="1">IF(S$6=OFFSET(Assumptions!$B$8,0,$C$1),AVERAGE(P$393/P$391,Q$393/Q$391,R$393/R$391),R$393/R$391)*S$391</f>
        <v>147.57819167535732</v>
      </c>
      <c r="T393" s="16">
        <f ca="1">IF(T$6=OFFSET(Assumptions!$B$8,0,$C$1),AVERAGE(Q$393/Q$391,R$393/R$391,S$393/S$391),S$393/S$391)*T$391</f>
        <v>155.34805685273318</v>
      </c>
      <c r="U393" s="16">
        <f ca="1">IF(U$6=OFFSET(Assumptions!$B$8,0,$C$1),AVERAGE(R$393/R$391,S$393/S$391,T$393/T$391),T$393/T$391)*U$391</f>
        <v>163.26307490304652</v>
      </c>
      <c r="V393" s="16">
        <f ca="1">IF(V$6=OFFSET(Assumptions!$B$8,0,$C$1),AVERAGE(S$393/S$391,T$393/T$391,U$393/U$391),U$393/U$391)*V$391</f>
        <v>171.35447420531963</v>
      </c>
      <c r="W393" s="16">
        <f ca="1">IF(W$6=OFFSET(Assumptions!$B$8,0,$C$1),AVERAGE(T$393/T$391,U$393/U$391,V$393/V$391),V$393/V$391)*W$391</f>
        <v>179.71064329040246</v>
      </c>
      <c r="X393" s="16">
        <f ca="1">IF(X$6=OFFSET(Assumptions!$B$8,0,$C$1),AVERAGE(U$393/U$391,V$393/V$391,W$393/W$391),W$393/W$391)*X$391</f>
        <v>188.43147036042572</v>
      </c>
    </row>
    <row r="394" spans="1:24" x14ac:dyDescent="0.25">
      <c r="A394" s="11" t="s">
        <v>871</v>
      </c>
      <c r="B394" s="10" t="str">
        <f>$B$38</f>
        <v>From Fiscal Forecasts</v>
      </c>
      <c r="D394" s="35">
        <f>-'Fiscal Forecasts'!D$366</f>
        <v>1.9910000000000001</v>
      </c>
      <c r="E394" s="35">
        <f>-'Fiscal Forecasts'!E$366</f>
        <v>4.226</v>
      </c>
      <c r="F394" s="35">
        <f>-'Fiscal Forecasts'!F$366</f>
        <v>4.9489999999999998</v>
      </c>
      <c r="G394" s="35">
        <f>-'Fiscal Forecasts'!G$366</f>
        <v>9.1020000000000003</v>
      </c>
      <c r="H394" s="35">
        <f>-'Fiscal Forecasts'!H$366</f>
        <v>3.5009999999999999</v>
      </c>
      <c r="I394" s="35">
        <f>-'Fiscal Forecasts'!I$366</f>
        <v>4.2350000000000003</v>
      </c>
      <c r="J394" s="17">
        <f>-'Fiscal Forecasts'!J$366</f>
        <v>7.984</v>
      </c>
      <c r="K394" s="17">
        <f>-'Fiscal Forecasts'!K$366</f>
        <v>6.8</v>
      </c>
      <c r="L394" s="17">
        <f>-'Fiscal Forecasts'!L$366</f>
        <v>7.8959999999999999</v>
      </c>
      <c r="M394" s="17">
        <f>-'Fiscal Forecasts'!M$366</f>
        <v>7.2270000000000003</v>
      </c>
      <c r="N394" s="17">
        <f>-'Fiscal Forecasts'!N$366</f>
        <v>6.9290000000000003</v>
      </c>
      <c r="O394" s="16">
        <f t="shared" ref="O394:X394" ca="1" si="239">O$393-O$391</f>
        <v>8.3471804510018472</v>
      </c>
      <c r="P394" s="16">
        <f t="shared" ca="1" si="239"/>
        <v>8.8390766566424759</v>
      </c>
      <c r="Q394" s="16">
        <f t="shared" ca="1" si="239"/>
        <v>9.3480464049870733</v>
      </c>
      <c r="R394" s="16">
        <f t="shared" ca="1" si="239"/>
        <v>9.8706520464793357</v>
      </c>
      <c r="S394" s="16">
        <f t="shared" ca="1" si="239"/>
        <v>10.405212501427371</v>
      </c>
      <c r="T394" s="16">
        <f t="shared" ca="1" si="239"/>
        <v>10.953038012502105</v>
      </c>
      <c r="U394" s="16">
        <f t="shared" ca="1" si="239"/>
        <v>11.511097735495014</v>
      </c>
      <c r="V394" s="16">
        <f t="shared" ca="1" si="239"/>
        <v>12.081593472150047</v>
      </c>
      <c r="W394" s="16">
        <f t="shared" ca="1" si="239"/>
        <v>12.6707571828656</v>
      </c>
      <c r="X394" s="16">
        <f t="shared" ca="1" si="239"/>
        <v>13.285631628890854</v>
      </c>
    </row>
    <row r="395" spans="1:24" x14ac:dyDescent="0.25">
      <c r="A395" s="11" t="s">
        <v>786</v>
      </c>
      <c r="B395" s="10" t="str">
        <f>$B$38</f>
        <v>From Fiscal Forecasts</v>
      </c>
      <c r="D395" s="35">
        <f>'Fiscal Forecasts'!D$367</f>
        <v>0</v>
      </c>
      <c r="E395" s="35">
        <f>'Fiscal Forecasts'!E$367</f>
        <v>2E-3</v>
      </c>
      <c r="F395" s="35">
        <f>'Fiscal Forecasts'!F$367</f>
        <v>2E-3</v>
      </c>
      <c r="G395" s="35">
        <f>'Fiscal Forecasts'!G$367</f>
        <v>-9.9000000000000005E-2</v>
      </c>
      <c r="H395" s="35">
        <f>'Fiscal Forecasts'!H$367</f>
        <v>-0.06</v>
      </c>
      <c r="I395" s="35">
        <f>'Fiscal Forecasts'!I$367</f>
        <v>-4.0000000000000001E-3</v>
      </c>
      <c r="J395" s="17">
        <f>'Fiscal Forecasts'!J$367</f>
        <v>-2.4E-2</v>
      </c>
      <c r="K395" s="17">
        <f>'Fiscal Forecasts'!K$367</f>
        <v>-5.5E-2</v>
      </c>
      <c r="L395" s="17">
        <f>'Fiscal Forecasts'!L$367</f>
        <v>-4.4999999999999998E-2</v>
      </c>
      <c r="M395" s="17">
        <f>'Fiscal Forecasts'!M$367</f>
        <v>-5.1999999999999998E-2</v>
      </c>
      <c r="N395" s="17">
        <f>'Fiscal Forecasts'!N$367</f>
        <v>-0.06</v>
      </c>
      <c r="O395" s="16">
        <f ca="1">IF(O$6=OFFSET(Assumptions!$B$8,0,$C$1),OFFSET(Assumptions!$B$9,0,$C$1),N$395)</f>
        <v>0</v>
      </c>
      <c r="P395" s="16">
        <f ca="1">IF(P$6=OFFSET(Assumptions!$B$8,0,$C$1),OFFSET(Assumptions!$B$9,0,$C$1),O$395)</f>
        <v>0</v>
      </c>
      <c r="Q395" s="16">
        <f ca="1">IF(Q$6=OFFSET(Assumptions!$B$8,0,$C$1),OFFSET(Assumptions!$B$9,0,$C$1),P$395)</f>
        <v>0</v>
      </c>
      <c r="R395" s="16">
        <f ca="1">IF(R$6=OFFSET(Assumptions!$B$8,0,$C$1),OFFSET(Assumptions!$B$9,0,$C$1),Q$395)</f>
        <v>0</v>
      </c>
      <c r="S395" s="16">
        <f ca="1">IF(S$6=OFFSET(Assumptions!$B$8,0,$C$1),OFFSET(Assumptions!$B$9,0,$C$1),R$395)</f>
        <v>0</v>
      </c>
      <c r="T395" s="16">
        <f ca="1">IF(T$6=OFFSET(Assumptions!$B$8,0,$C$1),OFFSET(Assumptions!$B$9,0,$C$1),S$395)</f>
        <v>0</v>
      </c>
      <c r="U395" s="16">
        <f ca="1">IF(U$6=OFFSET(Assumptions!$B$8,0,$C$1),OFFSET(Assumptions!$B$9,0,$C$1),T$395)</f>
        <v>0</v>
      </c>
      <c r="V395" s="16">
        <f ca="1">IF(V$6=OFFSET(Assumptions!$B$8,0,$C$1),OFFSET(Assumptions!$B$9,0,$C$1),U$395)</f>
        <v>0</v>
      </c>
      <c r="W395" s="16">
        <f ca="1">IF(W$6=OFFSET(Assumptions!$B$8,0,$C$1),OFFSET(Assumptions!$B$9,0,$C$1),V$395)</f>
        <v>0</v>
      </c>
      <c r="X395" s="16">
        <f ca="1">IF(X$6=OFFSET(Assumptions!$B$8,0,$C$1),OFFSET(Assumptions!$B$9,0,$C$1),W$395)</f>
        <v>0</v>
      </c>
    </row>
    <row r="397" spans="1:24" x14ac:dyDescent="0.25">
      <c r="A397" s="9" t="s">
        <v>1108</v>
      </c>
      <c r="B397" s="10" t="str">
        <f>$B$38</f>
        <v>From Fiscal Forecasts</v>
      </c>
      <c r="D397" s="42">
        <f>'Fiscal Forecasts'!D$125</f>
        <v>3.6880000000000002</v>
      </c>
      <c r="E397" s="42">
        <f>'Fiscal Forecasts'!E$125</f>
        <v>4.22</v>
      </c>
      <c r="F397" s="42">
        <f>'Fiscal Forecasts'!F$125</f>
        <v>4.718</v>
      </c>
      <c r="G397" s="42">
        <f>'Fiscal Forecasts'!G$125</f>
        <v>6.0960000000000001</v>
      </c>
      <c r="H397" s="42">
        <f>'Fiscal Forecasts'!H$125</f>
        <v>7.3170000000000002</v>
      </c>
      <c r="I397" s="42">
        <f>'Fiscal Forecasts'!I$125</f>
        <v>7.1740000000000004</v>
      </c>
      <c r="J397" s="43">
        <f>'Fiscal Forecasts'!J$125</f>
        <v>8.3989999999999991</v>
      </c>
      <c r="K397" s="43">
        <f>'Fiscal Forecasts'!K$125</f>
        <v>9.3089999999999993</v>
      </c>
      <c r="L397" s="43">
        <f>'Fiscal Forecasts'!L$125</f>
        <v>10.826000000000001</v>
      </c>
      <c r="M397" s="43">
        <f>'Fiscal Forecasts'!M$125</f>
        <v>12.381</v>
      </c>
      <c r="N397" s="43">
        <f>'Fiscal Forecasts'!N$125</f>
        <v>14.013999999999999</v>
      </c>
      <c r="O397" s="47">
        <f ca="1">OFFSET(Assumptions!$B$52,0,$C$1)*(O$393-O$359-O$400)</f>
        <v>10.538281498485777</v>
      </c>
      <c r="P397" s="47">
        <f ca="1">OFFSET(Assumptions!$B$52,0,$C$1)*(P$393-P$359-P$400)</f>
        <v>11.15121332063778</v>
      </c>
      <c r="Q397" s="47">
        <f ca="1">OFFSET(Assumptions!$B$52,0,$C$1)*(Q$393-Q$359-Q$400)</f>
        <v>11.78541978878242</v>
      </c>
      <c r="R397" s="47">
        <f ca="1">OFFSET(Assumptions!$B$52,0,$C$1)*(R$393-R$359-R$400)</f>
        <v>12.43661738785638</v>
      </c>
      <c r="S397" s="47">
        <f ca="1">OFFSET(Assumptions!$B$52,0,$C$1)*(S$393-S$359-S$400)</f>
        <v>13.102711392942238</v>
      </c>
      <c r="T397" s="47">
        <f ca="1">OFFSET(Assumptions!$B$52,0,$C$1)*(T$393-T$359-T$400)</f>
        <v>13.785334444053342</v>
      </c>
      <c r="U397" s="47">
        <f ca="1">OFFSET(Assumptions!$B$52,0,$C$1)*(U$393-U$359-U$400)</f>
        <v>14.480709929697113</v>
      </c>
      <c r="V397" s="47">
        <f ca="1">OFFSET(Assumptions!$B$52,0,$C$1)*(V$393-V$359-V$400)</f>
        <v>15.191581425325996</v>
      </c>
      <c r="W397" s="47">
        <f ca="1">OFFSET(Assumptions!$B$52,0,$C$1)*(W$393-W$359-W$400)</f>
        <v>15.925714322904279</v>
      </c>
      <c r="X397" s="47">
        <f ca="1">OFFSET(Assumptions!$B$52,0,$C$1)*(X$393-X$359-X$400)</f>
        <v>16.691884320304688</v>
      </c>
    </row>
    <row r="398" spans="1:24" x14ac:dyDescent="0.25">
      <c r="A398" s="9"/>
      <c r="B398" s="10"/>
      <c r="D398" s="35"/>
      <c r="E398" s="35"/>
      <c r="F398" s="35"/>
      <c r="G398" s="35"/>
      <c r="H398" s="35"/>
      <c r="I398" s="35"/>
      <c r="J398" s="17"/>
      <c r="K398" s="17"/>
      <c r="L398" s="17"/>
      <c r="M398" s="17"/>
      <c r="N398" s="17"/>
    </row>
    <row r="399" spans="1:24" x14ac:dyDescent="0.25">
      <c r="A399" s="9" t="s">
        <v>622</v>
      </c>
    </row>
    <row r="400" spans="1:24" x14ac:dyDescent="0.25">
      <c r="A400" s="11" t="s">
        <v>1036</v>
      </c>
      <c r="B400" s="10" t="str">
        <f>$B$38</f>
        <v>From Fiscal Forecasts</v>
      </c>
      <c r="D400" s="35">
        <f>'Fiscal Forecasts'!D$185-D$77</f>
        <v>2.0030000000000001</v>
      </c>
      <c r="E400" s="35">
        <f>'Fiscal Forecasts'!E$185-E$77</f>
        <v>3.6860000000000017</v>
      </c>
      <c r="F400" s="35">
        <f>'Fiscal Forecasts'!F$185-F$77</f>
        <v>5.4710000000000001</v>
      </c>
      <c r="G400" s="35">
        <f>'Fiscal Forecasts'!G$185-G$77</f>
        <v>4.6139999999999972</v>
      </c>
      <c r="H400" s="35">
        <f>'Fiscal Forecasts'!H$185-H$77</f>
        <v>7.3510000000000062</v>
      </c>
      <c r="I400" s="35">
        <f>'Fiscal Forecasts'!I$185-I$77</f>
        <v>8.9179999999999993</v>
      </c>
      <c r="J400" s="17">
        <f>'Fiscal Forecasts'!J$185-J$77</f>
        <v>9.8170000000000002</v>
      </c>
      <c r="K400" s="17">
        <f>'Fiscal Forecasts'!K$185-K$77</f>
        <v>9.8189999999999991</v>
      </c>
      <c r="L400" s="17">
        <f>'Fiscal Forecasts'!L$185-L$77</f>
        <v>9.8179999999999978</v>
      </c>
      <c r="M400" s="17">
        <f>'Fiscal Forecasts'!M$185-M$77</f>
        <v>9.8170000000000002</v>
      </c>
      <c r="N400" s="17">
        <f>'Fiscal Forecasts'!N$185-N$77</f>
        <v>9.8179999999999978</v>
      </c>
      <c r="O400" s="16">
        <f ca="1">IF(O$6=OFFSET(Assumptions!$B$8,0,$C$1),AVERAGE(L$400/L$393,M$400/M$393,N$400/N$393),N$400/N$393)*O$393</f>
        <v>11.039225735632337</v>
      </c>
      <c r="P400" s="16">
        <f ca="1">IF(P$6=OFFSET(Assumptions!$B$8,0,$C$1),AVERAGE(M$400/M$393,N$400/N$393,O$400/O$393),O$400/O$393)*P$393</f>
        <v>11.689763157752671</v>
      </c>
      <c r="Q400" s="16">
        <f ca="1">IF(Q$6=OFFSET(Assumptions!$B$8,0,$C$1),AVERAGE(N$400/N$393,O$400/O$393,P$400/P$393),P$400/P$393)*Q$393</f>
        <v>12.362880502892793</v>
      </c>
      <c r="R400" s="16">
        <f ca="1">IF(R$6=OFFSET(Assumptions!$B$8,0,$C$1),AVERAGE(O$400/O$393,P$400/P$393,Q$400/Q$393),Q$400/Q$393)*R$393</f>
        <v>13.05403144673703</v>
      </c>
      <c r="S400" s="16">
        <f ca="1">IF(S$6=OFFSET(Assumptions!$B$8,0,$C$1),AVERAGE(P$400/P$393,Q$400/Q$393,R$400/R$393),R$400/R$393)*S$393</f>
        <v>13.760992745363977</v>
      </c>
      <c r="T400" s="16">
        <f ca="1">IF(T$6=OFFSET(Assumptions!$B$8,0,$C$1),AVERAGE(Q$400/Q$393,R$400/R$393,S$400/S$393),S$400/S$393)*T$393</f>
        <v>14.485497207198897</v>
      </c>
      <c r="U400" s="16">
        <f ca="1">IF(U$6=OFFSET(Assumptions!$B$8,0,$C$1),AVERAGE(R$400/R$393,S$400/S$393,T$400/T$393),T$400/T$393)*U$393</f>
        <v>15.223536511877366</v>
      </c>
      <c r="V400" s="16">
        <f ca="1">IF(V$6=OFFSET(Assumptions!$B$8,0,$C$1),AVERAGE(S$400/S$393,T$400/T$393,U$400/U$393),U$400/U$393)*V$393</f>
        <v>15.978022563199652</v>
      </c>
      <c r="W400" s="16">
        <f ca="1">IF(W$6=OFFSET(Assumptions!$B$8,0,$C$1),AVERAGE(T$400/T$393,U$400/U$393,V$400/V$393),V$400/V$393)*W$393</f>
        <v>16.757197188213439</v>
      </c>
      <c r="X400" s="16">
        <f ca="1">IF(X$6=OFFSET(Assumptions!$B$8,0,$C$1),AVERAGE(U$400/U$393,V$400/V$393,W$400/W$393),W$400/W$393)*X$393</f>
        <v>17.570374505822507</v>
      </c>
    </row>
    <row r="401" spans="1:24" x14ac:dyDescent="0.25">
      <c r="A401" s="11" t="s">
        <v>878</v>
      </c>
      <c r="D401" s="35">
        <f t="shared" ref="D401:X401" si="240">D$416</f>
        <v>10.731000000000002</v>
      </c>
      <c r="E401" s="35">
        <f t="shared" si="240"/>
        <v>10.395</v>
      </c>
      <c r="F401" s="35">
        <f t="shared" si="240"/>
        <v>10.840999999999999</v>
      </c>
      <c r="G401" s="35">
        <f t="shared" si="240"/>
        <v>9.2089999999999996</v>
      </c>
      <c r="H401" s="35">
        <f t="shared" si="240"/>
        <v>9.3729999999999993</v>
      </c>
      <c r="I401" s="35">
        <f t="shared" si="240"/>
        <v>9.5960000000000001</v>
      </c>
      <c r="J401" s="17">
        <f t="shared" si="240"/>
        <v>10.012</v>
      </c>
      <c r="K401" s="17">
        <f t="shared" si="240"/>
        <v>10.026000000000002</v>
      </c>
      <c r="L401" s="17">
        <f t="shared" si="240"/>
        <v>9.9530000000000012</v>
      </c>
      <c r="M401" s="17">
        <f t="shared" si="240"/>
        <v>9.8220000000000027</v>
      </c>
      <c r="N401" s="17">
        <f t="shared" si="240"/>
        <v>9.6330000000000027</v>
      </c>
      <c r="O401" s="16">
        <f t="shared" si="240"/>
        <v>9.5700000000000021</v>
      </c>
      <c r="P401" s="16">
        <f t="shared" si="240"/>
        <v>9.4880000000000013</v>
      </c>
      <c r="Q401" s="16">
        <f t="shared" si="240"/>
        <v>9.3870000000000005</v>
      </c>
      <c r="R401" s="16">
        <f t="shared" si="240"/>
        <v>9.2650000000000023</v>
      </c>
      <c r="S401" s="16">
        <f t="shared" si="240"/>
        <v>9.1210000000000022</v>
      </c>
      <c r="T401" s="16">
        <f t="shared" si="240"/>
        <v>8.9440000000000008</v>
      </c>
      <c r="U401" s="16">
        <f t="shared" si="240"/>
        <v>8.7349999999999994</v>
      </c>
      <c r="V401" s="16">
        <f t="shared" si="240"/>
        <v>8.4890000000000008</v>
      </c>
      <c r="W401" s="16">
        <f t="shared" si="240"/>
        <v>8.2050000000000018</v>
      </c>
      <c r="X401" s="16">
        <f t="shared" si="240"/>
        <v>7.8840000000000003</v>
      </c>
    </row>
    <row r="402" spans="1:24" x14ac:dyDescent="0.25">
      <c r="A402" s="11" t="s">
        <v>1057</v>
      </c>
      <c r="D402" s="35">
        <f t="shared" ref="D402:N402" si="241">D$77-D$416</f>
        <v>3.113999999999999</v>
      </c>
      <c r="E402" s="35">
        <f t="shared" si="241"/>
        <v>4.1609999999999996</v>
      </c>
      <c r="F402" s="35">
        <f t="shared" si="241"/>
        <v>7.8870000000000022</v>
      </c>
      <c r="G402" s="35">
        <f t="shared" si="241"/>
        <v>16.894000000000002</v>
      </c>
      <c r="H402" s="35">
        <f t="shared" si="241"/>
        <v>27.167999999999999</v>
      </c>
      <c r="I402" s="35">
        <f t="shared" si="241"/>
        <v>30.791999999999998</v>
      </c>
      <c r="J402" s="17">
        <f t="shared" si="241"/>
        <v>25.054000000000002</v>
      </c>
      <c r="K402" s="17">
        <f t="shared" si="241"/>
        <v>19.222000000000001</v>
      </c>
      <c r="L402" s="17">
        <f t="shared" si="241"/>
        <v>22.138999999999996</v>
      </c>
      <c r="M402" s="17">
        <f t="shared" si="241"/>
        <v>23.891999999999996</v>
      </c>
      <c r="N402" s="17">
        <f t="shared" si="241"/>
        <v>25.784999999999997</v>
      </c>
      <c r="O402" s="16">
        <f t="shared" ref="O402:X402" si="242">N$402</f>
        <v>25.784999999999997</v>
      </c>
      <c r="P402" s="16">
        <f t="shared" si="242"/>
        <v>25.784999999999997</v>
      </c>
      <c r="Q402" s="16">
        <f t="shared" si="242"/>
        <v>25.784999999999997</v>
      </c>
      <c r="R402" s="16">
        <f t="shared" si="242"/>
        <v>25.784999999999997</v>
      </c>
      <c r="S402" s="16">
        <f t="shared" si="242"/>
        <v>25.784999999999997</v>
      </c>
      <c r="T402" s="16">
        <f t="shared" si="242"/>
        <v>25.784999999999997</v>
      </c>
      <c r="U402" s="16">
        <f t="shared" si="242"/>
        <v>25.784999999999997</v>
      </c>
      <c r="V402" s="16">
        <f t="shared" si="242"/>
        <v>25.784999999999997</v>
      </c>
      <c r="W402" s="16">
        <f t="shared" si="242"/>
        <v>25.784999999999997</v>
      </c>
      <c r="X402" s="16">
        <f t="shared" si="242"/>
        <v>25.784999999999997</v>
      </c>
    </row>
    <row r="403" spans="1:24" x14ac:dyDescent="0.25">
      <c r="A403" s="9" t="s">
        <v>1058</v>
      </c>
      <c r="D403" s="65">
        <f t="shared" ref="D403:N403" si="243">SUM(D$400:D$402)</f>
        <v>15.848000000000001</v>
      </c>
      <c r="E403" s="65">
        <f t="shared" si="243"/>
        <v>18.242000000000001</v>
      </c>
      <c r="F403" s="65">
        <f t="shared" si="243"/>
        <v>24.198999999999998</v>
      </c>
      <c r="G403" s="65">
        <f t="shared" si="243"/>
        <v>30.716999999999999</v>
      </c>
      <c r="H403" s="65">
        <f t="shared" si="243"/>
        <v>43.892000000000003</v>
      </c>
      <c r="I403" s="65">
        <f t="shared" si="243"/>
        <v>49.305999999999997</v>
      </c>
      <c r="J403" s="66">
        <f t="shared" si="243"/>
        <v>44.883000000000003</v>
      </c>
      <c r="K403" s="66">
        <f t="shared" si="243"/>
        <v>39.067</v>
      </c>
      <c r="L403" s="66">
        <f t="shared" si="243"/>
        <v>41.91</v>
      </c>
      <c r="M403" s="66">
        <f t="shared" si="243"/>
        <v>43.530999999999999</v>
      </c>
      <c r="N403" s="66">
        <f t="shared" si="243"/>
        <v>45.235999999999997</v>
      </c>
      <c r="O403" s="67">
        <f t="shared" ref="O403:X403" ca="1" si="244">SUM(O$400:O$402)</f>
        <v>46.394225735632332</v>
      </c>
      <c r="P403" s="67">
        <f t="shared" ca="1" si="244"/>
        <v>46.962763157752669</v>
      </c>
      <c r="Q403" s="67">
        <f t="shared" ca="1" si="244"/>
        <v>47.53488050289279</v>
      </c>
      <c r="R403" s="67">
        <f t="shared" ca="1" si="244"/>
        <v>48.104031446737025</v>
      </c>
      <c r="S403" s="67">
        <f t="shared" ca="1" si="244"/>
        <v>48.666992745363977</v>
      </c>
      <c r="T403" s="67">
        <f t="shared" ca="1" si="244"/>
        <v>49.214497207198896</v>
      </c>
      <c r="U403" s="67">
        <f t="shared" ca="1" si="244"/>
        <v>49.743536511877366</v>
      </c>
      <c r="V403" s="67">
        <f t="shared" ca="1" si="244"/>
        <v>50.252022563199645</v>
      </c>
      <c r="W403" s="67">
        <f t="shared" ca="1" si="244"/>
        <v>50.747197188213434</v>
      </c>
      <c r="X403" s="67">
        <f t="shared" ca="1" si="244"/>
        <v>51.239374505822504</v>
      </c>
    </row>
    <row r="404" spans="1:24" x14ac:dyDescent="0.25">
      <c r="A404" s="11" t="s">
        <v>1059</v>
      </c>
      <c r="B404" s="10" t="str">
        <f>$B$38</f>
        <v>From Fiscal Forecasts</v>
      </c>
      <c r="D404" s="35">
        <f>'Fiscal Forecasts'!D$323</f>
        <v>20.411000000000001</v>
      </c>
      <c r="E404" s="35">
        <f>'Fiscal Forecasts'!E$323</f>
        <v>22.189</v>
      </c>
      <c r="F404" s="35">
        <f>'Fiscal Forecasts'!F$323</f>
        <v>25.206</v>
      </c>
      <c r="G404" s="35">
        <f>'Fiscal Forecasts'!G$323</f>
        <v>27.786000000000001</v>
      </c>
      <c r="H404" s="35">
        <f>'Fiscal Forecasts'!H$323</f>
        <v>29.785</v>
      </c>
      <c r="I404" s="35">
        <f>'Fiscal Forecasts'!I$323</f>
        <v>32.487000000000002</v>
      </c>
      <c r="J404" s="17">
        <f>'Fiscal Forecasts'!J$323</f>
        <v>35.345999999999997</v>
      </c>
      <c r="K404" s="17">
        <f>'Fiscal Forecasts'!K$323</f>
        <v>38.869999999999997</v>
      </c>
      <c r="L404" s="17">
        <f>'Fiscal Forecasts'!L$323</f>
        <v>42.386000000000003</v>
      </c>
      <c r="M404" s="17">
        <f>'Fiscal Forecasts'!M$323</f>
        <v>46.438000000000002</v>
      </c>
      <c r="N404" s="17">
        <f>'Fiscal Forecasts'!N$323</f>
        <v>50.116999999999997</v>
      </c>
      <c r="O404" s="16">
        <f t="shared" ref="O404:X404" ca="1" si="245">N$404*(1+O$14)</f>
        <v>52.279425450562982</v>
      </c>
      <c r="P404" s="16">
        <f t="shared" ca="1" si="245"/>
        <v>54.509151233088772</v>
      </c>
      <c r="Q404" s="16">
        <f t="shared" ca="1" si="245"/>
        <v>56.743718359475103</v>
      </c>
      <c r="R404" s="16">
        <f t="shared" ca="1" si="245"/>
        <v>58.978087401571777</v>
      </c>
      <c r="S404" s="16">
        <f t="shared" ca="1" si="245"/>
        <v>61.26172352363735</v>
      </c>
      <c r="T404" s="16">
        <f t="shared" ca="1" si="245"/>
        <v>63.591141692770542</v>
      </c>
      <c r="U404" s="16">
        <f t="shared" ca="1" si="245"/>
        <v>65.951618115721672</v>
      </c>
      <c r="V404" s="16">
        <f t="shared" ca="1" si="245"/>
        <v>68.347583846205168</v>
      </c>
      <c r="W404" s="16">
        <f t="shared" ca="1" si="245"/>
        <v>70.778949618957014</v>
      </c>
      <c r="X404" s="16">
        <f t="shared" ca="1" si="245"/>
        <v>73.264037062229775</v>
      </c>
    </row>
    <row r="405" spans="1:24" x14ac:dyDescent="0.25">
      <c r="A405" s="11" t="s">
        <v>1060</v>
      </c>
      <c r="B405" s="10" t="str">
        <f>$B$38</f>
        <v>From Fiscal Forecasts</v>
      </c>
      <c r="D405" s="35">
        <f>'Fiscal Forecasts'!D$124-SUM(D$403:D$404)</f>
        <v>-2.5690000000000026</v>
      </c>
      <c r="E405" s="35">
        <f>'Fiscal Forecasts'!E$124-SUM(E$403:E$404)</f>
        <v>-2.8019999999999996</v>
      </c>
      <c r="F405" s="35">
        <f>'Fiscal Forecasts'!F$124-SUM(F$403:F$404)</f>
        <v>-3.7929999999999993</v>
      </c>
      <c r="G405" s="35">
        <f>'Fiscal Forecasts'!G$124-SUM(G$403:G$404)</f>
        <v>-3.8440000000000012</v>
      </c>
      <c r="H405" s="35">
        <f>'Fiscal Forecasts'!H$124-SUM(H$403:H$404)</f>
        <v>-7.1880000000000024</v>
      </c>
      <c r="I405" s="35">
        <f>'Fiscal Forecasts'!I$124-SUM(I$403:I$404)</f>
        <v>-12.415000000000006</v>
      </c>
      <c r="J405" s="17">
        <f>'Fiscal Forecasts'!J$124-SUM(J$403:J$404)</f>
        <v>-15.823999999999998</v>
      </c>
      <c r="K405" s="17">
        <f>'Fiscal Forecasts'!K$124-SUM(K$403:K$404)</f>
        <v>-17.169999999999995</v>
      </c>
      <c r="L405" s="17">
        <f>'Fiscal Forecasts'!L$124-SUM(L$403:L$404)</f>
        <v>-19.888999999999996</v>
      </c>
      <c r="M405" s="17">
        <f>'Fiscal Forecasts'!M$124-SUM(M$403:M$404)</f>
        <v>-21.447999999999993</v>
      </c>
      <c r="N405" s="17">
        <f>'Fiscal Forecasts'!N$124-SUM(N$403:N$404)</f>
        <v>-23.143999999999991</v>
      </c>
      <c r="O405" s="16">
        <f t="shared" ref="O405:X405" si="246">N$405*O$402/N$402</f>
        <v>-23.143999999999991</v>
      </c>
      <c r="P405" s="16">
        <f t="shared" si="246"/>
        <v>-23.143999999999991</v>
      </c>
      <c r="Q405" s="16">
        <f t="shared" si="246"/>
        <v>-23.143999999999991</v>
      </c>
      <c r="R405" s="16">
        <f t="shared" si="246"/>
        <v>-23.143999999999991</v>
      </c>
      <c r="S405" s="16">
        <f t="shared" si="246"/>
        <v>-23.143999999999991</v>
      </c>
      <c r="T405" s="16">
        <f t="shared" si="246"/>
        <v>-23.143999999999991</v>
      </c>
      <c r="U405" s="16">
        <f t="shared" si="246"/>
        <v>-23.143999999999991</v>
      </c>
      <c r="V405" s="16">
        <f t="shared" si="246"/>
        <v>-23.143999999999991</v>
      </c>
      <c r="W405" s="16">
        <f t="shared" si="246"/>
        <v>-23.143999999999991</v>
      </c>
      <c r="X405" s="16">
        <f t="shared" si="246"/>
        <v>-23.143999999999991</v>
      </c>
    </row>
    <row r="406" spans="1:24" x14ac:dyDescent="0.25">
      <c r="A406" s="9" t="s">
        <v>1061</v>
      </c>
      <c r="D406" s="65">
        <f t="shared" ref="D406:N406" si="247">SUM(D$403:D$405)</f>
        <v>33.69</v>
      </c>
      <c r="E406" s="65">
        <f t="shared" si="247"/>
        <v>37.628999999999998</v>
      </c>
      <c r="F406" s="65">
        <f t="shared" si="247"/>
        <v>45.612000000000002</v>
      </c>
      <c r="G406" s="65">
        <f t="shared" si="247"/>
        <v>54.658999999999999</v>
      </c>
      <c r="H406" s="65">
        <f t="shared" si="247"/>
        <v>66.489000000000004</v>
      </c>
      <c r="I406" s="65">
        <f t="shared" si="247"/>
        <v>69.378</v>
      </c>
      <c r="J406" s="66">
        <f t="shared" si="247"/>
        <v>64.405000000000001</v>
      </c>
      <c r="K406" s="66">
        <f t="shared" si="247"/>
        <v>60.767000000000003</v>
      </c>
      <c r="L406" s="66">
        <f t="shared" si="247"/>
        <v>64.406999999999996</v>
      </c>
      <c r="M406" s="66">
        <f t="shared" si="247"/>
        <v>68.521000000000001</v>
      </c>
      <c r="N406" s="66">
        <f t="shared" si="247"/>
        <v>72.209000000000003</v>
      </c>
      <c r="O406" s="67">
        <f t="shared" ref="O406:X406" ca="1" si="248">SUM(O$403:O$405)</f>
        <v>75.529651186195323</v>
      </c>
      <c r="P406" s="67">
        <f t="shared" ca="1" si="248"/>
        <v>78.327914390841457</v>
      </c>
      <c r="Q406" s="67">
        <f t="shared" ca="1" si="248"/>
        <v>81.134598862367895</v>
      </c>
      <c r="R406" s="67">
        <f t="shared" ca="1" si="248"/>
        <v>83.938118848308804</v>
      </c>
      <c r="S406" s="67">
        <f t="shared" ca="1" si="248"/>
        <v>86.784716269001336</v>
      </c>
      <c r="T406" s="67">
        <f t="shared" ca="1" si="248"/>
        <v>89.661638899969446</v>
      </c>
      <c r="U406" s="67">
        <f t="shared" ca="1" si="248"/>
        <v>92.551154627599047</v>
      </c>
      <c r="V406" s="67">
        <f t="shared" ca="1" si="248"/>
        <v>95.455606409404822</v>
      </c>
      <c r="W406" s="67">
        <f t="shared" ca="1" si="248"/>
        <v>98.382146807170457</v>
      </c>
      <c r="X406" s="67">
        <f t="shared" ca="1" si="248"/>
        <v>101.35941156805229</v>
      </c>
    </row>
    <row r="408" spans="1:24" x14ac:dyDescent="0.25">
      <c r="A408" s="9" t="s">
        <v>878</v>
      </c>
    </row>
    <row r="409" spans="1:24" x14ac:dyDescent="0.25">
      <c r="A409" s="11" t="s">
        <v>471</v>
      </c>
      <c r="B409" s="10" t="str">
        <f t="shared" ref="B409:B415" si="249">$B$38</f>
        <v>From Fiscal Forecasts</v>
      </c>
      <c r="D409" s="35">
        <f>'Fiscal Forecasts'!D$325</f>
        <v>1.361</v>
      </c>
      <c r="E409" s="35">
        <f>'Fiscal Forecasts'!E$325</f>
        <v>1.413</v>
      </c>
      <c r="F409" s="35">
        <f>'Fiscal Forecasts'!F$325</f>
        <v>1.43</v>
      </c>
      <c r="G409" s="35">
        <f>'Fiscal Forecasts'!G$325</f>
        <v>1.2949999999999999</v>
      </c>
      <c r="H409" s="35">
        <f>'Fiscal Forecasts'!H$325</f>
        <v>1.2709999999999999</v>
      </c>
      <c r="I409" s="35">
        <f>'Fiscal Forecasts'!I$325</f>
        <v>1.3480000000000001</v>
      </c>
      <c r="J409" s="17">
        <f>'Fiscal Forecasts'!J$325</f>
        <v>1.6339999999999999</v>
      </c>
      <c r="K409" s="17">
        <f>'Fiscal Forecasts'!K$325</f>
        <v>1.877</v>
      </c>
      <c r="L409" s="17">
        <f>'Fiscal Forecasts'!L$325</f>
        <v>1.855</v>
      </c>
      <c r="M409" s="17">
        <f>'Fiscal Forecasts'!M$325</f>
        <v>1.8620000000000001</v>
      </c>
      <c r="N409" s="17">
        <f>'Fiscal Forecasts'!N$325</f>
        <v>1.907</v>
      </c>
      <c r="O409" s="16">
        <f>Exogenous!Z$16</f>
        <v>1.9390000000000001</v>
      </c>
      <c r="P409" s="16">
        <f>Exogenous!AA$16</f>
        <v>1.994</v>
      </c>
      <c r="Q409" s="16">
        <f>Exogenous!AB$16</f>
        <v>2.044</v>
      </c>
      <c r="R409" s="16">
        <f>Exogenous!AC$16</f>
        <v>2.0880000000000001</v>
      </c>
      <c r="S409" s="16">
        <f>Exogenous!AD$16</f>
        <v>2.1309999999999998</v>
      </c>
      <c r="T409" s="16">
        <f>Exogenous!AE$16</f>
        <v>2.1709999999999998</v>
      </c>
      <c r="U409" s="16">
        <f>Exogenous!AF$16</f>
        <v>2.21</v>
      </c>
      <c r="V409" s="16">
        <f>Exogenous!AG$16</f>
        <v>2.25</v>
      </c>
      <c r="W409" s="16">
        <f>Exogenous!AH$16</f>
        <v>2.2909999999999999</v>
      </c>
      <c r="X409" s="16">
        <f>Exogenous!AI$16</f>
        <v>2.3340000000000001</v>
      </c>
    </row>
    <row r="410" spans="1:24" x14ac:dyDescent="0.25">
      <c r="A410" s="11" t="s">
        <v>472</v>
      </c>
      <c r="B410" s="10" t="str">
        <f t="shared" si="249"/>
        <v>From Fiscal Forecasts</v>
      </c>
      <c r="D410" s="35">
        <f>'Fiscal Forecasts'!D$326</f>
        <v>3.5999999999999997E-2</v>
      </c>
      <c r="E410" s="35">
        <f>'Fiscal Forecasts'!E$326</f>
        <v>3.5999999999999997E-2</v>
      </c>
      <c r="F410" s="35">
        <f>'Fiscal Forecasts'!F$326</f>
        <v>3.7999999999999999E-2</v>
      </c>
      <c r="G410" s="35">
        <f>'Fiscal Forecasts'!G$326</f>
        <v>3.7999999999999999E-2</v>
      </c>
      <c r="H410" s="35">
        <f>'Fiscal Forecasts'!H$326</f>
        <v>0.03</v>
      </c>
      <c r="I410" s="35">
        <f>'Fiscal Forecasts'!I$326</f>
        <v>2.8000000000000001E-2</v>
      </c>
      <c r="J410" s="17">
        <f>'Fiscal Forecasts'!J$326</f>
        <v>2.5999999999999999E-2</v>
      </c>
      <c r="K410" s="17">
        <f>'Fiscal Forecasts'!K$326</f>
        <v>2.5000000000000001E-2</v>
      </c>
      <c r="L410" s="17">
        <f>'Fiscal Forecasts'!L$326</f>
        <v>2.4E-2</v>
      </c>
      <c r="M410" s="17">
        <f>'Fiscal Forecasts'!M$326</f>
        <v>2.5000000000000001E-2</v>
      </c>
      <c r="N410" s="17">
        <f>'Fiscal Forecasts'!N$326</f>
        <v>2.5999999999999999E-2</v>
      </c>
      <c r="O410" s="16">
        <f>Exogenous!Z$17</f>
        <v>2.5999999999999999E-2</v>
      </c>
      <c r="P410" s="16">
        <f>Exogenous!AA$17</f>
        <v>2.7E-2</v>
      </c>
      <c r="Q410" s="16">
        <f>Exogenous!AB$17</f>
        <v>2.8000000000000001E-2</v>
      </c>
      <c r="R410" s="16">
        <f>Exogenous!AC$17</f>
        <v>2.8000000000000001E-2</v>
      </c>
      <c r="S410" s="16">
        <f>Exogenous!AD$17</f>
        <v>2.9000000000000001E-2</v>
      </c>
      <c r="T410" s="16">
        <f>Exogenous!AE$17</f>
        <v>2.7E-2</v>
      </c>
      <c r="U410" s="16">
        <f>Exogenous!AF$17</f>
        <v>3.1E-2</v>
      </c>
      <c r="V410" s="16">
        <f>Exogenous!AG$17</f>
        <v>3.1E-2</v>
      </c>
      <c r="W410" s="16">
        <f>Exogenous!AH$17</f>
        <v>3.2000000000000001E-2</v>
      </c>
      <c r="X410" s="16">
        <f>Exogenous!AI$17</f>
        <v>3.3000000000000002E-2</v>
      </c>
    </row>
    <row r="411" spans="1:24" x14ac:dyDescent="0.25">
      <c r="A411" s="11" t="s">
        <v>879</v>
      </c>
      <c r="B411" s="10" t="str">
        <f t="shared" si="249"/>
        <v>From Fiscal Forecasts</v>
      </c>
      <c r="D411" s="35">
        <f>'Fiscal Forecasts'!D$327</f>
        <v>0.56299999999999994</v>
      </c>
      <c r="E411" s="35">
        <f>'Fiscal Forecasts'!E$327</f>
        <v>0.50600000000000001</v>
      </c>
      <c r="F411" s="35">
        <f>'Fiscal Forecasts'!F$327</f>
        <v>0.46899999999999997</v>
      </c>
      <c r="G411" s="35">
        <f>'Fiscal Forecasts'!G$327</f>
        <v>0.48899999999999999</v>
      </c>
      <c r="H411" s="35">
        <f>'Fiscal Forecasts'!H$327</f>
        <v>0.55100000000000005</v>
      </c>
      <c r="I411" s="35">
        <f>'Fiscal Forecasts'!I$327</f>
        <v>0.54400000000000004</v>
      </c>
      <c r="J411" s="17">
        <f>'Fiscal Forecasts'!J$327</f>
        <v>0.56000000000000005</v>
      </c>
      <c r="K411" s="17">
        <f>'Fiscal Forecasts'!K$327</f>
        <v>0.63600000000000001</v>
      </c>
      <c r="L411" s="17">
        <f>'Fiscal Forecasts'!L$327</f>
        <v>0.628</v>
      </c>
      <c r="M411" s="17">
        <f>'Fiscal Forecasts'!M$327</f>
        <v>0.627</v>
      </c>
      <c r="N411" s="17">
        <f>'Fiscal Forecasts'!N$327</f>
        <v>0.65300000000000002</v>
      </c>
      <c r="O411" s="16">
        <f>Exogenous!Z$18</f>
        <v>0.65600000000000003</v>
      </c>
      <c r="P411" s="16">
        <f>Exogenous!AA$18</f>
        <v>0.67400000000000004</v>
      </c>
      <c r="Q411" s="16">
        <f>Exogenous!AB$18</f>
        <v>0.69299999999999995</v>
      </c>
      <c r="R411" s="16">
        <f>Exogenous!AC$18</f>
        <v>0.71099999999999997</v>
      </c>
      <c r="S411" s="16">
        <f>Exogenous!AD$18</f>
        <v>0.72699999999999998</v>
      </c>
      <c r="T411" s="16">
        <f>Exogenous!AE$18</f>
        <v>0.74199999999999999</v>
      </c>
      <c r="U411" s="16">
        <f>Exogenous!AF$18</f>
        <v>0.75600000000000001</v>
      </c>
      <c r="V411" s="16">
        <f>Exogenous!AG$18</f>
        <v>0.76900000000000002</v>
      </c>
      <c r="W411" s="16">
        <f>Exogenous!AH$18</f>
        <v>0.78300000000000003</v>
      </c>
      <c r="X411" s="16">
        <f>Exogenous!AI$18</f>
        <v>0.79700000000000004</v>
      </c>
    </row>
    <row r="412" spans="1:24" x14ac:dyDescent="0.25">
      <c r="A412" s="11" t="s">
        <v>880</v>
      </c>
      <c r="B412" s="10" t="str">
        <f t="shared" si="249"/>
        <v>From Fiscal Forecasts</v>
      </c>
      <c r="D412" s="35">
        <f>'Fiscal Forecasts'!D$328</f>
        <v>1.371</v>
      </c>
      <c r="E412" s="35">
        <f>'Fiscal Forecasts'!E$328</f>
        <v>1.4770000000000001</v>
      </c>
      <c r="F412" s="35">
        <f>'Fiscal Forecasts'!F$328</f>
        <v>1.4950000000000001</v>
      </c>
      <c r="G412" s="35">
        <f>'Fiscal Forecasts'!G$328</f>
        <v>1.605</v>
      </c>
      <c r="H412" s="35">
        <f>'Fiscal Forecasts'!H$328</f>
        <v>1.6339999999999999</v>
      </c>
      <c r="I412" s="35">
        <f>'Fiscal Forecasts'!I$328</f>
        <v>1.5980000000000001</v>
      </c>
      <c r="J412" s="17">
        <f>'Fiscal Forecasts'!J$328</f>
        <v>1.5669999999999999</v>
      </c>
      <c r="K412" s="17">
        <f>'Fiscal Forecasts'!K$328</f>
        <v>1.631</v>
      </c>
      <c r="L412" s="17">
        <f>'Fiscal Forecasts'!L$328</f>
        <v>1.6890000000000001</v>
      </c>
      <c r="M412" s="17">
        <f>'Fiscal Forecasts'!M$328</f>
        <v>1.736</v>
      </c>
      <c r="N412" s="17">
        <f>'Fiscal Forecasts'!N$328</f>
        <v>1.7869999999999999</v>
      </c>
      <c r="O412" s="16">
        <f>Exogenous!Z$19</f>
        <v>1.6779999999999999</v>
      </c>
      <c r="P412" s="16">
        <f>Exogenous!AA$19</f>
        <v>1.736</v>
      </c>
      <c r="Q412" s="16">
        <f>Exogenous!AB$19</f>
        <v>1.79</v>
      </c>
      <c r="R412" s="16">
        <f>Exogenous!AC$19</f>
        <v>1.839</v>
      </c>
      <c r="S412" s="16">
        <f>Exogenous!AD$19</f>
        <v>1.887</v>
      </c>
      <c r="T412" s="16">
        <f>Exogenous!AE$19</f>
        <v>1.9350000000000001</v>
      </c>
      <c r="U412" s="16">
        <f>Exogenous!AF$19</f>
        <v>1.9810000000000001</v>
      </c>
      <c r="V412" s="16">
        <f>Exogenous!AG$19</f>
        <v>2.0249999999999999</v>
      </c>
      <c r="W412" s="16">
        <f>Exogenous!AH$19</f>
        <v>2.069</v>
      </c>
      <c r="X412" s="16">
        <f>Exogenous!AI$19</f>
        <v>2.1110000000000002</v>
      </c>
    </row>
    <row r="413" spans="1:24" x14ac:dyDescent="0.25">
      <c r="A413" s="11" t="s">
        <v>473</v>
      </c>
      <c r="B413" s="10" t="str">
        <f t="shared" si="249"/>
        <v>From Fiscal Forecasts</v>
      </c>
      <c r="D413" s="35">
        <f>'Fiscal Forecasts'!D$329</f>
        <v>0.39400000000000002</v>
      </c>
      <c r="E413" s="35">
        <f>'Fiscal Forecasts'!E$329</f>
        <v>0.33100000000000002</v>
      </c>
      <c r="F413" s="35">
        <f>'Fiscal Forecasts'!F$329</f>
        <v>0.23499999999999999</v>
      </c>
      <c r="G413" s="35">
        <f>'Fiscal Forecasts'!G$329</f>
        <v>0.28000000000000003</v>
      </c>
      <c r="H413" s="35">
        <f>'Fiscal Forecasts'!H$329</f>
        <v>0.57699999999999996</v>
      </c>
      <c r="I413" s="35">
        <f>'Fiscal Forecasts'!I$329</f>
        <v>0.63400000000000001</v>
      </c>
      <c r="J413" s="17">
        <f>'Fiscal Forecasts'!J$329</f>
        <v>0.502</v>
      </c>
      <c r="K413" s="17">
        <f>'Fiscal Forecasts'!K$329</f>
        <v>0.41299999999999998</v>
      </c>
      <c r="L413" s="17">
        <f>'Fiscal Forecasts'!L$329</f>
        <v>0.42899999999999999</v>
      </c>
      <c r="M413" s="17">
        <f>'Fiscal Forecasts'!M$329</f>
        <v>0.46100000000000002</v>
      </c>
      <c r="N413" s="17">
        <f>'Fiscal Forecasts'!N$329</f>
        <v>0.48599999999999999</v>
      </c>
      <c r="O413" s="16">
        <f>Exogenous!Z$20</f>
        <v>0.50700000000000001</v>
      </c>
      <c r="P413" s="16">
        <f>Exogenous!AA$20</f>
        <v>0.52800000000000002</v>
      </c>
      <c r="Q413" s="16">
        <f>Exogenous!AB$20</f>
        <v>0.54300000000000004</v>
      </c>
      <c r="R413" s="16">
        <f>Exogenous!AC$20</f>
        <v>0.55300000000000005</v>
      </c>
      <c r="S413" s="16">
        <f>Exogenous!AD$20</f>
        <v>0.55800000000000005</v>
      </c>
      <c r="T413" s="16">
        <f>Exogenous!AE$20</f>
        <v>0.55700000000000005</v>
      </c>
      <c r="U413" s="16">
        <f>Exogenous!AF$20</f>
        <v>0.54800000000000004</v>
      </c>
      <c r="V413" s="16">
        <f>Exogenous!AG$20</f>
        <v>0.53400000000000003</v>
      </c>
      <c r="W413" s="16">
        <f>Exogenous!AH$20</f>
        <v>0.51800000000000002</v>
      </c>
      <c r="X413" s="16">
        <f>Exogenous!AI$20</f>
        <v>0.498</v>
      </c>
    </row>
    <row r="414" spans="1:24" x14ac:dyDescent="0.25">
      <c r="A414" s="11" t="s">
        <v>1241</v>
      </c>
      <c r="B414" s="10" t="str">
        <f t="shared" si="249"/>
        <v>From Fiscal Forecasts</v>
      </c>
      <c r="D414" s="35">
        <f>'Fiscal Forecasts'!D$330</f>
        <v>0</v>
      </c>
      <c r="E414" s="35">
        <f>'Fiscal Forecasts'!E$330</f>
        <v>0</v>
      </c>
      <c r="F414" s="35">
        <f>'Fiscal Forecasts'!F$330</f>
        <v>0</v>
      </c>
      <c r="G414" s="35">
        <f>'Fiscal Forecasts'!G$330</f>
        <v>0</v>
      </c>
      <c r="H414" s="35">
        <f>'Fiscal Forecasts'!H$330</f>
        <v>0</v>
      </c>
      <c r="I414" s="35">
        <f>'Fiscal Forecasts'!I$330</f>
        <v>0</v>
      </c>
      <c r="J414" s="17">
        <f>'Fiscal Forecasts'!J$330</f>
        <v>0</v>
      </c>
      <c r="K414" s="17">
        <f>'Fiscal Forecasts'!K$330</f>
        <v>3.4000000000000002E-2</v>
      </c>
      <c r="L414" s="17">
        <f>'Fiscal Forecasts'!L$330</f>
        <v>6.4000000000000001E-2</v>
      </c>
      <c r="M414" s="17">
        <f>'Fiscal Forecasts'!M$330</f>
        <v>0.11600000000000001</v>
      </c>
      <c r="N414" s="17">
        <f>'Fiscal Forecasts'!N$330</f>
        <v>0.16800000000000001</v>
      </c>
      <c r="O414" s="16">
        <f>Exogenous!Z$21</f>
        <v>0.20100000000000001</v>
      </c>
      <c r="P414" s="16">
        <f>Exogenous!AA$21</f>
        <v>0.221</v>
      </c>
      <c r="Q414" s="16">
        <f>Exogenous!AB$21</f>
        <v>0.23300000000000001</v>
      </c>
      <c r="R414" s="16">
        <f>Exogenous!AC$21</f>
        <v>0.24099999999999999</v>
      </c>
      <c r="S414" s="16">
        <f>Exogenous!AD$21</f>
        <v>0.248</v>
      </c>
      <c r="T414" s="16">
        <f>Exogenous!AE$21</f>
        <v>0.255</v>
      </c>
      <c r="U414" s="16">
        <f>Exogenous!AF$21</f>
        <v>0.26100000000000001</v>
      </c>
      <c r="V414" s="16">
        <f>Exogenous!AG$21</f>
        <v>0.26700000000000002</v>
      </c>
      <c r="W414" s="16">
        <f>Exogenous!AH$21</f>
        <v>0.27300000000000002</v>
      </c>
      <c r="X414" s="16">
        <f>Exogenous!AI$21</f>
        <v>0.27800000000000002</v>
      </c>
    </row>
    <row r="415" spans="1:24" x14ac:dyDescent="0.25">
      <c r="A415" s="11" t="s">
        <v>474</v>
      </c>
      <c r="B415" s="10" t="str">
        <f t="shared" si="249"/>
        <v>From Fiscal Forecasts</v>
      </c>
      <c r="D415" s="35">
        <f>'Fiscal Forecasts'!D$331</f>
        <v>0.94499999999999995</v>
      </c>
      <c r="E415" s="35">
        <f>'Fiscal Forecasts'!E$331</f>
        <v>-0.13300000000000001</v>
      </c>
      <c r="F415" s="35">
        <f>'Fiscal Forecasts'!F$331</f>
        <v>0.70699999999999996</v>
      </c>
      <c r="G415" s="35">
        <f>'Fiscal Forecasts'!G$331</f>
        <v>-1.151</v>
      </c>
      <c r="H415" s="35">
        <f>'Fiscal Forecasts'!H$331</f>
        <v>0.47099999999999997</v>
      </c>
      <c r="I415" s="35">
        <f>'Fiscal Forecasts'!I$331</f>
        <v>0.35499999999999998</v>
      </c>
      <c r="J415" s="17">
        <f>'Fiscal Forecasts'!J$331</f>
        <v>0.38100000000000001</v>
      </c>
      <c r="K415" s="17">
        <f>'Fiscal Forecasts'!K$331</f>
        <v>0</v>
      </c>
      <c r="L415" s="17">
        <f>'Fiscal Forecasts'!L$331</f>
        <v>0</v>
      </c>
      <c r="M415" s="17">
        <f>'Fiscal Forecasts'!M$331</f>
        <v>0</v>
      </c>
      <c r="N415" s="17">
        <f>'Fiscal Forecasts'!N$331</f>
        <v>0</v>
      </c>
      <c r="O415" s="16">
        <f>Exogenous!Z$22</f>
        <v>0</v>
      </c>
      <c r="P415" s="16">
        <f>Exogenous!AA$22</f>
        <v>0</v>
      </c>
      <c r="Q415" s="16">
        <f>Exogenous!AB$22</f>
        <v>0</v>
      </c>
      <c r="R415" s="16">
        <f>Exogenous!AC$22</f>
        <v>0</v>
      </c>
      <c r="S415" s="16">
        <f>Exogenous!AD$22</f>
        <v>0</v>
      </c>
      <c r="T415" s="16">
        <f>Exogenous!AE$22</f>
        <v>0</v>
      </c>
      <c r="U415" s="16">
        <f>Exogenous!AF$22</f>
        <v>0</v>
      </c>
      <c r="V415" s="16">
        <f>Exogenous!AG$22</f>
        <v>0</v>
      </c>
      <c r="W415" s="16">
        <f>Exogenous!AH$22</f>
        <v>0</v>
      </c>
      <c r="X415" s="16">
        <f>Exogenous!AI$22</f>
        <v>0</v>
      </c>
    </row>
    <row r="416" spans="1:24" x14ac:dyDescent="0.25">
      <c r="A416" s="9" t="s">
        <v>760</v>
      </c>
      <c r="C416" s="76">
        <f>'Fiscal Forecasts'!$C$332</f>
        <v>9.9290000000000003</v>
      </c>
      <c r="D416" s="65">
        <f>SUM(C$416,D$409,D$410,D$413,D$415)-SUM(D$411,D$412,D$414)</f>
        <v>10.731000000000002</v>
      </c>
      <c r="E416" s="65">
        <f t="shared" ref="E416:X416" si="250">SUM(D$416,E$409,E$410,E$413,E$415)-SUM(E$411,E$412,E$414)</f>
        <v>10.395</v>
      </c>
      <c r="F416" s="65">
        <f t="shared" si="250"/>
        <v>10.840999999999999</v>
      </c>
      <c r="G416" s="65">
        <f t="shared" si="250"/>
        <v>9.2089999999999996</v>
      </c>
      <c r="H416" s="65">
        <f t="shared" si="250"/>
        <v>9.3729999999999993</v>
      </c>
      <c r="I416" s="65">
        <f t="shared" si="250"/>
        <v>9.5960000000000001</v>
      </c>
      <c r="J416" s="66">
        <f t="shared" si="250"/>
        <v>10.012</v>
      </c>
      <c r="K416" s="66">
        <f t="shared" si="250"/>
        <v>10.026000000000002</v>
      </c>
      <c r="L416" s="66">
        <f t="shared" si="250"/>
        <v>9.9530000000000012</v>
      </c>
      <c r="M416" s="66">
        <f t="shared" si="250"/>
        <v>9.8220000000000027</v>
      </c>
      <c r="N416" s="66">
        <f t="shared" si="250"/>
        <v>9.6330000000000027</v>
      </c>
      <c r="O416" s="67">
        <f t="shared" si="250"/>
        <v>9.5700000000000021</v>
      </c>
      <c r="P416" s="67">
        <f t="shared" si="250"/>
        <v>9.4880000000000013</v>
      </c>
      <c r="Q416" s="67">
        <f t="shared" si="250"/>
        <v>9.3870000000000005</v>
      </c>
      <c r="R416" s="67">
        <f t="shared" si="250"/>
        <v>9.2650000000000023</v>
      </c>
      <c r="S416" s="67">
        <f t="shared" si="250"/>
        <v>9.1210000000000022</v>
      </c>
      <c r="T416" s="67">
        <f t="shared" si="250"/>
        <v>8.9440000000000008</v>
      </c>
      <c r="U416" s="67">
        <f t="shared" si="250"/>
        <v>8.7349999999999994</v>
      </c>
      <c r="V416" s="67">
        <f t="shared" si="250"/>
        <v>8.4890000000000008</v>
      </c>
      <c r="W416" s="67">
        <f t="shared" si="250"/>
        <v>8.2050000000000018</v>
      </c>
      <c r="X416" s="67">
        <f t="shared" si="250"/>
        <v>7.8840000000000003</v>
      </c>
    </row>
    <row r="418" spans="1:24" x14ac:dyDescent="0.25">
      <c r="A418" s="9" t="s">
        <v>624</v>
      </c>
    </row>
    <row r="419" spans="1:24" x14ac:dyDescent="0.25">
      <c r="A419" s="9" t="s">
        <v>1062</v>
      </c>
      <c r="B419" s="10" t="str">
        <f>$B$38</f>
        <v>From Fiscal Forecasts</v>
      </c>
      <c r="D419" s="42">
        <f>ROUND('Fiscal Forecasts'!D$189*D$420/SUM(D$420,D$424),3)</f>
        <v>0.75700000000000001</v>
      </c>
      <c r="E419" s="42">
        <f>ROUND('Fiscal Forecasts'!E$189*E$420/SUM(E$420,E$424),3)</f>
        <v>1.0569999999999999</v>
      </c>
      <c r="F419" s="42">
        <f>ROUND('Fiscal Forecasts'!F$189*F$420/SUM(F$420,F$424),3)</f>
        <v>1.169</v>
      </c>
      <c r="G419" s="42">
        <f>ROUND('Fiscal Forecasts'!G$189*G$420/SUM(G$420,G$424),3)</f>
        <v>1.7330000000000001</v>
      </c>
      <c r="H419" s="42">
        <f>ROUND('Fiscal Forecasts'!H$189*H$420/SUM(H$420,H$424),3)</f>
        <v>1.5860000000000001</v>
      </c>
      <c r="I419" s="42">
        <f>ROUND('Fiscal Forecasts'!I$189*I$420/SUM(I$420,I$424),3)</f>
        <v>1.6120000000000001</v>
      </c>
      <c r="J419" s="43">
        <f>ROUND('Fiscal Forecasts'!J$189*J$420/SUM(J$420,J$424),3)</f>
        <v>1.899</v>
      </c>
      <c r="K419" s="43">
        <f>ROUND('Fiscal Forecasts'!K$189*K$420/SUM(K$420,K$424),3)</f>
        <v>1.835</v>
      </c>
      <c r="L419" s="43">
        <f>ROUND('Fiscal Forecasts'!L$189*L$420/SUM(L$420,L$424),3)</f>
        <v>1.8320000000000001</v>
      </c>
      <c r="M419" s="43">
        <f>ROUND('Fiscal Forecasts'!M$189*M$420/SUM(M$420,M$424),3)</f>
        <v>1.734</v>
      </c>
      <c r="N419" s="43">
        <f>ROUND('Fiscal Forecasts'!N$189*N$420/SUM(N$420,N$424),3)</f>
        <v>1.649</v>
      </c>
      <c r="O419" s="47">
        <f t="shared" ref="O419:X419" si="251">N$419</f>
        <v>1.649</v>
      </c>
      <c r="P419" s="47">
        <f t="shared" si="251"/>
        <v>1.649</v>
      </c>
      <c r="Q419" s="47">
        <f t="shared" si="251"/>
        <v>1.649</v>
      </c>
      <c r="R419" s="47">
        <f t="shared" si="251"/>
        <v>1.649</v>
      </c>
      <c r="S419" s="47">
        <f t="shared" si="251"/>
        <v>1.649</v>
      </c>
      <c r="T419" s="47">
        <f t="shared" si="251"/>
        <v>1.649</v>
      </c>
      <c r="U419" s="47">
        <f t="shared" si="251"/>
        <v>1.649</v>
      </c>
      <c r="V419" s="47">
        <f t="shared" si="251"/>
        <v>1.649</v>
      </c>
      <c r="W419" s="47">
        <f t="shared" si="251"/>
        <v>1.649</v>
      </c>
      <c r="X419" s="47">
        <f t="shared" si="251"/>
        <v>1.649</v>
      </c>
    </row>
    <row r="420" spans="1:24" x14ac:dyDescent="0.25">
      <c r="A420" s="9" t="s">
        <v>1063</v>
      </c>
      <c r="B420" s="10" t="str">
        <f>$B$38</f>
        <v>From Fiscal Forecasts</v>
      </c>
      <c r="D420" s="42">
        <f>'Fiscal Forecasts'!D$126</f>
        <v>1.5169999999999999</v>
      </c>
      <c r="E420" s="42">
        <f>'Fiscal Forecasts'!E$126</f>
        <v>1.7729999999999999</v>
      </c>
      <c r="F420" s="42">
        <f>'Fiscal Forecasts'!F$126</f>
        <v>2.194</v>
      </c>
      <c r="G420" s="42">
        <f>'Fiscal Forecasts'!G$126</f>
        <v>3.0680000000000001</v>
      </c>
      <c r="H420" s="42">
        <f>'Fiscal Forecasts'!H$126</f>
        <v>3.0409999999999999</v>
      </c>
      <c r="I420" s="42">
        <f>'Fiscal Forecasts'!I$126</f>
        <v>2.8610000000000002</v>
      </c>
      <c r="J420" s="43">
        <f>'Fiscal Forecasts'!J$126</f>
        <v>3.4049999999999998</v>
      </c>
      <c r="K420" s="43">
        <f>'Fiscal Forecasts'!K$126</f>
        <v>3.5169999999999999</v>
      </c>
      <c r="L420" s="43">
        <f>'Fiscal Forecasts'!L$126</f>
        <v>3.5590000000000002</v>
      </c>
      <c r="M420" s="43">
        <f>'Fiscal Forecasts'!M$126</f>
        <v>3.488</v>
      </c>
      <c r="N420" s="43">
        <f>'Fiscal Forecasts'!N$126</f>
        <v>3.395</v>
      </c>
      <c r="O420" s="47">
        <f t="shared" ref="O420:X420" ca="1" si="252">O$419+(N$420-N$419)*(1+O$29)</f>
        <v>3.4299200000000001</v>
      </c>
      <c r="P420" s="47">
        <f t="shared" ca="1" si="252"/>
        <v>3.4655383999999998</v>
      </c>
      <c r="Q420" s="47">
        <f t="shared" ca="1" si="252"/>
        <v>3.5018691679999998</v>
      </c>
      <c r="R420" s="47">
        <f t="shared" ca="1" si="252"/>
        <v>3.5389265513599999</v>
      </c>
      <c r="S420" s="47">
        <f t="shared" ca="1" si="252"/>
        <v>3.5767250823871999</v>
      </c>
      <c r="T420" s="47">
        <f t="shared" ca="1" si="252"/>
        <v>3.6152795840349441</v>
      </c>
      <c r="U420" s="47">
        <f t="shared" ca="1" si="252"/>
        <v>3.654605175715643</v>
      </c>
      <c r="V420" s="47">
        <f t="shared" ca="1" si="252"/>
        <v>3.6947172792299559</v>
      </c>
      <c r="W420" s="47">
        <f t="shared" ca="1" si="252"/>
        <v>3.7356316248145549</v>
      </c>
      <c r="X420" s="47">
        <f t="shared" ca="1" si="252"/>
        <v>3.7773642573108459</v>
      </c>
    </row>
    <row r="422" spans="1:24" x14ac:dyDescent="0.25">
      <c r="A422" s="9" t="s">
        <v>1064</v>
      </c>
    </row>
    <row r="423" spans="1:24" x14ac:dyDescent="0.25">
      <c r="A423" s="9" t="s">
        <v>1062</v>
      </c>
      <c r="B423" s="10" t="str">
        <f>$B$38</f>
        <v>From Fiscal Forecasts</v>
      </c>
      <c r="D423" s="42">
        <f>'Fiscal Forecasts'!D$189-D$419</f>
        <v>1.4119999999999999</v>
      </c>
      <c r="E423" s="42">
        <f>'Fiscal Forecasts'!E$189-E$419</f>
        <v>2.153</v>
      </c>
      <c r="F423" s="42">
        <f>'Fiscal Forecasts'!F$189-F$419</f>
        <v>2.0920000000000001</v>
      </c>
      <c r="G423" s="42">
        <f>'Fiscal Forecasts'!G$189-G$419</f>
        <v>2.3759999999999999</v>
      </c>
      <c r="H423" s="42">
        <f>'Fiscal Forecasts'!H$189-H$419</f>
        <v>2.4050000000000002</v>
      </c>
      <c r="I423" s="42">
        <f>'Fiscal Forecasts'!I$189-I$419</f>
        <v>2.8419999999999996</v>
      </c>
      <c r="J423" s="43">
        <f>'Fiscal Forecasts'!J$189-J$419</f>
        <v>3.0019999999999998</v>
      </c>
      <c r="K423" s="43">
        <f>'Fiscal Forecasts'!K$189-K$419</f>
        <v>2.63</v>
      </c>
      <c r="L423" s="43">
        <f>'Fiscal Forecasts'!L$189-L$419</f>
        <v>2.6539999999999999</v>
      </c>
      <c r="M423" s="43">
        <f>'Fiscal Forecasts'!M$189-M$419</f>
        <v>2.6340000000000003</v>
      </c>
      <c r="N423" s="43">
        <f>'Fiscal Forecasts'!N$189-N$419</f>
        <v>2.5919999999999996</v>
      </c>
      <c r="O423" s="47">
        <f t="shared" ref="O423:X423" si="253">N$423</f>
        <v>2.5919999999999996</v>
      </c>
      <c r="P423" s="47">
        <f t="shared" si="253"/>
        <v>2.5919999999999996</v>
      </c>
      <c r="Q423" s="47">
        <f t="shared" si="253"/>
        <v>2.5919999999999996</v>
      </c>
      <c r="R423" s="47">
        <f t="shared" si="253"/>
        <v>2.5919999999999996</v>
      </c>
      <c r="S423" s="47">
        <f t="shared" si="253"/>
        <v>2.5919999999999996</v>
      </c>
      <c r="T423" s="47">
        <f t="shared" si="253"/>
        <v>2.5919999999999996</v>
      </c>
      <c r="U423" s="47">
        <f t="shared" si="253"/>
        <v>2.5919999999999996</v>
      </c>
      <c r="V423" s="47">
        <f t="shared" si="253"/>
        <v>2.5919999999999996</v>
      </c>
      <c r="W423" s="47">
        <f t="shared" si="253"/>
        <v>2.5919999999999996</v>
      </c>
      <c r="X423" s="47">
        <f t="shared" si="253"/>
        <v>2.5919999999999996</v>
      </c>
    </row>
    <row r="424" spans="1:24" x14ac:dyDescent="0.25">
      <c r="A424" s="9" t="s">
        <v>1063</v>
      </c>
      <c r="B424" s="10" t="str">
        <f>$B$38</f>
        <v>From Fiscal Forecasts</v>
      </c>
      <c r="D424" s="42">
        <f>'Fiscal Forecasts'!D$127</f>
        <v>2.8279999999999998</v>
      </c>
      <c r="E424" s="42">
        <f>'Fiscal Forecasts'!E$127</f>
        <v>3.61</v>
      </c>
      <c r="F424" s="42">
        <f>'Fiscal Forecasts'!F$127</f>
        <v>3.9279999999999999</v>
      </c>
      <c r="G424" s="42">
        <f>'Fiscal Forecasts'!G$127</f>
        <v>4.2080000000000002</v>
      </c>
      <c r="H424" s="42">
        <f>'Fiscal Forecasts'!H$127</f>
        <v>4.6120000000000001</v>
      </c>
      <c r="I424" s="42">
        <f>'Fiscal Forecasts'!I$127</f>
        <v>5.0449999999999999</v>
      </c>
      <c r="J424" s="43">
        <f>'Fiscal Forecasts'!J$127</f>
        <v>5.3849999999999998</v>
      </c>
      <c r="K424" s="43">
        <f>'Fiscal Forecasts'!K$127</f>
        <v>5.0410000000000004</v>
      </c>
      <c r="L424" s="43">
        <f>'Fiscal Forecasts'!L$127</f>
        <v>5.1580000000000004</v>
      </c>
      <c r="M424" s="43">
        <f>'Fiscal Forecasts'!M$127</f>
        <v>5.3</v>
      </c>
      <c r="N424" s="43">
        <f>'Fiscal Forecasts'!N$127</f>
        <v>5.3339999999999996</v>
      </c>
      <c r="O424" s="47">
        <f t="shared" ref="O424:X424" ca="1" si="254">O$423+(N$424-N$423)*(1+O$29)</f>
        <v>5.3888400000000001</v>
      </c>
      <c r="P424" s="47">
        <f t="shared" ca="1" si="254"/>
        <v>5.4447767999999996</v>
      </c>
      <c r="Q424" s="47">
        <f t="shared" ca="1" si="254"/>
        <v>5.5018323359999997</v>
      </c>
      <c r="R424" s="47">
        <f t="shared" ca="1" si="254"/>
        <v>5.5600289827199996</v>
      </c>
      <c r="S424" s="47">
        <f t="shared" ca="1" si="254"/>
        <v>5.6193895623743995</v>
      </c>
      <c r="T424" s="47">
        <f t="shared" ca="1" si="254"/>
        <v>5.679937353621888</v>
      </c>
      <c r="U424" s="47">
        <f t="shared" ca="1" si="254"/>
        <v>5.7416961006943259</v>
      </c>
      <c r="V424" s="47">
        <f t="shared" ca="1" si="254"/>
        <v>5.804690022708213</v>
      </c>
      <c r="W424" s="47">
        <f t="shared" ca="1" si="254"/>
        <v>5.8689438231623772</v>
      </c>
      <c r="X424" s="47">
        <f t="shared" ca="1" si="254"/>
        <v>5.9344826996256241</v>
      </c>
    </row>
    <row r="426" spans="1:24" x14ac:dyDescent="0.25">
      <c r="A426" s="9" t="s">
        <v>1065</v>
      </c>
    </row>
    <row r="427" spans="1:24" x14ac:dyDescent="0.25">
      <c r="A427" s="9" t="s">
        <v>1066</v>
      </c>
      <c r="B427" s="10" t="str">
        <f>$B$38</f>
        <v>From Fiscal Forecasts</v>
      </c>
      <c r="C427" s="64" cm="1">
        <f t="array" aca="1" ref="C427" ca="1">SUMPRODUCT(OFFSET($N$427,0,0,1,-OFFSET(Assumptions!$B$59,0,$C$1))/OFFSET($N$13,0,0,1,-OFFSET(Assumptions!$B$59,0,$C$1)))/OFFSET(Assumptions!$B$59,0,$C$1)</f>
        <v>0.15052333138299728</v>
      </c>
      <c r="D427" s="42">
        <f>'Fiscal Forecasts'!D$186</f>
        <v>43.683999999999997</v>
      </c>
      <c r="E427" s="42">
        <f>'Fiscal Forecasts'!E$186</f>
        <v>45.167000000000002</v>
      </c>
      <c r="F427" s="42">
        <f>'Fiscal Forecasts'!F$186</f>
        <v>51.92</v>
      </c>
      <c r="G427" s="42">
        <f>'Fiscal Forecasts'!G$186</f>
        <v>56.518999999999998</v>
      </c>
      <c r="H427" s="42">
        <f>'Fiscal Forecasts'!H$186</f>
        <v>63.033999999999999</v>
      </c>
      <c r="I427" s="42">
        <f>'Fiscal Forecasts'!I$186</f>
        <v>67.997</v>
      </c>
      <c r="J427" s="43">
        <f>'Fiscal Forecasts'!J$186</f>
        <v>69.701999999999998</v>
      </c>
      <c r="K427" s="43">
        <f>'Fiscal Forecasts'!K$186</f>
        <v>70.847999999999999</v>
      </c>
      <c r="L427" s="43">
        <f>'Fiscal Forecasts'!L$186</f>
        <v>71.221000000000004</v>
      </c>
      <c r="M427" s="43">
        <f>'Fiscal Forecasts'!M$186</f>
        <v>70.656999999999996</v>
      </c>
      <c r="N427" s="43">
        <f>'Fiscal Forecasts'!N$186</f>
        <v>69.775000000000006</v>
      </c>
      <c r="O427" s="47">
        <f t="shared" ref="O427:X427" ca="1" si="255">N$427+O$430</f>
        <v>69.775000000000006</v>
      </c>
      <c r="P427" s="47">
        <f t="shared" ca="1" si="255"/>
        <v>69.775000000000006</v>
      </c>
      <c r="Q427" s="47">
        <f t="shared" ca="1" si="255"/>
        <v>69.775000000000006</v>
      </c>
      <c r="R427" s="47">
        <f t="shared" ca="1" si="255"/>
        <v>69.775000000000006</v>
      </c>
      <c r="S427" s="47">
        <f t="shared" ca="1" si="255"/>
        <v>69.775000000000006</v>
      </c>
      <c r="T427" s="47">
        <f t="shared" ca="1" si="255"/>
        <v>69.775000000000006</v>
      </c>
      <c r="U427" s="47">
        <f t="shared" ca="1" si="255"/>
        <v>69.775000000000006</v>
      </c>
      <c r="V427" s="47">
        <f t="shared" ca="1" si="255"/>
        <v>69.775000000000006</v>
      </c>
      <c r="W427" s="47">
        <f t="shared" ca="1" si="255"/>
        <v>69.775000000000006</v>
      </c>
      <c r="X427" s="47">
        <f t="shared" ca="1" si="255"/>
        <v>69.775000000000006</v>
      </c>
    </row>
    <row r="428" spans="1:24" x14ac:dyDescent="0.25">
      <c r="A428" s="11" t="s">
        <v>1073</v>
      </c>
      <c r="B428" s="10" t="str">
        <f>$B$38</f>
        <v>From Fiscal Forecasts</v>
      </c>
      <c r="C428" s="64" cm="1">
        <f t="array" aca="1" ref="C428" ca="1">SUMPRODUCT(OFFSET($N$428,0,0,1,-OFFSET(Assumptions!$B$59,0,$C$1))/OFFSET($N$13,0,0,1,-OFFSET(Assumptions!$B$59,0,$C$1)))/OFFSET(Assumptions!$B$59,0,$C$1)</f>
        <v>0.49343205869727769</v>
      </c>
      <c r="D428" s="35">
        <f>SUM('Fiscal Forecasts'!D$335:D$337)</f>
        <v>133.941</v>
      </c>
      <c r="E428" s="35">
        <f>SUM('Fiscal Forecasts'!E$335:E$337)</f>
        <v>141.33499999999998</v>
      </c>
      <c r="F428" s="35">
        <f>SUM('Fiscal Forecasts'!F$335:F$337)</f>
        <v>161.29599999999999</v>
      </c>
      <c r="G428" s="35">
        <f>SUM('Fiscal Forecasts'!G$335:G$337)</f>
        <v>192.66300000000001</v>
      </c>
      <c r="H428" s="35">
        <f>SUM('Fiscal Forecasts'!H$335:H$337)</f>
        <v>204.35599999999999</v>
      </c>
      <c r="I428" s="35">
        <f>SUM('Fiscal Forecasts'!I$335:I$337)</f>
        <v>215.79300000000001</v>
      </c>
      <c r="J428" s="17">
        <f>SUM('Fiscal Forecasts'!J$335:J$337)</f>
        <v>222.494</v>
      </c>
      <c r="K428" s="17">
        <f>SUM('Fiscal Forecasts'!K$335:K$337)</f>
        <v>231.94200000000001</v>
      </c>
      <c r="L428" s="17">
        <f>SUM('Fiscal Forecasts'!L$335:L$337)</f>
        <v>237.44499999999999</v>
      </c>
      <c r="M428" s="17">
        <f>SUM('Fiscal Forecasts'!M$335:M$337)</f>
        <v>242.58699999999999</v>
      </c>
      <c r="N428" s="17">
        <f>SUM('Fiscal Forecasts'!N$335:N$337)</f>
        <v>246.40100000000001</v>
      </c>
      <c r="O428" s="16">
        <f t="shared" ref="O428:X428" ca="1" si="256">SUM(N$428,O$432,O$433-N$433)</f>
        <v>248.88197059077865</v>
      </c>
      <c r="P428" s="16">
        <f t="shared" ca="1" si="256"/>
        <v>251.35879318428604</v>
      </c>
      <c r="Q428" s="16">
        <f t="shared" ca="1" si="256"/>
        <v>253.86807307238067</v>
      </c>
      <c r="R428" s="16">
        <f t="shared" ca="1" si="256"/>
        <v>256.41726550177668</v>
      </c>
      <c r="S428" s="16">
        <f t="shared" ca="1" si="256"/>
        <v>259.00725053048018</v>
      </c>
      <c r="T428" s="16">
        <f t="shared" ca="1" si="256"/>
        <v>261.63884596334356</v>
      </c>
      <c r="U428" s="16">
        <f t="shared" ca="1" si="256"/>
        <v>264.31260659405336</v>
      </c>
      <c r="V428" s="16">
        <f t="shared" ca="1" si="256"/>
        <v>267.02916636822295</v>
      </c>
      <c r="W428" s="16">
        <f t="shared" ca="1" si="256"/>
        <v>269.78915763691987</v>
      </c>
      <c r="X428" s="16">
        <f t="shared" ca="1" si="256"/>
        <v>272.59354003051533</v>
      </c>
    </row>
    <row r="429" spans="1:24" x14ac:dyDescent="0.25">
      <c r="A429" s="9" t="s">
        <v>1070</v>
      </c>
      <c r="D429" s="65">
        <f t="shared" ref="D429:N429" si="257">SUM(D$427:D$428)</f>
        <v>177.625</v>
      </c>
      <c r="E429" s="65">
        <f t="shared" si="257"/>
        <v>186.50199999999998</v>
      </c>
      <c r="F429" s="65">
        <f t="shared" si="257"/>
        <v>213.21600000000001</v>
      </c>
      <c r="G429" s="65">
        <f t="shared" si="257"/>
        <v>249.18200000000002</v>
      </c>
      <c r="H429" s="65">
        <f t="shared" si="257"/>
        <v>267.39</v>
      </c>
      <c r="I429" s="65">
        <f t="shared" si="257"/>
        <v>283.79000000000002</v>
      </c>
      <c r="J429" s="66">
        <f t="shared" si="257"/>
        <v>292.19600000000003</v>
      </c>
      <c r="K429" s="66">
        <f t="shared" si="257"/>
        <v>302.79000000000002</v>
      </c>
      <c r="L429" s="66">
        <f t="shared" si="257"/>
        <v>308.666</v>
      </c>
      <c r="M429" s="66">
        <f t="shared" si="257"/>
        <v>313.24399999999997</v>
      </c>
      <c r="N429" s="66">
        <f t="shared" si="257"/>
        <v>316.17600000000004</v>
      </c>
      <c r="O429" s="67">
        <f t="shared" ref="O429:X429" ca="1" si="258">SUM(O$427:O$428)</f>
        <v>318.65697059077866</v>
      </c>
      <c r="P429" s="67">
        <f t="shared" ca="1" si="258"/>
        <v>321.13379318428605</v>
      </c>
      <c r="Q429" s="67">
        <f t="shared" ca="1" si="258"/>
        <v>323.64307307238067</v>
      </c>
      <c r="R429" s="67">
        <f t="shared" ca="1" si="258"/>
        <v>326.19226550177666</v>
      </c>
      <c r="S429" s="67">
        <f t="shared" ca="1" si="258"/>
        <v>328.78225053048016</v>
      </c>
      <c r="T429" s="67">
        <f t="shared" ca="1" si="258"/>
        <v>331.41384596334353</v>
      </c>
      <c r="U429" s="67">
        <f t="shared" ca="1" si="258"/>
        <v>334.08760659405334</v>
      </c>
      <c r="V429" s="67">
        <f t="shared" ca="1" si="258"/>
        <v>336.80416636822292</v>
      </c>
      <c r="W429" s="67">
        <f t="shared" ca="1" si="258"/>
        <v>339.56415763691984</v>
      </c>
      <c r="X429" s="67">
        <f t="shared" ca="1" si="258"/>
        <v>342.36854003051531</v>
      </c>
    </row>
    <row r="430" spans="1:24" x14ac:dyDescent="0.25">
      <c r="A430" s="11" t="s">
        <v>1067</v>
      </c>
      <c r="D430" s="35">
        <f>D$427-'Fiscal Forecasts'!$C$186</f>
        <v>2.404999999999994</v>
      </c>
      <c r="E430" s="35">
        <f t="shared" ref="E430:J430" si="259">E$427-D$427</f>
        <v>1.4830000000000041</v>
      </c>
      <c r="F430" s="35">
        <f t="shared" si="259"/>
        <v>6.7530000000000001</v>
      </c>
      <c r="G430" s="35">
        <f t="shared" si="259"/>
        <v>4.5989999999999966</v>
      </c>
      <c r="H430" s="35">
        <f t="shared" si="259"/>
        <v>6.5150000000000006</v>
      </c>
      <c r="I430" s="35">
        <f t="shared" si="259"/>
        <v>4.963000000000001</v>
      </c>
      <c r="J430" s="17">
        <f t="shared" si="259"/>
        <v>1.7049999999999983</v>
      </c>
      <c r="K430" s="17">
        <f t="shared" ref="K430" si="260">K$427-J$427</f>
        <v>1.1460000000000008</v>
      </c>
      <c r="L430" s="17">
        <f t="shared" ref="L430" si="261">L$427-K$427</f>
        <v>0.37300000000000466</v>
      </c>
      <c r="M430" s="17">
        <f t="shared" ref="M430" si="262">M$427-L$427</f>
        <v>-0.56400000000000716</v>
      </c>
      <c r="N430" s="17">
        <f t="shared" ref="N430" si="263">N$427-M$427</f>
        <v>-0.88199999999999079</v>
      </c>
      <c r="O430" s="16">
        <f ca="1">IF(O$6=OFFSET(Assumptions!$B$8,0,$C$1),OFFSET(Assumptions!$B$9,0,$C$1),N$430)</f>
        <v>0</v>
      </c>
      <c r="P430" s="16">
        <f ca="1">IF(P$6=OFFSET(Assumptions!$B$8,0,$C$1),OFFSET(Assumptions!$B$9,0,$C$1),O$430)</f>
        <v>0</v>
      </c>
      <c r="Q430" s="16">
        <f ca="1">IF(Q$6=OFFSET(Assumptions!$B$8,0,$C$1),OFFSET(Assumptions!$B$9,0,$C$1),P$430)</f>
        <v>0</v>
      </c>
      <c r="R430" s="16">
        <f ca="1">IF(R$6=OFFSET(Assumptions!$B$8,0,$C$1),OFFSET(Assumptions!$B$9,0,$C$1),Q$430)</f>
        <v>0</v>
      </c>
      <c r="S430" s="16">
        <f ca="1">IF(S$6=OFFSET(Assumptions!$B$8,0,$C$1),OFFSET(Assumptions!$B$9,0,$C$1),R$430)</f>
        <v>0</v>
      </c>
      <c r="T430" s="16">
        <f ca="1">IF(T$6=OFFSET(Assumptions!$B$8,0,$C$1),OFFSET(Assumptions!$B$9,0,$C$1),S$430)</f>
        <v>0</v>
      </c>
      <c r="U430" s="16">
        <f ca="1">IF(U$6=OFFSET(Assumptions!$B$8,0,$C$1),OFFSET(Assumptions!$B$9,0,$C$1),T$430)</f>
        <v>0</v>
      </c>
      <c r="V430" s="16">
        <f ca="1">IF(V$6=OFFSET(Assumptions!$B$8,0,$C$1),OFFSET(Assumptions!$B$9,0,$C$1),U$430)</f>
        <v>0</v>
      </c>
      <c r="W430" s="16">
        <f ca="1">IF(W$6=OFFSET(Assumptions!$B$8,0,$C$1),OFFSET(Assumptions!$B$9,0,$C$1),V$430)</f>
        <v>0</v>
      </c>
      <c r="X430" s="16">
        <f ca="1">IF(X$6=OFFSET(Assumptions!$B$8,0,$C$1),OFFSET(Assumptions!$B$9,0,$C$1),W$430)</f>
        <v>0</v>
      </c>
    </row>
    <row r="431" spans="1:24" x14ac:dyDescent="0.25">
      <c r="A431" s="11" t="s">
        <v>1071</v>
      </c>
      <c r="D431" s="35">
        <f t="shared" ref="D431:N431" si="264">D$215</f>
        <v>1.5009999999999999</v>
      </c>
      <c r="E431" s="35">
        <f t="shared" si="264"/>
        <v>1.675</v>
      </c>
      <c r="F431" s="35">
        <f t="shared" si="264"/>
        <v>1.883</v>
      </c>
      <c r="G431" s="35">
        <f t="shared" si="264"/>
        <v>2.0019999999999998</v>
      </c>
      <c r="H431" s="35">
        <f t="shared" si="264"/>
        <v>2.4</v>
      </c>
      <c r="I431" s="35">
        <f t="shared" si="264"/>
        <v>2.81</v>
      </c>
      <c r="J431" s="17">
        <f t="shared" si="264"/>
        <v>2.7429999999999999</v>
      </c>
      <c r="K431" s="17">
        <f t="shared" si="264"/>
        <v>2.9079999999999999</v>
      </c>
      <c r="L431" s="17">
        <f t="shared" si="264"/>
        <v>2.9940000000000002</v>
      </c>
      <c r="M431" s="17">
        <f t="shared" si="264"/>
        <v>3.069</v>
      </c>
      <c r="N431" s="17">
        <f t="shared" si="264"/>
        <v>3.073</v>
      </c>
      <c r="O431" s="16">
        <f t="shared" ref="O431" si="265">N$431</f>
        <v>3.073</v>
      </c>
      <c r="P431" s="16">
        <f t="shared" ref="P431" si="266">O$431</f>
        <v>3.073</v>
      </c>
      <c r="Q431" s="16">
        <f t="shared" ref="Q431" si="267">P$431</f>
        <v>3.073</v>
      </c>
      <c r="R431" s="16">
        <f t="shared" ref="R431" si="268">Q$431</f>
        <v>3.073</v>
      </c>
      <c r="S431" s="16">
        <f t="shared" ref="S431" si="269">R$431</f>
        <v>3.073</v>
      </c>
      <c r="T431" s="16">
        <f t="shared" ref="T431" si="270">S$431</f>
        <v>3.073</v>
      </c>
      <c r="U431" s="16">
        <f t="shared" ref="U431" si="271">T$431</f>
        <v>3.073</v>
      </c>
      <c r="V431" s="16">
        <f t="shared" ref="V431" si="272">U$431</f>
        <v>3.073</v>
      </c>
      <c r="W431" s="16">
        <f t="shared" ref="W431" si="273">V$431</f>
        <v>3.073</v>
      </c>
      <c r="X431" s="16">
        <f t="shared" ref="X431" si="274">W$431</f>
        <v>3.073</v>
      </c>
    </row>
    <row r="432" spans="1:24" x14ac:dyDescent="0.25">
      <c r="A432" s="11" t="s">
        <v>1068</v>
      </c>
      <c r="D432" s="35">
        <f t="shared" ref="D432:X432" si="275">D$138-D$292</f>
        <v>0.99300000000000033</v>
      </c>
      <c r="E432" s="35">
        <f t="shared" si="275"/>
        <v>0.64000000000000012</v>
      </c>
      <c r="F432" s="35">
        <f t="shared" si="275"/>
        <v>-1.3499999999999996</v>
      </c>
      <c r="G432" s="35">
        <f t="shared" si="275"/>
        <v>-0.83400000000000007</v>
      </c>
      <c r="H432" s="35">
        <f t="shared" si="275"/>
        <v>-2.4960000000000004</v>
      </c>
      <c r="I432" s="35">
        <f t="shared" si="275"/>
        <v>-1.4139999999999997</v>
      </c>
      <c r="J432" s="17">
        <f t="shared" si="275"/>
        <v>-1.6440000000000001</v>
      </c>
      <c r="K432" s="17">
        <f t="shared" si="275"/>
        <v>-2.6550000000000002</v>
      </c>
      <c r="L432" s="17">
        <f t="shared" si="275"/>
        <v>3.0000000000000249E-2</v>
      </c>
      <c r="M432" s="17">
        <f t="shared" si="275"/>
        <v>0.9350000000000005</v>
      </c>
      <c r="N432" s="17">
        <f t="shared" si="275"/>
        <v>0.9870000000000001</v>
      </c>
      <c r="O432" s="16">
        <f t="shared" ca="1" si="275"/>
        <v>0.98530392411196743</v>
      </c>
      <c r="P432" s="16">
        <f t="shared" ca="1" si="275"/>
        <v>0.98115592684073771</v>
      </c>
      <c r="Q432" s="16">
        <f t="shared" ca="1" si="275"/>
        <v>1.0136132214279483</v>
      </c>
      <c r="R432" s="16">
        <f t="shared" ca="1" si="275"/>
        <v>1.0535257627293655</v>
      </c>
      <c r="S432" s="16">
        <f t="shared" ca="1" si="275"/>
        <v>1.0943183620368719</v>
      </c>
      <c r="T432" s="16">
        <f t="shared" ca="1" si="275"/>
        <v>1.1359287661966766</v>
      </c>
      <c r="U432" s="16">
        <f t="shared" ca="1" si="275"/>
        <v>1.1780939640431569</v>
      </c>
      <c r="V432" s="16">
        <f t="shared" ca="1" si="275"/>
        <v>1.2208931075028984</v>
      </c>
      <c r="W432" s="16">
        <f t="shared" ca="1" si="275"/>
        <v>1.2643246020302064</v>
      </c>
      <c r="X432" s="16">
        <f t="shared" ca="1" si="275"/>
        <v>1.3087157269287957</v>
      </c>
    </row>
    <row r="433" spans="1:24" x14ac:dyDescent="0.25">
      <c r="A433" s="11" t="s">
        <v>1069</v>
      </c>
      <c r="B433" s="10" t="str">
        <f>$B$38</f>
        <v>From Fiscal Forecasts</v>
      </c>
      <c r="D433" s="35">
        <f>'Fiscal Forecasts'!D$336</f>
        <v>40.21</v>
      </c>
      <c r="E433" s="35">
        <f>'Fiscal Forecasts'!E$336</f>
        <v>39.828000000000003</v>
      </c>
      <c r="F433" s="35">
        <f>'Fiscal Forecasts'!F$336</f>
        <v>41.613999999999997</v>
      </c>
      <c r="G433" s="35">
        <f>'Fiscal Forecasts'!G$336</f>
        <v>47.475999999999999</v>
      </c>
      <c r="H433" s="35">
        <f>'Fiscal Forecasts'!H$336</f>
        <v>53.314</v>
      </c>
      <c r="I433" s="35">
        <f>'Fiscal Forecasts'!I$336</f>
        <v>57.723999999999997</v>
      </c>
      <c r="J433" s="17">
        <f>'Fiscal Forecasts'!J$336</f>
        <v>59.405999999999999</v>
      </c>
      <c r="K433" s="17">
        <f>'Fiscal Forecasts'!K$336</f>
        <v>63.405999999999999</v>
      </c>
      <c r="L433" s="17">
        <f>'Fiscal Forecasts'!L$336</f>
        <v>65.626999999999995</v>
      </c>
      <c r="M433" s="17">
        <f>'Fiscal Forecasts'!M$336</f>
        <v>67.17</v>
      </c>
      <c r="N433" s="17">
        <f>'Fiscal Forecasts'!N$336</f>
        <v>67.893000000000001</v>
      </c>
      <c r="O433" s="16">
        <f ca="1">N$433+IF(O$6=OFFSET(Assumptions!$B$8,0,$C$1),AVERAGE(L$433-K$433,M$433-L$433,N$433-M$433),N$433-M$433)</f>
        <v>69.388666666666666</v>
      </c>
      <c r="P433" s="16">
        <f ca="1">O$433+IF(P$6=OFFSET(Assumptions!$B$8,0,$C$1),AVERAGE(M$433-L$433,N$433-M$433,O$433-N$433),O$433-N$433)</f>
        <v>70.884333333333331</v>
      </c>
      <c r="Q433" s="16">
        <f ca="1">P$433+IF(Q$6=OFFSET(Assumptions!$B$8,0,$C$1),AVERAGE(N$433-M$433,O$433-N$433,P$433-O$433),P$433-O$433)</f>
        <v>72.38</v>
      </c>
      <c r="R433" s="16">
        <f ca="1">Q$433+IF(R$6=OFFSET(Assumptions!$B$8,0,$C$1),AVERAGE(O$433-N$433,P$433-O$433,Q$433-P$433),Q$433-P$433)</f>
        <v>73.87566666666666</v>
      </c>
      <c r="S433" s="16">
        <f ca="1">R$433+IF(S$6=OFFSET(Assumptions!$B$8,0,$C$1),AVERAGE(P$433-O$433,Q$433-P$433,R$433-Q$433),R$433-Q$433)</f>
        <v>75.371333333333325</v>
      </c>
      <c r="T433" s="16">
        <f ca="1">S$433+IF(T$6=OFFSET(Assumptions!$B$8,0,$C$1),AVERAGE(Q$433-P$433,R$433-Q$433,S$433-R$433),S$433-R$433)</f>
        <v>76.86699999999999</v>
      </c>
      <c r="U433" s="16">
        <f ca="1">T$433+IF(U$6=OFFSET(Assumptions!$B$8,0,$C$1),AVERAGE(R$433-Q$433,S$433-R$433,T$433-S$433),T$433-S$433)</f>
        <v>78.362666666666655</v>
      </c>
      <c r="V433" s="16">
        <f ca="1">U$433+IF(V$6=OFFSET(Assumptions!$B$8,0,$C$1),AVERAGE(S$433-R$433,T$433-S$433,U$433-T$433),U$433-T$433)</f>
        <v>79.85833333333332</v>
      </c>
      <c r="W433" s="16">
        <f ca="1">V$433+IF(W$6=OFFSET(Assumptions!$B$8,0,$C$1),AVERAGE(T$433-S$433,U$433-T$433,V$433-U$433),V$433-U$433)</f>
        <v>81.353999999999985</v>
      </c>
      <c r="X433" s="16">
        <f ca="1">W$433+IF(X$6=OFFSET(Assumptions!$B$8,0,$C$1),AVERAGE(U$433-T$433,V$433-U$433,W$433-V$433),W$433-V$433)</f>
        <v>82.84966666666665</v>
      </c>
    </row>
    <row r="434" spans="1:24" x14ac:dyDescent="0.25">
      <c r="A434" s="11" t="s">
        <v>1072</v>
      </c>
      <c r="B434" s="10" t="str">
        <f>$B$38</f>
        <v>From Fiscal Forecasts</v>
      </c>
      <c r="D434" s="35">
        <f>'Fiscal Forecasts'!D$348-D$431</f>
        <v>3.0530000000000004</v>
      </c>
      <c r="E434" s="35">
        <f>'Fiscal Forecasts'!E$348-E$431</f>
        <v>3.6189999999999998</v>
      </c>
      <c r="F434" s="35">
        <f>'Fiscal Forecasts'!F$348-F$431</f>
        <v>3.6829999999999998</v>
      </c>
      <c r="G434" s="35">
        <f>'Fiscal Forecasts'!G$348-G$431</f>
        <v>4.1500000000000004</v>
      </c>
      <c r="H434" s="35">
        <f>'Fiscal Forecasts'!H$348-H$431</f>
        <v>4.2010000000000005</v>
      </c>
      <c r="I434" s="35">
        <f>'Fiscal Forecasts'!I$348-I$431</f>
        <v>4.8109999999999999</v>
      </c>
      <c r="J434" s="17">
        <f>'Fiscal Forecasts'!J$348-J$431</f>
        <v>5.3170000000000002</v>
      </c>
      <c r="K434" s="17">
        <f>'Fiscal Forecasts'!K$348-K$431</f>
        <v>5.516</v>
      </c>
      <c r="L434" s="17">
        <f>'Fiscal Forecasts'!L$348-L$431</f>
        <v>5.7230000000000008</v>
      </c>
      <c r="M434" s="17">
        <f>'Fiscal Forecasts'!M$348-M$431</f>
        <v>5.9950000000000001</v>
      </c>
      <c r="N434" s="17">
        <f>'Fiscal Forecasts'!N$348-N$431</f>
        <v>6.1319999999999997</v>
      </c>
      <c r="O434" s="16">
        <f t="shared" ref="O434:X434" ca="1" si="276">SUM(O$216:O$217)</f>
        <v>6.1607767255345767</v>
      </c>
      <c r="P434" s="16">
        <f t="shared" ca="1" si="276"/>
        <v>6.1895053385363266</v>
      </c>
      <c r="Q434" s="16">
        <f t="shared" ca="1" si="276"/>
        <v>6.2186104230131534</v>
      </c>
      <c r="R434" s="16">
        <f t="shared" ca="1" si="276"/>
        <v>6.2481784522143897</v>
      </c>
      <c r="S434" s="16">
        <f t="shared" ca="1" si="276"/>
        <v>6.2782196339142793</v>
      </c>
      <c r="T434" s="16">
        <f t="shared" ca="1" si="276"/>
        <v>6.308743453814051</v>
      </c>
      <c r="U434" s="16">
        <f t="shared" ca="1" si="276"/>
        <v>6.3397563469539673</v>
      </c>
      <c r="V434" s="16">
        <f t="shared" ca="1" si="276"/>
        <v>6.3712656664558232</v>
      </c>
      <c r="W434" s="16">
        <f t="shared" ca="1" si="276"/>
        <v>6.4032787469463068</v>
      </c>
      <c r="X434" s="16">
        <f t="shared" ca="1" si="276"/>
        <v>6.4358067191578474</v>
      </c>
    </row>
    <row r="436" spans="1:24" x14ac:dyDescent="0.25">
      <c r="A436" s="9" t="s">
        <v>627</v>
      </c>
    </row>
    <row r="437" spans="1:24" x14ac:dyDescent="0.25">
      <c r="A437" s="9" t="s">
        <v>1074</v>
      </c>
      <c r="B437" s="10" t="str">
        <f>$B$38</f>
        <v>From Fiscal Forecasts</v>
      </c>
      <c r="C437" s="64" cm="1">
        <f t="array" aca="1" ref="C437" ca="1">SUMPRODUCT(OFFSET($N$437,0,0,1,-OFFSET(Assumptions!$B$59,0,$C$1))/OFFSET($N$13,0,0,1,-OFFSET(Assumptions!$B$59,0,$C$1)))/OFFSET(Assumptions!$B$59,0,$C$1)</f>
        <v>0.17001946418798214</v>
      </c>
      <c r="D437" s="42">
        <f>'Fiscal Forecasts'!D$187</f>
        <v>46.601999999999997</v>
      </c>
      <c r="E437" s="42">
        <f>'Fiscal Forecasts'!E$187</f>
        <v>49.604999999999997</v>
      </c>
      <c r="F437" s="42">
        <f>'Fiscal Forecasts'!F$187</f>
        <v>53.877000000000002</v>
      </c>
      <c r="G437" s="42">
        <f>'Fiscal Forecasts'!G$187</f>
        <v>57.801000000000002</v>
      </c>
      <c r="H437" s="42">
        <f>'Fiscal Forecasts'!H$187</f>
        <v>64.816999999999993</v>
      </c>
      <c r="I437" s="42">
        <f>'Fiscal Forecasts'!I$187</f>
        <v>69.174000000000007</v>
      </c>
      <c r="J437" s="43">
        <f>'Fiscal Forecasts'!J$187</f>
        <v>76.697999999999993</v>
      </c>
      <c r="K437" s="43">
        <f>'Fiscal Forecasts'!K$187</f>
        <v>82.582999999999998</v>
      </c>
      <c r="L437" s="43">
        <f>'Fiscal Forecasts'!L$187</f>
        <v>87.412000000000006</v>
      </c>
      <c r="M437" s="43">
        <f>'Fiscal Forecasts'!M$187</f>
        <v>91.539000000000001</v>
      </c>
      <c r="N437" s="43">
        <f>'Fiscal Forecasts'!N$187</f>
        <v>94.503</v>
      </c>
      <c r="O437" s="47">
        <f t="shared" ref="O437:X437" ca="1" si="277">SUM(N$437,O$138-O$292)</f>
        <v>95.48830392411196</v>
      </c>
      <c r="P437" s="47">
        <f t="shared" ca="1" si="277"/>
        <v>96.469459850952703</v>
      </c>
      <c r="Q437" s="47">
        <f t="shared" ca="1" si="277"/>
        <v>97.483073072380648</v>
      </c>
      <c r="R437" s="47">
        <f t="shared" ca="1" si="277"/>
        <v>98.536598835110013</v>
      </c>
      <c r="S437" s="47">
        <f t="shared" ca="1" si="277"/>
        <v>99.630917197146886</v>
      </c>
      <c r="T437" s="47">
        <f t="shared" ca="1" si="277"/>
        <v>100.76684596334356</v>
      </c>
      <c r="U437" s="47">
        <f t="shared" ca="1" si="277"/>
        <v>101.94493992738671</v>
      </c>
      <c r="V437" s="47">
        <f t="shared" ca="1" si="277"/>
        <v>103.16583303488962</v>
      </c>
      <c r="W437" s="47">
        <f t="shared" ca="1" si="277"/>
        <v>104.43015763691982</v>
      </c>
      <c r="X437" s="47">
        <f t="shared" ca="1" si="277"/>
        <v>105.73887336384861</v>
      </c>
    </row>
    <row r="438" spans="1:24" x14ac:dyDescent="0.25">
      <c r="A438" s="9" t="s">
        <v>1075</v>
      </c>
      <c r="B438" s="10" t="str">
        <f>$B$38</f>
        <v>From Fiscal Forecasts</v>
      </c>
      <c r="D438" s="42">
        <f>'Fiscal Forecasts'!D$129</f>
        <v>14.65</v>
      </c>
      <c r="E438" s="42">
        <f>'Fiscal Forecasts'!E$129</f>
        <v>14.308</v>
      </c>
      <c r="F438" s="42">
        <f>'Fiscal Forecasts'!F$129</f>
        <v>14.420999999999999</v>
      </c>
      <c r="G438" s="42">
        <f>'Fiscal Forecasts'!G$129</f>
        <v>16.247</v>
      </c>
      <c r="H438" s="42">
        <f>'Fiscal Forecasts'!H$129</f>
        <v>17.033999999999999</v>
      </c>
      <c r="I438" s="42">
        <f>'Fiscal Forecasts'!I$129</f>
        <v>17.951000000000001</v>
      </c>
      <c r="J438" s="43">
        <f>'Fiscal Forecasts'!J$129</f>
        <v>18.553000000000001</v>
      </c>
      <c r="K438" s="43">
        <f>'Fiscal Forecasts'!K$129</f>
        <v>16.738</v>
      </c>
      <c r="L438" s="43">
        <f>'Fiscal Forecasts'!L$129</f>
        <v>17.015000000000001</v>
      </c>
      <c r="M438" s="43">
        <f>'Fiscal Forecasts'!M$129</f>
        <v>17.399000000000001</v>
      </c>
      <c r="N438" s="43">
        <f>'Fiscal Forecasts'!N$129</f>
        <v>17.648</v>
      </c>
      <c r="O438" s="47">
        <f t="shared" ref="O438:X438" ca="1" si="278">N$438*(1+O$29)</f>
        <v>18.000959999999999</v>
      </c>
      <c r="P438" s="47">
        <f t="shared" ca="1" si="278"/>
        <v>18.360979199999999</v>
      </c>
      <c r="Q438" s="47">
        <f t="shared" ca="1" si="278"/>
        <v>18.728198784</v>
      </c>
      <c r="R438" s="47">
        <f t="shared" ca="1" si="278"/>
        <v>19.102762759680001</v>
      </c>
      <c r="S438" s="47">
        <f t="shared" ca="1" si="278"/>
        <v>19.4848180148736</v>
      </c>
      <c r="T438" s="47">
        <f t="shared" ca="1" si="278"/>
        <v>19.874514375171071</v>
      </c>
      <c r="U438" s="47">
        <f t="shared" ca="1" si="278"/>
        <v>20.272004662674494</v>
      </c>
      <c r="V438" s="47">
        <f t="shared" ca="1" si="278"/>
        <v>20.677444755927983</v>
      </c>
      <c r="W438" s="47">
        <f t="shared" ca="1" si="278"/>
        <v>21.090993651046542</v>
      </c>
      <c r="X438" s="47">
        <f t="shared" ca="1" si="278"/>
        <v>21.512813524067472</v>
      </c>
    </row>
    <row r="440" spans="1:24" x14ac:dyDescent="0.25">
      <c r="A440" s="9" t="s">
        <v>628</v>
      </c>
    </row>
    <row r="441" spans="1:24" x14ac:dyDescent="0.25">
      <c r="A441" s="9" t="s">
        <v>1107</v>
      </c>
      <c r="B441" s="10" t="str">
        <f>$B$38</f>
        <v>From Fiscal Forecasts</v>
      </c>
      <c r="D441" s="42">
        <f>'Fiscal Forecasts'!D$188</f>
        <v>1.681</v>
      </c>
      <c r="E441" s="42">
        <f>'Fiscal Forecasts'!E$188</f>
        <v>1.57</v>
      </c>
      <c r="F441" s="42">
        <f>'Fiscal Forecasts'!F$188</f>
        <v>1.637</v>
      </c>
      <c r="G441" s="42">
        <f>'Fiscal Forecasts'!G$188</f>
        <v>1.4650000000000001</v>
      </c>
      <c r="H441" s="42">
        <f>'Fiscal Forecasts'!H$188</f>
        <v>1.583</v>
      </c>
      <c r="I441" s="42">
        <f>'Fiscal Forecasts'!I$188</f>
        <v>1.577</v>
      </c>
      <c r="J441" s="43">
        <f>'Fiscal Forecasts'!J$188</f>
        <v>1.7330000000000001</v>
      </c>
      <c r="K441" s="43">
        <f>'Fiscal Forecasts'!K$188</f>
        <v>1.764</v>
      </c>
      <c r="L441" s="43">
        <f>'Fiscal Forecasts'!L$188</f>
        <v>1.72</v>
      </c>
      <c r="M441" s="43">
        <f>'Fiscal Forecasts'!M$188</f>
        <v>1.665</v>
      </c>
      <c r="N441" s="43">
        <f>'Fiscal Forecasts'!N$188</f>
        <v>1.607</v>
      </c>
      <c r="O441" s="47">
        <f t="shared" ref="O441:X441" si="279">N$441</f>
        <v>1.607</v>
      </c>
      <c r="P441" s="47">
        <f t="shared" si="279"/>
        <v>1.607</v>
      </c>
      <c r="Q441" s="47">
        <f t="shared" si="279"/>
        <v>1.607</v>
      </c>
      <c r="R441" s="47">
        <f t="shared" si="279"/>
        <v>1.607</v>
      </c>
      <c r="S441" s="47">
        <f t="shared" si="279"/>
        <v>1.607</v>
      </c>
      <c r="T441" s="47">
        <f t="shared" si="279"/>
        <v>1.607</v>
      </c>
      <c r="U441" s="47">
        <f t="shared" si="279"/>
        <v>1.607</v>
      </c>
      <c r="V441" s="47">
        <f t="shared" si="279"/>
        <v>1.607</v>
      </c>
      <c r="W441" s="47">
        <f t="shared" si="279"/>
        <v>1.607</v>
      </c>
      <c r="X441" s="47">
        <f t="shared" si="279"/>
        <v>1.607</v>
      </c>
    </row>
    <row r="442" spans="1:24" x14ac:dyDescent="0.25">
      <c r="A442" s="11" t="s">
        <v>707</v>
      </c>
      <c r="B442" s="10" t="str">
        <f>$B$38</f>
        <v>From Fiscal Forecasts</v>
      </c>
      <c r="D442" s="35">
        <f>'Fiscal Forecasts'!D$353</f>
        <v>0.69299999999999995</v>
      </c>
      <c r="E442" s="35">
        <f>'Fiscal Forecasts'!E$353</f>
        <v>0.81599999999999995</v>
      </c>
      <c r="F442" s="35">
        <f>'Fiscal Forecasts'!F$353</f>
        <v>0.83299999999999996</v>
      </c>
      <c r="G442" s="35">
        <f>'Fiscal Forecasts'!G$353</f>
        <v>0.72799999999999998</v>
      </c>
      <c r="H442" s="35">
        <f>'Fiscal Forecasts'!H$353</f>
        <v>0.98099999999999998</v>
      </c>
      <c r="I442" s="35">
        <f>'Fiscal Forecasts'!I$353</f>
        <v>1.008</v>
      </c>
      <c r="J442" s="17">
        <f>'Fiscal Forecasts'!J$353</f>
        <v>0.98899999999999999</v>
      </c>
      <c r="K442" s="17">
        <f>'Fiscal Forecasts'!K$353</f>
        <v>1.0009999999999999</v>
      </c>
      <c r="L442" s="17">
        <f>'Fiscal Forecasts'!L$353</f>
        <v>0.98899999999999999</v>
      </c>
      <c r="M442" s="17">
        <f>'Fiscal Forecasts'!M$353</f>
        <v>0.98199999999999998</v>
      </c>
      <c r="N442" s="17">
        <f>'Fiscal Forecasts'!N$353</f>
        <v>0.98699999999999999</v>
      </c>
      <c r="O442" s="16">
        <f t="shared" ref="O442:X442" ca="1" si="280">N$442*(1+O$29)</f>
        <v>1.00674</v>
      </c>
      <c r="P442" s="16">
        <f t="shared" ca="1" si="280"/>
        <v>1.0268748000000001</v>
      </c>
      <c r="Q442" s="16">
        <f t="shared" ca="1" si="280"/>
        <v>1.0474122960000001</v>
      </c>
      <c r="R442" s="16">
        <f t="shared" ca="1" si="280"/>
        <v>1.0683605419200002</v>
      </c>
      <c r="S442" s="16">
        <f t="shared" ca="1" si="280"/>
        <v>1.0897277527584002</v>
      </c>
      <c r="T442" s="16">
        <f t="shared" ca="1" si="280"/>
        <v>1.1115223078135681</v>
      </c>
      <c r="U442" s="16">
        <f t="shared" ca="1" si="280"/>
        <v>1.1337527539698395</v>
      </c>
      <c r="V442" s="16">
        <f t="shared" ca="1" si="280"/>
        <v>1.1564278090492364</v>
      </c>
      <c r="W442" s="16">
        <f t="shared" ca="1" si="280"/>
        <v>1.179556365230221</v>
      </c>
      <c r="X442" s="16">
        <f t="shared" ca="1" si="280"/>
        <v>1.2031474925348253</v>
      </c>
    </row>
    <row r="443" spans="1:24" x14ac:dyDescent="0.25">
      <c r="A443" s="11" t="s">
        <v>1078</v>
      </c>
      <c r="B443" s="10" t="str">
        <f>$B$38</f>
        <v>From Fiscal Forecasts</v>
      </c>
      <c r="D443" s="35">
        <f>SUM('Fiscal Forecasts'!D$354:D$355)</f>
        <v>1.5369999999999999</v>
      </c>
      <c r="E443" s="35">
        <f>SUM('Fiscal Forecasts'!E$354:E$355)</f>
        <v>1.506</v>
      </c>
      <c r="F443" s="35">
        <f>SUM('Fiscal Forecasts'!F$354:F$355)</f>
        <v>1.131</v>
      </c>
      <c r="G443" s="35">
        <f>SUM('Fiscal Forecasts'!G$354:G$355)</f>
        <v>1.504</v>
      </c>
      <c r="H443" s="35">
        <f>SUM('Fiscal Forecasts'!H$354:H$355)</f>
        <v>1.3439999999999999</v>
      </c>
      <c r="I443" s="35">
        <f>SUM('Fiscal Forecasts'!I$354:I$355)</f>
        <v>1.4989999999999999</v>
      </c>
      <c r="J443" s="17">
        <f>SUM('Fiscal Forecasts'!J$354:J$355)</f>
        <v>1.4809999999999999</v>
      </c>
      <c r="K443" s="17">
        <f>SUM('Fiscal Forecasts'!K$354:K$355)</f>
        <v>1.4259999999999999</v>
      </c>
      <c r="L443" s="17">
        <f>SUM('Fiscal Forecasts'!L$354:L$355)</f>
        <v>1.407</v>
      </c>
      <c r="M443" s="17">
        <f>SUM('Fiscal Forecasts'!M$354:M$355)</f>
        <v>1.399</v>
      </c>
      <c r="N443" s="17">
        <f>SUM('Fiscal Forecasts'!N$354:N$355)</f>
        <v>1.4129999999999998</v>
      </c>
      <c r="O443" s="16">
        <f t="shared" ref="O443:X443" ca="1" si="281">N$443*(1+O$29)</f>
        <v>1.4412599999999998</v>
      </c>
      <c r="P443" s="16">
        <f t="shared" ca="1" si="281"/>
        <v>1.4700851999999998</v>
      </c>
      <c r="Q443" s="16">
        <f t="shared" ca="1" si="281"/>
        <v>1.4994869039999998</v>
      </c>
      <c r="R443" s="16">
        <f t="shared" ca="1" si="281"/>
        <v>1.5294766420799999</v>
      </c>
      <c r="S443" s="16">
        <f t="shared" ca="1" si="281"/>
        <v>1.5600661749215998</v>
      </c>
      <c r="T443" s="16">
        <f t="shared" ca="1" si="281"/>
        <v>1.5912674984200319</v>
      </c>
      <c r="U443" s="16">
        <f t="shared" ca="1" si="281"/>
        <v>1.6230928483884326</v>
      </c>
      <c r="V443" s="16">
        <f t="shared" ca="1" si="281"/>
        <v>1.6555547053562012</v>
      </c>
      <c r="W443" s="16">
        <f t="shared" ca="1" si="281"/>
        <v>1.6886657994633252</v>
      </c>
      <c r="X443" s="16">
        <f t="shared" ca="1" si="281"/>
        <v>1.7224391154525918</v>
      </c>
    </row>
    <row r="444" spans="1:24" x14ac:dyDescent="0.25">
      <c r="A444" s="9" t="s">
        <v>1077</v>
      </c>
      <c r="D444" s="65">
        <f t="shared" ref="D444:N444" si="282">SUM(D$441:D$443)</f>
        <v>3.911</v>
      </c>
      <c r="E444" s="65">
        <f t="shared" si="282"/>
        <v>3.8920000000000003</v>
      </c>
      <c r="F444" s="65">
        <f t="shared" si="282"/>
        <v>3.601</v>
      </c>
      <c r="G444" s="65">
        <f t="shared" si="282"/>
        <v>3.6970000000000001</v>
      </c>
      <c r="H444" s="65">
        <f t="shared" si="282"/>
        <v>3.9079999999999999</v>
      </c>
      <c r="I444" s="65">
        <f t="shared" si="282"/>
        <v>4.0839999999999996</v>
      </c>
      <c r="J444" s="66">
        <f t="shared" si="282"/>
        <v>4.2029999999999994</v>
      </c>
      <c r="K444" s="66">
        <f t="shared" si="282"/>
        <v>4.1909999999999998</v>
      </c>
      <c r="L444" s="66">
        <f t="shared" si="282"/>
        <v>4.1159999999999997</v>
      </c>
      <c r="M444" s="66">
        <f t="shared" si="282"/>
        <v>4.0460000000000003</v>
      </c>
      <c r="N444" s="66">
        <f t="shared" si="282"/>
        <v>4.0069999999999997</v>
      </c>
      <c r="O444" s="67">
        <f t="shared" ref="O444:X444" ca="1" si="283">SUM(O$441:O$443)</f>
        <v>4.0549999999999997</v>
      </c>
      <c r="P444" s="67">
        <f t="shared" ca="1" si="283"/>
        <v>4.1039599999999998</v>
      </c>
      <c r="Q444" s="67">
        <f t="shared" ca="1" si="283"/>
        <v>4.1538991999999997</v>
      </c>
      <c r="R444" s="67">
        <f t="shared" ca="1" si="283"/>
        <v>4.2048371839999996</v>
      </c>
      <c r="S444" s="67">
        <f t="shared" ca="1" si="283"/>
        <v>4.2567939276800004</v>
      </c>
      <c r="T444" s="67">
        <f t="shared" ca="1" si="283"/>
        <v>4.3097898062336002</v>
      </c>
      <c r="U444" s="67">
        <f t="shared" ca="1" si="283"/>
        <v>4.3638456023582721</v>
      </c>
      <c r="V444" s="67">
        <f t="shared" ca="1" si="283"/>
        <v>4.418982514405438</v>
      </c>
      <c r="W444" s="67">
        <f t="shared" ca="1" si="283"/>
        <v>4.4752221646935464</v>
      </c>
      <c r="X444" s="67">
        <f t="shared" ca="1" si="283"/>
        <v>4.5325866079874171</v>
      </c>
    </row>
    <row r="446" spans="1:24" x14ac:dyDescent="0.25">
      <c r="A446" s="9" t="s">
        <v>1079</v>
      </c>
    </row>
    <row r="447" spans="1:24" x14ac:dyDescent="0.25">
      <c r="A447" s="11" t="s">
        <v>742</v>
      </c>
      <c r="B447" s="10" t="str">
        <f>$B$38</f>
        <v>From Fiscal Forecasts</v>
      </c>
      <c r="D447" s="35">
        <f>'Fiscal Forecasts'!D$293</f>
        <v>0</v>
      </c>
      <c r="E447" s="35">
        <f>'Fiscal Forecasts'!E$293</f>
        <v>0</v>
      </c>
      <c r="F447" s="35">
        <f>'Fiscal Forecasts'!F$293</f>
        <v>0</v>
      </c>
      <c r="G447" s="35">
        <f>'Fiscal Forecasts'!G$293</f>
        <v>0</v>
      </c>
      <c r="H447" s="35">
        <f>'Fiscal Forecasts'!H$293</f>
        <v>0</v>
      </c>
      <c r="I447" s="35">
        <f>'Fiscal Forecasts'!I$293</f>
        <v>0</v>
      </c>
      <c r="J447" s="17">
        <f>'Fiscal Forecasts'!J$293</f>
        <v>0</v>
      </c>
      <c r="K447" s="17">
        <f>'Fiscal Forecasts'!K$293</f>
        <v>2.56</v>
      </c>
      <c r="L447" s="17">
        <f>'Fiscal Forecasts'!L$293</f>
        <v>2.4780000000000002</v>
      </c>
      <c r="M447" s="17">
        <f>'Fiscal Forecasts'!M$293</f>
        <v>1.5880000000000001</v>
      </c>
      <c r="N447" s="17">
        <f>'Fiscal Forecasts'!N$293</f>
        <v>1.2010000000000001</v>
      </c>
      <c r="O447" s="16">
        <f ca="1">IF(O$6=OFFSET(Assumptions!$B$8,0,$C$1),OFFSET(Assumptions!$B$9,0,$C$1),N$447)</f>
        <v>0</v>
      </c>
      <c r="P447" s="16">
        <f ca="1">IF(P$6=OFFSET(Assumptions!$B$8,0,$C$1),OFFSET(Assumptions!$B$9,0,$C$1),O$447)</f>
        <v>0</v>
      </c>
      <c r="Q447" s="16">
        <f ca="1">IF(Q$6=OFFSET(Assumptions!$B$8,0,$C$1),OFFSET(Assumptions!$B$9,0,$C$1),P$447)</f>
        <v>0</v>
      </c>
      <c r="R447" s="16">
        <f ca="1">IF(R$6=OFFSET(Assumptions!$B$8,0,$C$1),OFFSET(Assumptions!$B$9,0,$C$1),Q$447)</f>
        <v>0</v>
      </c>
      <c r="S447" s="16">
        <f ca="1">IF(S$6=OFFSET(Assumptions!$B$8,0,$C$1),OFFSET(Assumptions!$B$9,0,$C$1),R$447)</f>
        <v>0</v>
      </c>
      <c r="T447" s="16">
        <f ca="1">IF(T$6=OFFSET(Assumptions!$B$8,0,$C$1),OFFSET(Assumptions!$B$9,0,$C$1),S$447)</f>
        <v>0</v>
      </c>
      <c r="U447" s="16">
        <f ca="1">IF(U$6=OFFSET(Assumptions!$B$8,0,$C$1),OFFSET(Assumptions!$B$9,0,$C$1),T$447)</f>
        <v>0</v>
      </c>
      <c r="V447" s="16">
        <f ca="1">IF(V$6=OFFSET(Assumptions!$B$8,0,$C$1),OFFSET(Assumptions!$B$9,0,$C$1),U$447)</f>
        <v>0</v>
      </c>
      <c r="W447" s="16">
        <f ca="1">IF(W$6=OFFSET(Assumptions!$B$8,0,$C$1),OFFSET(Assumptions!$B$9,0,$C$1),V$447)</f>
        <v>0</v>
      </c>
      <c r="X447" s="16">
        <f ca="1">IF(X$6=OFFSET(Assumptions!$B$8,0,$C$1),OFFSET(Assumptions!$B$9,0,$C$1),W$447)</f>
        <v>0</v>
      </c>
    </row>
    <row r="448" spans="1:24" x14ac:dyDescent="0.25">
      <c r="A448" s="11" t="s">
        <v>1080</v>
      </c>
      <c r="B448" s="10" t="str">
        <f>$B$38</f>
        <v>From Fiscal Forecasts</v>
      </c>
      <c r="D448" s="35">
        <f>SUM('Fiscal Forecasts'!D$294:D$297)</f>
        <v>0</v>
      </c>
      <c r="E448" s="35">
        <f>SUM('Fiscal Forecasts'!E$294:E$297)</f>
        <v>0</v>
      </c>
      <c r="F448" s="35">
        <f>SUM('Fiscal Forecasts'!F$294:F$297)</f>
        <v>0</v>
      </c>
      <c r="G448" s="35">
        <f>SUM('Fiscal Forecasts'!G$294:G$297)</f>
        <v>0</v>
      </c>
      <c r="H448" s="35">
        <f>SUM('Fiscal Forecasts'!H$294:H$297)</f>
        <v>0</v>
      </c>
      <c r="I448" s="35">
        <f>SUM('Fiscal Forecasts'!I$294:I$297)</f>
        <v>0</v>
      </c>
      <c r="J448" s="17">
        <f>SUM('Fiscal Forecasts'!J$294:J$297)</f>
        <v>0</v>
      </c>
      <c r="K448" s="17">
        <f>SUM('Fiscal Forecasts'!K$294:K$297)</f>
        <v>0</v>
      </c>
      <c r="L448" s="17">
        <f>SUM('Fiscal Forecasts'!L$294:L$297)</f>
        <v>0.66400000000000003</v>
      </c>
      <c r="M448" s="17">
        <f>SUM('Fiscal Forecasts'!M$294:M$297)</f>
        <v>1.8890000000000002</v>
      </c>
      <c r="N448" s="17">
        <f>SUM('Fiscal Forecasts'!N$294:N$297)</f>
        <v>2.83</v>
      </c>
      <c r="O448" s="16">
        <f ca="1">IF(O$6=OFFSET(Assumptions!$B$8,0,$C$1),OFFSET(Assumptions!$B$43,0,$C$1),N$448*(1+OFFSET(Assumptions!$B$44,0,$C$1)))</f>
        <v>3.625</v>
      </c>
      <c r="P448" s="16">
        <f ca="1">IF(P$6=OFFSET(Assumptions!$B$8,0,$C$1),OFFSET(Assumptions!$B$43,0,$C$1),O$448*(1+OFFSET(Assumptions!$B$44,0,$C$1)))</f>
        <v>3.7337500000000001</v>
      </c>
      <c r="Q448" s="16">
        <f ca="1">IF(Q$6=OFFSET(Assumptions!$B$8,0,$C$1),OFFSET(Assumptions!$B$43,0,$C$1),P$448*(1+OFFSET(Assumptions!$B$44,0,$C$1)))</f>
        <v>3.8457625000000002</v>
      </c>
      <c r="R448" s="16">
        <f ca="1">IF(R$6=OFFSET(Assumptions!$B$8,0,$C$1),OFFSET(Assumptions!$B$43,0,$C$1),Q$448*(1+OFFSET(Assumptions!$B$44,0,$C$1)))</f>
        <v>3.9611353750000005</v>
      </c>
      <c r="S448" s="16">
        <f ca="1">IF(S$6=OFFSET(Assumptions!$B$8,0,$C$1),OFFSET(Assumptions!$B$43,0,$C$1),R$448*(1+OFFSET(Assumptions!$B$44,0,$C$1)))</f>
        <v>4.0799694362500007</v>
      </c>
      <c r="T448" s="16">
        <f ca="1">IF(T$6=OFFSET(Assumptions!$B$8,0,$C$1),OFFSET(Assumptions!$B$43,0,$C$1),S$448*(1+OFFSET(Assumptions!$B$44,0,$C$1)))</f>
        <v>4.2023685193375009</v>
      </c>
      <c r="U448" s="16">
        <f ca="1">IF(U$6=OFFSET(Assumptions!$B$8,0,$C$1),OFFSET(Assumptions!$B$43,0,$C$1),T$448*(1+OFFSET(Assumptions!$B$44,0,$C$1)))</f>
        <v>4.3284395749176259</v>
      </c>
      <c r="V448" s="16">
        <f ca="1">IF(V$6=OFFSET(Assumptions!$B$8,0,$C$1),OFFSET(Assumptions!$B$43,0,$C$1),U$448*(1+OFFSET(Assumptions!$B$44,0,$C$1)))</f>
        <v>4.4582927621651551</v>
      </c>
      <c r="W448" s="16">
        <f ca="1">IF(W$6=OFFSET(Assumptions!$B$8,0,$C$1),OFFSET(Assumptions!$B$43,0,$C$1),V$448*(1+OFFSET(Assumptions!$B$44,0,$C$1)))</f>
        <v>4.59204154503011</v>
      </c>
      <c r="X448" s="16">
        <f ca="1">IF(X$6=OFFSET(Assumptions!$B$8,0,$C$1),OFFSET(Assumptions!$B$43,0,$C$1),W$448*(1+OFFSET(Assumptions!$B$44,0,$C$1)))</f>
        <v>4.7298027913810134</v>
      </c>
    </row>
    <row r="449" spans="1:24" x14ac:dyDescent="0.25">
      <c r="A449" s="9" t="s">
        <v>1081</v>
      </c>
      <c r="D449" s="65">
        <f t="shared" ref="D449:N449" si="284">SUM(D$447:D$448)</f>
        <v>0</v>
      </c>
      <c r="E449" s="65">
        <f t="shared" si="284"/>
        <v>0</v>
      </c>
      <c r="F449" s="65">
        <f t="shared" si="284"/>
        <v>0</v>
      </c>
      <c r="G449" s="65">
        <f t="shared" si="284"/>
        <v>0</v>
      </c>
      <c r="H449" s="65">
        <f t="shared" si="284"/>
        <v>0</v>
      </c>
      <c r="I449" s="65">
        <f t="shared" si="284"/>
        <v>0</v>
      </c>
      <c r="J449" s="66">
        <f t="shared" si="284"/>
        <v>0</v>
      </c>
      <c r="K449" s="66">
        <f t="shared" si="284"/>
        <v>2.56</v>
      </c>
      <c r="L449" s="66">
        <f t="shared" si="284"/>
        <v>3.1420000000000003</v>
      </c>
      <c r="M449" s="66">
        <f t="shared" si="284"/>
        <v>3.4770000000000003</v>
      </c>
      <c r="N449" s="66">
        <f t="shared" si="284"/>
        <v>4.0310000000000006</v>
      </c>
      <c r="O449" s="67">
        <f t="shared" ref="O449:X449" ca="1" si="285">SUM(O$447:O$448)</f>
        <v>3.625</v>
      </c>
      <c r="P449" s="67">
        <f t="shared" ca="1" si="285"/>
        <v>3.7337500000000001</v>
      </c>
      <c r="Q449" s="67">
        <f t="shared" ca="1" si="285"/>
        <v>3.8457625000000002</v>
      </c>
      <c r="R449" s="67">
        <f t="shared" ca="1" si="285"/>
        <v>3.9611353750000005</v>
      </c>
      <c r="S449" s="67">
        <f t="shared" ca="1" si="285"/>
        <v>4.0799694362500007</v>
      </c>
      <c r="T449" s="67">
        <f t="shared" ca="1" si="285"/>
        <v>4.2023685193375009</v>
      </c>
      <c r="U449" s="67">
        <f t="shared" ca="1" si="285"/>
        <v>4.3284395749176259</v>
      </c>
      <c r="V449" s="67">
        <f t="shared" ca="1" si="285"/>
        <v>4.4582927621651551</v>
      </c>
      <c r="W449" s="67">
        <f t="shared" ca="1" si="285"/>
        <v>4.59204154503011</v>
      </c>
      <c r="X449" s="67">
        <f t="shared" ca="1" si="285"/>
        <v>4.7298027913810134</v>
      </c>
    </row>
    <row r="450" spans="1:24" x14ac:dyDescent="0.25">
      <c r="A450" s="9" t="s">
        <v>1082</v>
      </c>
      <c r="B450" s="10" t="str">
        <f>$B$38</f>
        <v>From Fiscal Forecasts</v>
      </c>
      <c r="D450" s="42">
        <f>'Fiscal Forecasts'!D$131</f>
        <v>0</v>
      </c>
      <c r="E450" s="42">
        <f>'Fiscal Forecasts'!E$131</f>
        <v>0</v>
      </c>
      <c r="F450" s="42">
        <f>'Fiscal Forecasts'!F$131</f>
        <v>0</v>
      </c>
      <c r="G450" s="42">
        <f>'Fiscal Forecasts'!G$131</f>
        <v>0</v>
      </c>
      <c r="H450" s="42">
        <f>'Fiscal Forecasts'!H$131</f>
        <v>0</v>
      </c>
      <c r="I450" s="42">
        <f>'Fiscal Forecasts'!I$131</f>
        <v>0</v>
      </c>
      <c r="J450" s="43">
        <f>'Fiscal Forecasts'!J$131</f>
        <v>0</v>
      </c>
      <c r="K450" s="43">
        <f>'Fiscal Forecasts'!K$131</f>
        <v>2.56</v>
      </c>
      <c r="L450" s="43">
        <f>'Fiscal Forecasts'!L$131</f>
        <v>5.702</v>
      </c>
      <c r="M450" s="43">
        <f>'Fiscal Forecasts'!M$131</f>
        <v>9.1790000000000003</v>
      </c>
      <c r="N450" s="43">
        <f>'Fiscal Forecasts'!N$131</f>
        <v>13.21</v>
      </c>
      <c r="O450" s="47">
        <f ca="1">SUM($D$449:O$449)</f>
        <v>16.835000000000001</v>
      </c>
      <c r="P450" s="47">
        <f ca="1">SUM($D$449:P$449)</f>
        <v>20.568750000000001</v>
      </c>
      <c r="Q450" s="47">
        <f ca="1">SUM($D$449:Q$449)</f>
        <v>24.414512500000001</v>
      </c>
      <c r="R450" s="47">
        <f ca="1">SUM($D$449:R$449)</f>
        <v>28.375647875000002</v>
      </c>
      <c r="S450" s="47">
        <f ca="1">SUM($D$449:S$449)</f>
        <v>32.455617311250002</v>
      </c>
      <c r="T450" s="47">
        <f ca="1">SUM($D$449:T$449)</f>
        <v>36.657985830587506</v>
      </c>
      <c r="U450" s="47">
        <f ca="1">SUM($D$449:U$449)</f>
        <v>40.98642540550513</v>
      </c>
      <c r="V450" s="47">
        <f ca="1">SUM($D$449:V$449)</f>
        <v>45.444718167670288</v>
      </c>
      <c r="W450" s="47">
        <f ca="1">SUM($D$449:W$449)</f>
        <v>50.036759712700402</v>
      </c>
      <c r="X450" s="47">
        <f ca="1">SUM($D$449:X$449)</f>
        <v>54.766562504081413</v>
      </c>
    </row>
    <row r="451" spans="1:24" x14ac:dyDescent="0.25">
      <c r="A451" s="9" t="s">
        <v>1083</v>
      </c>
      <c r="B451" s="10" t="str">
        <f>$B$38</f>
        <v>From Fiscal Forecasts</v>
      </c>
      <c r="D451" s="42">
        <f>'Fiscal Forecasts'!D$132</f>
        <v>0</v>
      </c>
      <c r="E451" s="42">
        <f>'Fiscal Forecasts'!E$132</f>
        <v>0</v>
      </c>
      <c r="F451" s="42">
        <f>'Fiscal Forecasts'!F$132</f>
        <v>0</v>
      </c>
      <c r="G451" s="42">
        <f>'Fiscal Forecasts'!G$132</f>
        <v>0</v>
      </c>
      <c r="H451" s="42">
        <f>'Fiscal Forecasts'!H$132</f>
        <v>0</v>
      </c>
      <c r="I451" s="42">
        <f>'Fiscal Forecasts'!I$132</f>
        <v>0</v>
      </c>
      <c r="J451" s="43">
        <f>'Fiscal Forecasts'!J$132</f>
        <v>-1.5</v>
      </c>
      <c r="K451" s="43">
        <f>'Fiscal Forecasts'!K$132</f>
        <v>-2.4</v>
      </c>
      <c r="L451" s="43">
        <f>'Fiscal Forecasts'!L$132</f>
        <v>-2.5</v>
      </c>
      <c r="M451" s="43">
        <f>'Fiscal Forecasts'!M$132</f>
        <v>-2.6</v>
      </c>
      <c r="N451" s="43">
        <f>'Fiscal Forecasts'!N$132</f>
        <v>-2.7</v>
      </c>
      <c r="O451" s="47">
        <f t="shared" ref="O451" si="286">N$451</f>
        <v>-2.7</v>
      </c>
      <c r="P451" s="47">
        <f t="shared" ref="P451" si="287">O$451</f>
        <v>-2.7</v>
      </c>
      <c r="Q451" s="47">
        <f t="shared" ref="Q451" si="288">P$451</f>
        <v>-2.7</v>
      </c>
      <c r="R451" s="47">
        <f t="shared" ref="R451" si="289">Q$451</f>
        <v>-2.7</v>
      </c>
      <c r="S451" s="47">
        <f t="shared" ref="S451" si="290">R$451</f>
        <v>-2.7</v>
      </c>
      <c r="T451" s="47">
        <f t="shared" ref="T451" si="291">S$451</f>
        <v>-2.7</v>
      </c>
      <c r="U451" s="47">
        <f t="shared" ref="U451" si="292">T$451</f>
        <v>-2.7</v>
      </c>
      <c r="V451" s="47">
        <f t="shared" ref="V451" si="293">U$451</f>
        <v>-2.7</v>
      </c>
      <c r="W451" s="47">
        <f t="shared" ref="W451" si="294">V$451</f>
        <v>-2.7</v>
      </c>
      <c r="X451" s="47">
        <f t="shared" ref="X451" si="295">W$451</f>
        <v>-2.7</v>
      </c>
    </row>
    <row r="453" spans="1:24" x14ac:dyDescent="0.25">
      <c r="A453" s="9" t="s">
        <v>632</v>
      </c>
    </row>
    <row r="454" spans="1:24" x14ac:dyDescent="0.25">
      <c r="A454" s="9" t="s">
        <v>1084</v>
      </c>
      <c r="B454" s="10" t="str">
        <f>$B$38</f>
        <v>From Fiscal Forecasts</v>
      </c>
      <c r="D454" s="42">
        <f>'Fiscal Forecasts'!D$134</f>
        <v>6.8129999999999997</v>
      </c>
      <c r="E454" s="42">
        <f>'Fiscal Forecasts'!E$134</f>
        <v>8.0220000000000002</v>
      </c>
      <c r="F454" s="42">
        <f>'Fiscal Forecasts'!F$134</f>
        <v>8.2560000000000002</v>
      </c>
      <c r="G454" s="42">
        <f>'Fiscal Forecasts'!G$134</f>
        <v>9.0609999999999999</v>
      </c>
      <c r="H454" s="42">
        <f>'Fiscal Forecasts'!H$134</f>
        <v>9.0020000000000007</v>
      </c>
      <c r="I454" s="42">
        <f>'Fiscal Forecasts'!I$134</f>
        <v>8.9770000000000003</v>
      </c>
      <c r="J454" s="43">
        <f>'Fiscal Forecasts'!J$134</f>
        <v>9.0660000000000007</v>
      </c>
      <c r="K454" s="43">
        <f>'Fiscal Forecasts'!K$134</f>
        <v>9.1560000000000006</v>
      </c>
      <c r="L454" s="43">
        <f>'Fiscal Forecasts'!L$134</f>
        <v>9.2479999999999993</v>
      </c>
      <c r="M454" s="43">
        <f>'Fiscal Forecasts'!M$134</f>
        <v>9.34</v>
      </c>
      <c r="N454" s="43">
        <f>'Fiscal Forecasts'!N$134</f>
        <v>9.4339999999999993</v>
      </c>
      <c r="O454" s="47">
        <f t="shared" ref="O454:X454" ca="1" si="296">N$454*(1+O$29)</f>
        <v>9.622679999999999</v>
      </c>
      <c r="P454" s="47">
        <f t="shared" ca="1" si="296"/>
        <v>9.8151335999999993</v>
      </c>
      <c r="Q454" s="47">
        <f t="shared" ca="1" si="296"/>
        <v>10.011436271999999</v>
      </c>
      <c r="R454" s="47">
        <f t="shared" ca="1" si="296"/>
        <v>10.21166499744</v>
      </c>
      <c r="S454" s="47">
        <f t="shared" ca="1" si="296"/>
        <v>10.4158982973888</v>
      </c>
      <c r="T454" s="47">
        <f t="shared" ca="1" si="296"/>
        <v>10.624216263336576</v>
      </c>
      <c r="U454" s="47">
        <f t="shared" ca="1" si="296"/>
        <v>10.836700588603309</v>
      </c>
      <c r="V454" s="47">
        <f t="shared" ca="1" si="296"/>
        <v>11.053434600375375</v>
      </c>
      <c r="W454" s="47">
        <f t="shared" ca="1" si="296"/>
        <v>11.274503292382883</v>
      </c>
      <c r="X454" s="47">
        <f t="shared" ca="1" si="296"/>
        <v>11.499993358230542</v>
      </c>
    </row>
    <row r="456" spans="1:24" x14ac:dyDescent="0.25">
      <c r="A456" s="9" t="s">
        <v>633</v>
      </c>
    </row>
    <row r="457" spans="1:24" x14ac:dyDescent="0.25">
      <c r="A457" s="11" t="s">
        <v>1085</v>
      </c>
      <c r="D457" s="35">
        <f t="shared" ref="D457:X457" si="297">D$394-D$73</f>
        <v>1.0880000000000001</v>
      </c>
      <c r="E457" s="35">
        <f t="shared" si="297"/>
        <v>1.5510000000000002</v>
      </c>
      <c r="F457" s="35">
        <f t="shared" si="297"/>
        <v>2.7319999999999998</v>
      </c>
      <c r="G457" s="35">
        <f t="shared" si="297"/>
        <v>-0.8879999999999999</v>
      </c>
      <c r="H457" s="35">
        <f t="shared" si="297"/>
        <v>0.40799999999999992</v>
      </c>
      <c r="I457" s="35">
        <f t="shared" si="297"/>
        <v>1.4810000000000003</v>
      </c>
      <c r="J457" s="17">
        <f t="shared" si="297"/>
        <v>1.3769999999999998</v>
      </c>
      <c r="K457" s="17">
        <f t="shared" si="297"/>
        <v>0.48899999999999988</v>
      </c>
      <c r="L457" s="17">
        <f t="shared" si="297"/>
        <v>0.53200000000000003</v>
      </c>
      <c r="M457" s="17">
        <f t="shared" si="297"/>
        <v>0.57600000000000051</v>
      </c>
      <c r="N457" s="17">
        <f t="shared" si="297"/>
        <v>0.59400000000000031</v>
      </c>
      <c r="O457" s="16">
        <f t="shared" ca="1" si="297"/>
        <v>3.3388721804007391</v>
      </c>
      <c r="P457" s="16">
        <f t="shared" ca="1" si="297"/>
        <v>3.5356306626569909</v>
      </c>
      <c r="Q457" s="16">
        <f t="shared" ca="1" si="297"/>
        <v>3.7392185619948295</v>
      </c>
      <c r="R457" s="16">
        <f t="shared" ca="1" si="297"/>
        <v>3.9482608185917343</v>
      </c>
      <c r="S457" s="16">
        <f t="shared" ca="1" si="297"/>
        <v>4.1620850005709489</v>
      </c>
      <c r="T457" s="16">
        <f t="shared" ca="1" si="297"/>
        <v>4.3812152050008422</v>
      </c>
      <c r="U457" s="16">
        <f t="shared" ca="1" si="297"/>
        <v>4.604439094198006</v>
      </c>
      <c r="V457" s="16">
        <f t="shared" ca="1" si="297"/>
        <v>4.8326373888600189</v>
      </c>
      <c r="W457" s="16">
        <f t="shared" ca="1" si="297"/>
        <v>5.0683028731462407</v>
      </c>
      <c r="X457" s="16">
        <f t="shared" ca="1" si="297"/>
        <v>5.314252651556342</v>
      </c>
    </row>
    <row r="458" spans="1:24" x14ac:dyDescent="0.25">
      <c r="A458" s="11" t="s">
        <v>789</v>
      </c>
      <c r="B458" s="10" t="str">
        <f>$B$38</f>
        <v>From Fiscal Forecasts</v>
      </c>
      <c r="D458" s="35">
        <f>'Fiscal Forecasts'!D$371</f>
        <v>6.2930000000000001</v>
      </c>
      <c r="E458" s="35">
        <f>'Fiscal Forecasts'!E$371</f>
        <v>5.0430000000000001</v>
      </c>
      <c r="F458" s="35">
        <f>'Fiscal Forecasts'!F$371</f>
        <v>5.3979999999999997</v>
      </c>
      <c r="G458" s="35">
        <f>'Fiscal Forecasts'!G$371</f>
        <v>5.4870000000000001</v>
      </c>
      <c r="H458" s="35">
        <f>'Fiscal Forecasts'!H$371</f>
        <v>6.2060000000000004</v>
      </c>
      <c r="I458" s="35">
        <f>'Fiscal Forecasts'!I$371</f>
        <v>6.65</v>
      </c>
      <c r="J458" s="17">
        <f>'Fiscal Forecasts'!J$371</f>
        <v>7.2039999999999997</v>
      </c>
      <c r="K458" s="17">
        <f>'Fiscal Forecasts'!K$371</f>
        <v>7.3639999999999999</v>
      </c>
      <c r="L458" s="17">
        <f>'Fiscal Forecasts'!L$371</f>
        <v>6.9560000000000004</v>
      </c>
      <c r="M458" s="17">
        <f>'Fiscal Forecasts'!M$371</f>
        <v>7.1340000000000003</v>
      </c>
      <c r="N458" s="17">
        <f>'Fiscal Forecasts'!N$371</f>
        <v>7.3280000000000003</v>
      </c>
      <c r="O458" s="16">
        <f t="shared" ref="O458:X458" ca="1" si="298">N$458*O$142/N$142</f>
        <v>7.6089309288847353</v>
      </c>
      <c r="P458" s="16">
        <f t="shared" ca="1" si="298"/>
        <v>7.9212943020391924</v>
      </c>
      <c r="Q458" s="16">
        <f t="shared" ca="1" si="298"/>
        <v>8.2432910504739869</v>
      </c>
      <c r="R458" s="16">
        <f t="shared" ca="1" si="298"/>
        <v>8.5662228729633068</v>
      </c>
      <c r="S458" s="16">
        <f t="shared" ca="1" si="298"/>
        <v>8.8961970908025521</v>
      </c>
      <c r="T458" s="16">
        <f t="shared" ca="1" si="298"/>
        <v>9.2327054814816378</v>
      </c>
      <c r="U458" s="16">
        <f t="shared" ca="1" si="298"/>
        <v>9.5737320543799065</v>
      </c>
      <c r="V458" s="16">
        <f t="shared" ca="1" si="298"/>
        <v>9.9198768805508202</v>
      </c>
      <c r="W458" s="16">
        <f t="shared" ca="1" si="298"/>
        <v>10.271043105515879</v>
      </c>
      <c r="X458" s="16">
        <f t="shared" ca="1" si="298"/>
        <v>10.629894763076283</v>
      </c>
    </row>
    <row r="459" spans="1:24" x14ac:dyDescent="0.25">
      <c r="A459" s="11" t="s">
        <v>1086</v>
      </c>
      <c r="B459" s="10" t="str">
        <f>$B$38</f>
        <v>From Fiscal Forecasts</v>
      </c>
      <c r="D459" s="35">
        <f>'Fiscal Forecasts'!D$192-SUM(D$457:D$458)</f>
        <v>3.0849999999999991</v>
      </c>
      <c r="E459" s="35">
        <f>'Fiscal Forecasts'!E$192-SUM(E$457:E$458)</f>
        <v>4.2559999999999993</v>
      </c>
      <c r="F459" s="35">
        <f>'Fiscal Forecasts'!F$192-SUM(F$457:F$458)</f>
        <v>3.9080000000000013</v>
      </c>
      <c r="G459" s="35">
        <f>'Fiscal Forecasts'!G$192-SUM(G$457:G$458)</f>
        <v>11.707999999999998</v>
      </c>
      <c r="H459" s="35">
        <f>'Fiscal Forecasts'!H$192-SUM(H$457:H$458)</f>
        <v>5.7219999999999995</v>
      </c>
      <c r="I459" s="35">
        <f>'Fiscal Forecasts'!I$192-SUM(I$457:I$458)</f>
        <v>4.6649999999999991</v>
      </c>
      <c r="J459" s="17">
        <f>'Fiscal Forecasts'!J$192-SUM(J$457:J$458)</f>
        <v>8.5300000000000011</v>
      </c>
      <c r="K459" s="17">
        <f>'Fiscal Forecasts'!K$192-SUM(K$457:K$458)</f>
        <v>8.9429999999999996</v>
      </c>
      <c r="L459" s="17">
        <f>'Fiscal Forecasts'!L$192-SUM(L$457:L$458)</f>
        <v>10.146000000000001</v>
      </c>
      <c r="M459" s="17">
        <f>'Fiscal Forecasts'!M$192-SUM(M$457:M$458)</f>
        <v>9.6720000000000006</v>
      </c>
      <c r="N459" s="17">
        <f>'Fiscal Forecasts'!N$192-SUM(N$457:N$458)</f>
        <v>9.4719999999999978</v>
      </c>
      <c r="O459" s="16">
        <f t="shared" ref="O459:X459" ca="1" si="299">N$459*(1+O$29)</f>
        <v>9.6614399999999971</v>
      </c>
      <c r="P459" s="16">
        <f t="shared" ca="1" si="299"/>
        <v>9.8546687999999971</v>
      </c>
      <c r="Q459" s="16">
        <f t="shared" ca="1" si="299"/>
        <v>10.051762175999997</v>
      </c>
      <c r="R459" s="16">
        <f t="shared" ca="1" si="299"/>
        <v>10.252797419519997</v>
      </c>
      <c r="S459" s="16">
        <f t="shared" ca="1" si="299"/>
        <v>10.457853367910397</v>
      </c>
      <c r="T459" s="16">
        <f t="shared" ca="1" si="299"/>
        <v>10.667010435268605</v>
      </c>
      <c r="U459" s="16">
        <f t="shared" ca="1" si="299"/>
        <v>10.880350643973976</v>
      </c>
      <c r="V459" s="16">
        <f t="shared" ca="1" si="299"/>
        <v>11.097957656853456</v>
      </c>
      <c r="W459" s="16">
        <f t="shared" ca="1" si="299"/>
        <v>11.319916809990525</v>
      </c>
      <c r="X459" s="16">
        <f t="shared" ca="1" si="299"/>
        <v>11.546315146190336</v>
      </c>
    </row>
    <row r="460" spans="1:24" x14ac:dyDescent="0.25">
      <c r="A460" s="9" t="s">
        <v>1087</v>
      </c>
      <c r="D460" s="65">
        <f t="shared" ref="D460:N460" si="300">SUM(D$457:D$459)</f>
        <v>10.465999999999999</v>
      </c>
      <c r="E460" s="65">
        <f t="shared" si="300"/>
        <v>10.85</v>
      </c>
      <c r="F460" s="65">
        <f t="shared" si="300"/>
        <v>12.038</v>
      </c>
      <c r="G460" s="65">
        <f t="shared" si="300"/>
        <v>16.306999999999999</v>
      </c>
      <c r="H460" s="65">
        <f t="shared" si="300"/>
        <v>12.336</v>
      </c>
      <c r="I460" s="65">
        <f t="shared" si="300"/>
        <v>12.795999999999999</v>
      </c>
      <c r="J460" s="66">
        <f t="shared" si="300"/>
        <v>17.111000000000001</v>
      </c>
      <c r="K460" s="66">
        <f t="shared" si="300"/>
        <v>16.795999999999999</v>
      </c>
      <c r="L460" s="66">
        <f t="shared" si="300"/>
        <v>17.634</v>
      </c>
      <c r="M460" s="66">
        <f t="shared" si="300"/>
        <v>17.382000000000001</v>
      </c>
      <c r="N460" s="66">
        <f t="shared" si="300"/>
        <v>17.393999999999998</v>
      </c>
      <c r="O460" s="67">
        <f t="shared" ref="O460:X460" ca="1" si="301">SUM(O$457:O$459)</f>
        <v>20.609243109285472</v>
      </c>
      <c r="P460" s="67">
        <f t="shared" ca="1" si="301"/>
        <v>21.31159376469618</v>
      </c>
      <c r="Q460" s="67">
        <f t="shared" ca="1" si="301"/>
        <v>22.034271788468814</v>
      </c>
      <c r="R460" s="67">
        <f t="shared" ca="1" si="301"/>
        <v>22.767281111075036</v>
      </c>
      <c r="S460" s="67">
        <f t="shared" ca="1" si="301"/>
        <v>23.516135459283898</v>
      </c>
      <c r="T460" s="67">
        <f t="shared" ca="1" si="301"/>
        <v>24.280931121751085</v>
      </c>
      <c r="U460" s="67">
        <f t="shared" ca="1" si="301"/>
        <v>25.05852179255189</v>
      </c>
      <c r="V460" s="67">
        <f t="shared" ca="1" si="301"/>
        <v>25.850471926264294</v>
      </c>
      <c r="W460" s="67">
        <f t="shared" ca="1" si="301"/>
        <v>26.659262788652647</v>
      </c>
      <c r="X460" s="67">
        <f t="shared" ca="1" si="301"/>
        <v>27.490462560822962</v>
      </c>
    </row>
    <row r="461" spans="1:24" x14ac:dyDescent="0.25">
      <c r="A461" s="9" t="s">
        <v>1088</v>
      </c>
      <c r="B461" s="10" t="str">
        <f>$B$38</f>
        <v>From Fiscal Forecasts</v>
      </c>
      <c r="D461" s="42">
        <f>'Fiscal Forecasts'!D$135</f>
        <v>16.742000000000001</v>
      </c>
      <c r="E461" s="42">
        <f>'Fiscal Forecasts'!E$135</f>
        <v>16.971</v>
      </c>
      <c r="F461" s="42">
        <f>'Fiscal Forecasts'!F$135</f>
        <v>17.577000000000002</v>
      </c>
      <c r="G461" s="42">
        <f>'Fiscal Forecasts'!G$135</f>
        <v>21.42</v>
      </c>
      <c r="H461" s="42">
        <f>'Fiscal Forecasts'!H$135</f>
        <v>18.725999999999999</v>
      </c>
      <c r="I461" s="42">
        <f>'Fiscal Forecasts'!I$135</f>
        <v>19.863</v>
      </c>
      <c r="J461" s="43">
        <f>'Fiscal Forecasts'!J$135</f>
        <v>26.414999999999999</v>
      </c>
      <c r="K461" s="43">
        <f>'Fiscal Forecasts'!K$135</f>
        <v>26.925000000000001</v>
      </c>
      <c r="L461" s="43">
        <f>'Fiscal Forecasts'!L$135</f>
        <v>28.08</v>
      </c>
      <c r="M461" s="43">
        <f>'Fiscal Forecasts'!M$135</f>
        <v>28.029</v>
      </c>
      <c r="N461" s="43">
        <f>'Fiscal Forecasts'!N$135</f>
        <v>28.588999999999999</v>
      </c>
      <c r="O461" s="47">
        <f t="shared" ref="O461:X461" ca="1" si="302">O$460+(N$461-N$460)*(1+O$29)</f>
        <v>32.028143109285473</v>
      </c>
      <c r="P461" s="47">
        <f t="shared" ca="1" si="302"/>
        <v>32.958871764696184</v>
      </c>
      <c r="Q461" s="47">
        <f t="shared" ca="1" si="302"/>
        <v>33.914495348468819</v>
      </c>
      <c r="R461" s="47">
        <f t="shared" ca="1" si="302"/>
        <v>34.885109142275041</v>
      </c>
      <c r="S461" s="47">
        <f t="shared" ca="1" si="302"/>
        <v>35.876320051107903</v>
      </c>
      <c r="T461" s="47">
        <f t="shared" ca="1" si="302"/>
        <v>36.888319405411572</v>
      </c>
      <c r="U461" s="47">
        <f t="shared" ca="1" si="302"/>
        <v>37.918057841885584</v>
      </c>
      <c r="V461" s="47">
        <f t="shared" ca="1" si="302"/>
        <v>38.96719869658466</v>
      </c>
      <c r="W461" s="47">
        <f t="shared" ca="1" si="302"/>
        <v>40.038324094379419</v>
      </c>
      <c r="X461" s="47">
        <f t="shared" ca="1" si="302"/>
        <v>41.137105092664271</v>
      </c>
    </row>
    <row r="463" spans="1:24" x14ac:dyDescent="0.25">
      <c r="A463" s="9" t="s">
        <v>634</v>
      </c>
    </row>
    <row r="464" spans="1:24" x14ac:dyDescent="0.25">
      <c r="A464" s="9" t="s">
        <v>1089</v>
      </c>
      <c r="B464" s="10" t="str">
        <f>$B$38</f>
        <v>From Fiscal Forecasts</v>
      </c>
      <c r="D464" s="42">
        <f>'Fiscal Forecasts'!D$193</f>
        <v>0.44900000000000001</v>
      </c>
      <c r="E464" s="42">
        <f>'Fiscal Forecasts'!E$193</f>
        <v>0.39800000000000002</v>
      </c>
      <c r="F464" s="42">
        <f>'Fiscal Forecasts'!F$193</f>
        <v>0.505</v>
      </c>
      <c r="G464" s="42">
        <f>'Fiscal Forecasts'!G$193</f>
        <v>0.56999999999999995</v>
      </c>
      <c r="H464" s="42">
        <f>'Fiscal Forecasts'!H$193</f>
        <v>0.504</v>
      </c>
      <c r="I464" s="42">
        <f>'Fiscal Forecasts'!I$193</f>
        <v>0.498</v>
      </c>
      <c r="J464" s="43">
        <f>'Fiscal Forecasts'!J$193</f>
        <v>0.47199999999999998</v>
      </c>
      <c r="K464" s="43">
        <f>'Fiscal Forecasts'!K$193</f>
        <v>0.47</v>
      </c>
      <c r="L464" s="43">
        <f>'Fiscal Forecasts'!L$193</f>
        <v>0.47</v>
      </c>
      <c r="M464" s="43">
        <f>'Fiscal Forecasts'!M$193</f>
        <v>0.47</v>
      </c>
      <c r="N464" s="43">
        <f>'Fiscal Forecasts'!N$193</f>
        <v>0.47</v>
      </c>
      <c r="O464" s="47">
        <f t="shared" ref="O464:X464" si="303">SUM(N$464,O$419-N$419,O$423-N$423)</f>
        <v>0.47</v>
      </c>
      <c r="P464" s="47">
        <f t="shared" si="303"/>
        <v>0.47</v>
      </c>
      <c r="Q464" s="47">
        <f t="shared" si="303"/>
        <v>0.47</v>
      </c>
      <c r="R464" s="47">
        <f t="shared" si="303"/>
        <v>0.47</v>
      </c>
      <c r="S464" s="47">
        <f t="shared" si="303"/>
        <v>0.47</v>
      </c>
      <c r="T464" s="47">
        <f t="shared" si="303"/>
        <v>0.47</v>
      </c>
      <c r="U464" s="47">
        <f t="shared" si="303"/>
        <v>0.47</v>
      </c>
      <c r="V464" s="47">
        <f t="shared" si="303"/>
        <v>0.47</v>
      </c>
      <c r="W464" s="47">
        <f t="shared" si="303"/>
        <v>0.47</v>
      </c>
      <c r="X464" s="47">
        <f t="shared" si="303"/>
        <v>0.47</v>
      </c>
    </row>
    <row r="465" spans="1:24" x14ac:dyDescent="0.25">
      <c r="A465" s="9" t="s">
        <v>1090</v>
      </c>
      <c r="B465" s="10" t="str">
        <f>$B$38</f>
        <v>From Fiscal Forecasts</v>
      </c>
      <c r="D465" s="42">
        <f>'Fiscal Forecasts'!D$136</f>
        <v>2.5230000000000001</v>
      </c>
      <c r="E465" s="42">
        <f>'Fiscal Forecasts'!E$136</f>
        <v>2.59</v>
      </c>
      <c r="F465" s="42">
        <f>'Fiscal Forecasts'!F$136</f>
        <v>2.5489999999999999</v>
      </c>
      <c r="G465" s="42">
        <f>'Fiscal Forecasts'!G$136</f>
        <v>3.3679999999999999</v>
      </c>
      <c r="H465" s="42">
        <f>'Fiscal Forecasts'!H$136</f>
        <v>3.61</v>
      </c>
      <c r="I465" s="42">
        <f>'Fiscal Forecasts'!I$136</f>
        <v>3.4529999999999998</v>
      </c>
      <c r="J465" s="43">
        <f>'Fiscal Forecasts'!J$136</f>
        <v>3.6360000000000001</v>
      </c>
      <c r="K465" s="43">
        <f>'Fiscal Forecasts'!K$136</f>
        <v>3.6429999999999998</v>
      </c>
      <c r="L465" s="43">
        <f>'Fiscal Forecasts'!L$136</f>
        <v>3.734</v>
      </c>
      <c r="M465" s="43">
        <f>'Fiscal Forecasts'!M$136</f>
        <v>3.758</v>
      </c>
      <c r="N465" s="43">
        <f>'Fiscal Forecasts'!N$136</f>
        <v>3.8220000000000001</v>
      </c>
      <c r="O465" s="47">
        <f t="shared" ref="O465:X465" ca="1" si="304">SUM(N$465,O$420-N$420,O$424-N$424)</f>
        <v>3.9117600000000006</v>
      </c>
      <c r="P465" s="47">
        <f t="shared" ca="1" si="304"/>
        <v>4.0033151999999994</v>
      </c>
      <c r="Q465" s="47">
        <f t="shared" ca="1" si="304"/>
        <v>4.0967015039999994</v>
      </c>
      <c r="R465" s="47">
        <f t="shared" ca="1" si="304"/>
        <v>4.191955534079999</v>
      </c>
      <c r="S465" s="47">
        <f t="shared" ca="1" si="304"/>
        <v>4.2891146447615993</v>
      </c>
      <c r="T465" s="47">
        <f t="shared" ca="1" si="304"/>
        <v>4.3882169376568321</v>
      </c>
      <c r="U465" s="47">
        <f t="shared" ca="1" si="304"/>
        <v>4.4893012764099689</v>
      </c>
      <c r="V465" s="47">
        <f t="shared" ca="1" si="304"/>
        <v>4.5924073019381693</v>
      </c>
      <c r="W465" s="47">
        <f t="shared" ca="1" si="304"/>
        <v>4.6975754479769325</v>
      </c>
      <c r="X465" s="47">
        <f t="shared" ca="1" si="304"/>
        <v>4.8048469569364709</v>
      </c>
    </row>
    <row r="467" spans="1:24" x14ac:dyDescent="0.25">
      <c r="A467" s="9" t="s">
        <v>1091</v>
      </c>
    </row>
    <row r="468" spans="1:24" x14ac:dyDescent="0.25">
      <c r="A468" s="9" t="s">
        <v>1092</v>
      </c>
      <c r="B468" s="10" t="str">
        <f>$B$38</f>
        <v>From Fiscal Forecasts</v>
      </c>
      <c r="D468" s="42">
        <f>'Fiscal Forecasts'!D$194</f>
        <v>2.8839999999999999</v>
      </c>
      <c r="E468" s="42">
        <f>'Fiscal Forecasts'!E$194</f>
        <v>3.8039999999999998</v>
      </c>
      <c r="F468" s="42">
        <f>'Fiscal Forecasts'!F$194</f>
        <v>5.8239999999999998</v>
      </c>
      <c r="G468" s="42">
        <f>'Fiscal Forecasts'!G$194</f>
        <v>11.461</v>
      </c>
      <c r="H468" s="42">
        <f>'Fiscal Forecasts'!H$194</f>
        <v>6.093</v>
      </c>
      <c r="I468" s="42">
        <f>'Fiscal Forecasts'!I$194</f>
        <v>6.8659999999999997</v>
      </c>
      <c r="J468" s="43">
        <f>'Fiscal Forecasts'!J$194</f>
        <v>6.77</v>
      </c>
      <c r="K468" s="43">
        <f>'Fiscal Forecasts'!K$194</f>
        <v>5.9660000000000002</v>
      </c>
      <c r="L468" s="43">
        <f>'Fiscal Forecasts'!L$194</f>
        <v>5.4269999999999996</v>
      </c>
      <c r="M468" s="43">
        <f>'Fiscal Forecasts'!M$194</f>
        <v>4.952</v>
      </c>
      <c r="N468" s="43">
        <f>'Fiscal Forecasts'!N$194</f>
        <v>4.4619999999999997</v>
      </c>
      <c r="O468" s="47">
        <f t="shared" ref="O468:X468" ca="1" si="305">SUM(N$468,-O$145,O$151,O$322)</f>
        <v>4.0529599999999997</v>
      </c>
      <c r="P468" s="47">
        <f t="shared" ca="1" si="305"/>
        <v>3.6734591999999999</v>
      </c>
      <c r="Q468" s="47">
        <f t="shared" ca="1" si="305"/>
        <v>3.324088384</v>
      </c>
      <c r="R468" s="47">
        <f t="shared" ca="1" si="305"/>
        <v>3.0054501516799998</v>
      </c>
      <c r="S468" s="47">
        <f t="shared" ca="1" si="305"/>
        <v>2.7181591547136001</v>
      </c>
      <c r="T468" s="47">
        <f t="shared" ca="1" si="305"/>
        <v>2.4628423378078725</v>
      </c>
      <c r="U468" s="47">
        <f t="shared" ca="1" si="305"/>
        <v>2.2401391845640299</v>
      </c>
      <c r="V468" s="47">
        <f t="shared" ca="1" si="305"/>
        <v>2.0507019682553107</v>
      </c>
      <c r="W468" s="47">
        <f t="shared" ca="1" si="305"/>
        <v>1.8951960076204171</v>
      </c>
      <c r="X468" s="47">
        <f t="shared" ca="1" si="305"/>
        <v>1.7742999277728255</v>
      </c>
    </row>
    <row r="469" spans="1:24" x14ac:dyDescent="0.25">
      <c r="A469" s="9" t="s">
        <v>1093</v>
      </c>
      <c r="B469" s="10" t="str">
        <f>$B$38</f>
        <v>From Fiscal Forecasts</v>
      </c>
      <c r="D469" s="42">
        <f>'Fiscal Forecasts'!D$138</f>
        <v>2.8839999999999999</v>
      </c>
      <c r="E469" s="42">
        <f>'Fiscal Forecasts'!E$138</f>
        <v>3.8039999999999998</v>
      </c>
      <c r="F469" s="42">
        <f>'Fiscal Forecasts'!F$138</f>
        <v>5.8239999999999998</v>
      </c>
      <c r="G469" s="42">
        <f>'Fiscal Forecasts'!G$138</f>
        <v>11.308</v>
      </c>
      <c r="H469" s="42">
        <f>'Fiscal Forecasts'!H$138</f>
        <v>6.125</v>
      </c>
      <c r="I469" s="42">
        <f>'Fiscal Forecasts'!I$138</f>
        <v>6.6260000000000003</v>
      </c>
      <c r="J469" s="43">
        <f>'Fiscal Forecasts'!J$138</f>
        <v>6.556</v>
      </c>
      <c r="K469" s="43">
        <f>'Fiscal Forecasts'!K$138</f>
        <v>5.7409999999999997</v>
      </c>
      <c r="L469" s="43">
        <f>'Fiscal Forecasts'!L$138</f>
        <v>5.1379999999999999</v>
      </c>
      <c r="M469" s="43">
        <f>'Fiscal Forecasts'!M$138</f>
        <v>4.7249999999999996</v>
      </c>
      <c r="N469" s="43">
        <f>'Fiscal Forecasts'!N$138</f>
        <v>4.2530000000000001</v>
      </c>
      <c r="O469" s="47">
        <f t="shared" ref="O469:X469" ca="1" si="306">SUM(N$469,-O$145,O$151,O$322)</f>
        <v>3.84396</v>
      </c>
      <c r="P469" s="47">
        <f t="shared" ca="1" si="306"/>
        <v>3.4644592000000003</v>
      </c>
      <c r="Q469" s="47">
        <f t="shared" ca="1" si="306"/>
        <v>3.1150883840000003</v>
      </c>
      <c r="R469" s="47">
        <f t="shared" ca="1" si="306"/>
        <v>2.7964501516800002</v>
      </c>
      <c r="S469" s="47">
        <f t="shared" ca="1" si="306"/>
        <v>2.5091591547136005</v>
      </c>
      <c r="T469" s="47">
        <f t="shared" ca="1" si="306"/>
        <v>2.2538423378078729</v>
      </c>
      <c r="U469" s="47">
        <f t="shared" ca="1" si="306"/>
        <v>2.0311391845640303</v>
      </c>
      <c r="V469" s="47">
        <f t="shared" ca="1" si="306"/>
        <v>1.8417019682553111</v>
      </c>
      <c r="W469" s="47">
        <f t="shared" ca="1" si="306"/>
        <v>1.6861960076204174</v>
      </c>
      <c r="X469" s="47">
        <f t="shared" ca="1" si="306"/>
        <v>1.5652999277728259</v>
      </c>
    </row>
    <row r="471" spans="1:24" x14ac:dyDescent="0.25">
      <c r="A471" s="9" t="s">
        <v>637</v>
      </c>
    </row>
    <row r="472" spans="1:24" x14ac:dyDescent="0.25">
      <c r="A472" s="9" t="s">
        <v>1094</v>
      </c>
      <c r="B472" s="10" t="str">
        <f>$B$38</f>
        <v>From Fiscal Forecasts</v>
      </c>
      <c r="D472" s="42">
        <f>'Fiscal Forecasts'!D$195</f>
        <v>4.0000000000000001E-3</v>
      </c>
      <c r="E472" s="42">
        <f>'Fiscal Forecasts'!E$195</f>
        <v>5.0000000000000001E-3</v>
      </c>
      <c r="F472" s="42">
        <f>'Fiscal Forecasts'!F$195</f>
        <v>4.0000000000000001E-3</v>
      </c>
      <c r="G472" s="42">
        <f>'Fiscal Forecasts'!G$195</f>
        <v>2E-3</v>
      </c>
      <c r="H472" s="42">
        <f>'Fiscal Forecasts'!H$195</f>
        <v>3.0000000000000001E-3</v>
      </c>
      <c r="I472" s="42">
        <f>'Fiscal Forecasts'!I$195</f>
        <v>2E-3</v>
      </c>
      <c r="J472" s="43">
        <f>'Fiscal Forecasts'!J$195</f>
        <v>2E-3</v>
      </c>
      <c r="K472" s="43">
        <f>'Fiscal Forecasts'!K$195</f>
        <v>2E-3</v>
      </c>
      <c r="L472" s="43">
        <f>'Fiscal Forecasts'!L$195</f>
        <v>2E-3</v>
      </c>
      <c r="M472" s="43">
        <f>'Fiscal Forecasts'!M$195</f>
        <v>2E-3</v>
      </c>
      <c r="N472" s="43">
        <f>'Fiscal Forecasts'!N$195</f>
        <v>2E-3</v>
      </c>
      <c r="O472" s="47">
        <f ca="1">IF(O$6=OFFSET(Assumptions!$B$8,0,$C$1),OFFSET(Assumptions!$B$9,0,$C$1),N$472)</f>
        <v>0</v>
      </c>
      <c r="P472" s="47">
        <f ca="1">IF(P$6=OFFSET(Assumptions!$B$8,0,$C$1),OFFSET(Assumptions!$B$9,0,$C$1),O$472)</f>
        <v>0</v>
      </c>
      <c r="Q472" s="47">
        <f ca="1">IF(Q$6=OFFSET(Assumptions!$B$8,0,$C$1),OFFSET(Assumptions!$B$9,0,$C$1),P$472)</f>
        <v>0</v>
      </c>
      <c r="R472" s="47">
        <f ca="1">IF(R$6=OFFSET(Assumptions!$B$8,0,$C$1),OFFSET(Assumptions!$B$9,0,$C$1),Q$472)</f>
        <v>0</v>
      </c>
      <c r="S472" s="47">
        <f ca="1">IF(S$6=OFFSET(Assumptions!$B$8,0,$C$1),OFFSET(Assumptions!$B$9,0,$C$1),R$472)</f>
        <v>0</v>
      </c>
      <c r="T472" s="47">
        <f ca="1">IF(T$6=OFFSET(Assumptions!$B$8,0,$C$1),OFFSET(Assumptions!$B$9,0,$C$1),S$472)</f>
        <v>0</v>
      </c>
      <c r="U472" s="47">
        <f ca="1">IF(U$6=OFFSET(Assumptions!$B$8,0,$C$1),OFFSET(Assumptions!$B$9,0,$C$1),T$472)</f>
        <v>0</v>
      </c>
      <c r="V472" s="47">
        <f ca="1">IF(V$6=OFFSET(Assumptions!$B$8,0,$C$1),OFFSET(Assumptions!$B$9,0,$C$1),U$472)</f>
        <v>0</v>
      </c>
      <c r="W472" s="47">
        <f ca="1">IF(W$6=OFFSET(Assumptions!$B$8,0,$C$1),OFFSET(Assumptions!$B$9,0,$C$1),V$472)</f>
        <v>0</v>
      </c>
      <c r="X472" s="47">
        <f ca="1">IF(X$6=OFFSET(Assumptions!$B$8,0,$C$1),OFFSET(Assumptions!$B$9,0,$C$1),W$472)</f>
        <v>0</v>
      </c>
    </row>
    <row r="473" spans="1:24" x14ac:dyDescent="0.25">
      <c r="A473" s="11" t="s">
        <v>1095</v>
      </c>
      <c r="B473" s="10" t="str">
        <f>$B$38</f>
        <v>From Fiscal Forecasts</v>
      </c>
      <c r="D473" s="35">
        <f>'Fiscal Forecasts'!D$381</f>
        <v>56.610999999999997</v>
      </c>
      <c r="E473" s="35">
        <f>'Fiscal Forecasts'!E$381</f>
        <v>64.945999999999998</v>
      </c>
      <c r="F473" s="35">
        <f>'Fiscal Forecasts'!F$381</f>
        <v>59.133000000000003</v>
      </c>
      <c r="G473" s="35">
        <f>'Fiscal Forecasts'!G$381</f>
        <v>54.115000000000002</v>
      </c>
      <c r="H473" s="35">
        <f>'Fiscal Forecasts'!H$381</f>
        <v>55.664000000000001</v>
      </c>
      <c r="I473" s="35">
        <f>'Fiscal Forecasts'!I$381</f>
        <v>65.049000000000007</v>
      </c>
      <c r="J473" s="17">
        <f>'Fiscal Forecasts'!J$381</f>
        <v>68.626999999999995</v>
      </c>
      <c r="K473" s="17">
        <f>'Fiscal Forecasts'!K$381</f>
        <v>71.796999999999997</v>
      </c>
      <c r="L473" s="17">
        <f>'Fiscal Forecasts'!L$381</f>
        <v>75.256</v>
      </c>
      <c r="M473" s="17">
        <f>'Fiscal Forecasts'!M$381</f>
        <v>79.001999999999995</v>
      </c>
      <c r="N473" s="17">
        <f>'Fiscal Forecasts'!N$381</f>
        <v>82.98</v>
      </c>
      <c r="O473" s="16">
        <f>N$473*Exogenous!Z$31/Exogenous!Y$31</f>
        <v>87.232633748189329</v>
      </c>
      <c r="P473" s="16">
        <f>O$473*Exogenous!AA$31/Exogenous!Z$31</f>
        <v>91.859921600249137</v>
      </c>
      <c r="Q473" s="16">
        <f>P$473*Exogenous!AB$31/Exogenous!AA$31</f>
        <v>96.802667925117291</v>
      </c>
      <c r="R473" s="16">
        <f>Q$473*Exogenous!AC$31/Exogenous!AB$31</f>
        <v>102.02138967233698</v>
      </c>
      <c r="S473" s="16">
        <f>R$473*Exogenous!AD$31/Exogenous!AC$31</f>
        <v>107.5116608182833</v>
      </c>
      <c r="T473" s="16">
        <f>S$473*Exogenous!AE$31/Exogenous!AD$31</f>
        <v>113.29291750429732</v>
      </c>
      <c r="U473" s="16">
        <f>T$473*Exogenous!AF$31/Exogenous!AE$31</f>
        <v>119.32125172654598</v>
      </c>
      <c r="V473" s="16">
        <f>U$473*Exogenous!AG$31/Exogenous!AF$31</f>
        <v>125.57045233176501</v>
      </c>
      <c r="W473" s="16">
        <f>V$473*Exogenous!AH$31/Exogenous!AG$31</f>
        <v>132.05084530239904</v>
      </c>
      <c r="X473" s="16">
        <f>W$473*Exogenous!AI$31/Exogenous!AH$31</f>
        <v>138.76543147139884</v>
      </c>
    </row>
    <row r="474" spans="1:24" x14ac:dyDescent="0.25">
      <c r="A474" s="11" t="s">
        <v>1096</v>
      </c>
      <c r="B474" s="10" t="str">
        <f>$B$38</f>
        <v>From Fiscal Forecasts</v>
      </c>
      <c r="D474" s="35">
        <f>SUM('Fiscal Forecasts'!D$382:D$383)-D$472</f>
        <v>1.601</v>
      </c>
      <c r="E474" s="35">
        <f>SUM('Fiscal Forecasts'!E$382:E$383)-E$472</f>
        <v>1.7390000000000001</v>
      </c>
      <c r="F474" s="35">
        <f>SUM('Fiscal Forecasts'!F$382:F$383)-F$472</f>
        <v>1.1990000000000001</v>
      </c>
      <c r="G474" s="35">
        <f>SUM('Fiscal Forecasts'!G$382:G$383)-G$472</f>
        <v>1.1839999999999999</v>
      </c>
      <c r="H474" s="35">
        <f>SUM('Fiscal Forecasts'!H$382:H$383)-H$472</f>
        <v>1.8440000000000001</v>
      </c>
      <c r="I474" s="35">
        <f>SUM('Fiscal Forecasts'!I$382:I$383)-I$472</f>
        <v>1.524</v>
      </c>
      <c r="J474" s="17">
        <f>SUM('Fiscal Forecasts'!J$382:J$383)-J$472</f>
        <v>1.2989999999999999</v>
      </c>
      <c r="K474" s="17">
        <f>SUM('Fiscal Forecasts'!K$382:K$383)-K$472</f>
        <v>1.165</v>
      </c>
      <c r="L474" s="17">
        <f>SUM('Fiscal Forecasts'!L$382:L$383)-L$472</f>
        <v>1.03</v>
      </c>
      <c r="M474" s="17">
        <f>SUM('Fiscal Forecasts'!M$382:M$383)-M$472</f>
        <v>0.97499999999999998</v>
      </c>
      <c r="N474" s="17">
        <f>SUM('Fiscal Forecasts'!N$382:N$383)-N$472</f>
        <v>0.84699999999999998</v>
      </c>
      <c r="O474" s="16">
        <f t="shared" ref="O474:X474" si="307">N$474*O$473/N$473</f>
        <v>0.89040781856732165</v>
      </c>
      <c r="P474" s="16">
        <f t="shared" si="307"/>
        <v>0.93763983604978329</v>
      </c>
      <c r="Q474" s="16">
        <f t="shared" si="307"/>
        <v>0.98809182613369895</v>
      </c>
      <c r="R474" s="16">
        <f t="shared" si="307"/>
        <v>1.0413607743127189</v>
      </c>
      <c r="S474" s="16">
        <f t="shared" si="307"/>
        <v>1.0974015029294522</v>
      </c>
      <c r="T474" s="16">
        <f t="shared" si="307"/>
        <v>1.1564124020985755</v>
      </c>
      <c r="U474" s="16">
        <f t="shared" si="307"/>
        <v>1.2179452905806749</v>
      </c>
      <c r="V474" s="16">
        <f t="shared" si="307"/>
        <v>1.2817326238250772</v>
      </c>
      <c r="W474" s="16">
        <f t="shared" si="307"/>
        <v>1.3478798020141229</v>
      </c>
      <c r="X474" s="16">
        <f t="shared" si="307"/>
        <v>1.4164174554865601</v>
      </c>
    </row>
    <row r="475" spans="1:24" x14ac:dyDescent="0.25">
      <c r="A475" s="9" t="s">
        <v>1097</v>
      </c>
      <c r="D475" s="65">
        <f t="shared" ref="D475:N475" si="308">SUM(D$472:D$474)</f>
        <v>58.215999999999994</v>
      </c>
      <c r="E475" s="65">
        <f t="shared" si="308"/>
        <v>66.69</v>
      </c>
      <c r="F475" s="65">
        <f t="shared" si="308"/>
        <v>60.335999999999999</v>
      </c>
      <c r="G475" s="65">
        <f t="shared" si="308"/>
        <v>55.301000000000002</v>
      </c>
      <c r="H475" s="65">
        <f t="shared" si="308"/>
        <v>57.511000000000003</v>
      </c>
      <c r="I475" s="65">
        <f t="shared" si="308"/>
        <v>66.575000000000003</v>
      </c>
      <c r="J475" s="66">
        <f t="shared" si="308"/>
        <v>69.927999999999997</v>
      </c>
      <c r="K475" s="66">
        <f t="shared" si="308"/>
        <v>72.963999999999999</v>
      </c>
      <c r="L475" s="66">
        <f t="shared" si="308"/>
        <v>76.287999999999997</v>
      </c>
      <c r="M475" s="66">
        <f t="shared" si="308"/>
        <v>79.978999999999985</v>
      </c>
      <c r="N475" s="66">
        <f t="shared" si="308"/>
        <v>83.828999999999994</v>
      </c>
      <c r="O475" s="67">
        <f t="shared" ref="O475:X475" ca="1" si="309">SUM(O$472:O$474)</f>
        <v>88.123041566756655</v>
      </c>
      <c r="P475" s="67">
        <f t="shared" ca="1" si="309"/>
        <v>92.797561436298921</v>
      </c>
      <c r="Q475" s="67">
        <f t="shared" ca="1" si="309"/>
        <v>97.790759751250988</v>
      </c>
      <c r="R475" s="67">
        <f t="shared" ca="1" si="309"/>
        <v>103.0627504466497</v>
      </c>
      <c r="S475" s="67">
        <f t="shared" ca="1" si="309"/>
        <v>108.60906232121276</v>
      </c>
      <c r="T475" s="67">
        <f t="shared" ca="1" si="309"/>
        <v>114.4493299063959</v>
      </c>
      <c r="U475" s="67">
        <f t="shared" ca="1" si="309"/>
        <v>120.53919701712665</v>
      </c>
      <c r="V475" s="67">
        <f t="shared" ca="1" si="309"/>
        <v>126.85218495559009</v>
      </c>
      <c r="W475" s="67">
        <f t="shared" ca="1" si="309"/>
        <v>133.39872510441316</v>
      </c>
      <c r="X475" s="67">
        <f t="shared" ca="1" si="309"/>
        <v>140.18184892688541</v>
      </c>
    </row>
    <row r="477" spans="1:24" x14ac:dyDescent="0.25">
      <c r="A477" s="9" t="s">
        <v>1109</v>
      </c>
    </row>
    <row r="478" spans="1:24" x14ac:dyDescent="0.25">
      <c r="A478" s="9" t="s">
        <v>1110</v>
      </c>
      <c r="B478" s="10" t="str">
        <f>$B$38</f>
        <v>From Fiscal Forecasts</v>
      </c>
      <c r="D478" s="42">
        <f>'Fiscal Forecasts'!D$196</f>
        <v>13.164999999999999</v>
      </c>
      <c r="E478" s="42">
        <f>'Fiscal Forecasts'!E$196</f>
        <v>13.976000000000001</v>
      </c>
      <c r="F478" s="42">
        <f>'Fiscal Forecasts'!F$196</f>
        <v>11.039</v>
      </c>
      <c r="G478" s="42">
        <f>'Fiscal Forecasts'!G$196</f>
        <v>8.7650000000000006</v>
      </c>
      <c r="H478" s="42">
        <f>'Fiscal Forecasts'!H$196</f>
        <v>8.0380000000000003</v>
      </c>
      <c r="I478" s="42">
        <f>'Fiscal Forecasts'!I$196</f>
        <v>7.3339999999999996</v>
      </c>
      <c r="J478" s="43">
        <f>'Fiscal Forecasts'!J$196</f>
        <v>6.532</v>
      </c>
      <c r="K478" s="43">
        <f>'Fiscal Forecasts'!K$196</f>
        <v>6.0250000000000004</v>
      </c>
      <c r="L478" s="43">
        <f>'Fiscal Forecasts'!L$196</f>
        <v>5.5129999999999999</v>
      </c>
      <c r="M478" s="43">
        <f>'Fiscal Forecasts'!M$196</f>
        <v>5.0270000000000001</v>
      </c>
      <c r="N478" s="43">
        <f>'Fiscal Forecasts'!N$196</f>
        <v>4.5670000000000002</v>
      </c>
      <c r="O478" s="16">
        <f>N$478*Exogenous!Z$35/Exogenous!Y$35</f>
        <v>4.3797723516949159</v>
      </c>
      <c r="P478" s="16">
        <f>O$478*Exogenous!AA$35/Exogenous!Z$35</f>
        <v>4.187706779661017</v>
      </c>
      <c r="Q478" s="16">
        <f>P$478*Exogenous!AB$35/Exogenous!AA$35</f>
        <v>3.9932222457627118</v>
      </c>
      <c r="R478" s="16">
        <f>Q$478*Exogenous!AC$35/Exogenous!AB$35</f>
        <v>3.7943835805084745</v>
      </c>
      <c r="S478" s="16">
        <f>R$478*Exogenous!AD$35/Exogenous!AC$35</f>
        <v>3.5940935381355934</v>
      </c>
      <c r="T478" s="16">
        <f>S$478*Exogenous!AE$35/Exogenous!AD$35</f>
        <v>3.3933197033898308</v>
      </c>
      <c r="U478" s="16">
        <f>T$478*Exogenous!AF$35/Exogenous!AE$35</f>
        <v>3.1993189618644076</v>
      </c>
      <c r="V478" s="16">
        <f>U$478*Exogenous!AG$35/Exogenous!AF$35</f>
        <v>3.0077371822033903</v>
      </c>
      <c r="W478" s="16">
        <f>V$478*Exogenous!AH$35/Exogenous!AG$35</f>
        <v>2.8190581567796613</v>
      </c>
      <c r="X478" s="16">
        <f>W$478*Exogenous!AI$35/Exogenous!AH$35</f>
        <v>2.6337656779661018</v>
      </c>
    </row>
    <row r="479" spans="1:24" x14ac:dyDescent="0.25">
      <c r="A479" s="11" t="s">
        <v>1111</v>
      </c>
      <c r="B479" s="10" t="str">
        <f>$B$38</f>
        <v>From Fiscal Forecasts</v>
      </c>
      <c r="D479" s="35">
        <f>'Fiscal Forecasts'!D$140-D$478</f>
        <v>1.4000000000001123E-2</v>
      </c>
      <c r="E479" s="35">
        <f>'Fiscal Forecasts'!E$140-E$478</f>
        <v>6.9999999999996732E-3</v>
      </c>
      <c r="F479" s="35">
        <f>'Fiscal Forecasts'!F$140-F$478</f>
        <v>-9.9999999999944578E-4</v>
      </c>
      <c r="G479" s="35">
        <f>'Fiscal Forecasts'!G$140-G$478</f>
        <v>3.9999999999995595E-3</v>
      </c>
      <c r="H479" s="35">
        <f>'Fiscal Forecasts'!H$140-H$478</f>
        <v>9.9999999999944578E-4</v>
      </c>
      <c r="I479" s="35">
        <f>'Fiscal Forecasts'!I$140-I$478</f>
        <v>3.0000000000001137E-3</v>
      </c>
      <c r="J479" s="17">
        <f>'Fiscal Forecasts'!J$140-J$478</f>
        <v>3.0000000000001137E-3</v>
      </c>
      <c r="K479" s="17">
        <f>'Fiscal Forecasts'!K$140-K$478</f>
        <v>2.9999999999992255E-3</v>
      </c>
      <c r="L479" s="17">
        <f>'Fiscal Forecasts'!L$140-L$478</f>
        <v>3.0000000000001137E-3</v>
      </c>
      <c r="M479" s="17">
        <f>'Fiscal Forecasts'!M$140-M$478</f>
        <v>3.0000000000001137E-3</v>
      </c>
      <c r="N479" s="17">
        <f>'Fiscal Forecasts'!N$140-N$478</f>
        <v>3.0000000000001137E-3</v>
      </c>
      <c r="O479" s="16">
        <f ca="1">IF(O$6=OFFSET(Assumptions!$B$8,0,$C$1),OFFSET(Assumptions!$B$9,0,$C$1),N$479)</f>
        <v>0</v>
      </c>
      <c r="P479" s="16">
        <f ca="1">IF(P$6=OFFSET(Assumptions!$B$8,0,$C$1),OFFSET(Assumptions!$B$9,0,$C$1),O$479)</f>
        <v>0</v>
      </c>
      <c r="Q479" s="16">
        <f ca="1">IF(Q$6=OFFSET(Assumptions!$B$8,0,$C$1),OFFSET(Assumptions!$B$9,0,$C$1),P$479)</f>
        <v>0</v>
      </c>
      <c r="R479" s="16">
        <f ca="1">IF(R$6=OFFSET(Assumptions!$B$8,0,$C$1),OFFSET(Assumptions!$B$9,0,$C$1),Q$479)</f>
        <v>0</v>
      </c>
      <c r="S479" s="16">
        <f ca="1">IF(S$6=OFFSET(Assumptions!$B$8,0,$C$1),OFFSET(Assumptions!$B$9,0,$C$1),R$479)</f>
        <v>0</v>
      </c>
      <c r="T479" s="16">
        <f ca="1">IF(T$6=OFFSET(Assumptions!$B$8,0,$C$1),OFFSET(Assumptions!$B$9,0,$C$1),S$479)</f>
        <v>0</v>
      </c>
      <c r="U479" s="16">
        <f ca="1">IF(U$6=OFFSET(Assumptions!$B$8,0,$C$1),OFFSET(Assumptions!$B$9,0,$C$1),T$479)</f>
        <v>0</v>
      </c>
      <c r="V479" s="16">
        <f ca="1">IF(V$6=OFFSET(Assumptions!$B$8,0,$C$1),OFFSET(Assumptions!$B$9,0,$C$1),U$479)</f>
        <v>0</v>
      </c>
      <c r="W479" s="16">
        <f ca="1">IF(W$6=OFFSET(Assumptions!$B$8,0,$C$1),OFFSET(Assumptions!$B$9,0,$C$1),V$479)</f>
        <v>0</v>
      </c>
      <c r="X479" s="16">
        <f ca="1">IF(X$6=OFFSET(Assumptions!$B$8,0,$C$1),OFFSET(Assumptions!$B$9,0,$C$1),W$479)</f>
        <v>0</v>
      </c>
    </row>
    <row r="480" spans="1:24" x14ac:dyDescent="0.25">
      <c r="A480" s="9" t="s">
        <v>1112</v>
      </c>
      <c r="D480" s="65">
        <f t="shared" ref="D480:N480" si="310">SUM(D$478:D$479)</f>
        <v>13.179</v>
      </c>
      <c r="E480" s="65">
        <f t="shared" si="310"/>
        <v>13.983000000000001</v>
      </c>
      <c r="F480" s="65">
        <f t="shared" si="310"/>
        <v>11.038</v>
      </c>
      <c r="G480" s="65">
        <f t="shared" si="310"/>
        <v>8.7690000000000001</v>
      </c>
      <c r="H480" s="65">
        <f t="shared" si="310"/>
        <v>8.0389999999999997</v>
      </c>
      <c r="I480" s="65">
        <f t="shared" si="310"/>
        <v>7.3369999999999997</v>
      </c>
      <c r="J480" s="66">
        <f t="shared" si="310"/>
        <v>6.5350000000000001</v>
      </c>
      <c r="K480" s="66">
        <f t="shared" si="310"/>
        <v>6.0279999999999996</v>
      </c>
      <c r="L480" s="66">
        <f t="shared" si="310"/>
        <v>5.516</v>
      </c>
      <c r="M480" s="66">
        <f t="shared" si="310"/>
        <v>5.03</v>
      </c>
      <c r="N480" s="66">
        <f t="shared" si="310"/>
        <v>4.57</v>
      </c>
      <c r="O480" s="67">
        <f t="shared" ref="O480:X480" ca="1" si="311">SUM(O$478:O$479)</f>
        <v>4.3797723516949159</v>
      </c>
      <c r="P480" s="67">
        <f t="shared" ca="1" si="311"/>
        <v>4.187706779661017</v>
      </c>
      <c r="Q480" s="67">
        <f t="shared" ca="1" si="311"/>
        <v>3.9932222457627118</v>
      </c>
      <c r="R480" s="67">
        <f t="shared" ca="1" si="311"/>
        <v>3.7943835805084745</v>
      </c>
      <c r="S480" s="67">
        <f t="shared" ca="1" si="311"/>
        <v>3.5940935381355934</v>
      </c>
      <c r="T480" s="67">
        <f t="shared" ca="1" si="311"/>
        <v>3.3933197033898308</v>
      </c>
      <c r="U480" s="67">
        <f t="shared" ca="1" si="311"/>
        <v>3.1993189618644076</v>
      </c>
      <c r="V480" s="67">
        <f t="shared" ca="1" si="311"/>
        <v>3.0077371822033903</v>
      </c>
      <c r="W480" s="67">
        <f t="shared" ca="1" si="311"/>
        <v>2.8190581567796613</v>
      </c>
      <c r="X480" s="67">
        <f t="shared" ca="1" si="311"/>
        <v>2.6337656779661018</v>
      </c>
    </row>
    <row r="482" spans="1:24" x14ac:dyDescent="0.25">
      <c r="A482" s="9" t="s">
        <v>639</v>
      </c>
    </row>
    <row r="483" spans="1:24" x14ac:dyDescent="0.25">
      <c r="A483" s="11" t="s">
        <v>1113</v>
      </c>
      <c r="D483" s="35">
        <f t="shared" ref="D483:N483" si="312">-D$395</f>
        <v>0</v>
      </c>
      <c r="E483" s="35">
        <f t="shared" si="312"/>
        <v>-2E-3</v>
      </c>
      <c r="F483" s="35">
        <f t="shared" si="312"/>
        <v>-2E-3</v>
      </c>
      <c r="G483" s="35">
        <f t="shared" si="312"/>
        <v>9.9000000000000005E-2</v>
      </c>
      <c r="H483" s="35">
        <f t="shared" si="312"/>
        <v>0.06</v>
      </c>
      <c r="I483" s="35">
        <f t="shared" si="312"/>
        <v>4.0000000000000001E-3</v>
      </c>
      <c r="J483" s="17">
        <f t="shared" si="312"/>
        <v>2.4E-2</v>
      </c>
      <c r="K483" s="17">
        <f t="shared" si="312"/>
        <v>5.5E-2</v>
      </c>
      <c r="L483" s="17">
        <f t="shared" si="312"/>
        <v>4.4999999999999998E-2</v>
      </c>
      <c r="M483" s="17">
        <f t="shared" si="312"/>
        <v>5.1999999999999998E-2</v>
      </c>
      <c r="N483" s="17">
        <f t="shared" si="312"/>
        <v>0.06</v>
      </c>
      <c r="O483" s="16">
        <f ca="1">IF(O$6=OFFSET(Assumptions!$B$8,0,$C$1),OFFSET(Assumptions!$B$9,0,$C$1),N$483)</f>
        <v>0</v>
      </c>
      <c r="P483" s="16">
        <f ca="1">IF(P$6=OFFSET(Assumptions!$B$8,0,$C$1),OFFSET(Assumptions!$B$9,0,$C$1),O$483)</f>
        <v>0</v>
      </c>
      <c r="Q483" s="16">
        <f ca="1">IF(Q$6=OFFSET(Assumptions!$B$8,0,$C$1),OFFSET(Assumptions!$B$9,0,$C$1),P$483)</f>
        <v>0</v>
      </c>
      <c r="R483" s="16">
        <f ca="1">IF(R$6=OFFSET(Assumptions!$B$8,0,$C$1),OFFSET(Assumptions!$B$9,0,$C$1),Q$483)</f>
        <v>0</v>
      </c>
      <c r="S483" s="16">
        <f ca="1">IF(S$6=OFFSET(Assumptions!$B$8,0,$C$1),OFFSET(Assumptions!$B$9,0,$C$1),R$483)</f>
        <v>0</v>
      </c>
      <c r="T483" s="16">
        <f ca="1">IF(T$6=OFFSET(Assumptions!$B$8,0,$C$1),OFFSET(Assumptions!$B$9,0,$C$1),S$483)</f>
        <v>0</v>
      </c>
      <c r="U483" s="16">
        <f ca="1">IF(U$6=OFFSET(Assumptions!$B$8,0,$C$1),OFFSET(Assumptions!$B$9,0,$C$1),T$483)</f>
        <v>0</v>
      </c>
      <c r="V483" s="16">
        <f ca="1">IF(V$6=OFFSET(Assumptions!$B$8,0,$C$1),OFFSET(Assumptions!$B$9,0,$C$1),U$483)</f>
        <v>0</v>
      </c>
      <c r="W483" s="16">
        <f ca="1">IF(W$6=OFFSET(Assumptions!$B$8,0,$C$1),OFFSET(Assumptions!$B$9,0,$C$1),V$483)</f>
        <v>0</v>
      </c>
      <c r="X483" s="16">
        <f ca="1">IF(X$6=OFFSET(Assumptions!$B$8,0,$C$1),OFFSET(Assumptions!$B$9,0,$C$1),W$483)</f>
        <v>0</v>
      </c>
    </row>
    <row r="484" spans="1:24" x14ac:dyDescent="0.25">
      <c r="A484" s="11" t="s">
        <v>1114</v>
      </c>
      <c r="B484" s="10" t="str">
        <f>$B$38</f>
        <v>From Fiscal Forecasts</v>
      </c>
      <c r="D484" s="35">
        <f>'Fiscal Forecasts'!D$197-D$483</f>
        <v>7.5890000000000004</v>
      </c>
      <c r="E484" s="35">
        <f>'Fiscal Forecasts'!E$197-E$483</f>
        <v>9.3109999999999999</v>
      </c>
      <c r="F484" s="35">
        <f>'Fiscal Forecasts'!F$197-F$483</f>
        <v>8.6100000000000012</v>
      </c>
      <c r="G484" s="35">
        <f>'Fiscal Forecasts'!G$197-G$483</f>
        <v>8.7850000000000001</v>
      </c>
      <c r="H484" s="35">
        <f>'Fiscal Forecasts'!H$197-H$483</f>
        <v>8.2880000000000003</v>
      </c>
      <c r="I484" s="35">
        <f>'Fiscal Forecasts'!I$197-I$483</f>
        <v>8.875</v>
      </c>
      <c r="J484" s="17">
        <f>'Fiscal Forecasts'!J$197-J$483</f>
        <v>11.777000000000001</v>
      </c>
      <c r="K484" s="17">
        <f>'Fiscal Forecasts'!K$197-K$483</f>
        <v>11.204000000000001</v>
      </c>
      <c r="L484" s="17">
        <f>'Fiscal Forecasts'!L$197-L$483</f>
        <v>11.087</v>
      </c>
      <c r="M484" s="17">
        <f>'Fiscal Forecasts'!M$197-M$483</f>
        <v>10.794</v>
      </c>
      <c r="N484" s="17">
        <f>'Fiscal Forecasts'!N$197-N$483</f>
        <v>10.699</v>
      </c>
      <c r="O484" s="16">
        <f t="shared" ref="O484:X484" ca="1" si="313">N$484*(1+O$29)</f>
        <v>10.912979999999999</v>
      </c>
      <c r="P484" s="16">
        <f t="shared" ca="1" si="313"/>
        <v>11.131239599999999</v>
      </c>
      <c r="Q484" s="16">
        <f t="shared" ca="1" si="313"/>
        <v>11.353864391999998</v>
      </c>
      <c r="R484" s="16">
        <f t="shared" ca="1" si="313"/>
        <v>11.580941679839999</v>
      </c>
      <c r="S484" s="16">
        <f t="shared" ca="1" si="313"/>
        <v>11.812560513436798</v>
      </c>
      <c r="T484" s="16">
        <f t="shared" ca="1" si="313"/>
        <v>12.048811723705535</v>
      </c>
      <c r="U484" s="16">
        <f t="shared" ca="1" si="313"/>
        <v>12.289787958179646</v>
      </c>
      <c r="V484" s="16">
        <f t="shared" ca="1" si="313"/>
        <v>12.53558371734324</v>
      </c>
      <c r="W484" s="16">
        <f t="shared" ca="1" si="313"/>
        <v>12.786295391690105</v>
      </c>
      <c r="X484" s="16">
        <f t="shared" ca="1" si="313"/>
        <v>13.042021299523908</v>
      </c>
    </row>
    <row r="485" spans="1:24" x14ac:dyDescent="0.25">
      <c r="A485" s="9" t="s">
        <v>1115</v>
      </c>
      <c r="D485" s="65">
        <f t="shared" ref="D485:N485" si="314">SUM(D$483:D$484)</f>
        <v>7.5890000000000004</v>
      </c>
      <c r="E485" s="65">
        <f t="shared" si="314"/>
        <v>9.3089999999999993</v>
      </c>
      <c r="F485" s="65">
        <f t="shared" si="314"/>
        <v>8.6080000000000005</v>
      </c>
      <c r="G485" s="65">
        <f t="shared" si="314"/>
        <v>8.8840000000000003</v>
      </c>
      <c r="H485" s="65">
        <f t="shared" si="314"/>
        <v>8.3480000000000008</v>
      </c>
      <c r="I485" s="65">
        <f t="shared" si="314"/>
        <v>8.8789999999999996</v>
      </c>
      <c r="J485" s="66">
        <f t="shared" si="314"/>
        <v>11.801</v>
      </c>
      <c r="K485" s="66">
        <f t="shared" si="314"/>
        <v>11.259</v>
      </c>
      <c r="L485" s="66">
        <f t="shared" si="314"/>
        <v>11.132</v>
      </c>
      <c r="M485" s="66">
        <f t="shared" si="314"/>
        <v>10.846</v>
      </c>
      <c r="N485" s="66">
        <f t="shared" si="314"/>
        <v>10.759</v>
      </c>
      <c r="O485" s="67">
        <f t="shared" ref="O485:X485" ca="1" si="315">SUM(O$483:O$484)</f>
        <v>10.912979999999999</v>
      </c>
      <c r="P485" s="67">
        <f t="shared" ca="1" si="315"/>
        <v>11.131239599999999</v>
      </c>
      <c r="Q485" s="67">
        <f t="shared" ca="1" si="315"/>
        <v>11.353864391999998</v>
      </c>
      <c r="R485" s="67">
        <f t="shared" ca="1" si="315"/>
        <v>11.580941679839999</v>
      </c>
      <c r="S485" s="67">
        <f t="shared" ca="1" si="315"/>
        <v>11.812560513436798</v>
      </c>
      <c r="T485" s="67">
        <f t="shared" ca="1" si="315"/>
        <v>12.048811723705535</v>
      </c>
      <c r="U485" s="67">
        <f t="shared" ca="1" si="315"/>
        <v>12.289787958179646</v>
      </c>
      <c r="V485" s="67">
        <f t="shared" ca="1" si="315"/>
        <v>12.53558371734324</v>
      </c>
      <c r="W485" s="67">
        <f t="shared" ca="1" si="315"/>
        <v>12.786295391690105</v>
      </c>
      <c r="X485" s="67">
        <f t="shared" ca="1" si="315"/>
        <v>13.042021299523908</v>
      </c>
    </row>
    <row r="486" spans="1:24" x14ac:dyDescent="0.25">
      <c r="A486" s="9" t="s">
        <v>1116</v>
      </c>
      <c r="B486" s="10" t="str">
        <f>$B$38</f>
        <v>From Fiscal Forecasts</v>
      </c>
      <c r="D486" s="42">
        <f>'Fiscal Forecasts'!D$141</f>
        <v>10.708</v>
      </c>
      <c r="E486" s="42">
        <f>'Fiscal Forecasts'!E$141</f>
        <v>12.68</v>
      </c>
      <c r="F486" s="42">
        <f>'Fiscal Forecasts'!F$141</f>
        <v>13.263</v>
      </c>
      <c r="G486" s="42">
        <f>'Fiscal Forecasts'!G$141</f>
        <v>14.333</v>
      </c>
      <c r="H486" s="42">
        <f>'Fiscal Forecasts'!H$141</f>
        <v>15.426</v>
      </c>
      <c r="I486" s="42">
        <f>'Fiscal Forecasts'!I$141</f>
        <v>16.045000000000002</v>
      </c>
      <c r="J486" s="43">
        <f>'Fiscal Forecasts'!J$141</f>
        <v>17.672000000000001</v>
      </c>
      <c r="K486" s="43">
        <f>'Fiscal Forecasts'!K$141</f>
        <v>16.707000000000001</v>
      </c>
      <c r="L486" s="43">
        <f>'Fiscal Forecasts'!L$141</f>
        <v>16.04</v>
      </c>
      <c r="M486" s="43">
        <f>'Fiscal Forecasts'!M$141</f>
        <v>15.742000000000001</v>
      </c>
      <c r="N486" s="43">
        <f>'Fiscal Forecasts'!N$141</f>
        <v>15.646000000000001</v>
      </c>
      <c r="O486" s="47">
        <f t="shared" ref="O486:X486" ca="1" si="316">O$485+(N$486-N$485)*(1+O$29)</f>
        <v>15.89772</v>
      </c>
      <c r="P486" s="47">
        <f t="shared" ca="1" si="316"/>
        <v>16.215674399999997</v>
      </c>
      <c r="Q486" s="47">
        <f t="shared" ca="1" si="316"/>
        <v>16.539987887999999</v>
      </c>
      <c r="R486" s="47">
        <f t="shared" ca="1" si="316"/>
        <v>16.87078764576</v>
      </c>
      <c r="S486" s="47">
        <f t="shared" ca="1" si="316"/>
        <v>17.208203398675199</v>
      </c>
      <c r="T486" s="47">
        <f t="shared" ca="1" si="316"/>
        <v>17.552367466648704</v>
      </c>
      <c r="U486" s="47">
        <f t="shared" ca="1" si="316"/>
        <v>17.903414815981677</v>
      </c>
      <c r="V486" s="47">
        <f t="shared" ca="1" si="316"/>
        <v>18.26148311230131</v>
      </c>
      <c r="W486" s="47">
        <f t="shared" ca="1" si="316"/>
        <v>18.626712774547336</v>
      </c>
      <c r="X486" s="47">
        <f t="shared" ca="1" si="316"/>
        <v>18.999247030038283</v>
      </c>
    </row>
    <row r="488" spans="1:24" x14ac:dyDescent="0.25">
      <c r="A488" s="9" t="s">
        <v>1117</v>
      </c>
    </row>
    <row r="489" spans="1:24" x14ac:dyDescent="0.25">
      <c r="A489" s="11" t="s">
        <v>801</v>
      </c>
      <c r="B489" s="10" t="str">
        <f t="shared" ref="B489:B495" si="317">$B$38</f>
        <v>From Fiscal Forecasts</v>
      </c>
      <c r="D489" s="35">
        <f>'Fiscal Forecasts'!D$387</f>
        <v>83.715999999999994</v>
      </c>
      <c r="E489" s="35">
        <f>'Fiscal Forecasts'!E$387</f>
        <v>84.31</v>
      </c>
      <c r="F489" s="35">
        <f>'Fiscal Forecasts'!F$387</f>
        <v>96.551000000000002</v>
      </c>
      <c r="G489" s="35">
        <f>'Fiscal Forecasts'!G$387</f>
        <v>105.48699999999999</v>
      </c>
      <c r="H489" s="35">
        <f>'Fiscal Forecasts'!H$387</f>
        <v>111.292</v>
      </c>
      <c r="I489" s="35">
        <f>'Fiscal Forecasts'!I$387</f>
        <v>116.73699999999999</v>
      </c>
      <c r="J489" s="17">
        <f>'Fiscal Forecasts'!J$387</f>
        <v>123.553</v>
      </c>
      <c r="K489" s="17">
        <f>'Fiscal Forecasts'!K$387</f>
        <v>125.956</v>
      </c>
      <c r="L489" s="17">
        <f>'Fiscal Forecasts'!L$387</f>
        <v>133.53399999999999</v>
      </c>
      <c r="M489" s="17">
        <f>'Fiscal Forecasts'!M$387</f>
        <v>140.86500000000001</v>
      </c>
      <c r="N489" s="17">
        <f>'Fiscal Forecasts'!N$387</f>
        <v>148.369</v>
      </c>
      <c r="O489" s="16">
        <f t="shared" ref="O489:X489" ca="1" si="318">SUM(O$142,O$385,O$458-N$458)-SUM(O$360-N$360,O$282)</f>
        <v>154.03058814526557</v>
      </c>
      <c r="P489" s="16">
        <f t="shared" ca="1" si="318"/>
        <v>160.35372371483743</v>
      </c>
      <c r="Q489" s="16">
        <f t="shared" ca="1" si="318"/>
        <v>166.91393222973528</v>
      </c>
      <c r="R489" s="16">
        <f t="shared" ca="1" si="318"/>
        <v>173.51239362483147</v>
      </c>
      <c r="S489" s="16">
        <f t="shared" ca="1" si="318"/>
        <v>180.2441093860904</v>
      </c>
      <c r="T489" s="16">
        <f t="shared" ca="1" si="318"/>
        <v>187.11080442961128</v>
      </c>
      <c r="U489" s="16">
        <f t="shared" ca="1" si="318"/>
        <v>194.0746238970938</v>
      </c>
      <c r="V489" s="16">
        <f t="shared" ca="1" si="318"/>
        <v>201.1427007210402</v>
      </c>
      <c r="W489" s="16">
        <f t="shared" ca="1" si="318"/>
        <v>208.31532460548382</v>
      </c>
      <c r="X489" s="16">
        <f t="shared" ca="1" si="318"/>
        <v>215.64250245858591</v>
      </c>
    </row>
    <row r="490" spans="1:24" x14ac:dyDescent="0.25">
      <c r="A490" s="11" t="s">
        <v>575</v>
      </c>
      <c r="B490" s="10" t="str">
        <f t="shared" si="317"/>
        <v>From Fiscal Forecasts</v>
      </c>
      <c r="D490" s="35">
        <f>'Fiscal Forecasts'!D$388</f>
        <v>1.359</v>
      </c>
      <c r="E490" s="35">
        <f>'Fiscal Forecasts'!E$388</f>
        <v>1.226</v>
      </c>
      <c r="F490" s="35">
        <f>'Fiscal Forecasts'!F$388</f>
        <v>2.2869999999999999</v>
      </c>
      <c r="G490" s="35">
        <f>'Fiscal Forecasts'!G$388</f>
        <v>3.3639999999999999</v>
      </c>
      <c r="H490" s="35">
        <f>'Fiscal Forecasts'!H$388</f>
        <v>2.492</v>
      </c>
      <c r="I490" s="35">
        <f>'Fiscal Forecasts'!I$388</f>
        <v>1.79</v>
      </c>
      <c r="J490" s="17">
        <f>'Fiscal Forecasts'!J$388</f>
        <v>1.9770000000000001</v>
      </c>
      <c r="K490" s="17">
        <f>'Fiscal Forecasts'!K$388</f>
        <v>2.2309999999999999</v>
      </c>
      <c r="L490" s="17">
        <f>'Fiscal Forecasts'!L$388</f>
        <v>2.371</v>
      </c>
      <c r="M490" s="17">
        <f>'Fiscal Forecasts'!M$388</f>
        <v>2.367</v>
      </c>
      <c r="N490" s="17">
        <f>'Fiscal Forecasts'!N$388</f>
        <v>2.35</v>
      </c>
      <c r="O490" s="16">
        <f t="shared" ref="O490:X490" ca="1" si="319">SUM(O$146,O$151)</f>
        <v>2.6429340481804928</v>
      </c>
      <c r="P490" s="16">
        <f t="shared" ca="1" si="319"/>
        <v>2.7216053594266576</v>
      </c>
      <c r="Q490" s="16">
        <f t="shared" ca="1" si="319"/>
        <v>2.8012224425256846</v>
      </c>
      <c r="R490" s="16">
        <f t="shared" ca="1" si="319"/>
        <v>2.8810709463860236</v>
      </c>
      <c r="S490" s="16">
        <f t="shared" ca="1" si="319"/>
        <v>2.9615746880905123</v>
      </c>
      <c r="T490" s="16">
        <f t="shared" ca="1" si="319"/>
        <v>3.0425449995930327</v>
      </c>
      <c r="U490" s="16">
        <f t="shared" ca="1" si="319"/>
        <v>3.1250404675093675</v>
      </c>
      <c r="V490" s="16">
        <f t="shared" ca="1" si="319"/>
        <v>3.2086487064120868</v>
      </c>
      <c r="W490" s="16">
        <f t="shared" ca="1" si="319"/>
        <v>3.2921789269818311</v>
      </c>
      <c r="X490" s="16">
        <f t="shared" ca="1" si="319"/>
        <v>3.3765125193692844</v>
      </c>
    </row>
    <row r="491" spans="1:24" x14ac:dyDescent="0.25">
      <c r="A491" s="11" t="s">
        <v>802</v>
      </c>
      <c r="B491" s="10" t="str">
        <f t="shared" si="317"/>
        <v>From Fiscal Forecasts</v>
      </c>
      <c r="D491" s="35">
        <f>'Fiscal Forecasts'!D$389</f>
        <v>0.71199999999999997</v>
      </c>
      <c r="E491" s="35">
        <f>'Fiscal Forecasts'!E$389</f>
        <v>0.42799999999999999</v>
      </c>
      <c r="F491" s="35">
        <f>'Fiscal Forecasts'!F$389</f>
        <v>0.249</v>
      </c>
      <c r="G491" s="35">
        <f>'Fiscal Forecasts'!G$389</f>
        <v>0.39300000000000002</v>
      </c>
      <c r="H491" s="35">
        <f>'Fiscal Forecasts'!H$389</f>
        <v>0.98199999999999998</v>
      </c>
      <c r="I491" s="35">
        <f>'Fiscal Forecasts'!I$389</f>
        <v>1.8779999999999999</v>
      </c>
      <c r="J491" s="17">
        <f>'Fiscal Forecasts'!J$389</f>
        <v>2.7080000000000002</v>
      </c>
      <c r="K491" s="17">
        <f>'Fiscal Forecasts'!K$389</f>
        <v>2.2959999999999998</v>
      </c>
      <c r="L491" s="17">
        <f>'Fiscal Forecasts'!L$389</f>
        <v>1.3180000000000001</v>
      </c>
      <c r="M491" s="17">
        <f>'Fiscal Forecasts'!M$389</f>
        <v>1.2809999999999999</v>
      </c>
      <c r="N491" s="17">
        <f>'Fiscal Forecasts'!N$389</f>
        <v>1.3220000000000001</v>
      </c>
      <c r="O491" s="16">
        <f t="shared" ref="O491:X491" ca="1" si="320">SUM(O$154,O$169,O$177)</f>
        <v>4.4155915525049076</v>
      </c>
      <c r="P491" s="16">
        <f t="shared" ca="1" si="320"/>
        <v>4.5564632751770393</v>
      </c>
      <c r="Q491" s="16">
        <f t="shared" ca="1" si="320"/>
        <v>4.699028531464629</v>
      </c>
      <c r="R491" s="16">
        <f t="shared" ca="1" si="320"/>
        <v>4.8420081782179638</v>
      </c>
      <c r="S491" s="16">
        <f t="shared" ca="1" si="320"/>
        <v>4.9861611177816423</v>
      </c>
      <c r="T491" s="16">
        <f t="shared" ca="1" si="320"/>
        <v>5.1311495142628969</v>
      </c>
      <c r="U491" s="16">
        <f t="shared" ca="1" si="320"/>
        <v>5.278868911511208</v>
      </c>
      <c r="V491" s="16">
        <f t="shared" ca="1" si="320"/>
        <v>5.4285808771215862</v>
      </c>
      <c r="W491" s="16">
        <f t="shared" ca="1" si="320"/>
        <v>5.5781531402560294</v>
      </c>
      <c r="X491" s="16">
        <f t="shared" ca="1" si="320"/>
        <v>5.7291639503031178</v>
      </c>
    </row>
    <row r="492" spans="1:24" x14ac:dyDescent="0.25">
      <c r="A492" s="11" t="s">
        <v>576</v>
      </c>
      <c r="B492" s="10" t="str">
        <f t="shared" si="317"/>
        <v>From Fiscal Forecasts</v>
      </c>
      <c r="D492" s="35">
        <f>'Fiscal Forecasts'!D$390</f>
        <v>3.2</v>
      </c>
      <c r="E492" s="35">
        <f>'Fiscal Forecasts'!E$390</f>
        <v>3.2429999999999999</v>
      </c>
      <c r="F492" s="35">
        <f>'Fiscal Forecasts'!F$390</f>
        <v>2.98</v>
      </c>
      <c r="G492" s="35">
        <f>'Fiscal Forecasts'!G$390</f>
        <v>2.883</v>
      </c>
      <c r="H492" s="35">
        <f>'Fiscal Forecasts'!H$390</f>
        <v>3.9540000000000002</v>
      </c>
      <c r="I492" s="35">
        <f>'Fiscal Forecasts'!I$390</f>
        <v>3.7789999999999999</v>
      </c>
      <c r="J492" s="17">
        <f>'Fiscal Forecasts'!J$390</f>
        <v>3.89</v>
      </c>
      <c r="K492" s="17">
        <f>'Fiscal Forecasts'!K$390</f>
        <v>4.1050000000000004</v>
      </c>
      <c r="L492" s="17">
        <f>'Fiscal Forecasts'!L$390</f>
        <v>4.0579999999999998</v>
      </c>
      <c r="M492" s="17">
        <f>'Fiscal Forecasts'!M$390</f>
        <v>4.1710000000000003</v>
      </c>
      <c r="N492" s="17">
        <f>'Fiscal Forecasts'!N$390</f>
        <v>4.2569999999999997</v>
      </c>
      <c r="O492" s="16">
        <f t="shared" ref="O492:X492" ca="1" si="321">SUM(O$160,O$341)</f>
        <v>3.1799687142148629</v>
      </c>
      <c r="P492" s="16">
        <f t="shared" ca="1" si="321"/>
        <v>3.2225883059503575</v>
      </c>
      <c r="Q492" s="16">
        <f t="shared" ca="1" si="321"/>
        <v>3.2656212012352208</v>
      </c>
      <c r="R492" s="16">
        <f t="shared" ca="1" si="321"/>
        <v>3.309055477854896</v>
      </c>
      <c r="S492" s="16">
        <f t="shared" ca="1" si="321"/>
        <v>3.3530554434049047</v>
      </c>
      <c r="T492" s="16">
        <f t="shared" ca="1" si="321"/>
        <v>3.3921354471533838</v>
      </c>
      <c r="U492" s="16">
        <f t="shared" ca="1" si="321"/>
        <v>3.4316313478063689</v>
      </c>
      <c r="V492" s="16">
        <f t="shared" ca="1" si="321"/>
        <v>3.4715606234926826</v>
      </c>
      <c r="W492" s="16">
        <f t="shared" ca="1" si="321"/>
        <v>3.5119261722492077</v>
      </c>
      <c r="X492" s="16">
        <f t="shared" ca="1" si="321"/>
        <v>3.5527904360154672</v>
      </c>
    </row>
    <row r="493" spans="1:24" x14ac:dyDescent="0.25">
      <c r="A493" s="11" t="s">
        <v>534</v>
      </c>
      <c r="B493" s="10" t="str">
        <f t="shared" si="317"/>
        <v>From Fiscal Forecasts</v>
      </c>
      <c r="D493" s="35">
        <f>'Fiscal Forecasts'!D$391</f>
        <v>28.91</v>
      </c>
      <c r="E493" s="35">
        <f>'Fiscal Forecasts'!E$391</f>
        <v>43.915999999999997</v>
      </c>
      <c r="F493" s="35">
        <f>'Fiscal Forecasts'!F$391</f>
        <v>36.573999999999998</v>
      </c>
      <c r="G493" s="35">
        <f>'Fiscal Forecasts'!G$391</f>
        <v>45.44</v>
      </c>
      <c r="H493" s="35">
        <f>'Fiscal Forecasts'!H$391</f>
        <v>40.417000000000002</v>
      </c>
      <c r="I493" s="35">
        <f>'Fiscal Forecasts'!I$391</f>
        <v>43.494999999999997</v>
      </c>
      <c r="J493" s="17">
        <f>'Fiscal Forecasts'!J$391</f>
        <v>47.723999999999997</v>
      </c>
      <c r="K493" s="17">
        <f>'Fiscal Forecasts'!K$391</f>
        <v>49.08</v>
      </c>
      <c r="L493" s="17">
        <f>'Fiscal Forecasts'!L$391</f>
        <v>50.116</v>
      </c>
      <c r="M493" s="17">
        <f>'Fiscal Forecasts'!M$391</f>
        <v>51.552</v>
      </c>
      <c r="N493" s="17">
        <f>'Fiscal Forecasts'!N$391</f>
        <v>53.042000000000002</v>
      </c>
      <c r="O493" s="16">
        <f t="shared" ref="O493:X493" ca="1" si="322">O$195</f>
        <v>52.716537878014769</v>
      </c>
      <c r="P493" s="16">
        <f t="shared" ca="1" si="322"/>
        <v>54.97496932655698</v>
      </c>
      <c r="Q493" s="16">
        <f t="shared" ca="1" si="322"/>
        <v>57.336481433380918</v>
      </c>
      <c r="R493" s="16">
        <f t="shared" ca="1" si="322"/>
        <v>59.784834344606928</v>
      </c>
      <c r="S493" s="16">
        <f t="shared" ca="1" si="322"/>
        <v>62.321710620668796</v>
      </c>
      <c r="T493" s="16">
        <f t="shared" ca="1" si="322"/>
        <v>64.903902206045629</v>
      </c>
      <c r="U493" s="16">
        <f t="shared" ca="1" si="322"/>
        <v>67.58738423613697</v>
      </c>
      <c r="V493" s="16">
        <f t="shared" ca="1" si="322"/>
        <v>70.30501559046796</v>
      </c>
      <c r="W493" s="16">
        <f t="shared" ca="1" si="322"/>
        <v>72.993209551386627</v>
      </c>
      <c r="X493" s="16">
        <f t="shared" ca="1" si="322"/>
        <v>75.659959432481941</v>
      </c>
    </row>
    <row r="494" spans="1:24" x14ac:dyDescent="0.25">
      <c r="A494" s="11" t="s">
        <v>1124</v>
      </c>
      <c r="B494" s="10" t="str">
        <f t="shared" si="317"/>
        <v>From Fiscal Forecasts</v>
      </c>
      <c r="D494" s="35">
        <f>'Fiscal Forecasts'!D$392</f>
        <v>50.591000000000001</v>
      </c>
      <c r="E494" s="35">
        <f>'Fiscal Forecasts'!E$392</f>
        <v>56.582999999999998</v>
      </c>
      <c r="F494" s="35">
        <f>'Fiscal Forecasts'!F$392</f>
        <v>63.893999999999998</v>
      </c>
      <c r="G494" s="35">
        <f>'Fiscal Forecasts'!G$392</f>
        <v>71.98</v>
      </c>
      <c r="H494" s="35">
        <f>'Fiscal Forecasts'!H$392</f>
        <v>76.433999999999997</v>
      </c>
      <c r="I494" s="35">
        <f>'Fiscal Forecasts'!I$392</f>
        <v>79.747</v>
      </c>
      <c r="J494" s="17">
        <f ca="1">'Fiscal Forecasts'!J$392+IF(OFFSET(Assumptions!$B$56,0,$C$1)="Yes",SUM(Allocation!C$14:C$24),0)</f>
        <v>84.227999999999994</v>
      </c>
      <c r="K494" s="17">
        <f ca="1">'Fiscal Forecasts'!K$392+IF(OFFSET(Assumptions!$B$56,0,$C$1)="Yes",SUM(Allocation!D$14:D$24),0)</f>
        <v>83.905000000000001</v>
      </c>
      <c r="L494" s="17">
        <f ca="1">'Fiscal Forecasts'!L$392+IF(OFFSET(Assumptions!$B$56,0,$C$1)="Yes",SUM(Allocation!E$14:E$24),0)</f>
        <v>84.182000000000002</v>
      </c>
      <c r="M494" s="17">
        <f ca="1">'Fiscal Forecasts'!M$392+IF(OFFSET(Assumptions!$B$56,0,$C$1)="Yes",SUM(Allocation!F$14:F$24),0)</f>
        <v>82.603999999999999</v>
      </c>
      <c r="N494" s="17">
        <f ca="1">'Fiscal Forecasts'!N$392+IF(OFFSET(Assumptions!$B$56,0,$C$1)="Yes",SUM(Allocation!G$14:G$24),0)</f>
        <v>82.471999999999994</v>
      </c>
      <c r="O494" s="16">
        <f t="shared" ref="O494:X494" ca="1" si="323">SUM(O$208,O$222,O$237)-SUM(O$219,O$272,O$280,O$282,O$322,O$472-N$472,O$478-N$478)</f>
        <v>84.020885134545338</v>
      </c>
      <c r="P494" s="16">
        <f t="shared" ca="1" si="323"/>
        <v>84.000317857049339</v>
      </c>
      <c r="Q494" s="16">
        <f t="shared" ca="1" si="323"/>
        <v>84.168700027242323</v>
      </c>
      <c r="R494" s="16">
        <f t="shared" ca="1" si="323"/>
        <v>84.377585238986342</v>
      </c>
      <c r="S494" s="16">
        <f t="shared" ca="1" si="323"/>
        <v>84.588120458579326</v>
      </c>
      <c r="T494" s="16">
        <f t="shared" ca="1" si="323"/>
        <v>84.80180430042617</v>
      </c>
      <c r="U494" s="16">
        <f t="shared" ca="1" si="323"/>
        <v>85.011330352017708</v>
      </c>
      <c r="V494" s="16">
        <f t="shared" ca="1" si="323"/>
        <v>85.228490095554136</v>
      </c>
      <c r="W494" s="16">
        <f t="shared" ca="1" si="323"/>
        <v>85.448322854502706</v>
      </c>
      <c r="X494" s="16">
        <f t="shared" ca="1" si="323"/>
        <v>85.67263623108424</v>
      </c>
    </row>
    <row r="495" spans="1:24" x14ac:dyDescent="0.25">
      <c r="A495" s="11" t="s">
        <v>580</v>
      </c>
      <c r="B495" s="10" t="str">
        <f t="shared" si="317"/>
        <v>From Fiscal Forecasts</v>
      </c>
      <c r="D495" s="35">
        <f>'Fiscal Forecasts'!D$393</f>
        <v>3.45</v>
      </c>
      <c r="E495" s="35">
        <f>'Fiscal Forecasts'!E$393</f>
        <v>3.016</v>
      </c>
      <c r="F495" s="35">
        <f>'Fiscal Forecasts'!F$393</f>
        <v>2.6419999999999999</v>
      </c>
      <c r="G495" s="35">
        <f>'Fiscal Forecasts'!G$393</f>
        <v>2.8410000000000002</v>
      </c>
      <c r="H495" s="35">
        <f>'Fiscal Forecasts'!H$393</f>
        <v>5.3049999999999997</v>
      </c>
      <c r="I495" s="35">
        <f>'Fiscal Forecasts'!I$393</f>
        <v>7.0439999999999996</v>
      </c>
      <c r="J495" s="17">
        <f>'Fiscal Forecasts'!J$393</f>
        <v>6.9340000000000002</v>
      </c>
      <c r="K495" s="17">
        <f>'Fiscal Forecasts'!K$393</f>
        <v>7.6150000000000002</v>
      </c>
      <c r="L495" s="17">
        <f>'Fiscal Forecasts'!L$393</f>
        <v>8.6690000000000005</v>
      </c>
      <c r="M495" s="17">
        <f>'Fiscal Forecasts'!M$393</f>
        <v>9.2949999999999999</v>
      </c>
      <c r="N495" s="17">
        <f>'Fiscal Forecasts'!N$393</f>
        <v>10.396000000000001</v>
      </c>
      <c r="O495" s="16">
        <f t="shared" ref="O495:X495" ca="1" si="324">(2*N$71-SUM(O$489:O$492,O$503,O$509)+SUM(O$493,O$494,O$496,O$508,O$354-N$354))/(2/O$234-1)</f>
        <v>12.980800432315222</v>
      </c>
      <c r="P495" s="16">
        <f t="shared" ca="1" si="324"/>
        <v>13.090310943283994</v>
      </c>
      <c r="Q495" s="16">
        <f t="shared" ca="1" si="324"/>
        <v>13.195249015320956</v>
      </c>
      <c r="R495" s="16">
        <f t="shared" ca="1" si="324"/>
        <v>13.230357020783462</v>
      </c>
      <c r="S495" s="16">
        <f t="shared" ca="1" si="324"/>
        <v>13.194527284340602</v>
      </c>
      <c r="T495" s="16">
        <f t="shared" ca="1" si="324"/>
        <v>13.037809134856799</v>
      </c>
      <c r="U495" s="16">
        <f t="shared" ca="1" si="324"/>
        <v>12.803060829163035</v>
      </c>
      <c r="V495" s="16">
        <f t="shared" ca="1" si="324"/>
        <v>12.488656357506748</v>
      </c>
      <c r="W495" s="16">
        <f t="shared" ca="1" si="324"/>
        <v>12.092861758300087</v>
      </c>
      <c r="X495" s="16">
        <f t="shared" ca="1" si="324"/>
        <v>11.613078148015521</v>
      </c>
    </row>
    <row r="496" spans="1:24" x14ac:dyDescent="0.25">
      <c r="A496" s="11" t="s">
        <v>1125</v>
      </c>
      <c r="D496" s="35">
        <f t="shared" ref="D496:I496" si="325">SUM(D$245,D$248)</f>
        <v>0</v>
      </c>
      <c r="E496" s="35">
        <f t="shared" si="325"/>
        <v>0</v>
      </c>
      <c r="F496" s="35">
        <f t="shared" si="325"/>
        <v>0</v>
      </c>
      <c r="G496" s="35">
        <f t="shared" si="325"/>
        <v>0</v>
      </c>
      <c r="H496" s="35">
        <f t="shared" si="325"/>
        <v>0</v>
      </c>
      <c r="I496" s="35">
        <f t="shared" si="325"/>
        <v>0</v>
      </c>
      <c r="J496" s="17">
        <f t="shared" ref="J496:X496" ca="1" si="326">SUM(J$245,J$248)</f>
        <v>-2.7</v>
      </c>
      <c r="K496" s="17">
        <f t="shared" ca="1" si="326"/>
        <v>0.82</v>
      </c>
      <c r="L496" s="17">
        <f t="shared" ca="1" si="326"/>
        <v>2.1190000000000002</v>
      </c>
      <c r="M496" s="17">
        <f t="shared" ca="1" si="326"/>
        <v>4.7690000000000001</v>
      </c>
      <c r="N496" s="17">
        <f t="shared" ca="1" si="326"/>
        <v>7.3029999999999999</v>
      </c>
      <c r="O496" s="16">
        <f t="shared" ca="1" si="326"/>
        <v>10.302999999999999</v>
      </c>
      <c r="P496" s="16">
        <f t="shared" ca="1" si="326"/>
        <v>12.774999999999999</v>
      </c>
      <c r="Q496" s="16">
        <f t="shared" ca="1" si="326"/>
        <v>15.321159999999999</v>
      </c>
      <c r="R496" s="16">
        <f t="shared" ca="1" si="326"/>
        <v>17.943704799999999</v>
      </c>
      <c r="S496" s="16">
        <f t="shared" ca="1" si="326"/>
        <v>20.644925944000001</v>
      </c>
      <c r="T496" s="16">
        <f t="shared" ca="1" si="326"/>
        <v>23.427183722320002</v>
      </c>
      <c r="U496" s="16">
        <f t="shared" ca="1" si="326"/>
        <v>26.292909233989604</v>
      </c>
      <c r="V496" s="16">
        <f t="shared" ca="1" si="326"/>
        <v>29.244606511009295</v>
      </c>
      <c r="W496" s="16">
        <f t="shared" ca="1" si="326"/>
        <v>32.284854706339573</v>
      </c>
      <c r="X496" s="16">
        <f t="shared" ca="1" si="326"/>
        <v>35.416310347529759</v>
      </c>
    </row>
    <row r="497" spans="1:24" x14ac:dyDescent="0.25">
      <c r="A497" s="9" t="s">
        <v>1118</v>
      </c>
      <c r="D497" s="65">
        <f t="shared" ref="D497:I497" si="327">SUM(D$489:D$492)-SUM(D$493:D$496)</f>
        <v>6.0359999999999872</v>
      </c>
      <c r="E497" s="65">
        <f t="shared" si="327"/>
        <v>-14.308000000000007</v>
      </c>
      <c r="F497" s="65">
        <f t="shared" si="327"/>
        <v>-1.0429999999999779</v>
      </c>
      <c r="G497" s="65">
        <f t="shared" si="327"/>
        <v>-8.1340000000000003</v>
      </c>
      <c r="H497" s="65">
        <f t="shared" si="327"/>
        <v>-3.436000000000007</v>
      </c>
      <c r="I497" s="65">
        <f t="shared" si="327"/>
        <v>-6.1020000000000039</v>
      </c>
      <c r="J497" s="66">
        <f t="shared" ref="J497:X497" ca="1" si="328">SUM(J$489:J$492)-SUM(J$493:J$496)</f>
        <v>-4.0580000000000211</v>
      </c>
      <c r="K497" s="66">
        <f t="shared" ca="1" si="328"/>
        <v>-6.8320000000000221</v>
      </c>
      <c r="L497" s="66">
        <f t="shared" ca="1" si="328"/>
        <v>-3.8050000000000068</v>
      </c>
      <c r="M497" s="66">
        <f t="shared" ca="1" si="328"/>
        <v>0.46399999999999864</v>
      </c>
      <c r="N497" s="66">
        <f t="shared" ca="1" si="328"/>
        <v>3.0849999999999795</v>
      </c>
      <c r="O497" s="67">
        <f t="shared" ca="1" si="328"/>
        <v>4.2478590152904872</v>
      </c>
      <c r="P497" s="67">
        <f t="shared" ca="1" si="328"/>
        <v>6.0137825285011672</v>
      </c>
      <c r="Q497" s="67">
        <f t="shared" ca="1" si="328"/>
        <v>7.6582139290165969</v>
      </c>
      <c r="R497" s="67">
        <f t="shared" ca="1" si="328"/>
        <v>9.2080468229135874</v>
      </c>
      <c r="S497" s="67">
        <f t="shared" ca="1" si="328"/>
        <v>10.795616327778731</v>
      </c>
      <c r="T497" s="67">
        <f t="shared" ca="1" si="328"/>
        <v>12.505935026971969</v>
      </c>
      <c r="U497" s="67">
        <f t="shared" ca="1" si="328"/>
        <v>14.215479972613423</v>
      </c>
      <c r="V497" s="67">
        <f t="shared" ca="1" si="328"/>
        <v>15.984722373528399</v>
      </c>
      <c r="W497" s="67">
        <f t="shared" ca="1" si="328"/>
        <v>17.878333974441887</v>
      </c>
      <c r="X497" s="67">
        <f t="shared" ca="1" si="328"/>
        <v>19.938985205162339</v>
      </c>
    </row>
    <row r="498" spans="1:24" x14ac:dyDescent="0.25">
      <c r="A498" s="11" t="s">
        <v>1126</v>
      </c>
      <c r="B498" s="10" t="str">
        <f>$B$38</f>
        <v>From Fiscal Forecasts</v>
      </c>
      <c r="D498" s="35">
        <f>-'Fiscal Forecasts'!D$395</f>
        <v>3.0019999999999998</v>
      </c>
      <c r="E498" s="35">
        <f>-'Fiscal Forecasts'!E$395</f>
        <v>2.9550000000000001</v>
      </c>
      <c r="F498" s="35">
        <f>-'Fiscal Forecasts'!F$395</f>
        <v>3.137</v>
      </c>
      <c r="G498" s="35">
        <f>-'Fiscal Forecasts'!G$395</f>
        <v>3.4740000000000002</v>
      </c>
      <c r="H498" s="35">
        <f>-'Fiscal Forecasts'!H$395</f>
        <v>4.4349999999999996</v>
      </c>
      <c r="I498" s="35">
        <f>-'Fiscal Forecasts'!I$395</f>
        <v>4.7009999999999996</v>
      </c>
      <c r="J498" s="17">
        <f>-'Fiscal Forecasts'!J$395</f>
        <v>4.242</v>
      </c>
      <c r="K498" s="17">
        <f>-'Fiscal Forecasts'!K$395</f>
        <v>4.3230000000000004</v>
      </c>
      <c r="L498" s="17">
        <f>-'Fiscal Forecasts'!L$395</f>
        <v>3.5950000000000002</v>
      </c>
      <c r="M498" s="17">
        <f>-'Fiscal Forecasts'!M$395</f>
        <v>2.7170000000000001</v>
      </c>
      <c r="N498" s="17">
        <f>-'Fiscal Forecasts'!N$395</f>
        <v>2.4750000000000001</v>
      </c>
      <c r="O498" s="16">
        <f t="shared" ref="O498:X498" ca="1" si="329">SUM(O$427-N$427,O$215,O$441-N$441,O$219)</f>
        <v>3.403850728053635</v>
      </c>
      <c r="P498" s="16">
        <f t="shared" ca="1" si="329"/>
        <v>3.403850728053635</v>
      </c>
      <c r="Q498" s="16">
        <f t="shared" ca="1" si="329"/>
        <v>3.403850728053635</v>
      </c>
      <c r="R498" s="16">
        <f t="shared" ca="1" si="329"/>
        <v>3.403850728053635</v>
      </c>
      <c r="S498" s="16">
        <f t="shared" ca="1" si="329"/>
        <v>3.403850728053635</v>
      </c>
      <c r="T498" s="16">
        <f t="shared" ca="1" si="329"/>
        <v>3.403850728053635</v>
      </c>
      <c r="U498" s="16">
        <f t="shared" ca="1" si="329"/>
        <v>3.403850728053635</v>
      </c>
      <c r="V498" s="16">
        <f t="shared" ca="1" si="329"/>
        <v>3.403850728053635</v>
      </c>
      <c r="W498" s="16">
        <f t="shared" ca="1" si="329"/>
        <v>3.403850728053635</v>
      </c>
      <c r="X498" s="16">
        <f t="shared" ca="1" si="329"/>
        <v>3.403850728053635</v>
      </c>
    </row>
    <row r="499" spans="1:24" x14ac:dyDescent="0.25">
      <c r="A499" s="11" t="s">
        <v>1127</v>
      </c>
      <c r="B499" s="10" t="str">
        <f>$B$38</f>
        <v>From Fiscal Forecasts</v>
      </c>
      <c r="D499" s="35">
        <f>-'Fiscal Forecasts'!D$396</f>
        <v>8.5999999999999993E-2</v>
      </c>
      <c r="E499" s="35">
        <f>-'Fiscal Forecasts'!E$396</f>
        <v>1.798</v>
      </c>
      <c r="F499" s="35">
        <f>-'Fiscal Forecasts'!F$396</f>
        <v>3.8679999999999999</v>
      </c>
      <c r="G499" s="35">
        <f>-'Fiscal Forecasts'!G$396</f>
        <v>9.1920000000000002</v>
      </c>
      <c r="H499" s="35">
        <f>-'Fiscal Forecasts'!H$396</f>
        <v>9.1590000000000007</v>
      </c>
      <c r="I499" s="35">
        <f>-'Fiscal Forecasts'!I$396</f>
        <v>2.5329999999999999</v>
      </c>
      <c r="J499" s="17">
        <f>-'Fiscal Forecasts'!J$396</f>
        <v>-5.3380000000000001</v>
      </c>
      <c r="K499" s="17">
        <f>-'Fiscal Forecasts'!K$396</f>
        <v>-4.7889999999999997</v>
      </c>
      <c r="L499" s="17">
        <f>-'Fiscal Forecasts'!L$396</f>
        <v>2.992</v>
      </c>
      <c r="M499" s="17">
        <f>-'Fiscal Forecasts'!M$396</f>
        <v>1.8180000000000001</v>
      </c>
      <c r="N499" s="17">
        <f>-'Fiscal Forecasts'!N$396</f>
        <v>1.944</v>
      </c>
      <c r="O499" s="16">
        <f t="shared" ref="O499:X499" si="330">SUM(O$401-N$401-O$413+O$411,O$402-N$402)</f>
        <v>8.599999999999941E-2</v>
      </c>
      <c r="P499" s="16">
        <f t="shared" si="330"/>
        <v>6.399999999999928E-2</v>
      </c>
      <c r="Q499" s="16">
        <f t="shared" si="330"/>
        <v>4.8999999999999044E-2</v>
      </c>
      <c r="R499" s="16">
        <f t="shared" si="330"/>
        <v>3.6000000000001808E-2</v>
      </c>
      <c r="S499" s="16">
        <f t="shared" si="330"/>
        <v>2.49999999999998E-2</v>
      </c>
      <c r="T499" s="16">
        <f t="shared" si="330"/>
        <v>7.9999999999985638E-3</v>
      </c>
      <c r="U499" s="16">
        <f t="shared" si="330"/>
        <v>-1.0000000000014442E-3</v>
      </c>
      <c r="V499" s="16">
        <f t="shared" si="330"/>
        <v>-1.0999999999998678E-2</v>
      </c>
      <c r="W499" s="16">
        <f t="shared" si="330"/>
        <v>-1.8999999999998907E-2</v>
      </c>
      <c r="X499" s="16">
        <f t="shared" si="330"/>
        <v>-2.2000000000001463E-2</v>
      </c>
    </row>
    <row r="500" spans="1:24" x14ac:dyDescent="0.25">
      <c r="A500" s="11" t="s">
        <v>1128</v>
      </c>
      <c r="B500" s="10" t="str">
        <f>$B$38</f>
        <v>From Fiscal Forecasts</v>
      </c>
      <c r="D500" s="35">
        <f>-'Fiscal Forecasts'!D$397</f>
        <v>2.6579999999999999</v>
      </c>
      <c r="E500" s="35">
        <f>-'Fiscal Forecasts'!E$397</f>
        <v>3.1709999999999998</v>
      </c>
      <c r="F500" s="35">
        <f>-'Fiscal Forecasts'!F$397</f>
        <v>3.5990000000000002</v>
      </c>
      <c r="G500" s="35">
        <f>-'Fiscal Forecasts'!G$397</f>
        <v>3.823</v>
      </c>
      <c r="H500" s="35">
        <f>-'Fiscal Forecasts'!H$397</f>
        <v>6.06</v>
      </c>
      <c r="I500" s="35">
        <f>-'Fiscal Forecasts'!I$397</f>
        <v>4.3520000000000003</v>
      </c>
      <c r="J500" s="17">
        <f>-'Fiscal Forecasts'!J$397</f>
        <v>7.649</v>
      </c>
      <c r="K500" s="17">
        <f>-'Fiscal Forecasts'!K$397</f>
        <v>6.5069999999999997</v>
      </c>
      <c r="L500" s="17">
        <f>-'Fiscal Forecasts'!L$397</f>
        <v>4.774</v>
      </c>
      <c r="M500" s="17">
        <f>-'Fiscal Forecasts'!M$397</f>
        <v>3.9990000000000001</v>
      </c>
      <c r="N500" s="17">
        <f>-'Fiscal Forecasts'!N$397</f>
        <v>2.8170000000000002</v>
      </c>
      <c r="O500" s="16">
        <f t="shared" ref="O500:X500" ca="1" si="331">SUM(O$437-N$437,-O$349)</f>
        <v>0.97069985849933604</v>
      </c>
      <c r="P500" s="16">
        <f t="shared" ca="1" si="331"/>
        <v>0.96592899551477984</v>
      </c>
      <c r="Q500" s="16">
        <f t="shared" ca="1" si="331"/>
        <v>0.9977620719770075</v>
      </c>
      <c r="R500" s="16">
        <f t="shared" ca="1" si="331"/>
        <v>1.0370504504875699</v>
      </c>
      <c r="S500" s="16">
        <f t="shared" ca="1" si="331"/>
        <v>1.0772051244262628</v>
      </c>
      <c r="T500" s="16">
        <f t="shared" ca="1" si="331"/>
        <v>1.1181648141704357</v>
      </c>
      <c r="U500" s="16">
        <f t="shared" ca="1" si="331"/>
        <v>1.15967062159209</v>
      </c>
      <c r="V500" s="16">
        <f t="shared" ca="1" si="331"/>
        <v>1.201800460819205</v>
      </c>
      <c r="W500" s="16">
        <f t="shared" ca="1" si="331"/>
        <v>1.2445527622419963</v>
      </c>
      <c r="X500" s="16">
        <f t="shared" ca="1" si="331"/>
        <v>1.2882496870846063</v>
      </c>
    </row>
    <row r="501" spans="1:24" x14ac:dyDescent="0.25">
      <c r="A501" s="11" t="s">
        <v>1129</v>
      </c>
      <c r="D501" s="35">
        <f t="shared" ref="D501:X501" si="332">D$389</f>
        <v>1</v>
      </c>
      <c r="E501" s="35">
        <f t="shared" si="332"/>
        <v>1.46</v>
      </c>
      <c r="F501" s="35">
        <f t="shared" si="332"/>
        <v>2.12</v>
      </c>
      <c r="G501" s="35">
        <f t="shared" si="332"/>
        <v>2.42</v>
      </c>
      <c r="H501" s="35">
        <f t="shared" si="332"/>
        <v>2.5579999999999998</v>
      </c>
      <c r="I501" s="35">
        <f t="shared" si="332"/>
        <v>1.6140000000000001</v>
      </c>
      <c r="J501" s="17">
        <f t="shared" si="332"/>
        <v>0.879</v>
      </c>
      <c r="K501" s="17">
        <f t="shared" si="332"/>
        <v>0</v>
      </c>
      <c r="L501" s="17">
        <f t="shared" si="332"/>
        <v>4.0000000000000001E-3</v>
      </c>
      <c r="M501" s="17">
        <f t="shared" si="332"/>
        <v>-3.2000000000000001E-2</v>
      </c>
      <c r="N501" s="17">
        <f t="shared" si="332"/>
        <v>6.3E-2</v>
      </c>
      <c r="O501" s="16">
        <f t="shared" si="332"/>
        <v>7.8931226568819568E-2</v>
      </c>
      <c r="P501" s="16">
        <f t="shared" si="332"/>
        <v>-3.7546449235872359E-2</v>
      </c>
      <c r="Q501" s="16">
        <f t="shared" si="332"/>
        <v>-0.19270640692964491</v>
      </c>
      <c r="R501" s="16">
        <f t="shared" si="332"/>
        <v>-0.40499215635222185</v>
      </c>
      <c r="S501" s="16">
        <f t="shared" si="332"/>
        <v>-0.64923682824001006</v>
      </c>
      <c r="T501" s="16">
        <f t="shared" si="332"/>
        <v>-0.88575870240245536</v>
      </c>
      <c r="U501" s="16">
        <f t="shared" si="332"/>
        <v>-1.1712854524337715</v>
      </c>
      <c r="V501" s="16">
        <f t="shared" si="332"/>
        <v>-1.4363342055452506</v>
      </c>
      <c r="W501" s="16">
        <f t="shared" si="332"/>
        <v>-1.6308417389458754</v>
      </c>
      <c r="X501" s="16">
        <f t="shared" si="332"/>
        <v>-1.7491417757201475</v>
      </c>
    </row>
    <row r="502" spans="1:24" x14ac:dyDescent="0.25">
      <c r="A502" s="11" t="s">
        <v>1130</v>
      </c>
      <c r="D502" s="35">
        <f t="shared" ref="D502:N502" si="333">SUM(D$450-C$450,D$451-C$451)</f>
        <v>0</v>
      </c>
      <c r="E502" s="35">
        <f t="shared" si="333"/>
        <v>0</v>
      </c>
      <c r="F502" s="35">
        <f t="shared" si="333"/>
        <v>0</v>
      </c>
      <c r="G502" s="35">
        <f t="shared" si="333"/>
        <v>0</v>
      </c>
      <c r="H502" s="35">
        <f t="shared" si="333"/>
        <v>0</v>
      </c>
      <c r="I502" s="35">
        <f t="shared" si="333"/>
        <v>0</v>
      </c>
      <c r="J502" s="17">
        <f t="shared" si="333"/>
        <v>-1.5</v>
      </c>
      <c r="K502" s="17">
        <f t="shared" si="333"/>
        <v>1.6600000000000001</v>
      </c>
      <c r="L502" s="17">
        <f t="shared" si="333"/>
        <v>3.0419999999999998</v>
      </c>
      <c r="M502" s="17">
        <f t="shared" si="333"/>
        <v>3.3770000000000002</v>
      </c>
      <c r="N502" s="17">
        <f t="shared" si="333"/>
        <v>3.9310000000000005</v>
      </c>
      <c r="O502" s="16">
        <f t="shared" ref="O502:X502" ca="1" si="334">SUM(O$450-N$450,O$451-N$451)</f>
        <v>3.625</v>
      </c>
      <c r="P502" s="16">
        <f t="shared" ca="1" si="334"/>
        <v>3.7337500000000006</v>
      </c>
      <c r="Q502" s="16">
        <f t="shared" ca="1" si="334"/>
        <v>3.8457624999999993</v>
      </c>
      <c r="R502" s="16">
        <f t="shared" ca="1" si="334"/>
        <v>3.9611353750000013</v>
      </c>
      <c r="S502" s="16">
        <f t="shared" ca="1" si="334"/>
        <v>4.0799694362499999</v>
      </c>
      <c r="T502" s="16">
        <f t="shared" ca="1" si="334"/>
        <v>4.2023685193375044</v>
      </c>
      <c r="U502" s="16">
        <f t="shared" ca="1" si="334"/>
        <v>4.3284395749176241</v>
      </c>
      <c r="V502" s="16">
        <f t="shared" ca="1" si="334"/>
        <v>4.4582927621651578</v>
      </c>
      <c r="W502" s="16">
        <f t="shared" ca="1" si="334"/>
        <v>4.5920415450301135</v>
      </c>
      <c r="X502" s="16">
        <f t="shared" ca="1" si="334"/>
        <v>4.7298027913810117</v>
      </c>
    </row>
    <row r="503" spans="1:24" x14ac:dyDescent="0.25">
      <c r="A503" s="9" t="s">
        <v>1119</v>
      </c>
      <c r="D503" s="65">
        <f t="shared" ref="D503:I503" si="335">-SUM(D$498:D$502)</f>
        <v>-6.7459999999999996</v>
      </c>
      <c r="E503" s="65">
        <f t="shared" si="335"/>
        <v>-9.3840000000000003</v>
      </c>
      <c r="F503" s="65">
        <f t="shared" si="335"/>
        <v>-12.724</v>
      </c>
      <c r="G503" s="65">
        <f t="shared" si="335"/>
        <v>-18.908999999999999</v>
      </c>
      <c r="H503" s="65">
        <f t="shared" si="335"/>
        <v>-22.212</v>
      </c>
      <c r="I503" s="65">
        <f t="shared" si="335"/>
        <v>-13.200000000000001</v>
      </c>
      <c r="J503" s="66">
        <f t="shared" ref="J503:N503" si="336">-SUM(J$498:J$502)</f>
        <v>-5.9320000000000004</v>
      </c>
      <c r="K503" s="66">
        <f t="shared" si="336"/>
        <v>-7.7010000000000005</v>
      </c>
      <c r="L503" s="66">
        <f t="shared" si="336"/>
        <v>-14.407</v>
      </c>
      <c r="M503" s="66">
        <f t="shared" si="336"/>
        <v>-11.879000000000001</v>
      </c>
      <c r="N503" s="66">
        <f t="shared" si="336"/>
        <v>-11.23</v>
      </c>
      <c r="O503" s="67">
        <f t="shared" ref="O503:X503" ca="1" si="337">-SUM(O$498:O$502)</f>
        <v>-8.1644818131217889</v>
      </c>
      <c r="P503" s="67">
        <f t="shared" ca="1" si="337"/>
        <v>-8.1299832743325418</v>
      </c>
      <c r="Q503" s="67">
        <f t="shared" ca="1" si="337"/>
        <v>-8.1036688931009948</v>
      </c>
      <c r="R503" s="67">
        <f t="shared" ca="1" si="337"/>
        <v>-8.033044397188986</v>
      </c>
      <c r="S503" s="67">
        <f t="shared" ca="1" si="337"/>
        <v>-7.936788460489888</v>
      </c>
      <c r="T503" s="67">
        <f t="shared" ca="1" si="337"/>
        <v>-7.846625359159118</v>
      </c>
      <c r="U503" s="67">
        <f t="shared" ca="1" si="337"/>
        <v>-7.7196754721295759</v>
      </c>
      <c r="V503" s="67">
        <f t="shared" ca="1" si="337"/>
        <v>-7.6166097454927488</v>
      </c>
      <c r="W503" s="67">
        <f t="shared" ca="1" si="337"/>
        <v>-7.5906032963798706</v>
      </c>
      <c r="X503" s="67">
        <f t="shared" ca="1" si="337"/>
        <v>-7.6507614307991041</v>
      </c>
    </row>
    <row r="504" spans="1:24" x14ac:dyDescent="0.25">
      <c r="A504" s="9" t="s">
        <v>1120</v>
      </c>
      <c r="D504" s="65">
        <f t="shared" ref="D504:I504" si="338">SUM(D$497,D$503)</f>
        <v>-0.7100000000000124</v>
      </c>
      <c r="E504" s="65">
        <f t="shared" si="338"/>
        <v>-23.692000000000007</v>
      </c>
      <c r="F504" s="65">
        <f t="shared" si="338"/>
        <v>-13.766999999999978</v>
      </c>
      <c r="G504" s="65">
        <f t="shared" si="338"/>
        <v>-27.042999999999999</v>
      </c>
      <c r="H504" s="65">
        <f t="shared" si="338"/>
        <v>-25.648000000000007</v>
      </c>
      <c r="I504" s="65">
        <f t="shared" si="338"/>
        <v>-19.302000000000007</v>
      </c>
      <c r="J504" s="66">
        <f t="shared" ref="J504:X504" ca="1" si="339">SUM(J$497,J$503)</f>
        <v>-9.9900000000000215</v>
      </c>
      <c r="K504" s="66">
        <f t="shared" ca="1" si="339"/>
        <v>-14.533000000000023</v>
      </c>
      <c r="L504" s="66">
        <f t="shared" ca="1" si="339"/>
        <v>-18.212000000000007</v>
      </c>
      <c r="M504" s="66">
        <f t="shared" ca="1" si="339"/>
        <v>-11.415000000000003</v>
      </c>
      <c r="N504" s="66">
        <f t="shared" ca="1" si="339"/>
        <v>-8.1450000000000209</v>
      </c>
      <c r="O504" s="67">
        <f t="shared" ca="1" si="339"/>
        <v>-3.9166227978313017</v>
      </c>
      <c r="P504" s="67">
        <f t="shared" ca="1" si="339"/>
        <v>-2.1162007458313745</v>
      </c>
      <c r="Q504" s="67">
        <f t="shared" ca="1" si="339"/>
        <v>-0.44545496408439789</v>
      </c>
      <c r="R504" s="67">
        <f t="shared" ca="1" si="339"/>
        <v>1.1750024257246015</v>
      </c>
      <c r="S504" s="67">
        <f t="shared" ca="1" si="339"/>
        <v>2.8588278672888432</v>
      </c>
      <c r="T504" s="67">
        <f t="shared" ca="1" si="339"/>
        <v>4.6593096678128507</v>
      </c>
      <c r="U504" s="67">
        <f t="shared" ca="1" si="339"/>
        <v>6.4958045004838469</v>
      </c>
      <c r="V504" s="67">
        <f t="shared" ca="1" si="339"/>
        <v>8.3681126280356501</v>
      </c>
      <c r="W504" s="67">
        <f t="shared" ca="1" si="339"/>
        <v>10.287730678062015</v>
      </c>
      <c r="X504" s="67">
        <f t="shared" ca="1" si="339"/>
        <v>12.288223774363235</v>
      </c>
    </row>
    <row r="505" spans="1:24" x14ac:dyDescent="0.25">
      <c r="A505" s="9" t="s">
        <v>1121</v>
      </c>
      <c r="B505" s="10" t="str">
        <f>$B$62</f>
        <v>Projected Years only</v>
      </c>
      <c r="O505" s="91" t="str">
        <f t="shared" ref="O505:X505" ca="1" si="340">IF(ROUND(SUM(O$504,O$78-N$78,O$509),3)=0,"OK","ERROR")</f>
        <v>OK</v>
      </c>
      <c r="P505" s="91" t="str">
        <f t="shared" ca="1" si="340"/>
        <v>OK</v>
      </c>
      <c r="Q505" s="91" t="str">
        <f t="shared" ca="1" si="340"/>
        <v>OK</v>
      </c>
      <c r="R505" s="91" t="str">
        <f t="shared" ca="1" si="340"/>
        <v>OK</v>
      </c>
      <c r="S505" s="91" t="str">
        <f t="shared" ca="1" si="340"/>
        <v>OK</v>
      </c>
      <c r="T505" s="91" t="str">
        <f t="shared" ca="1" si="340"/>
        <v>OK</v>
      </c>
      <c r="U505" s="91" t="str">
        <f t="shared" ca="1" si="340"/>
        <v>OK</v>
      </c>
      <c r="V505" s="91" t="str">
        <f t="shared" ca="1" si="340"/>
        <v>OK</v>
      </c>
      <c r="W505" s="91" t="str">
        <f t="shared" ca="1" si="340"/>
        <v>OK</v>
      </c>
      <c r="X505" s="91" t="str">
        <f t="shared" ca="1" si="340"/>
        <v>OK</v>
      </c>
    </row>
    <row r="506" spans="1:24" x14ac:dyDescent="0.25">
      <c r="A506" s="9"/>
    </row>
    <row r="507" spans="1:24" x14ac:dyDescent="0.25">
      <c r="A507" s="9" t="s">
        <v>813</v>
      </c>
      <c r="B507" s="10" t="str">
        <f>$B$38</f>
        <v>From Fiscal Forecasts</v>
      </c>
      <c r="D507" s="42">
        <f>'Fiscal Forecasts'!D$401</f>
        <v>-4.9580000000000002</v>
      </c>
      <c r="E507" s="42">
        <f>'Fiscal Forecasts'!E$401</f>
        <v>33.061999999999998</v>
      </c>
      <c r="F507" s="42">
        <f>'Fiscal Forecasts'!F$401</f>
        <v>3.8090000000000002</v>
      </c>
      <c r="G507" s="42">
        <f>'Fiscal Forecasts'!G$401</f>
        <v>28.693999999999999</v>
      </c>
      <c r="H507" s="42">
        <f>'Fiscal Forecasts'!H$401</f>
        <v>22.715</v>
      </c>
      <c r="I507" s="42">
        <f>'Fiscal Forecasts'!I$401</f>
        <v>25.202999999999999</v>
      </c>
      <c r="J507" s="43">
        <f>'Fiscal Forecasts'!J$401</f>
        <v>22.451000000000001</v>
      </c>
      <c r="K507" s="43">
        <f>'Fiscal Forecasts'!K$401</f>
        <v>20.768000000000001</v>
      </c>
      <c r="L507" s="43">
        <f>'Fiscal Forecasts'!L$401</f>
        <v>15.787000000000001</v>
      </c>
      <c r="M507" s="43">
        <f>'Fiscal Forecasts'!M$401</f>
        <v>10.113</v>
      </c>
      <c r="N507" s="43">
        <f>'Fiscal Forecasts'!N$401</f>
        <v>6.9329999999999998</v>
      </c>
      <c r="O507" s="47">
        <f t="shared" ref="O507:X507" ca="1" si="341">-SUM(O$497,O$503,O$511)</f>
        <v>3.727942797831302</v>
      </c>
      <c r="P507" s="47">
        <f t="shared" ca="1" si="341"/>
        <v>1.9237471458313742</v>
      </c>
      <c r="Q507" s="47">
        <f t="shared" ca="1" si="341"/>
        <v>0.24915229208439804</v>
      </c>
      <c r="R507" s="47">
        <f t="shared" ca="1" si="341"/>
        <v>-1.375231151164602</v>
      </c>
      <c r="S507" s="47">
        <f t="shared" ca="1" si="341"/>
        <v>-3.0630611672376435</v>
      </c>
      <c r="T507" s="47">
        <f t="shared" ca="1" si="341"/>
        <v>-4.8676276337606268</v>
      </c>
      <c r="U507" s="47">
        <f t="shared" ca="1" si="341"/>
        <v>-6.7082888257505795</v>
      </c>
      <c r="V507" s="47">
        <f t="shared" ca="1" si="341"/>
        <v>-8.5848466398077168</v>
      </c>
      <c r="W507" s="47">
        <f t="shared" ca="1" si="341"/>
        <v>-10.508799370069523</v>
      </c>
      <c r="X507" s="47">
        <f t="shared" ca="1" si="341"/>
        <v>-12.513713840210894</v>
      </c>
    </row>
    <row r="508" spans="1:24" x14ac:dyDescent="0.25">
      <c r="A508" s="11" t="s">
        <v>1131</v>
      </c>
      <c r="B508" s="10" t="str">
        <f>$B$38</f>
        <v>From Fiscal Forecasts</v>
      </c>
      <c r="D508" s="35">
        <f>-'Fiscal Forecasts'!D$402</f>
        <v>-5.1630000000000003</v>
      </c>
      <c r="E508" s="35">
        <f>-'Fiscal Forecasts'!E$402</f>
        <v>14.911</v>
      </c>
      <c r="F508" s="35">
        <f>-'Fiscal Forecasts'!F$402</f>
        <v>-6.0419999999999998</v>
      </c>
      <c r="G508" s="35">
        <f>-'Fiscal Forecasts'!G$402</f>
        <v>2.8000000000000001E-2</v>
      </c>
      <c r="H508" s="35">
        <f>-'Fiscal Forecasts'!H$402</f>
        <v>-2.7749999999999999</v>
      </c>
      <c r="I508" s="35">
        <f>-'Fiscal Forecasts'!I$402</f>
        <v>8.4169999999999998</v>
      </c>
      <c r="J508" s="17">
        <f>-'Fiscal Forecasts'!J$402</f>
        <v>5.7210000000000001</v>
      </c>
      <c r="K508" s="17">
        <f>-'Fiscal Forecasts'!K$402</f>
        <v>6.3159999999999998</v>
      </c>
      <c r="L508" s="17">
        <f>-'Fiscal Forecasts'!L$402</f>
        <v>-2.339</v>
      </c>
      <c r="M508" s="17">
        <f>-'Fiscal Forecasts'!M$402</f>
        <v>-1.2090000000000001</v>
      </c>
      <c r="N508" s="17">
        <f>-'Fiscal Forecasts'!N$402</f>
        <v>-1.113</v>
      </c>
      <c r="O508" s="16">
        <f t="shared" ref="O508:X508" ca="1" si="342">SUM(O$367-N$367,O$376-N$376)</f>
        <v>0</v>
      </c>
      <c r="P508" s="16">
        <f t="shared" ca="1" si="342"/>
        <v>0</v>
      </c>
      <c r="Q508" s="16">
        <f t="shared" ca="1" si="342"/>
        <v>0</v>
      </c>
      <c r="R508" s="16">
        <f t="shared" ca="1" si="342"/>
        <v>0</v>
      </c>
      <c r="S508" s="16">
        <f t="shared" ca="1" si="342"/>
        <v>0</v>
      </c>
      <c r="T508" s="16">
        <f t="shared" ca="1" si="342"/>
        <v>0</v>
      </c>
      <c r="U508" s="16">
        <f t="shared" ca="1" si="342"/>
        <v>0</v>
      </c>
      <c r="V508" s="16">
        <f t="shared" ca="1" si="342"/>
        <v>0</v>
      </c>
      <c r="W508" s="16">
        <f t="shared" ca="1" si="342"/>
        <v>0</v>
      </c>
      <c r="X508" s="16">
        <f t="shared" ca="1" si="342"/>
        <v>0</v>
      </c>
    </row>
    <row r="509" spans="1:24" x14ac:dyDescent="0.25">
      <c r="A509" s="11" t="s">
        <v>590</v>
      </c>
      <c r="D509" s="35">
        <f t="shared" ref="D509:X509" si="343">D$107</f>
        <v>0.437</v>
      </c>
      <c r="E509" s="35">
        <f t="shared" si="343"/>
        <v>1.2090000000000001</v>
      </c>
      <c r="F509" s="35">
        <f t="shared" si="343"/>
        <v>0.23400000000000001</v>
      </c>
      <c r="G509" s="35">
        <f t="shared" si="343"/>
        <v>0.80500000000000005</v>
      </c>
      <c r="H509" s="35">
        <f t="shared" si="343"/>
        <v>-5.8999999999999997E-2</v>
      </c>
      <c r="I509" s="35">
        <f t="shared" si="343"/>
        <v>-2.4E-2</v>
      </c>
      <c r="J509" s="17">
        <f t="shared" si="343"/>
        <v>8.8999999999999996E-2</v>
      </c>
      <c r="K509" s="17">
        <f t="shared" si="343"/>
        <v>9.0999999999999998E-2</v>
      </c>
      <c r="L509" s="17">
        <f t="shared" si="343"/>
        <v>9.1999999999999998E-2</v>
      </c>
      <c r="M509" s="17">
        <f t="shared" si="343"/>
        <v>9.1999999999999998E-2</v>
      </c>
      <c r="N509" s="17">
        <f t="shared" si="343"/>
        <v>9.2999999999999999E-2</v>
      </c>
      <c r="O509" s="16">
        <f t="shared" ca="1" si="343"/>
        <v>0.18867999999999974</v>
      </c>
      <c r="P509" s="16">
        <f t="shared" ca="1" si="343"/>
        <v>0.19245360000000034</v>
      </c>
      <c r="Q509" s="16">
        <f t="shared" ca="1" si="343"/>
        <v>0.19630267199999984</v>
      </c>
      <c r="R509" s="16">
        <f t="shared" ca="1" si="343"/>
        <v>0.20022872544000059</v>
      </c>
      <c r="S509" s="16">
        <f t="shared" ca="1" si="343"/>
        <v>0.20423329994880035</v>
      </c>
      <c r="T509" s="16">
        <f t="shared" ca="1" si="343"/>
        <v>0.20831796594777607</v>
      </c>
      <c r="U509" s="16">
        <f t="shared" ca="1" si="343"/>
        <v>0.21248432526673255</v>
      </c>
      <c r="V509" s="16">
        <f t="shared" ca="1" si="343"/>
        <v>0.21673401177206664</v>
      </c>
      <c r="W509" s="16">
        <f t="shared" ca="1" si="343"/>
        <v>0.22106869200750801</v>
      </c>
      <c r="X509" s="16">
        <f t="shared" ca="1" si="343"/>
        <v>0.22549006584765863</v>
      </c>
    </row>
    <row r="510" spans="1:24" x14ac:dyDescent="0.25">
      <c r="A510" s="11" t="s">
        <v>597</v>
      </c>
      <c r="B510" s="10" t="str">
        <f>$B$38</f>
        <v>From Fiscal Forecasts</v>
      </c>
      <c r="D510" s="35">
        <f>-'Fiscal Forecasts'!D$403</f>
        <v>-6.8000000000000005E-2</v>
      </c>
      <c r="E510" s="35">
        <f>-'Fiscal Forecasts'!E$403</f>
        <v>-4.3319999999999999</v>
      </c>
      <c r="F510" s="35">
        <f>-'Fiscal Forecasts'!F$403</f>
        <v>-3.6819999999999999</v>
      </c>
      <c r="G510" s="35">
        <f>-'Fiscal Forecasts'!G$403</f>
        <v>2.4279999999999999</v>
      </c>
      <c r="H510" s="35">
        <f>-'Fiscal Forecasts'!H$403</f>
        <v>-0.217</v>
      </c>
      <c r="I510" s="35">
        <f>-'Fiscal Forecasts'!I$403</f>
        <v>-2.54</v>
      </c>
      <c r="J510" s="17">
        <f>-'Fiscal Forecasts'!J$403</f>
        <v>6.8289999999999997</v>
      </c>
      <c r="K510" s="17">
        <f>-'Fiscal Forecasts'!K$403</f>
        <v>0.01</v>
      </c>
      <c r="L510" s="17">
        <f>-'Fiscal Forecasts'!L$403</f>
        <v>6.0000000000000001E-3</v>
      </c>
      <c r="M510" s="17">
        <f>-'Fiscal Forecasts'!M$403</f>
        <v>-1E-3</v>
      </c>
      <c r="N510" s="17">
        <f>-'Fiscal Forecasts'!N$403</f>
        <v>-6.0000000000000001E-3</v>
      </c>
      <c r="O510" s="16">
        <f t="shared" ref="O510:X510" ca="1" si="344">O$354-N$354</f>
        <v>0</v>
      </c>
      <c r="P510" s="16">
        <f t="shared" ca="1" si="344"/>
        <v>0</v>
      </c>
      <c r="Q510" s="16">
        <f t="shared" ca="1" si="344"/>
        <v>0</v>
      </c>
      <c r="R510" s="16">
        <f t="shared" ca="1" si="344"/>
        <v>0</v>
      </c>
      <c r="S510" s="16">
        <f t="shared" ca="1" si="344"/>
        <v>0</v>
      </c>
      <c r="T510" s="16">
        <f t="shared" ca="1" si="344"/>
        <v>0</v>
      </c>
      <c r="U510" s="16">
        <f t="shared" ca="1" si="344"/>
        <v>0</v>
      </c>
      <c r="V510" s="16">
        <f t="shared" ca="1" si="344"/>
        <v>0</v>
      </c>
      <c r="W510" s="16">
        <f t="shared" ca="1" si="344"/>
        <v>0</v>
      </c>
      <c r="X510" s="16">
        <f t="shared" ca="1" si="344"/>
        <v>0</v>
      </c>
    </row>
    <row r="511" spans="1:24" x14ac:dyDescent="0.25">
      <c r="A511" s="9" t="s">
        <v>1122</v>
      </c>
      <c r="D511" s="65">
        <f t="shared" ref="D511:N511" si="345">SUM(-D$508,D$509,-D$510)</f>
        <v>5.6680000000000001</v>
      </c>
      <c r="E511" s="65">
        <f t="shared" si="345"/>
        <v>-9.370000000000001</v>
      </c>
      <c r="F511" s="65">
        <f t="shared" si="345"/>
        <v>9.9580000000000002</v>
      </c>
      <c r="G511" s="65">
        <f t="shared" si="345"/>
        <v>-1.6509999999999998</v>
      </c>
      <c r="H511" s="65">
        <f t="shared" si="345"/>
        <v>2.9329999999999998</v>
      </c>
      <c r="I511" s="65">
        <f t="shared" si="345"/>
        <v>-5.9009999999999989</v>
      </c>
      <c r="J511" s="66">
        <f t="shared" si="345"/>
        <v>-12.460999999999999</v>
      </c>
      <c r="K511" s="66">
        <f t="shared" si="345"/>
        <v>-6.2349999999999994</v>
      </c>
      <c r="L511" s="66">
        <f t="shared" si="345"/>
        <v>2.4250000000000003</v>
      </c>
      <c r="M511" s="66">
        <f t="shared" si="345"/>
        <v>1.302</v>
      </c>
      <c r="N511" s="66">
        <f t="shared" si="345"/>
        <v>1.212</v>
      </c>
      <c r="O511" s="67">
        <f t="shared" ref="O511:X511" ca="1" si="346">SUM(-O$508,O$509,-O$510)</f>
        <v>0.18867999999999974</v>
      </c>
      <c r="P511" s="67">
        <f t="shared" ca="1" si="346"/>
        <v>0.19245360000000034</v>
      </c>
      <c r="Q511" s="67">
        <f t="shared" ca="1" si="346"/>
        <v>0.19630267199999984</v>
      </c>
      <c r="R511" s="67">
        <f t="shared" ca="1" si="346"/>
        <v>0.20022872544000059</v>
      </c>
      <c r="S511" s="67">
        <f t="shared" ca="1" si="346"/>
        <v>0.20423329994880035</v>
      </c>
      <c r="T511" s="67">
        <f t="shared" ca="1" si="346"/>
        <v>0.20831796594777607</v>
      </c>
      <c r="U511" s="67">
        <f t="shared" ca="1" si="346"/>
        <v>0.21248432526673255</v>
      </c>
      <c r="V511" s="67">
        <f t="shared" ca="1" si="346"/>
        <v>0.21673401177206664</v>
      </c>
      <c r="W511" s="67">
        <f t="shared" ca="1" si="346"/>
        <v>0.22106869200750801</v>
      </c>
      <c r="X511" s="67">
        <f t="shared" ca="1" si="346"/>
        <v>0.22549006584765863</v>
      </c>
    </row>
    <row r="512" spans="1:24" x14ac:dyDescent="0.25">
      <c r="A512" s="9" t="s">
        <v>1123</v>
      </c>
      <c r="D512" s="91" t="str">
        <f t="shared" ref="D512:I512" si="347">IF(ROUND(SUM(D$504,D$507,D$511),3)=0,"OK","ERROR")</f>
        <v>OK</v>
      </c>
      <c r="E512" s="91" t="str">
        <f t="shared" si="347"/>
        <v>OK</v>
      </c>
      <c r="F512" s="91" t="str">
        <f t="shared" si="347"/>
        <v>OK</v>
      </c>
      <c r="G512" s="91" t="str">
        <f t="shared" si="347"/>
        <v>OK</v>
      </c>
      <c r="H512" s="91" t="str">
        <f t="shared" si="347"/>
        <v>OK</v>
      </c>
      <c r="I512" s="91" t="str">
        <f t="shared" si="347"/>
        <v>OK</v>
      </c>
      <c r="J512" s="91" t="str">
        <f t="shared" ref="J512:X512" ca="1" si="348">IF(ROUND(SUM(J$504,J$507,J$511),3)=0,"OK","ERROR")</f>
        <v>OK</v>
      </c>
      <c r="K512" s="91" t="str">
        <f t="shared" ca="1" si="348"/>
        <v>OK</v>
      </c>
      <c r="L512" s="91" t="str">
        <f t="shared" ca="1" si="348"/>
        <v>OK</v>
      </c>
      <c r="M512" s="91" t="str">
        <f t="shared" ca="1" si="348"/>
        <v>OK</v>
      </c>
      <c r="N512" s="91" t="str">
        <f t="shared" ca="1" si="348"/>
        <v>OK</v>
      </c>
      <c r="O512" s="91" t="str">
        <f t="shared" ca="1" si="348"/>
        <v>OK</v>
      </c>
      <c r="P512" s="91" t="str">
        <f t="shared" ca="1" si="348"/>
        <v>OK</v>
      </c>
      <c r="Q512" s="91" t="str">
        <f t="shared" ca="1" si="348"/>
        <v>OK</v>
      </c>
      <c r="R512" s="91" t="str">
        <f t="shared" ca="1" si="348"/>
        <v>OK</v>
      </c>
      <c r="S512" s="91" t="str">
        <f t="shared" ca="1" si="348"/>
        <v>OK</v>
      </c>
      <c r="T512" s="91" t="str">
        <f t="shared" ca="1" si="348"/>
        <v>OK</v>
      </c>
      <c r="U512" s="91" t="str">
        <f t="shared" ca="1" si="348"/>
        <v>OK</v>
      </c>
      <c r="V512" s="91" t="str">
        <f t="shared" ca="1" si="348"/>
        <v>OK</v>
      </c>
      <c r="W512" s="91" t="str">
        <f t="shared" ca="1" si="348"/>
        <v>OK</v>
      </c>
      <c r="X512" s="91" t="str">
        <f t="shared" ca="1" si="348"/>
        <v>OK</v>
      </c>
    </row>
    <row r="514" spans="1:24" x14ac:dyDescent="0.25">
      <c r="A514" s="12" t="s">
        <v>1145</v>
      </c>
      <c r="B514" s="10" t="str">
        <f>$B$62</f>
        <v>Projected Years only</v>
      </c>
    </row>
    <row r="515" spans="1:24" x14ac:dyDescent="0.25">
      <c r="A515" s="11" t="s">
        <v>1137</v>
      </c>
      <c r="O515" s="16">
        <f t="shared" ref="O515:X515" ca="1" si="349">O$497-O$385+O$384-O$386</f>
        <v>4.1425624154179053</v>
      </c>
      <c r="P515" s="16">
        <f t="shared" ca="1" si="349"/>
        <v>5.9022174800756479</v>
      </c>
      <c r="Q515" s="16">
        <f t="shared" ca="1" si="349"/>
        <v>7.540144737439463</v>
      </c>
      <c r="R515" s="16">
        <f t="shared" ca="1" si="349"/>
        <v>9.0832715279418377</v>
      </c>
      <c r="S515" s="16">
        <f t="shared" ca="1" si="349"/>
        <v>10.663967347828946</v>
      </c>
      <c r="T515" s="16">
        <f t="shared" ca="1" si="349"/>
        <v>12.367249002244145</v>
      </c>
      <c r="U515" s="16">
        <f t="shared" ca="1" si="349"/>
        <v>14.069602118486049</v>
      </c>
      <c r="V515" s="16">
        <f t="shared" ca="1" si="349"/>
        <v>15.831506464284816</v>
      </c>
      <c r="W515" s="16">
        <f t="shared" ca="1" si="349"/>
        <v>17.717581326451004</v>
      </c>
      <c r="X515" s="16">
        <f t="shared" ca="1" si="349"/>
        <v>19.770411222009262</v>
      </c>
    </row>
    <row r="516" spans="1:24" x14ac:dyDescent="0.25">
      <c r="A516" s="11" t="s">
        <v>1138</v>
      </c>
      <c r="O516" s="16">
        <f t="shared" ref="O516:X516" ca="1" si="350">O$503+O$501-SUM(O$366-N$366,O$375-N$375,O$397-N$397,O$400-N$400,-O$340)</f>
        <v>-6.5481527346074397</v>
      </c>
      <c r="P516" s="16">
        <f t="shared" ca="1" si="350"/>
        <v>-8.007090038215404</v>
      </c>
      <c r="Q516" s="16">
        <f t="shared" ca="1" si="350"/>
        <v>-7.973878316458304</v>
      </c>
      <c r="R516" s="16">
        <f t="shared" ca="1" si="350"/>
        <v>-7.8962336875756147</v>
      </c>
      <c r="S516" s="16">
        <f t="shared" ca="1" si="350"/>
        <v>-7.7928287509659722</v>
      </c>
      <c r="T516" s="16">
        <f t="shared" ca="1" si="350"/>
        <v>-7.6953231155205746</v>
      </c>
      <c r="U516" s="16">
        <f t="shared" ca="1" si="350"/>
        <v>-7.5609457089760728</v>
      </c>
      <c r="V516" s="16">
        <f t="shared" ca="1" si="350"/>
        <v>-7.4502555304277376</v>
      </c>
      <c r="W516" s="16">
        <f t="shared" ca="1" si="350"/>
        <v>-7.4162824260291806</v>
      </c>
      <c r="X516" s="16">
        <f t="shared" ca="1" si="350"/>
        <v>-7.4680271165609753</v>
      </c>
    </row>
    <row r="517" spans="1:24" x14ac:dyDescent="0.25">
      <c r="A517" s="11" t="s">
        <v>590</v>
      </c>
      <c r="O517" s="16">
        <f t="shared" ref="O517:X517" ca="1" si="351">O$509</f>
        <v>0.18867999999999974</v>
      </c>
      <c r="P517" s="16">
        <f t="shared" ca="1" si="351"/>
        <v>0.19245360000000034</v>
      </c>
      <c r="Q517" s="16">
        <f t="shared" ca="1" si="351"/>
        <v>0.19630267199999984</v>
      </c>
      <c r="R517" s="16">
        <f t="shared" ca="1" si="351"/>
        <v>0.20022872544000059</v>
      </c>
      <c r="S517" s="16">
        <f t="shared" ca="1" si="351"/>
        <v>0.20423329994880035</v>
      </c>
      <c r="T517" s="16">
        <f t="shared" ca="1" si="351"/>
        <v>0.20831796594777607</v>
      </c>
      <c r="U517" s="16">
        <f t="shared" ca="1" si="351"/>
        <v>0.21248432526673255</v>
      </c>
      <c r="V517" s="16">
        <f t="shared" ca="1" si="351"/>
        <v>0.21673401177206664</v>
      </c>
      <c r="W517" s="16">
        <f t="shared" ca="1" si="351"/>
        <v>0.22106869200750801</v>
      </c>
      <c r="X517" s="16">
        <f t="shared" ca="1" si="351"/>
        <v>0.22549006584765863</v>
      </c>
    </row>
    <row r="518" spans="1:24" x14ac:dyDescent="0.25">
      <c r="A518" s="11" t="s">
        <v>1139</v>
      </c>
      <c r="O518" s="16">
        <f t="shared" ref="O518:X518" ca="1" si="352">SUM(O$510,O$353-N$353)-SUM(O$515:O$517)</f>
        <v>2.4012510684324226</v>
      </c>
      <c r="P518" s="16">
        <f t="shared" ca="1" si="352"/>
        <v>2.2188848692157572</v>
      </c>
      <c r="Q518" s="16">
        <f t="shared" ca="1" si="352"/>
        <v>0.55453414109116128</v>
      </c>
      <c r="R518" s="16">
        <f t="shared" ca="1" si="352"/>
        <v>-1.0616677662692435</v>
      </c>
      <c r="S518" s="16">
        <f t="shared" ca="1" si="352"/>
        <v>-2.7423248942688447</v>
      </c>
      <c r="T518" s="16">
        <f t="shared" ca="1" si="352"/>
        <v>-4.5389323271157949</v>
      </c>
      <c r="U518" s="16">
        <f t="shared" ca="1" si="352"/>
        <v>-6.3734529919548235</v>
      </c>
      <c r="V518" s="16">
        <f t="shared" ca="1" si="352"/>
        <v>-8.2425491978147036</v>
      </c>
      <c r="W518" s="16">
        <f t="shared" ca="1" si="352"/>
        <v>-10.155301143640191</v>
      </c>
      <c r="X518" s="16">
        <f t="shared" ca="1" si="352"/>
        <v>-12.14478917259574</v>
      </c>
    </row>
    <row r="519" spans="1:24" x14ac:dyDescent="0.25">
      <c r="A519" s="9" t="s">
        <v>1140</v>
      </c>
      <c r="O519" s="67">
        <f t="shared" ref="O519:X519" ca="1" si="353">SUM(O$515:O$518)</f>
        <v>0.1843407492428879</v>
      </c>
      <c r="P519" s="67">
        <f t="shared" ca="1" si="353"/>
        <v>0.30646591107600152</v>
      </c>
      <c r="Q519" s="67">
        <f t="shared" ca="1" si="353"/>
        <v>0.31710323407232011</v>
      </c>
      <c r="R519" s="67">
        <f t="shared" ca="1" si="353"/>
        <v>0.32559879953698001</v>
      </c>
      <c r="S519" s="67">
        <f t="shared" ca="1" si="353"/>
        <v>0.33304700254292907</v>
      </c>
      <c r="T519" s="67">
        <f t="shared" ca="1" si="353"/>
        <v>0.34131152555555211</v>
      </c>
      <c r="U519" s="67">
        <f t="shared" ca="1" si="353"/>
        <v>0.34768774282188541</v>
      </c>
      <c r="V519" s="67">
        <f t="shared" ca="1" si="353"/>
        <v>0.35543574781444143</v>
      </c>
      <c r="W519" s="67">
        <f t="shared" ca="1" si="353"/>
        <v>0.36706644878914041</v>
      </c>
      <c r="X519" s="67">
        <f t="shared" ca="1" si="353"/>
        <v>0.3830849987002054</v>
      </c>
    </row>
    <row r="520" spans="1:24" x14ac:dyDescent="0.25">
      <c r="A520" s="12" t="s">
        <v>1141</v>
      </c>
    </row>
    <row r="521" spans="1:24" x14ac:dyDescent="0.25">
      <c r="A521" s="9" t="s">
        <v>1142</v>
      </c>
      <c r="O521" s="47">
        <f t="shared" ref="O521:X521" ca="1" si="354">O$515</f>
        <v>4.1425624154179053</v>
      </c>
      <c r="P521" s="47">
        <f t="shared" ca="1" si="354"/>
        <v>5.9022174800756479</v>
      </c>
      <c r="Q521" s="47">
        <f t="shared" ca="1" si="354"/>
        <v>7.540144737439463</v>
      </c>
      <c r="R521" s="47">
        <f t="shared" ca="1" si="354"/>
        <v>9.0832715279418377</v>
      </c>
      <c r="S521" s="47">
        <f t="shared" ca="1" si="354"/>
        <v>10.663967347828946</v>
      </c>
      <c r="T521" s="47">
        <f t="shared" ca="1" si="354"/>
        <v>12.367249002244145</v>
      </c>
      <c r="U521" s="47">
        <f t="shared" ca="1" si="354"/>
        <v>14.069602118486049</v>
      </c>
      <c r="V521" s="47">
        <f t="shared" ca="1" si="354"/>
        <v>15.831506464284816</v>
      </c>
      <c r="W521" s="47">
        <f t="shared" ca="1" si="354"/>
        <v>17.717581326451004</v>
      </c>
      <c r="X521" s="47">
        <f t="shared" ca="1" si="354"/>
        <v>19.770411222009262</v>
      </c>
    </row>
    <row r="522" spans="1:24" x14ac:dyDescent="0.25">
      <c r="A522" s="9" t="s">
        <v>545</v>
      </c>
      <c r="O522" s="47">
        <f t="shared" ref="O522:X522" ca="1" si="355">O$342</f>
        <v>6.4300877252816813</v>
      </c>
      <c r="P522" s="47">
        <f t="shared" ca="1" si="355"/>
        <v>6.8100267661178</v>
      </c>
      <c r="Q522" s="47">
        <f t="shared" ca="1" si="355"/>
        <v>7.2039962197330922</v>
      </c>
      <c r="R522" s="47">
        <f t="shared" ca="1" si="355"/>
        <v>7.609973899810373</v>
      </c>
      <c r="S522" s="47">
        <f t="shared" ca="1" si="355"/>
        <v>8.0260754913435619</v>
      </c>
      <c r="T522" s="47">
        <f t="shared" ca="1" si="355"/>
        <v>8.4520386954492732</v>
      </c>
      <c r="U522" s="47">
        <f t="shared" ca="1" si="355"/>
        <v>8.8873060251010578</v>
      </c>
      <c r="V522" s="47">
        <f t="shared" ca="1" si="355"/>
        <v>9.3313828777468473</v>
      </c>
      <c r="W522" s="47">
        <f t="shared" ca="1" si="355"/>
        <v>9.7873881931389697</v>
      </c>
      <c r="X522" s="47">
        <f t="shared" ca="1" si="355"/>
        <v>10.260489701068273</v>
      </c>
    </row>
    <row r="523" spans="1:24" x14ac:dyDescent="0.25">
      <c r="A523" s="11" t="s">
        <v>1148</v>
      </c>
      <c r="O523" s="16">
        <f t="shared" ref="O523:X523" ca="1" si="356">SUM(O$215,O$219)</f>
        <v>3.403850728053635</v>
      </c>
      <c r="P523" s="16">
        <f t="shared" ca="1" si="356"/>
        <v>3.403850728053635</v>
      </c>
      <c r="Q523" s="16">
        <f t="shared" ca="1" si="356"/>
        <v>3.403850728053635</v>
      </c>
      <c r="R523" s="16">
        <f t="shared" ca="1" si="356"/>
        <v>3.403850728053635</v>
      </c>
      <c r="S523" s="16">
        <f t="shared" ca="1" si="356"/>
        <v>3.403850728053635</v>
      </c>
      <c r="T523" s="16">
        <f t="shared" ca="1" si="356"/>
        <v>3.403850728053635</v>
      </c>
      <c r="U523" s="16">
        <f t="shared" ca="1" si="356"/>
        <v>3.403850728053635</v>
      </c>
      <c r="V523" s="16">
        <f t="shared" ca="1" si="356"/>
        <v>3.403850728053635</v>
      </c>
      <c r="W523" s="16">
        <f t="shared" ca="1" si="356"/>
        <v>3.403850728053635</v>
      </c>
      <c r="X523" s="16">
        <f t="shared" ca="1" si="356"/>
        <v>3.403850728053635</v>
      </c>
    </row>
    <row r="524" spans="1:24" x14ac:dyDescent="0.25">
      <c r="A524" s="11" t="s">
        <v>1149</v>
      </c>
      <c r="O524" s="16">
        <f t="shared" ref="O524:X524" si="357">O$411</f>
        <v>0.65600000000000003</v>
      </c>
      <c r="P524" s="16">
        <f t="shared" si="357"/>
        <v>0.67400000000000004</v>
      </c>
      <c r="Q524" s="16">
        <f t="shared" si="357"/>
        <v>0.69299999999999995</v>
      </c>
      <c r="R524" s="16">
        <f t="shared" si="357"/>
        <v>0.71099999999999997</v>
      </c>
      <c r="S524" s="16">
        <f t="shared" si="357"/>
        <v>0.72699999999999998</v>
      </c>
      <c r="T524" s="16">
        <f t="shared" si="357"/>
        <v>0.74199999999999999</v>
      </c>
      <c r="U524" s="16">
        <f t="shared" si="357"/>
        <v>0.75600000000000001</v>
      </c>
      <c r="V524" s="16">
        <f t="shared" si="357"/>
        <v>0.76900000000000002</v>
      </c>
      <c r="W524" s="16">
        <f t="shared" si="357"/>
        <v>0.78300000000000003</v>
      </c>
      <c r="X524" s="16">
        <f t="shared" si="357"/>
        <v>0.79700000000000004</v>
      </c>
    </row>
    <row r="525" spans="1:24" x14ac:dyDescent="0.25">
      <c r="A525" s="11" t="s">
        <v>1150</v>
      </c>
      <c r="O525" s="16">
        <f t="shared" ref="O525:X525" ca="1" si="358">O$472-N$472</f>
        <v>-2E-3</v>
      </c>
      <c r="P525" s="16">
        <f t="shared" ca="1" si="358"/>
        <v>0</v>
      </c>
      <c r="Q525" s="16">
        <f t="shared" ca="1" si="358"/>
        <v>0</v>
      </c>
      <c r="R525" s="16">
        <f t="shared" ca="1" si="358"/>
        <v>0</v>
      </c>
      <c r="S525" s="16">
        <f t="shared" ca="1" si="358"/>
        <v>0</v>
      </c>
      <c r="T525" s="16">
        <f t="shared" ca="1" si="358"/>
        <v>0</v>
      </c>
      <c r="U525" s="16">
        <f t="shared" ca="1" si="358"/>
        <v>0</v>
      </c>
      <c r="V525" s="16">
        <f t="shared" ca="1" si="358"/>
        <v>0</v>
      </c>
      <c r="W525" s="16">
        <f t="shared" ca="1" si="358"/>
        <v>0</v>
      </c>
      <c r="X525" s="16">
        <f t="shared" ca="1" si="358"/>
        <v>0</v>
      </c>
    </row>
    <row r="526" spans="1:24" x14ac:dyDescent="0.25">
      <c r="A526" s="11" t="s">
        <v>568</v>
      </c>
      <c r="O526" s="16">
        <f t="shared" ref="O526:X526" ca="1" si="359">-O$349</f>
        <v>-1.460406561262434E-2</v>
      </c>
      <c r="P526" s="16">
        <f t="shared" ca="1" si="359"/>
        <v>-1.522693132596236E-2</v>
      </c>
      <c r="Q526" s="16">
        <f t="shared" ca="1" si="359"/>
        <v>-1.5851149450938101E-2</v>
      </c>
      <c r="R526" s="16">
        <f t="shared" ca="1" si="359"/>
        <v>-1.6475312241794576E-2</v>
      </c>
      <c r="S526" s="16">
        <f t="shared" ca="1" si="359"/>
        <v>-1.711323761060992E-2</v>
      </c>
      <c r="T526" s="16">
        <f t="shared" ca="1" si="359"/>
        <v>-1.7763952026234663E-2</v>
      </c>
      <c r="U526" s="16">
        <f t="shared" ca="1" si="359"/>
        <v>-1.8423342451066884E-2</v>
      </c>
      <c r="V526" s="16">
        <f t="shared" ca="1" si="359"/>
        <v>-1.9092646683697919E-2</v>
      </c>
      <c r="W526" s="16">
        <f t="shared" ca="1" si="359"/>
        <v>-1.9771839788203904E-2</v>
      </c>
      <c r="X526" s="16">
        <f t="shared" ca="1" si="359"/>
        <v>-2.0466039844189283E-2</v>
      </c>
    </row>
    <row r="527" spans="1:24" x14ac:dyDescent="0.25">
      <c r="A527" s="9" t="s">
        <v>1143</v>
      </c>
      <c r="O527" s="67">
        <f t="shared" ref="O527:X527" ca="1" si="360">-SUM(O$523:O$526)</f>
        <v>-4.0432466624410113</v>
      </c>
      <c r="P527" s="67">
        <f t="shared" ca="1" si="360"/>
        <v>-4.0626237967276726</v>
      </c>
      <c r="Q527" s="67">
        <f t="shared" ca="1" si="360"/>
        <v>-4.0809995786026967</v>
      </c>
      <c r="R527" s="67">
        <f t="shared" ca="1" si="360"/>
        <v>-4.09837541581184</v>
      </c>
      <c r="S527" s="67">
        <f t="shared" ca="1" si="360"/>
        <v>-4.1137374904430253</v>
      </c>
      <c r="T527" s="67">
        <f t="shared" ca="1" si="360"/>
        <v>-4.1280867760274003</v>
      </c>
      <c r="U527" s="67">
        <f t="shared" ca="1" si="360"/>
        <v>-4.1414273856025678</v>
      </c>
      <c r="V527" s="67">
        <f t="shared" ca="1" si="360"/>
        <v>-4.1537580813699364</v>
      </c>
      <c r="W527" s="67">
        <f t="shared" ca="1" si="360"/>
        <v>-4.167078888265431</v>
      </c>
      <c r="X527" s="67">
        <f t="shared" ca="1" si="360"/>
        <v>-4.180384688209446</v>
      </c>
    </row>
    <row r="528" spans="1:24" x14ac:dyDescent="0.25">
      <c r="A528" s="11" t="s">
        <v>609</v>
      </c>
      <c r="O528" s="16">
        <f t="shared" ref="O528:X528" ca="1" si="361">O$362-N$362</f>
        <v>3.8786021011101823</v>
      </c>
      <c r="P528" s="16">
        <f t="shared" ca="1" si="361"/>
        <v>1.4869819992839766</v>
      </c>
      <c r="Q528" s="16">
        <f t="shared" ca="1" si="361"/>
        <v>1.5291416253322794</v>
      </c>
      <c r="R528" s="16">
        <f t="shared" ca="1" si="361"/>
        <v>1.5456208797442059</v>
      </c>
      <c r="S528" s="16">
        <f t="shared" ca="1" si="361"/>
        <v>1.5787765978032127</v>
      </c>
      <c r="T528" s="16">
        <f t="shared" ca="1" si="361"/>
        <v>1.6111979353659791</v>
      </c>
      <c r="U528" s="16">
        <f t="shared" ca="1" si="361"/>
        <v>1.6369102559980746</v>
      </c>
      <c r="V528" s="16">
        <f t="shared" ca="1" si="361"/>
        <v>1.6653695699137927</v>
      </c>
      <c r="W528" s="16">
        <f t="shared" ca="1" si="361"/>
        <v>1.6962309252601528</v>
      </c>
      <c r="X528" s="16">
        <f t="shared" ca="1" si="361"/>
        <v>1.7375891589895289</v>
      </c>
    </row>
    <row r="529" spans="1:24" x14ac:dyDescent="0.25">
      <c r="A529" s="11" t="s">
        <v>610</v>
      </c>
      <c r="O529" s="16">
        <f t="shared" ref="O529:X529" ca="1" si="362">O$413-O$341</f>
        <v>0.33801009791106412</v>
      </c>
      <c r="P529" s="16">
        <f t="shared" ca="1" si="362"/>
        <v>0.35180265179958148</v>
      </c>
      <c r="Q529" s="16">
        <f t="shared" ca="1" si="362"/>
        <v>0.35957955635343375</v>
      </c>
      <c r="R529" s="16">
        <f t="shared" ca="1" si="362"/>
        <v>0.36235710120209463</v>
      </c>
      <c r="S529" s="16">
        <f t="shared" ca="1" si="362"/>
        <v>0.35997539336294582</v>
      </c>
      <c r="T529" s="16">
        <f t="shared" ca="1" si="362"/>
        <v>0.35144569798214537</v>
      </c>
      <c r="U529" s="16">
        <f t="shared" ca="1" si="362"/>
        <v>0.33481560878051553</v>
      </c>
      <c r="V529" s="16">
        <f t="shared" ca="1" si="362"/>
        <v>0.31307080266007081</v>
      </c>
      <c r="W529" s="16">
        <f t="shared" ca="1" si="362"/>
        <v>0.28921156816507315</v>
      </c>
      <c r="X529" s="16">
        <f t="shared" ca="1" si="362"/>
        <v>0.26117868180295678</v>
      </c>
    </row>
    <row r="530" spans="1:24" x14ac:dyDescent="0.25">
      <c r="A530" s="11" t="s">
        <v>611</v>
      </c>
      <c r="O530" s="16">
        <f t="shared" ref="O530:X530" si="363">O$419-N$419</f>
        <v>0</v>
      </c>
      <c r="P530" s="16">
        <f t="shared" si="363"/>
        <v>0</v>
      </c>
      <c r="Q530" s="16">
        <f t="shared" si="363"/>
        <v>0</v>
      </c>
      <c r="R530" s="16">
        <f t="shared" si="363"/>
        <v>0</v>
      </c>
      <c r="S530" s="16">
        <f t="shared" si="363"/>
        <v>0</v>
      </c>
      <c r="T530" s="16">
        <f t="shared" si="363"/>
        <v>0</v>
      </c>
      <c r="U530" s="16">
        <f t="shared" si="363"/>
        <v>0</v>
      </c>
      <c r="V530" s="16">
        <f t="shared" si="363"/>
        <v>0</v>
      </c>
      <c r="W530" s="16">
        <f t="shared" si="363"/>
        <v>0</v>
      </c>
      <c r="X530" s="16">
        <f t="shared" si="363"/>
        <v>0</v>
      </c>
    </row>
    <row r="531" spans="1:24" x14ac:dyDescent="0.25">
      <c r="A531" s="11" t="s">
        <v>612</v>
      </c>
      <c r="O531" s="16">
        <f t="shared" ref="O531:X531" si="364">O$423-N$423</f>
        <v>0</v>
      </c>
      <c r="P531" s="16">
        <f t="shared" si="364"/>
        <v>0</v>
      </c>
      <c r="Q531" s="16">
        <f t="shared" si="364"/>
        <v>0</v>
      </c>
      <c r="R531" s="16">
        <f t="shared" si="364"/>
        <v>0</v>
      </c>
      <c r="S531" s="16">
        <f t="shared" si="364"/>
        <v>0</v>
      </c>
      <c r="T531" s="16">
        <f t="shared" si="364"/>
        <v>0</v>
      </c>
      <c r="U531" s="16">
        <f t="shared" si="364"/>
        <v>0</v>
      </c>
      <c r="V531" s="16">
        <f t="shared" si="364"/>
        <v>0</v>
      </c>
      <c r="W531" s="16">
        <f t="shared" si="364"/>
        <v>0</v>
      </c>
      <c r="X531" s="16">
        <f t="shared" si="364"/>
        <v>0</v>
      </c>
    </row>
    <row r="532" spans="1:24" x14ac:dyDescent="0.25">
      <c r="A532" s="11" t="s">
        <v>1151</v>
      </c>
      <c r="O532" s="16">
        <f t="shared" ref="O532:X532" si="365">O$464-N$464</f>
        <v>0</v>
      </c>
      <c r="P532" s="16">
        <f t="shared" si="365"/>
        <v>0</v>
      </c>
      <c r="Q532" s="16">
        <f t="shared" si="365"/>
        <v>0</v>
      </c>
      <c r="R532" s="16">
        <f t="shared" si="365"/>
        <v>0</v>
      </c>
      <c r="S532" s="16">
        <f t="shared" si="365"/>
        <v>0</v>
      </c>
      <c r="T532" s="16">
        <f t="shared" si="365"/>
        <v>0</v>
      </c>
      <c r="U532" s="16">
        <f t="shared" si="365"/>
        <v>0</v>
      </c>
      <c r="V532" s="16">
        <f t="shared" si="365"/>
        <v>0</v>
      </c>
      <c r="W532" s="16">
        <f t="shared" si="365"/>
        <v>0</v>
      </c>
      <c r="X532" s="16">
        <f t="shared" si="365"/>
        <v>0</v>
      </c>
    </row>
    <row r="533" spans="1:24" x14ac:dyDescent="0.25">
      <c r="A533" s="11" t="s">
        <v>1152</v>
      </c>
      <c r="O533" s="16">
        <f t="shared" ref="O533:X533" ca="1" si="366">SUM(O$460-N$460,O$468-N$468,O$485-N$485)</f>
        <v>2.9601831092854729</v>
      </c>
      <c r="P533" s="16">
        <f t="shared" ca="1" si="366"/>
        <v>0.54110945541070787</v>
      </c>
      <c r="Q533" s="16">
        <f t="shared" ca="1" si="366"/>
        <v>0.59593199977263334</v>
      </c>
      <c r="R533" s="16">
        <f t="shared" ca="1" si="366"/>
        <v>0.64144837812622191</v>
      </c>
      <c r="S533" s="16">
        <f t="shared" ca="1" si="366"/>
        <v>0.69318218483926231</v>
      </c>
      <c r="T533" s="16">
        <f t="shared" ca="1" si="366"/>
        <v>0.74573005583019558</v>
      </c>
      <c r="U533" s="16">
        <f t="shared" ca="1" si="366"/>
        <v>0.79586375203107362</v>
      </c>
      <c r="V533" s="16">
        <f t="shared" ca="1" si="366"/>
        <v>0.84830867656727893</v>
      </c>
      <c r="W533" s="16">
        <f t="shared" ca="1" si="366"/>
        <v>0.90399657610032458</v>
      </c>
      <c r="X533" s="16">
        <f t="shared" ca="1" si="366"/>
        <v>0.96602960015652628</v>
      </c>
    </row>
    <row r="534" spans="1:24" x14ac:dyDescent="0.25">
      <c r="A534" s="11" t="s">
        <v>1153</v>
      </c>
      <c r="O534" s="16">
        <f t="shared" ref="O534:X534" si="367">O$478-N$478</f>
        <v>-0.18722764830508432</v>
      </c>
      <c r="P534" s="16">
        <f t="shared" si="367"/>
        <v>-0.19206557203389885</v>
      </c>
      <c r="Q534" s="16">
        <f t="shared" si="367"/>
        <v>-0.19448453389830522</v>
      </c>
      <c r="R534" s="16">
        <f t="shared" si="367"/>
        <v>-0.19883866525423732</v>
      </c>
      <c r="S534" s="16">
        <f t="shared" si="367"/>
        <v>-0.20029004237288106</v>
      </c>
      <c r="T534" s="16">
        <f t="shared" si="367"/>
        <v>-0.2007738347457626</v>
      </c>
      <c r="U534" s="16">
        <f t="shared" si="367"/>
        <v>-0.19400074152542324</v>
      </c>
      <c r="V534" s="16">
        <f t="shared" si="367"/>
        <v>-0.1915817796610173</v>
      </c>
      <c r="W534" s="16">
        <f t="shared" si="367"/>
        <v>-0.18867902542372894</v>
      </c>
      <c r="X534" s="16">
        <f t="shared" si="367"/>
        <v>-0.18529247881355948</v>
      </c>
    </row>
    <row r="535" spans="1:24" x14ac:dyDescent="0.25">
      <c r="A535" s="9" t="s">
        <v>615</v>
      </c>
      <c r="O535" s="67">
        <f t="shared" ref="O535:X535" ca="1" si="368">SUM(O$528:O$531)-SUM(O$532:O$534)</f>
        <v>1.4436567380408576</v>
      </c>
      <c r="P535" s="67">
        <f t="shared" ca="1" si="368"/>
        <v>1.4897407677067491</v>
      </c>
      <c r="Q535" s="67">
        <f t="shared" ca="1" si="368"/>
        <v>1.4872737158113849</v>
      </c>
      <c r="R535" s="67">
        <f t="shared" ca="1" si="368"/>
        <v>1.4653682680743159</v>
      </c>
      <c r="S535" s="67">
        <f t="shared" ca="1" si="368"/>
        <v>1.4458598486997771</v>
      </c>
      <c r="T535" s="67">
        <f t="shared" ca="1" si="368"/>
        <v>1.4176874122636915</v>
      </c>
      <c r="U535" s="67">
        <f t="shared" ca="1" si="368"/>
        <v>1.3698628542729399</v>
      </c>
      <c r="V535" s="67">
        <f t="shared" ca="1" si="368"/>
        <v>1.3217134756676019</v>
      </c>
      <c r="W535" s="67">
        <f t="shared" ca="1" si="368"/>
        <v>1.2701249427486303</v>
      </c>
      <c r="X535" s="67">
        <f t="shared" ca="1" si="368"/>
        <v>1.218030719449519</v>
      </c>
    </row>
    <row r="536" spans="1:24" x14ac:dyDescent="0.25">
      <c r="A536" s="9" t="s">
        <v>1144</v>
      </c>
      <c r="O536" s="67">
        <f t="shared" ref="O536:X536" ca="1" si="369">SUM(O$521,O$522,O$527,O$535)</f>
        <v>7.9730602162994328</v>
      </c>
      <c r="P536" s="67">
        <f t="shared" ca="1" si="369"/>
        <v>10.139361217172524</v>
      </c>
      <c r="Q536" s="67">
        <f t="shared" ca="1" si="369"/>
        <v>12.150415094381243</v>
      </c>
      <c r="R536" s="67">
        <f t="shared" ca="1" si="369"/>
        <v>14.060238280014685</v>
      </c>
      <c r="S536" s="67">
        <f t="shared" ca="1" si="369"/>
        <v>16.022165197429256</v>
      </c>
      <c r="T536" s="67">
        <f t="shared" ca="1" si="369"/>
        <v>18.108888333929709</v>
      </c>
      <c r="U536" s="67">
        <f t="shared" ca="1" si="369"/>
        <v>20.185343612257476</v>
      </c>
      <c r="V536" s="67">
        <f t="shared" ca="1" si="369"/>
        <v>22.330844736329325</v>
      </c>
      <c r="W536" s="67">
        <f t="shared" ca="1" si="369"/>
        <v>24.608015574073171</v>
      </c>
      <c r="X536" s="67">
        <f t="shared" ca="1" si="369"/>
        <v>27.068546954317608</v>
      </c>
    </row>
    <row r="537" spans="1:24" x14ac:dyDescent="0.25">
      <c r="A537" s="55" t="s">
        <v>1154</v>
      </c>
      <c r="O537" s="91" t="str">
        <f t="shared" ref="O537:X537" ca="1" si="370">IF(ROUND(O$49-O$536,3)=0,"OK","ERROR")</f>
        <v>OK</v>
      </c>
      <c r="P537" s="91" t="str">
        <f t="shared" ca="1" si="370"/>
        <v>OK</v>
      </c>
      <c r="Q537" s="91" t="str">
        <f t="shared" ca="1" si="370"/>
        <v>OK</v>
      </c>
      <c r="R537" s="91" t="str">
        <f t="shared" ca="1" si="370"/>
        <v>OK</v>
      </c>
      <c r="S537" s="91" t="str">
        <f t="shared" ca="1" si="370"/>
        <v>OK</v>
      </c>
      <c r="T537" s="91" t="str">
        <f t="shared" ca="1" si="370"/>
        <v>OK</v>
      </c>
      <c r="U537" s="91" t="str">
        <f t="shared" ca="1" si="370"/>
        <v>OK</v>
      </c>
      <c r="V537" s="91" t="str">
        <f t="shared" ca="1" si="370"/>
        <v>OK</v>
      </c>
      <c r="W537" s="91" t="str">
        <f t="shared" ca="1" si="370"/>
        <v>OK</v>
      </c>
      <c r="X537" s="91" t="str">
        <f t="shared" ca="1" si="370"/>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1793"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mc:AlternateContent xmlns:mc="http://schemas.openxmlformats.org/markup-compatibility/2006">
          <mc:Choice Requires="x14">
            <control shapeId="161794" r:id="rId5" name="Drop Down 2">
              <controlPr defaultSize="0" autoLine="0" autoPict="0">
                <anchor moveWithCells="1">
                  <from>
                    <xdr:col>0</xdr:col>
                    <xdr:colOff>47625</xdr:colOff>
                    <xdr:row>6</xdr:row>
                    <xdr:rowOff>0</xdr:rowOff>
                  </from>
                  <to>
                    <xdr:col>1</xdr:col>
                    <xdr:colOff>19050</xdr:colOff>
                    <xdr:row>7</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B6FC-4AE9-4481-9DAD-4E7710FEFC5C}">
  <dimension ref="A1:X537"/>
  <sheetViews>
    <sheetView zoomScaleNormal="100" workbookViewId="0">
      <pane xSplit="2" ySplit="8" topLeftCell="H9" activePane="bottomRight" state="frozen"/>
      <selection pane="topRight" activeCell="C1" sqref="C1"/>
      <selection pane="bottomLeft" activeCell="A9" sqref="A9"/>
      <selection pane="bottomRight"/>
    </sheetView>
  </sheetViews>
  <sheetFormatPr defaultRowHeight="15" x14ac:dyDescent="0.25"/>
  <cols>
    <col min="1" max="1" width="85.7109375" customWidth="1"/>
    <col min="2" max="2" width="25.7109375" customWidth="1"/>
    <col min="3" max="3" width="7.7109375" customWidth="1"/>
    <col min="4" max="24" width="10.7109375" customWidth="1"/>
  </cols>
  <sheetData>
    <row r="1" spans="1:24" x14ac:dyDescent="0.25">
      <c r="A1" s="9" t="s">
        <v>141</v>
      </c>
      <c r="B1" s="13" t="s">
        <v>1429</v>
      </c>
      <c r="C1" s="13">
        <f>MATCH($B$1,Assumptions!$C$7:$L$7,0)</f>
        <v>3</v>
      </c>
      <c r="D1" s="10" t="s">
        <v>142</v>
      </c>
      <c r="E1" s="11"/>
      <c r="F1" s="11"/>
      <c r="G1" s="11"/>
      <c r="H1" s="11"/>
      <c r="I1" s="11"/>
      <c r="J1" s="11"/>
      <c r="K1" s="11"/>
      <c r="L1" s="11"/>
      <c r="M1" s="11"/>
      <c r="N1" s="11"/>
      <c r="O1" s="11"/>
      <c r="P1" s="11"/>
    </row>
    <row r="2" spans="1:24" x14ac:dyDescent="0.25">
      <c r="A2" s="10" t="s">
        <v>143</v>
      </c>
      <c r="B2" s="13"/>
      <c r="C2" s="13"/>
      <c r="D2" s="10"/>
      <c r="E2" s="11"/>
      <c r="F2" s="11"/>
      <c r="G2" s="11"/>
      <c r="H2" s="11"/>
      <c r="I2" s="11"/>
      <c r="J2" s="11"/>
      <c r="K2" s="11"/>
      <c r="L2" s="11"/>
      <c r="M2" s="11"/>
      <c r="N2" s="11"/>
      <c r="O2" s="11"/>
      <c r="P2" s="11"/>
    </row>
    <row r="3" spans="1:24" x14ac:dyDescent="0.25">
      <c r="A3" s="10"/>
      <c r="B3" s="10"/>
      <c r="C3" s="13"/>
      <c r="D3" s="32" t="s">
        <v>144</v>
      </c>
      <c r="E3" s="32" t="s">
        <v>144</v>
      </c>
      <c r="F3" s="32" t="s">
        <v>144</v>
      </c>
      <c r="G3" s="32" t="s">
        <v>144</v>
      </c>
      <c r="H3" s="32" t="s">
        <v>144</v>
      </c>
      <c r="I3" s="32" t="s">
        <v>144</v>
      </c>
      <c r="J3" s="15" t="s">
        <v>1424</v>
      </c>
      <c r="K3" s="11"/>
      <c r="L3" s="11"/>
      <c r="M3" s="11"/>
      <c r="N3" s="9"/>
      <c r="O3" s="9" t="s">
        <v>1425</v>
      </c>
      <c r="P3" s="11"/>
    </row>
    <row r="4" spans="1:24" x14ac:dyDescent="0.25">
      <c r="A4" s="11"/>
      <c r="B4" s="11"/>
      <c r="C4" s="13"/>
      <c r="D4" s="32" t="s">
        <v>145</v>
      </c>
      <c r="E4" s="32" t="s">
        <v>145</v>
      </c>
      <c r="F4" s="32" t="s">
        <v>145</v>
      </c>
      <c r="G4" s="32" t="s">
        <v>145</v>
      </c>
      <c r="H4" s="32" t="s">
        <v>145</v>
      </c>
      <c r="I4" s="32" t="s">
        <v>145</v>
      </c>
      <c r="J4" s="33" t="s">
        <v>146</v>
      </c>
      <c r="K4" s="11"/>
      <c r="L4" s="11"/>
      <c r="M4" s="11"/>
      <c r="N4" s="11"/>
      <c r="O4" s="11" t="s">
        <v>147</v>
      </c>
      <c r="P4" s="11"/>
    </row>
    <row r="5" spans="1:24" x14ac:dyDescent="0.25">
      <c r="A5" s="9" t="s">
        <v>826</v>
      </c>
      <c r="B5" s="9"/>
      <c r="C5" s="13"/>
      <c r="D5" s="34" t="s">
        <v>37</v>
      </c>
      <c r="E5" s="34" t="s">
        <v>38</v>
      </c>
      <c r="F5" s="34" t="s">
        <v>39</v>
      </c>
      <c r="G5" s="34" t="s">
        <v>40</v>
      </c>
      <c r="H5" s="34" t="s">
        <v>41</v>
      </c>
      <c r="I5" s="34" t="s">
        <v>42</v>
      </c>
      <c r="J5" s="14" t="s">
        <v>43</v>
      </c>
      <c r="K5" s="14" t="s">
        <v>44</v>
      </c>
      <c r="L5" s="14" t="s">
        <v>45</v>
      </c>
      <c r="M5" s="14" t="s">
        <v>46</v>
      </c>
      <c r="N5" s="14" t="s">
        <v>47</v>
      </c>
      <c r="O5" s="13" t="s">
        <v>48</v>
      </c>
      <c r="P5" s="13" t="s">
        <v>49</v>
      </c>
      <c r="Q5" s="13" t="s">
        <v>50</v>
      </c>
      <c r="R5" s="13" t="s">
        <v>51</v>
      </c>
      <c r="S5" s="13" t="s">
        <v>52</v>
      </c>
      <c r="T5" s="13" t="s">
        <v>53</v>
      </c>
      <c r="U5" s="13" t="s">
        <v>54</v>
      </c>
      <c r="V5" s="13" t="s">
        <v>55</v>
      </c>
      <c r="W5" s="13" t="s">
        <v>56</v>
      </c>
      <c r="X5" s="13" t="s">
        <v>57</v>
      </c>
    </row>
    <row r="6" spans="1:24" x14ac:dyDescent="0.25">
      <c r="A6" s="11"/>
      <c r="B6" s="11"/>
      <c r="C6" s="13"/>
      <c r="D6" s="32">
        <v>2019</v>
      </c>
      <c r="E6" s="32">
        <v>2020</v>
      </c>
      <c r="F6" s="32">
        <v>2021</v>
      </c>
      <c r="G6" s="32">
        <v>2022</v>
      </c>
      <c r="H6" s="32">
        <v>2023</v>
      </c>
      <c r="I6" s="32">
        <v>2024</v>
      </c>
      <c r="J6" s="15">
        <v>2025</v>
      </c>
      <c r="K6" s="15">
        <v>2026</v>
      </c>
      <c r="L6" s="15">
        <v>2027</v>
      </c>
      <c r="M6" s="15">
        <v>2028</v>
      </c>
      <c r="N6" s="15">
        <v>2029</v>
      </c>
      <c r="O6" s="9">
        <v>2030</v>
      </c>
      <c r="P6" s="9">
        <v>2031</v>
      </c>
      <c r="Q6" s="9">
        <v>2032</v>
      </c>
      <c r="R6" s="9">
        <v>2033</v>
      </c>
      <c r="S6" s="9">
        <v>2034</v>
      </c>
      <c r="T6" s="9">
        <v>2035</v>
      </c>
      <c r="U6" s="9">
        <v>2036</v>
      </c>
      <c r="V6" s="9">
        <v>2037</v>
      </c>
      <c r="W6" s="9">
        <v>2038</v>
      </c>
      <c r="X6" s="9">
        <v>2039</v>
      </c>
    </row>
    <row r="7" spans="1:24" x14ac:dyDescent="0.25">
      <c r="A7" s="11"/>
      <c r="B7" s="11"/>
      <c r="C7" s="13"/>
      <c r="D7" s="42">
        <f ca="1">OFFSET(D$1,Display!$C$1-1,0)</f>
        <v>8.5039999999999907</v>
      </c>
      <c r="E7" s="42">
        <f ca="1">OFFSET(E$1,Display!$C$1-1,0)</f>
        <v>-20.901999999999965</v>
      </c>
      <c r="F7" s="42">
        <f ca="1">OFFSET(F$1,Display!$C$1-1,0)</f>
        <v>-2.5590000000000295</v>
      </c>
      <c r="G7" s="42">
        <f ca="1">OFFSET(G$1,Display!$C$1-1,0)</f>
        <v>-8.6639999999999802</v>
      </c>
      <c r="H7" s="42">
        <f ca="1">OFFSET(H$1,Display!$C$1-1,0)</f>
        <v>-7.1990000000000061</v>
      </c>
      <c r="I7" s="42">
        <f ca="1">OFFSET(I$1,Display!$C$1-1,0)</f>
        <v>-8.7730000000000281</v>
      </c>
      <c r="J7" s="43">
        <f ca="1">OFFSET(J$1,Display!$C$1-1,0)</f>
        <v>-10.175000000000042</v>
      </c>
      <c r="K7" s="43">
        <f ca="1">OFFSET(K$1,Display!$C$1-1,0)</f>
        <v>-12.07500000000001</v>
      </c>
      <c r="L7" s="43">
        <f ca="1">OFFSET(L$1,Display!$C$1-1,0)</f>
        <v>-8.1450000000000031</v>
      </c>
      <c r="M7" s="43">
        <f ca="1">OFFSET(M$1,Display!$C$1-1,0)</f>
        <v>-3.0930000000000701</v>
      </c>
      <c r="N7" s="43">
        <f ca="1">OFFSET(N$1,Display!$C$1-1,0)</f>
        <v>0.21399999999995023</v>
      </c>
      <c r="O7" s="47">
        <f ca="1">OFFSET(O$1,Display!$C$1-1,0)</f>
        <v>0.14152669110208826</v>
      </c>
      <c r="P7" s="47">
        <f ca="1">OFFSET(P$1,Display!$C$1-1,0)</f>
        <v>0.86647728343531583</v>
      </c>
      <c r="Q7" s="47">
        <f ca="1">OFFSET(Q$1,Display!$C$1-1,0)</f>
        <v>1.3634023222200113</v>
      </c>
      <c r="R7" s="47">
        <f ca="1">OFFSET(R$1,Display!$C$1-1,0)</f>
        <v>1.6580040770893074</v>
      </c>
      <c r="S7" s="47">
        <f ca="1">OFFSET(S$1,Display!$C$1-1,0)</f>
        <v>1.929414337244364</v>
      </c>
      <c r="T7" s="47">
        <f ca="1">OFFSET(T$1,Display!$C$1-1,0)</f>
        <v>2.2599790687779073</v>
      </c>
      <c r="U7" s="47">
        <f ca="1">OFFSET(U$1,Display!$C$1-1,0)</f>
        <v>2.4804318471644016</v>
      </c>
      <c r="V7" s="47">
        <f ca="1">OFFSET(V$1,Display!$C$1-1,0)</f>
        <v>2.4940995022097936</v>
      </c>
      <c r="W7" s="47">
        <f ca="1">OFFSET(W$1,Display!$C$1-1,0)</f>
        <v>2.4395346248685659</v>
      </c>
      <c r="X7" s="47">
        <f ca="1">OFFSET(X$1,Display!$C$1-1,0)</f>
        <v>2.4281712900077683</v>
      </c>
    </row>
    <row r="8" spans="1:24" x14ac:dyDescent="0.25">
      <c r="A8" s="63" t="s">
        <v>841</v>
      </c>
      <c r="B8" s="11"/>
      <c r="C8" s="13"/>
      <c r="D8" s="93">
        <f t="shared" ref="D8:X8" ca="1" si="0">D$7/D$13</f>
        <v>2.7387025300149401E-2</v>
      </c>
      <c r="E8" s="93">
        <f t="shared" ca="1" si="0"/>
        <v>-6.5805919447409003E-2</v>
      </c>
      <c r="F8" s="93">
        <f t="shared" ca="1" si="0"/>
        <v>-7.4521029840446066E-3</v>
      </c>
      <c r="G8" s="93">
        <f t="shared" ca="1" si="0"/>
        <v>-2.3690513950715801E-2</v>
      </c>
      <c r="H8" s="93">
        <f t="shared" ca="1" si="0"/>
        <v>-1.7928162830254005E-2</v>
      </c>
      <c r="I8" s="93">
        <f t="shared" ca="1" si="0"/>
        <v>-2.0857206708160839E-2</v>
      </c>
      <c r="J8" s="94">
        <f t="shared" ca="1" si="0"/>
        <v>-2.3382849053655404E-2</v>
      </c>
      <c r="K8" s="94">
        <f t="shared" ca="1" si="0"/>
        <v>-2.6453345718391835E-2</v>
      </c>
      <c r="L8" s="94">
        <f t="shared" ca="1" si="0"/>
        <v>-1.7047951943403736E-2</v>
      </c>
      <c r="M8" s="94">
        <f t="shared" ca="1" si="0"/>
        <v>-6.1753043728264055E-3</v>
      </c>
      <c r="N8" s="94">
        <f t="shared" ca="1" si="0"/>
        <v>4.0830188391242927E-4</v>
      </c>
      <c r="O8" s="95">
        <f t="shared" ca="1" si="0"/>
        <v>2.5885718474659983E-4</v>
      </c>
      <c r="P8" s="95">
        <f t="shared" ca="1" si="0"/>
        <v>1.5199889764325666E-3</v>
      </c>
      <c r="Q8" s="95">
        <f t="shared" ca="1" si="0"/>
        <v>2.2975179588110117E-3</v>
      </c>
      <c r="R8" s="95">
        <f t="shared" ca="1" si="0"/>
        <v>2.6881134020375333E-3</v>
      </c>
      <c r="S8" s="95">
        <f t="shared" ca="1" si="0"/>
        <v>3.0115422962332596E-3</v>
      </c>
      <c r="T8" s="95">
        <f t="shared" ca="1" si="0"/>
        <v>3.398290264555731E-3</v>
      </c>
      <c r="U8" s="95">
        <f t="shared" ca="1" si="0"/>
        <v>3.5962884654265051E-3</v>
      </c>
      <c r="V8" s="95">
        <f t="shared" ca="1" si="0"/>
        <v>3.4893399752992157E-3</v>
      </c>
      <c r="W8" s="95">
        <f t="shared" ca="1" si="0"/>
        <v>3.2957597832687004E-3</v>
      </c>
      <c r="X8" s="95">
        <f t="shared" ca="1" si="0"/>
        <v>3.1691379977970687E-3</v>
      </c>
    </row>
    <row r="9" spans="1:24" ht="16.5" x14ac:dyDescent="0.25">
      <c r="A9" s="41" t="s">
        <v>825</v>
      </c>
      <c r="B9" s="9"/>
      <c r="C9" s="13"/>
      <c r="N9" s="47"/>
    </row>
    <row r="10" spans="1:24" x14ac:dyDescent="0.25">
      <c r="A10" s="12" t="s">
        <v>148</v>
      </c>
      <c r="B10" s="9"/>
      <c r="C10" s="13"/>
    </row>
    <row r="11" spans="1:24" x14ac:dyDescent="0.25">
      <c r="A11" s="9" t="s">
        <v>149</v>
      </c>
      <c r="B11" s="9"/>
      <c r="C11" s="13"/>
      <c r="D11" s="35">
        <f>'Economic Forecasts'!Q$6</f>
        <v>254.887</v>
      </c>
      <c r="E11" s="35">
        <f>'Economic Forecasts'!R$6</f>
        <v>252.81299999999999</v>
      </c>
      <c r="F11" s="35">
        <f>'Economic Forecasts'!S$6</f>
        <v>268.59800000000001</v>
      </c>
      <c r="G11" s="35">
        <f>'Economic Forecasts'!T$6</f>
        <v>270.51100000000002</v>
      </c>
      <c r="H11" s="35">
        <f>'Economic Forecasts'!U$6</f>
        <v>281.255</v>
      </c>
      <c r="I11" s="35">
        <f>'Economic Forecasts'!V$6</f>
        <v>283.03100000000001</v>
      </c>
      <c r="J11" s="17">
        <f>'Economic Forecasts'!W$6</f>
        <v>280.76</v>
      </c>
      <c r="K11" s="17">
        <f>'Economic Forecasts'!X$6</f>
        <v>288.976</v>
      </c>
      <c r="L11" s="17">
        <f>'Economic Forecasts'!Y$6</f>
        <v>297.50799999999998</v>
      </c>
      <c r="M11" s="17">
        <f>'Economic Forecasts'!Z$6</f>
        <v>306.02300000000002</v>
      </c>
      <c r="N11" s="17">
        <f>'Economic Forecasts'!AA$6</f>
        <v>313.94099999999997</v>
      </c>
      <c r="O11" s="16">
        <f t="shared" ref="O11:X11" ca="1" si="1">N$11*O$16*(1-O$23)*O$24/(N$16*(1-N$23)*N$24)*(1+O$25)</f>
        <v>321.06547356392304</v>
      </c>
      <c r="P11" s="16">
        <f t="shared" ca="1" si="1"/>
        <v>328.19506559316949</v>
      </c>
      <c r="Q11" s="16">
        <f t="shared" ca="1" si="1"/>
        <v>334.95020430738737</v>
      </c>
      <c r="R11" s="16">
        <f t="shared" ca="1" si="1"/>
        <v>341.31310894354965</v>
      </c>
      <c r="S11" s="16">
        <f t="shared" ca="1" si="1"/>
        <v>347.57723432799349</v>
      </c>
      <c r="T11" s="16">
        <f t="shared" ca="1" si="1"/>
        <v>353.71914183142206</v>
      </c>
      <c r="U11" s="16">
        <f t="shared" ca="1" si="1"/>
        <v>359.65592896560497</v>
      </c>
      <c r="V11" s="16">
        <f t="shared" ca="1" si="1"/>
        <v>365.41364749828614</v>
      </c>
      <c r="W11" s="16">
        <f t="shared" ca="1" si="1"/>
        <v>370.9928489415197</v>
      </c>
      <c r="X11" s="16">
        <f t="shared" ca="1" si="1"/>
        <v>376.48883312198507</v>
      </c>
    </row>
    <row r="12" spans="1:24" x14ac:dyDescent="0.25">
      <c r="A12" s="10" t="s">
        <v>150</v>
      </c>
      <c r="B12" s="9"/>
      <c r="C12" s="13"/>
      <c r="D12" s="35"/>
      <c r="E12" s="36">
        <f>E$11/D$11-1</f>
        <v>-8.1369391141957736E-3</v>
      </c>
      <c r="F12" s="36">
        <f t="shared" ref="F12:X12" si="2">F$11/E$11-1</f>
        <v>6.2437453770177953E-2</v>
      </c>
      <c r="G12" s="36">
        <f t="shared" si="2"/>
        <v>7.1221677004296158E-3</v>
      </c>
      <c r="H12" s="36">
        <f t="shared" si="2"/>
        <v>3.9717423690718512E-2</v>
      </c>
      <c r="I12" s="36">
        <f t="shared" si="2"/>
        <v>6.3145544079217242E-3</v>
      </c>
      <c r="J12" s="19">
        <f t="shared" si="2"/>
        <v>-8.0238560440376583E-3</v>
      </c>
      <c r="K12" s="19">
        <f t="shared" si="2"/>
        <v>2.9263427838723599E-2</v>
      </c>
      <c r="L12" s="19">
        <f t="shared" si="2"/>
        <v>2.9524943247882129E-2</v>
      </c>
      <c r="M12" s="19">
        <f t="shared" si="2"/>
        <v>2.8621079097032931E-2</v>
      </c>
      <c r="N12" s="19">
        <f t="shared" si="2"/>
        <v>2.5873872225290029E-2</v>
      </c>
      <c r="O12" s="18">
        <f t="shared" ca="1" si="2"/>
        <v>2.2693670351827455E-2</v>
      </c>
      <c r="P12" s="18">
        <f t="shared" ca="1" si="2"/>
        <v>2.2206037759544328E-2</v>
      </c>
      <c r="Q12" s="18">
        <f t="shared" ca="1" si="2"/>
        <v>2.0582694325427697E-2</v>
      </c>
      <c r="R12" s="18">
        <f t="shared" ca="1" si="2"/>
        <v>1.8996568905875311E-2</v>
      </c>
      <c r="S12" s="18">
        <f t="shared" ca="1" si="2"/>
        <v>1.8353017274469474E-2</v>
      </c>
      <c r="T12" s="18">
        <f t="shared" ca="1" si="2"/>
        <v>1.7670626545214674E-2</v>
      </c>
      <c r="U12" s="18">
        <f t="shared" ca="1" si="2"/>
        <v>1.6783901214518782E-2</v>
      </c>
      <c r="V12" s="18">
        <f t="shared" ca="1" si="2"/>
        <v>1.6008963203361537E-2</v>
      </c>
      <c r="W12" s="18">
        <f t="shared" ca="1" si="2"/>
        <v>1.5268180270305187E-2</v>
      </c>
      <c r="X12" s="18">
        <f t="shared" ca="1" si="2"/>
        <v>1.4814259078432368E-2</v>
      </c>
    </row>
    <row r="13" spans="1:24" x14ac:dyDescent="0.25">
      <c r="A13" s="9" t="s">
        <v>151</v>
      </c>
      <c r="B13" s="9"/>
      <c r="C13" s="13"/>
      <c r="D13" s="42">
        <f>'Economic Forecasts'!Q$7</f>
        <v>310.512</v>
      </c>
      <c r="E13" s="42">
        <f>'Economic Forecasts'!R$7</f>
        <v>317.63099999999997</v>
      </c>
      <c r="F13" s="42">
        <f>'Economic Forecasts'!S$7</f>
        <v>343.39299999999997</v>
      </c>
      <c r="G13" s="42">
        <f>'Economic Forecasts'!T$7</f>
        <v>365.71600000000001</v>
      </c>
      <c r="H13" s="42">
        <f>'Economic Forecasts'!U$7</f>
        <v>401.54700000000003</v>
      </c>
      <c r="I13" s="42">
        <f>'Economic Forecasts'!V$7</f>
        <v>420.62200000000001</v>
      </c>
      <c r="J13" s="43">
        <f>'Economic Forecasts'!W$7</f>
        <v>435.14800000000002</v>
      </c>
      <c r="K13" s="43">
        <f>'Economic Forecasts'!X$7</f>
        <v>456.464</v>
      </c>
      <c r="L13" s="43">
        <f>'Economic Forecasts'!Y$7</f>
        <v>477.77</v>
      </c>
      <c r="M13" s="43">
        <f>'Economic Forecasts'!Z$7</f>
        <v>500.86599999999999</v>
      </c>
      <c r="N13" s="43">
        <f>'Economic Forecasts'!AA$7</f>
        <v>524.12199999999996</v>
      </c>
      <c r="O13" s="47">
        <f t="shared" ref="O13:X13" ca="1" si="3">N$13*O$11/N$11*(1+O$29)</f>
        <v>546.73657692998324</v>
      </c>
      <c r="P13" s="47">
        <f t="shared" ca="1" si="3"/>
        <v>570.05497860185073</v>
      </c>
      <c r="Q13" s="47">
        <f t="shared" ca="1" si="3"/>
        <v>593.42401089460282</v>
      </c>
      <c r="R13" s="47">
        <f t="shared" ca="1" si="3"/>
        <v>616.79097162812229</v>
      </c>
      <c r="S13" s="47">
        <f t="shared" ca="1" si="3"/>
        <v>640.67316592485304</v>
      </c>
      <c r="T13" s="47">
        <f t="shared" ca="1" si="3"/>
        <v>665.03414742100063</v>
      </c>
      <c r="U13" s="47">
        <f t="shared" ca="1" si="3"/>
        <v>689.71993515270822</v>
      </c>
      <c r="V13" s="47">
        <f t="shared" ca="1" si="3"/>
        <v>714.77686893949658</v>
      </c>
      <c r="W13" s="47">
        <f t="shared" ca="1" si="3"/>
        <v>740.20401524805936</v>
      </c>
      <c r="X13" s="47">
        <f t="shared" ca="1" si="3"/>
        <v>766.19298108685666</v>
      </c>
    </row>
    <row r="14" spans="1:24" x14ac:dyDescent="0.25">
      <c r="A14" s="10" t="str">
        <f>$A$12</f>
        <v>Annual percentage growth</v>
      </c>
      <c r="B14" s="9"/>
      <c r="C14" s="13"/>
      <c r="D14" s="36"/>
      <c r="E14" s="36">
        <f>E$13/D$13-1</f>
        <v>2.2926650177770735E-2</v>
      </c>
      <c r="F14" s="36">
        <f t="shared" ref="F14:X14" si="4">F$13/E$13-1</f>
        <v>8.1106692986515849E-2</v>
      </c>
      <c r="G14" s="36">
        <f t="shared" si="4"/>
        <v>6.5007149242995776E-2</v>
      </c>
      <c r="H14" s="36">
        <f t="shared" si="4"/>
        <v>9.7974931367509344E-2</v>
      </c>
      <c r="I14" s="36">
        <f t="shared" si="4"/>
        <v>4.7503779134198565E-2</v>
      </c>
      <c r="J14" s="19">
        <f t="shared" si="4"/>
        <v>3.4534570231704587E-2</v>
      </c>
      <c r="K14" s="19">
        <f t="shared" si="4"/>
        <v>4.898563247446841E-2</v>
      </c>
      <c r="L14" s="19">
        <f t="shared" si="4"/>
        <v>4.6676189140874236E-2</v>
      </c>
      <c r="M14" s="19">
        <f t="shared" si="4"/>
        <v>4.8341252066894214E-2</v>
      </c>
      <c r="N14" s="19">
        <f t="shared" si="4"/>
        <v>4.6431580502569458E-2</v>
      </c>
      <c r="O14" s="18">
        <f t="shared" ca="1" si="4"/>
        <v>4.3147543758863982E-2</v>
      </c>
      <c r="P14" s="18">
        <f t="shared" ca="1" si="4"/>
        <v>4.2650158514735192E-2</v>
      </c>
      <c r="Q14" s="18">
        <f t="shared" ca="1" si="4"/>
        <v>4.0994348211936149E-2</v>
      </c>
      <c r="R14" s="18">
        <f t="shared" ca="1" si="4"/>
        <v>3.9376500283992755E-2</v>
      </c>
      <c r="S14" s="18">
        <f t="shared" ca="1" si="4"/>
        <v>3.872007761995877E-2</v>
      </c>
      <c r="T14" s="18">
        <f t="shared" ca="1" si="4"/>
        <v>3.8024039076119065E-2</v>
      </c>
      <c r="U14" s="18">
        <f t="shared" ca="1" si="4"/>
        <v>3.7119579238809042E-2</v>
      </c>
      <c r="V14" s="18">
        <f t="shared" ca="1" si="4"/>
        <v>3.6329142467428577E-2</v>
      </c>
      <c r="W14" s="18">
        <f t="shared" ca="1" si="4"/>
        <v>3.5573543875711433E-2</v>
      </c>
      <c r="X14" s="18">
        <f t="shared" ca="1" si="4"/>
        <v>3.511054426000082E-2</v>
      </c>
    </row>
    <row r="15" spans="1:24" x14ac:dyDescent="0.25">
      <c r="A15" s="12" t="s">
        <v>152</v>
      </c>
      <c r="B15" s="9"/>
      <c r="C15" s="13"/>
      <c r="D15" s="35"/>
    </row>
    <row r="16" spans="1:24" x14ac:dyDescent="0.25">
      <c r="A16" s="9" t="s">
        <v>153</v>
      </c>
      <c r="B16" s="9"/>
      <c r="C16" s="13"/>
      <c r="D16" s="35">
        <f>'Economic Forecasts'!Q$8</f>
        <v>2.7963</v>
      </c>
      <c r="E16" s="35">
        <f>'Economic Forecasts'!R$8</f>
        <v>2.8405</v>
      </c>
      <c r="F16" s="35">
        <f>'Economic Forecasts'!S$8</f>
        <v>2.875</v>
      </c>
      <c r="G16" s="35">
        <f>'Economic Forecasts'!T$8</f>
        <v>2.9104999999999999</v>
      </c>
      <c r="H16" s="35">
        <f>'Economic Forecasts'!U$8</f>
        <v>2.9918</v>
      </c>
      <c r="I16" s="35">
        <f>'Economic Forecasts'!V$8</f>
        <v>3.0680000000000001</v>
      </c>
      <c r="J16" s="17">
        <f>'Economic Forecasts'!W$8</f>
        <v>3.0784000000000002</v>
      </c>
      <c r="K16" s="17">
        <f>'Economic Forecasts'!X$8</f>
        <v>3.1261000000000001</v>
      </c>
      <c r="L16" s="17">
        <f>'Economic Forecasts'!Y$8</f>
        <v>3.1818</v>
      </c>
      <c r="M16" s="17">
        <f>'Economic Forecasts'!Z$8</f>
        <v>3.2342</v>
      </c>
      <c r="N16" s="17">
        <f>'Economic Forecasts'!AA$8</f>
        <v>3.2824</v>
      </c>
      <c r="O16" s="16">
        <f>N$16*'Labour Force Treasury'!L$4/'Labour Force Treasury'!K$4</f>
        <v>3.318559068561679</v>
      </c>
      <c r="P16" s="16">
        <f>O$16*'Labour Force Treasury'!M$4/'Labour Force Treasury'!L$4</f>
        <v>3.3528826048258424</v>
      </c>
      <c r="Q16" s="16">
        <f>P$16*'Labour Force Treasury'!N$4/'Labour Force Treasury'!M$4</f>
        <v>3.3853211958213336</v>
      </c>
      <c r="R16" s="16">
        <f>Q$16*'Labour Force Treasury'!O$4/'Labour Force Treasury'!N$4</f>
        <v>3.415814123364961</v>
      </c>
      <c r="S16" s="16">
        <f>R$16*'Labour Force Treasury'!P$4/'Labour Force Treasury'!O$4</f>
        <v>3.4440639791855983</v>
      </c>
      <c r="T16" s="16">
        <f>S$16*'Labour Force Treasury'!Q$4/'Labour Force Treasury'!P$4</f>
        <v>3.4702205421382302</v>
      </c>
      <c r="U16" s="16">
        <f>T$16*'Labour Force Treasury'!R$4/'Labour Force Treasury'!Q$4</f>
        <v>3.4945670802318225</v>
      </c>
      <c r="V16" s="16">
        <f>U$16*'Labour Force Treasury'!S$4/'Labour Force Treasury'!R$4</f>
        <v>3.517447469814674</v>
      </c>
      <c r="W16" s="16">
        <f>V$16*'Labour Force Treasury'!T$4/'Labour Force Treasury'!S$4</f>
        <v>3.5389480644882889</v>
      </c>
      <c r="X16" s="16">
        <f>W$16*'Labour Force Treasury'!U$4/'Labour Force Treasury'!T$4</f>
        <v>3.5593408899709962</v>
      </c>
    </row>
    <row r="17" spans="1:24" x14ac:dyDescent="0.25">
      <c r="A17" s="10" t="str">
        <f>$A$12</f>
        <v>Annual percentage growth</v>
      </c>
      <c r="B17" s="9"/>
      <c r="C17" s="13"/>
      <c r="D17" s="38"/>
      <c r="E17" s="36">
        <f>E$16/D$16-1</f>
        <v>1.5806601580660162E-2</v>
      </c>
      <c r="F17" s="36">
        <f t="shared" ref="F17:X17" si="5">F$16/E$16-1</f>
        <v>1.2145748987854255E-2</v>
      </c>
      <c r="G17" s="36">
        <f t="shared" si="5"/>
        <v>1.2347826086956504E-2</v>
      </c>
      <c r="H17" s="36">
        <f t="shared" si="5"/>
        <v>2.7933344786119196E-2</v>
      </c>
      <c r="I17" s="36">
        <f t="shared" si="5"/>
        <v>2.546961695300487E-2</v>
      </c>
      <c r="J17" s="19">
        <f t="shared" si="5"/>
        <v>3.3898305084747449E-3</v>
      </c>
      <c r="K17" s="19">
        <f t="shared" si="5"/>
        <v>1.5495062370062263E-2</v>
      </c>
      <c r="L17" s="19">
        <f t="shared" si="5"/>
        <v>1.7817728159687851E-2</v>
      </c>
      <c r="M17" s="19">
        <f t="shared" si="5"/>
        <v>1.6468665535231741E-2</v>
      </c>
      <c r="N17" s="19">
        <f t="shared" si="5"/>
        <v>1.4903221816832568E-2</v>
      </c>
      <c r="O17" s="18">
        <f t="shared" si="5"/>
        <v>1.1016045747525904E-2</v>
      </c>
      <c r="P17" s="18">
        <f t="shared" si="5"/>
        <v>1.0342903517772895E-2</v>
      </c>
      <c r="Q17" s="18">
        <f t="shared" si="5"/>
        <v>9.6748364970493661E-3</v>
      </c>
      <c r="R17" s="18">
        <f t="shared" si="5"/>
        <v>9.0073956885587947E-3</v>
      </c>
      <c r="S17" s="18">
        <f t="shared" si="5"/>
        <v>8.2703141331379459E-3</v>
      </c>
      <c r="T17" s="18">
        <f t="shared" si="5"/>
        <v>7.5946797477370875E-3</v>
      </c>
      <c r="U17" s="18">
        <f t="shared" si="5"/>
        <v>7.0158474938284421E-3</v>
      </c>
      <c r="V17" s="18">
        <f t="shared" si="5"/>
        <v>6.5474174790582929E-3</v>
      </c>
      <c r="W17" s="18">
        <f t="shared" si="5"/>
        <v>6.1125560106083388E-3</v>
      </c>
      <c r="X17" s="18">
        <f t="shared" si="5"/>
        <v>5.7623975009239992E-3</v>
      </c>
    </row>
    <row r="18" spans="1:24" x14ac:dyDescent="0.25">
      <c r="A18" s="9" t="s">
        <v>154</v>
      </c>
      <c r="B18" s="9"/>
      <c r="C18" s="13"/>
      <c r="D18" s="35">
        <f>'Economic Forecasts'!Q$9</f>
        <v>3.9466000000000001</v>
      </c>
      <c r="E18" s="35">
        <f>'Economic Forecasts'!R$9</f>
        <v>4.0335999999999999</v>
      </c>
      <c r="F18" s="35">
        <f>'Economic Forecasts'!S$9</f>
        <v>4.0891999999999999</v>
      </c>
      <c r="G18" s="35">
        <f>'Economic Forecasts'!T$9</f>
        <v>4.1008000000000004</v>
      </c>
      <c r="H18" s="35">
        <f>'Economic Forecasts'!U$9</f>
        <v>4.1555</v>
      </c>
      <c r="I18" s="35">
        <f>'Economic Forecasts'!V$9</f>
        <v>4.2751000000000001</v>
      </c>
      <c r="J18" s="17">
        <f>'Economic Forecasts'!W$9</f>
        <v>4.3324999999999996</v>
      </c>
      <c r="K18" s="17">
        <f>'Economic Forecasts'!X$9</f>
        <v>4.3881999999999994</v>
      </c>
      <c r="L18" s="17">
        <f>'Economic Forecasts'!Y$9</f>
        <v>4.4468000000000005</v>
      </c>
      <c r="M18" s="17">
        <f>'Economic Forecasts'!Z$9</f>
        <v>4.5060000000000002</v>
      </c>
      <c r="N18" s="17">
        <f>'Economic Forecasts'!AA$9</f>
        <v>4.5653000000000006</v>
      </c>
      <c r="O18" s="16">
        <f>N$18*'Population Treasury'!Z$6/'Population Treasury'!Y$6</f>
        <v>4.6218546614438232</v>
      </c>
      <c r="P18" s="16">
        <f>O$18*'Population Treasury'!AA$6/'Population Treasury'!Z$6</f>
        <v>4.6757910271716634</v>
      </c>
      <c r="Q18" s="16">
        <f>P$18*'Population Treasury'!AB$6/'Population Treasury'!AA$6</f>
        <v>4.7275390971835236</v>
      </c>
      <c r="R18" s="16">
        <f>Q$18*'Population Treasury'!AC$6/'Population Treasury'!AB$6</f>
        <v>4.7758688714794006</v>
      </c>
      <c r="S18" s="16">
        <f>R$18*'Population Treasury'!AD$6/'Population Treasury'!AC$6</f>
        <v>4.8216203500592991</v>
      </c>
      <c r="T18" s="16">
        <f>S$18*'Population Treasury'!AE$6/'Population Treasury'!AD$6</f>
        <v>4.8645335329232227</v>
      </c>
      <c r="U18" s="16">
        <f>T$18*'Population Treasury'!AF$6/'Population Treasury'!AE$6</f>
        <v>4.9064484200711611</v>
      </c>
      <c r="V18" s="16">
        <f>U$18*'Population Treasury'!AG$6/'Population Treasury'!AF$6</f>
        <v>4.9466650115031188</v>
      </c>
      <c r="W18" s="16">
        <f>V$18*'Population Treasury'!AH$6/'Population Treasury'!AG$6</f>
        <v>4.9832933072191006</v>
      </c>
      <c r="X18" s="16">
        <f>W$18*'Population Treasury'!AI$6/'Population Treasury'!AH$6</f>
        <v>5.0178433072191009</v>
      </c>
    </row>
    <row r="19" spans="1:24" x14ac:dyDescent="0.25">
      <c r="A19" s="10" t="str">
        <f>$A$12</f>
        <v>Annual percentage growth</v>
      </c>
      <c r="B19" s="9"/>
      <c r="C19" s="13"/>
      <c r="D19" s="36"/>
      <c r="E19" s="36">
        <f>E$18/D$18-1</f>
        <v>2.2044291288704221E-2</v>
      </c>
      <c r="F19" s="36">
        <f t="shared" ref="F19:X19" si="6">F$18/E$18-1</f>
        <v>1.3784212614042168E-2</v>
      </c>
      <c r="G19" s="36">
        <f t="shared" si="6"/>
        <v>2.8367406827742858E-3</v>
      </c>
      <c r="H19" s="36">
        <f t="shared" si="6"/>
        <v>1.333886071010526E-2</v>
      </c>
      <c r="I19" s="36">
        <f t="shared" si="6"/>
        <v>2.8781133437612905E-2</v>
      </c>
      <c r="J19" s="19">
        <f t="shared" si="6"/>
        <v>1.3426586512595984E-2</v>
      </c>
      <c r="K19" s="19">
        <f t="shared" si="6"/>
        <v>1.2856318522792787E-2</v>
      </c>
      <c r="L19" s="19">
        <f t="shared" si="6"/>
        <v>1.3353994804248037E-2</v>
      </c>
      <c r="M19" s="19">
        <f t="shared" si="6"/>
        <v>1.3312944139606042E-2</v>
      </c>
      <c r="N19" s="19">
        <f t="shared" si="6"/>
        <v>1.3160230803373363E-2</v>
      </c>
      <c r="O19" s="18">
        <f t="shared" si="6"/>
        <v>1.2387939772593892E-2</v>
      </c>
      <c r="P19" s="18">
        <f t="shared" si="6"/>
        <v>1.166985326859904E-2</v>
      </c>
      <c r="Q19" s="18">
        <f t="shared" si="6"/>
        <v>1.1067233268370114E-2</v>
      </c>
      <c r="R19" s="18">
        <f t="shared" si="6"/>
        <v>1.0223030059057558E-2</v>
      </c>
      <c r="S19" s="18">
        <f t="shared" si="6"/>
        <v>9.5797183321171264E-3</v>
      </c>
      <c r="T19" s="18">
        <f t="shared" si="6"/>
        <v>8.9001579859757651E-3</v>
      </c>
      <c r="U19" s="18">
        <f t="shared" si="6"/>
        <v>8.616424753629115E-3</v>
      </c>
      <c r="V19" s="18">
        <f t="shared" si="6"/>
        <v>8.1966807737019476E-3</v>
      </c>
      <c r="W19" s="18">
        <f t="shared" si="6"/>
        <v>7.4046444687088098E-3</v>
      </c>
      <c r="X19" s="18">
        <f t="shared" si="6"/>
        <v>6.933166055056228E-3</v>
      </c>
    </row>
    <row r="20" spans="1:24" x14ac:dyDescent="0.25">
      <c r="A20" s="9" t="s">
        <v>155</v>
      </c>
      <c r="B20" s="9"/>
      <c r="C20" s="13"/>
      <c r="D20" s="36">
        <f>D$16/D$18</f>
        <v>0.70853392793797187</v>
      </c>
      <c r="E20" s="36">
        <f t="shared" ref="E20:X20" si="7">E$16/E$18</f>
        <v>0.70420963903213019</v>
      </c>
      <c r="F20" s="36">
        <f t="shared" si="7"/>
        <v>0.70307150542893482</v>
      </c>
      <c r="G20" s="36">
        <f t="shared" si="7"/>
        <v>0.70973956301209506</v>
      </c>
      <c r="H20" s="36">
        <f t="shared" si="7"/>
        <v>0.71996149681145472</v>
      </c>
      <c r="I20" s="36">
        <f t="shared" si="7"/>
        <v>0.71764403171855629</v>
      </c>
      <c r="J20" s="19">
        <f t="shared" si="7"/>
        <v>0.71053664166185815</v>
      </c>
      <c r="K20" s="19">
        <f t="shared" si="7"/>
        <v>0.71238776719383812</v>
      </c>
      <c r="L20" s="19">
        <f t="shared" si="7"/>
        <v>0.71552577134118911</v>
      </c>
      <c r="M20" s="19">
        <f t="shared" si="7"/>
        <v>0.71775410563692854</v>
      </c>
      <c r="N20" s="19">
        <f t="shared" si="7"/>
        <v>0.71898889448667114</v>
      </c>
      <c r="O20" s="18">
        <f t="shared" si="7"/>
        <v>0.71801458757359382</v>
      </c>
      <c r="P20" s="18">
        <f t="shared" si="7"/>
        <v>0.71707280871659607</v>
      </c>
      <c r="Q20" s="18">
        <f t="shared" si="7"/>
        <v>0.7160852879753381</v>
      </c>
      <c r="R20" s="18">
        <f t="shared" si="7"/>
        <v>0.71522359915775047</v>
      </c>
      <c r="S20" s="18">
        <f t="shared" si="7"/>
        <v>0.71429596881124024</v>
      </c>
      <c r="T20" s="18">
        <f t="shared" si="7"/>
        <v>0.71337169713226045</v>
      </c>
      <c r="U20" s="18">
        <f t="shared" si="7"/>
        <v>0.71223964485927249</v>
      </c>
      <c r="V20" s="18">
        <f t="shared" si="7"/>
        <v>0.71107452427748785</v>
      </c>
      <c r="W20" s="18">
        <f t="shared" si="7"/>
        <v>0.71016250626098099</v>
      </c>
      <c r="X20" s="18">
        <f t="shared" si="7"/>
        <v>0.70933679512276171</v>
      </c>
    </row>
    <row r="21" spans="1:24" x14ac:dyDescent="0.25">
      <c r="A21" s="9" t="s">
        <v>64</v>
      </c>
      <c r="B21" s="9"/>
      <c r="C21" s="13"/>
      <c r="D21" s="35">
        <f>'Economic Forecasts'!Q$10</f>
        <v>4.9516999999999998</v>
      </c>
      <c r="E21" s="35">
        <f>'Economic Forecasts'!R$10</f>
        <v>5.0551000000000004</v>
      </c>
      <c r="F21" s="35">
        <f>'Economic Forecasts'!S$10</f>
        <v>5.1053999999999995</v>
      </c>
      <c r="G21" s="35">
        <f>'Economic Forecasts'!T$10</f>
        <v>5.1158999999999999</v>
      </c>
      <c r="H21" s="35">
        <f>'Economic Forecasts'!U$10</f>
        <v>5.1861000000000006</v>
      </c>
      <c r="I21" s="35">
        <f>'Economic Forecasts'!V$10</f>
        <v>5.3128000000000002</v>
      </c>
      <c r="J21" s="17">
        <f>'Economic Forecasts'!W$10</f>
        <v>5.3654999999999999</v>
      </c>
      <c r="K21" s="17">
        <f>'Economic Forecasts'!X$10</f>
        <v>5.4257</v>
      </c>
      <c r="L21" s="17">
        <f>'Economic Forecasts'!Y$10</f>
        <v>5.4906999999999995</v>
      </c>
      <c r="M21" s="17">
        <f>'Economic Forecasts'!Z$10</f>
        <v>5.5564</v>
      </c>
      <c r="N21" s="17">
        <f>'Economic Forecasts'!AA$10</f>
        <v>5.6223999999999998</v>
      </c>
      <c r="O21" s="16">
        <f>N$21*'Population Treasury'!Z$4/'Population Treasury'!Y$4</f>
        <v>5.6789399842283865</v>
      </c>
      <c r="P21" s="16">
        <f>O$21*'Population Treasury'!AA$4/'Population Treasury'!Z$4</f>
        <v>5.7330099702091735</v>
      </c>
      <c r="Q21" s="16">
        <f>P$21*'Population Treasury'!AB$4/'Population Treasury'!AA$4</f>
        <v>5.7845499579423612</v>
      </c>
      <c r="R21" s="16">
        <f>Q$21*'Population Treasury'!AC$4/'Population Treasury'!AB$4</f>
        <v>5.8338099474279499</v>
      </c>
      <c r="S21" s="16">
        <f>R$21*'Population Treasury'!AD$4/'Population Treasury'!AC$4</f>
        <v>5.8805699386659374</v>
      </c>
      <c r="T21" s="16">
        <f>S$21*'Population Treasury'!AE$4/'Population Treasury'!AD$4</f>
        <v>5.9250499316563294</v>
      </c>
      <c r="U21" s="16">
        <f>T$21*'Population Treasury'!AF$4/'Population Treasury'!AE$4</f>
        <v>5.9671399263991258</v>
      </c>
      <c r="V21" s="16">
        <f>U$21*'Population Treasury'!AG$4/'Population Treasury'!AF$4</f>
        <v>6.0070199228943171</v>
      </c>
      <c r="W21" s="16">
        <f>V$21*'Population Treasury'!AH$4/'Population Treasury'!AG$4</f>
        <v>6.0447099211419184</v>
      </c>
      <c r="X21" s="16">
        <f>W$21*'Population Treasury'!AI$4/'Population Treasury'!AH$4</f>
        <v>6.0802299211419184</v>
      </c>
    </row>
    <row r="22" spans="1:24" x14ac:dyDescent="0.25">
      <c r="A22" s="10" t="str">
        <f>$A$12</f>
        <v>Annual percentage growth</v>
      </c>
      <c r="B22" s="12"/>
      <c r="C22" s="13"/>
      <c r="D22" s="40"/>
      <c r="E22" s="36">
        <f>E$21/D$21-1</f>
        <v>2.0881717389987342E-2</v>
      </c>
      <c r="F22" s="36">
        <f t="shared" ref="F22:X22" si="8">F$21/E$21-1</f>
        <v>9.9503471741408944E-3</v>
      </c>
      <c r="G22" s="36">
        <f t="shared" si="8"/>
        <v>2.0566459043367402E-3</v>
      </c>
      <c r="H22" s="36">
        <f t="shared" si="8"/>
        <v>1.3721925760863396E-2</v>
      </c>
      <c r="I22" s="36">
        <f t="shared" si="8"/>
        <v>2.4430689728312194E-2</v>
      </c>
      <c r="J22" s="19">
        <f t="shared" si="8"/>
        <v>9.9194398433970488E-3</v>
      </c>
      <c r="K22" s="19">
        <f t="shared" si="8"/>
        <v>1.1219830397912522E-2</v>
      </c>
      <c r="L22" s="19">
        <f t="shared" si="8"/>
        <v>1.1980021011113617E-2</v>
      </c>
      <c r="M22" s="19">
        <f t="shared" si="8"/>
        <v>1.1965687435117722E-2</v>
      </c>
      <c r="N22" s="19">
        <f t="shared" si="8"/>
        <v>1.1878194514433726E-2</v>
      </c>
      <c r="O22" s="18">
        <f t="shared" si="8"/>
        <v>1.0056200951263916E-2</v>
      </c>
      <c r="P22" s="18">
        <f t="shared" si="8"/>
        <v>9.5211405880235578E-3</v>
      </c>
      <c r="Q22" s="18">
        <f t="shared" si="8"/>
        <v>8.9900397873035054E-3</v>
      </c>
      <c r="R22" s="18">
        <f t="shared" si="8"/>
        <v>8.5157859891853427E-3</v>
      </c>
      <c r="S22" s="18">
        <f t="shared" si="8"/>
        <v>8.0153436021006552E-3</v>
      </c>
      <c r="T22" s="18">
        <f t="shared" si="8"/>
        <v>7.5638915027482767E-3</v>
      </c>
      <c r="U22" s="18">
        <f t="shared" si="8"/>
        <v>7.1037367158575115E-3</v>
      </c>
      <c r="V22" s="18">
        <f t="shared" si="8"/>
        <v>6.6832681966713103E-3</v>
      </c>
      <c r="W22" s="18">
        <f t="shared" si="8"/>
        <v>6.274325494402877E-3</v>
      </c>
      <c r="X22" s="18">
        <f t="shared" si="8"/>
        <v>5.8762125004154786E-3</v>
      </c>
    </row>
    <row r="23" spans="1:24" x14ac:dyDescent="0.25">
      <c r="A23" s="9" t="s">
        <v>65</v>
      </c>
      <c r="B23" s="9"/>
      <c r="C23" s="13"/>
      <c r="D23" s="36">
        <f>'Economic Forecasts'!Q$11</f>
        <v>4.1299999999999996E-2</v>
      </c>
      <c r="E23" s="36">
        <f>'Economic Forecasts'!R$11</f>
        <v>4.1299999999999996E-2</v>
      </c>
      <c r="F23" s="36">
        <f>'Economic Forecasts'!S$11</f>
        <v>4.6799999999999994E-2</v>
      </c>
      <c r="G23" s="36">
        <f>'Economic Forecasts'!T$11</f>
        <v>3.2500000000000001E-2</v>
      </c>
      <c r="H23" s="36">
        <f>'Economic Forecasts'!U$11</f>
        <v>3.4300000000000004E-2</v>
      </c>
      <c r="I23" s="36">
        <f>'Economic Forecasts'!V$11</f>
        <v>4.2300000000000004E-2</v>
      </c>
      <c r="J23" s="19">
        <f>'Economic Forecasts'!W$11</f>
        <v>5.16E-2</v>
      </c>
      <c r="K23" s="19">
        <f>'Economic Forecasts'!X$11</f>
        <v>5.1900000000000002E-2</v>
      </c>
      <c r="L23" s="19">
        <f>'Economic Forecasts'!Y$11</f>
        <v>4.8799999999999996E-2</v>
      </c>
      <c r="M23" s="19">
        <f>'Economic Forecasts'!Z$11</f>
        <v>4.5599999999999995E-2</v>
      </c>
      <c r="N23" s="19">
        <f>'Economic Forecasts'!AA$11</f>
        <v>4.3799999999999999E-2</v>
      </c>
      <c r="O23" s="18">
        <f ca="1">N$23+MIN(ABS(OFFSET(Assumptions!$B$12,0,$C$1)-N$23),OFFSET(Assumptions!$B$18,0,$C$1))*SIGN(OFFSET(Assumptions!$B$12,0,$C$1)-N$23)</f>
        <v>4.3099999999999999E-2</v>
      </c>
      <c r="P23" s="18">
        <f ca="1">O$23+MIN(ABS(OFFSET(Assumptions!$B$12,0,$C$1)-O$23),OFFSET(Assumptions!$B$18,0,$C$1))*SIGN(OFFSET(Assumptions!$B$12,0,$C$1)-O$23)</f>
        <v>4.2500000000000003E-2</v>
      </c>
      <c r="Q23" s="18">
        <f ca="1">P$23+MIN(ABS(OFFSET(Assumptions!$B$12,0,$C$1)-P$23),OFFSET(Assumptions!$B$18,0,$C$1))*SIGN(OFFSET(Assumptions!$B$12,0,$C$1)-P$23)</f>
        <v>4.2500000000000003E-2</v>
      </c>
      <c r="R23" s="18">
        <f ca="1">Q$23+MIN(ABS(OFFSET(Assumptions!$B$12,0,$C$1)-Q$23),OFFSET(Assumptions!$B$18,0,$C$1))*SIGN(OFFSET(Assumptions!$B$12,0,$C$1)-Q$23)</f>
        <v>4.2500000000000003E-2</v>
      </c>
      <c r="S23" s="18">
        <f ca="1">R$23+MIN(ABS(OFFSET(Assumptions!$B$12,0,$C$1)-R$23),OFFSET(Assumptions!$B$18,0,$C$1))*SIGN(OFFSET(Assumptions!$B$12,0,$C$1)-R$23)</f>
        <v>4.2500000000000003E-2</v>
      </c>
      <c r="T23" s="18">
        <f ca="1">S$23+MIN(ABS(OFFSET(Assumptions!$B$12,0,$C$1)-S$23),OFFSET(Assumptions!$B$18,0,$C$1))*SIGN(OFFSET(Assumptions!$B$12,0,$C$1)-S$23)</f>
        <v>4.2500000000000003E-2</v>
      </c>
      <c r="U23" s="18">
        <f ca="1">T$23+MIN(ABS(OFFSET(Assumptions!$B$12,0,$C$1)-T$23),OFFSET(Assumptions!$B$18,0,$C$1))*SIGN(OFFSET(Assumptions!$B$12,0,$C$1)-T$23)</f>
        <v>4.2500000000000003E-2</v>
      </c>
      <c r="V23" s="18">
        <f ca="1">U$23+MIN(ABS(OFFSET(Assumptions!$B$12,0,$C$1)-U$23),OFFSET(Assumptions!$B$18,0,$C$1))*SIGN(OFFSET(Assumptions!$B$12,0,$C$1)-U$23)</f>
        <v>4.2500000000000003E-2</v>
      </c>
      <c r="W23" s="18">
        <f ca="1">V$23+MIN(ABS(OFFSET(Assumptions!$B$12,0,$C$1)-V$23),OFFSET(Assumptions!$B$18,0,$C$1))*SIGN(OFFSET(Assumptions!$B$12,0,$C$1)-V$23)</f>
        <v>4.2500000000000003E-2</v>
      </c>
      <c r="X23" s="18">
        <f ca="1">W$23+MIN(ABS(OFFSET(Assumptions!$B$12,0,$C$1)-W$23),OFFSET(Assumptions!$B$18,0,$C$1))*SIGN(OFFSET(Assumptions!$B$12,0,$C$1)-W$23)</f>
        <v>4.2500000000000003E-2</v>
      </c>
    </row>
    <row r="24" spans="1:24" x14ac:dyDescent="0.25">
      <c r="A24" s="9" t="s">
        <v>66</v>
      </c>
      <c r="B24" s="9"/>
      <c r="C24" s="13"/>
      <c r="D24" s="37">
        <f>'Economic Forecasts'!Q$12</f>
        <v>34.119999999999997</v>
      </c>
      <c r="E24" s="37">
        <f>'Economic Forecasts'!R$12</f>
        <v>33.18</v>
      </c>
      <c r="F24" s="37">
        <f>'Economic Forecasts'!S$12</f>
        <v>34.119999999999997</v>
      </c>
      <c r="G24" s="37">
        <f>'Economic Forecasts'!T$12</f>
        <v>32.94</v>
      </c>
      <c r="H24" s="37">
        <f>'Economic Forecasts'!U$12</f>
        <v>33.729999999999997</v>
      </c>
      <c r="I24" s="37">
        <f>'Economic Forecasts'!V$12</f>
        <v>33.549999999999997</v>
      </c>
      <c r="J24" s="21">
        <f>'Economic Forecasts'!W$12</f>
        <v>33.29</v>
      </c>
      <c r="K24" s="21">
        <f>'Economic Forecasts'!X$12</f>
        <v>33.380000000000003</v>
      </c>
      <c r="L24" s="21">
        <f>'Economic Forecasts'!Y$12</f>
        <v>33.409999999999997</v>
      </c>
      <c r="M24" s="21">
        <f>'Economic Forecasts'!Z$12</f>
        <v>33.44</v>
      </c>
      <c r="N24" s="21">
        <f>'Economic Forecasts'!AA$12</f>
        <v>33.44</v>
      </c>
      <c r="O24" s="20">
        <f ca="1">N$24+MIN(ABS(OFFSET(Assumptions!$B$13,0,$C$1)-N$24),OFFSET(Assumptions!$B$19,0,$C$1))*SIGN(OFFSET(Assumptions!$B$13,0,$C$1)-N$24)</f>
        <v>33.5</v>
      </c>
      <c r="P24" s="20">
        <f ca="1">O$24+MIN(ABS(OFFSET(Assumptions!$B$13,0,$C$1)-O$24),OFFSET(Assumptions!$B$19,0,$C$1))*SIGN(OFFSET(Assumptions!$B$13,0,$C$1)-O$24)</f>
        <v>33.56</v>
      </c>
      <c r="Q24" s="20">
        <f ca="1">P$24+MIN(ABS(OFFSET(Assumptions!$B$13,0,$C$1)-P$24),OFFSET(Assumptions!$B$19,0,$C$1))*SIGN(OFFSET(Assumptions!$B$13,0,$C$1)-P$24)</f>
        <v>33.6</v>
      </c>
      <c r="R24" s="20">
        <f ca="1">Q$24+MIN(ABS(OFFSET(Assumptions!$B$13,0,$C$1)-Q$24),OFFSET(Assumptions!$B$19,0,$C$1))*SIGN(OFFSET(Assumptions!$B$13,0,$C$1)-Q$24)</f>
        <v>33.6</v>
      </c>
      <c r="S24" s="20">
        <f ca="1">R$24+MIN(ABS(OFFSET(Assumptions!$B$13,0,$C$1)-R$24),OFFSET(Assumptions!$B$19,0,$C$1))*SIGN(OFFSET(Assumptions!$B$13,0,$C$1)-R$24)</f>
        <v>33.6</v>
      </c>
      <c r="T24" s="20">
        <f ca="1">S$24+MIN(ABS(OFFSET(Assumptions!$B$13,0,$C$1)-S$24),OFFSET(Assumptions!$B$19,0,$C$1))*SIGN(OFFSET(Assumptions!$B$13,0,$C$1)-S$24)</f>
        <v>33.6</v>
      </c>
      <c r="U24" s="20">
        <f ca="1">T$24+MIN(ABS(OFFSET(Assumptions!$B$13,0,$C$1)-T$24),OFFSET(Assumptions!$B$19,0,$C$1))*SIGN(OFFSET(Assumptions!$B$13,0,$C$1)-T$24)</f>
        <v>33.6</v>
      </c>
      <c r="V24" s="20">
        <f ca="1">U$24+MIN(ABS(OFFSET(Assumptions!$B$13,0,$C$1)-U$24),OFFSET(Assumptions!$B$19,0,$C$1))*SIGN(OFFSET(Assumptions!$B$13,0,$C$1)-U$24)</f>
        <v>33.6</v>
      </c>
      <c r="W24" s="20">
        <f ca="1">V$24+MIN(ABS(OFFSET(Assumptions!$B$13,0,$C$1)-V$24),OFFSET(Assumptions!$B$19,0,$C$1))*SIGN(OFFSET(Assumptions!$B$13,0,$C$1)-V$24)</f>
        <v>33.6</v>
      </c>
      <c r="X24" s="20">
        <f ca="1">W$24+MIN(ABS(OFFSET(Assumptions!$B$13,0,$C$1)-W$24),OFFSET(Assumptions!$B$19,0,$C$1))*SIGN(OFFSET(Assumptions!$B$13,0,$C$1)-W$24)</f>
        <v>33.6</v>
      </c>
    </row>
    <row r="25" spans="1:24" x14ac:dyDescent="0.25">
      <c r="A25" s="9" t="s">
        <v>67</v>
      </c>
      <c r="B25" s="9"/>
      <c r="C25" s="13"/>
      <c r="D25" s="36">
        <f>'Economic Forecasts'!Q$13</f>
        <v>6.7000000000000002E-3</v>
      </c>
      <c r="E25" s="36">
        <f>'Economic Forecasts'!R$13</f>
        <v>3.7000000000000002E-3</v>
      </c>
      <c r="F25" s="36">
        <f>'Economic Forecasts'!S$13</f>
        <v>2.6800000000000001E-2</v>
      </c>
      <c r="G25" s="36">
        <f>'Economic Forecasts'!T$13</f>
        <v>1.54E-2</v>
      </c>
      <c r="H25" s="36">
        <f>'Economic Forecasts'!U$13</f>
        <v>-1.0500000000000001E-2</v>
      </c>
      <c r="I25" s="36">
        <f>'Economic Forecasts'!V$13</f>
        <v>-5.4000000000000003E-3</v>
      </c>
      <c r="J25" s="19">
        <f>'Economic Forecasts'!W$13</f>
        <v>6.3E-3</v>
      </c>
      <c r="K25" s="19">
        <f>'Economic Forecasts'!X$13</f>
        <v>1.0999999999999999E-2</v>
      </c>
      <c r="L25" s="19">
        <f>'Economic Forecasts'!Y$13</f>
        <v>7.3000000000000001E-3</v>
      </c>
      <c r="M25" s="19">
        <f>'Economic Forecasts'!Z$13</f>
        <v>8.0000000000000002E-3</v>
      </c>
      <c r="N25" s="19">
        <f>'Economic Forecasts'!AA$13</f>
        <v>8.6999999999999994E-3</v>
      </c>
      <c r="O25" s="18">
        <f ca="1">N$25+IF(O$6&lt;OFFSET(Assumptions!$B$8,0,$C$1)+OFFSET(Assumptions!$B$24,0,$C$1),MIN(ABS(OFFSET(Assumptions!$B$14,0,$C$1)+OFFSET(Assumptions!$B$25,0,$C$1)-N$25),OFFSET(Assumptions!$B$20,0,$C$1))*SIGN(OFFSET(Assumptions!$B$14,0,$C$1)+OFFSET(Assumptions!$B$25,0,$C$1)-N$25),MIN(ABS(OFFSET(Assumptions!$B$14,0,$C$1)-N$25),OFFSET(Assumptions!$B$20,0,$C$1))*SIGN(OFFSET(Assumptions!$B$14,0,$C$1)-N$25))</f>
        <v>8.9999999999999993E-3</v>
      </c>
      <c r="P25" s="18">
        <f ca="1">O$25+IF(P$6&lt;OFFSET(Assumptions!$B$8,0,$C$1)+OFFSET(Assumptions!$B$24,0,$C$1),MIN(ABS(OFFSET(Assumptions!$B$14,0,$C$1)+OFFSET(Assumptions!$B$25,0,$C$1)-O$25),OFFSET(Assumptions!$B$20,0,$C$1))*SIGN(OFFSET(Assumptions!$B$14,0,$C$1)+OFFSET(Assumptions!$B$25,0,$C$1)-O$25),MIN(ABS(OFFSET(Assumptions!$B$14,0,$C$1)-O$25),OFFSET(Assumptions!$B$20,0,$C$1))*SIGN(OFFSET(Assumptions!$B$14,0,$C$1)-O$25))</f>
        <v>9.2999999999999992E-3</v>
      </c>
      <c r="Q25" s="18">
        <f ca="1">P$25+IF(Q$6&lt;OFFSET(Assumptions!$B$8,0,$C$1)+OFFSET(Assumptions!$B$24,0,$C$1),MIN(ABS(OFFSET(Assumptions!$B$14,0,$C$1)+OFFSET(Assumptions!$B$25,0,$C$1)-P$25),OFFSET(Assumptions!$B$20,0,$C$1))*SIGN(OFFSET(Assumptions!$B$14,0,$C$1)+OFFSET(Assumptions!$B$25,0,$C$1)-P$25),MIN(ABS(OFFSET(Assumptions!$B$14,0,$C$1)-P$25),OFFSET(Assumptions!$B$20,0,$C$1))*SIGN(OFFSET(Assumptions!$B$14,0,$C$1)-P$25))</f>
        <v>9.5999999999999992E-3</v>
      </c>
      <c r="R25" s="18">
        <f ca="1">Q$25+IF(R$6&lt;OFFSET(Assumptions!$B$8,0,$C$1)+OFFSET(Assumptions!$B$24,0,$C$1),MIN(ABS(OFFSET(Assumptions!$B$14,0,$C$1)+OFFSET(Assumptions!$B$25,0,$C$1)-Q$25),OFFSET(Assumptions!$B$20,0,$C$1))*SIGN(OFFSET(Assumptions!$B$14,0,$C$1)+OFFSET(Assumptions!$B$25,0,$C$1)-Q$25),MIN(ABS(OFFSET(Assumptions!$B$14,0,$C$1)-Q$25),OFFSET(Assumptions!$B$20,0,$C$1))*SIGN(OFFSET(Assumptions!$B$14,0,$C$1)-Q$25))</f>
        <v>9.8999999999999991E-3</v>
      </c>
      <c r="S25" s="18">
        <f ca="1">R$25+IF(S$6&lt;OFFSET(Assumptions!$B$8,0,$C$1)+OFFSET(Assumptions!$B$24,0,$C$1),MIN(ABS(OFFSET(Assumptions!$B$14,0,$C$1)+OFFSET(Assumptions!$B$25,0,$C$1)-R$25),OFFSET(Assumptions!$B$20,0,$C$1))*SIGN(OFFSET(Assumptions!$B$14,0,$C$1)+OFFSET(Assumptions!$B$25,0,$C$1)-R$25),MIN(ABS(OFFSET(Assumptions!$B$14,0,$C$1)-R$25),OFFSET(Assumptions!$B$20,0,$C$1))*SIGN(OFFSET(Assumptions!$B$14,0,$C$1)-R$25))</f>
        <v>9.9999999999999985E-3</v>
      </c>
      <c r="T25" s="18">
        <f ca="1">S$25+IF(T$6&lt;OFFSET(Assumptions!$B$8,0,$C$1)+OFFSET(Assumptions!$B$24,0,$C$1),MIN(ABS(OFFSET(Assumptions!$B$14,0,$C$1)+OFFSET(Assumptions!$B$25,0,$C$1)-S$25),OFFSET(Assumptions!$B$20,0,$C$1))*SIGN(OFFSET(Assumptions!$B$14,0,$C$1)+OFFSET(Assumptions!$B$25,0,$C$1)-S$25),MIN(ABS(OFFSET(Assumptions!$B$14,0,$C$1)-S$25),OFFSET(Assumptions!$B$20,0,$C$1))*SIGN(OFFSET(Assumptions!$B$14,0,$C$1)-S$25))</f>
        <v>9.9999999999999985E-3</v>
      </c>
      <c r="U25" s="18">
        <f ca="1">T$25+IF(U$6&lt;OFFSET(Assumptions!$B$8,0,$C$1)+OFFSET(Assumptions!$B$24,0,$C$1),MIN(ABS(OFFSET(Assumptions!$B$14,0,$C$1)+OFFSET(Assumptions!$B$25,0,$C$1)-T$25),OFFSET(Assumptions!$B$20,0,$C$1))*SIGN(OFFSET(Assumptions!$B$14,0,$C$1)+OFFSET(Assumptions!$B$25,0,$C$1)-T$25),MIN(ABS(OFFSET(Assumptions!$B$14,0,$C$1)-T$25),OFFSET(Assumptions!$B$20,0,$C$1))*SIGN(OFFSET(Assumptions!$B$14,0,$C$1)-T$25))</f>
        <v>9.6999999999999986E-3</v>
      </c>
      <c r="V25" s="18">
        <f ca="1">U$25+IF(V$6&lt;OFFSET(Assumptions!$B$8,0,$C$1)+OFFSET(Assumptions!$B$24,0,$C$1),MIN(ABS(OFFSET(Assumptions!$B$14,0,$C$1)+OFFSET(Assumptions!$B$25,0,$C$1)-U$25),OFFSET(Assumptions!$B$20,0,$C$1))*SIGN(OFFSET(Assumptions!$B$14,0,$C$1)+OFFSET(Assumptions!$B$25,0,$C$1)-U$25),MIN(ABS(OFFSET(Assumptions!$B$14,0,$C$1)-U$25),OFFSET(Assumptions!$B$20,0,$C$1))*SIGN(OFFSET(Assumptions!$B$14,0,$C$1)-U$25))</f>
        <v>9.3999999999999986E-3</v>
      </c>
      <c r="W25" s="18">
        <f ca="1">V$25+IF(W$6&lt;OFFSET(Assumptions!$B$8,0,$C$1)+OFFSET(Assumptions!$B$24,0,$C$1),MIN(ABS(OFFSET(Assumptions!$B$14,0,$C$1)+OFFSET(Assumptions!$B$25,0,$C$1)-V$25),OFFSET(Assumptions!$B$20,0,$C$1))*SIGN(OFFSET(Assumptions!$B$14,0,$C$1)+OFFSET(Assumptions!$B$25,0,$C$1)-V$25),MIN(ABS(OFFSET(Assumptions!$B$14,0,$C$1)-V$25),OFFSET(Assumptions!$B$20,0,$C$1))*SIGN(OFFSET(Assumptions!$B$14,0,$C$1)-V$25))</f>
        <v>9.0999999999999987E-3</v>
      </c>
      <c r="X25" s="18">
        <f ca="1">W$25+IF(X$6&lt;OFFSET(Assumptions!$B$8,0,$C$1)+OFFSET(Assumptions!$B$24,0,$C$1),MIN(ABS(OFFSET(Assumptions!$B$14,0,$C$1)+OFFSET(Assumptions!$B$25,0,$C$1)-W$25),OFFSET(Assumptions!$B$20,0,$C$1))*SIGN(OFFSET(Assumptions!$B$14,0,$C$1)+OFFSET(Assumptions!$B$25,0,$C$1)-W$25),MIN(ABS(OFFSET(Assumptions!$B$14,0,$C$1)-W$25),OFFSET(Assumptions!$B$20,0,$C$1))*SIGN(OFFSET(Assumptions!$B$14,0,$C$1)-W$25))</f>
        <v>8.9999999999999993E-3</v>
      </c>
    </row>
    <row r="26" spans="1:24" x14ac:dyDescent="0.25">
      <c r="A26" s="9" t="s">
        <v>69</v>
      </c>
      <c r="B26" s="12"/>
      <c r="C26" s="13"/>
      <c r="D26" s="36">
        <f>'Economic Forecasts'!Q$15</f>
        <v>3.3700000000000001E-2</v>
      </c>
      <c r="E26" s="36">
        <f>'Economic Forecasts'!R$15</f>
        <v>3.3300000000000003E-2</v>
      </c>
      <c r="F26" s="36">
        <f>'Economic Forecasts'!S$15</f>
        <v>4.1200000000000001E-2</v>
      </c>
      <c r="G26" s="36">
        <f>'Economic Forecasts'!T$15</f>
        <v>4.6100000000000002E-2</v>
      </c>
      <c r="H26" s="36">
        <f>'Economic Forecasts'!U$15</f>
        <v>7.2900000000000006E-2</v>
      </c>
      <c r="I26" s="36">
        <f>'Economic Forecasts'!V$15</f>
        <v>5.96E-2</v>
      </c>
      <c r="J26" s="19">
        <f>'Economic Forecasts'!W$15</f>
        <v>4.1200000000000001E-2</v>
      </c>
      <c r="K26" s="19">
        <f>'Economic Forecasts'!X$15</f>
        <v>3.0099999999999998E-2</v>
      </c>
      <c r="L26" s="19">
        <f>'Economic Forecasts'!Y$15</f>
        <v>2.6499999999999999E-2</v>
      </c>
      <c r="M26" s="19">
        <f>'Economic Forecasts'!Z$15</f>
        <v>2.6800000000000001E-2</v>
      </c>
      <c r="N26" s="19">
        <f>'Economic Forecasts'!AA$15</f>
        <v>2.7199999999999998E-2</v>
      </c>
      <c r="O26" s="18">
        <f t="shared" ref="O26:X26" ca="1" si="9">(1+O$25)*(1+O$29)-1</f>
        <v>2.9179999999999984E-2</v>
      </c>
      <c r="P26" s="18">
        <f t="shared" ca="1" si="9"/>
        <v>2.9486000000000123E-2</v>
      </c>
      <c r="Q26" s="18">
        <f t="shared" ca="1" si="9"/>
        <v>2.9792000000000041E-2</v>
      </c>
      <c r="R26" s="18">
        <f t="shared" ca="1" si="9"/>
        <v>3.0097999999999958E-2</v>
      </c>
      <c r="S26" s="18">
        <f t="shared" ca="1" si="9"/>
        <v>3.0200000000000005E-2</v>
      </c>
      <c r="T26" s="18">
        <f t="shared" ca="1" si="9"/>
        <v>3.0200000000000005E-2</v>
      </c>
      <c r="U26" s="18">
        <f t="shared" ca="1" si="9"/>
        <v>2.9894000000000087E-2</v>
      </c>
      <c r="V26" s="18">
        <f t="shared" ca="1" si="9"/>
        <v>2.958800000000017E-2</v>
      </c>
      <c r="W26" s="18">
        <f t="shared" ca="1" si="9"/>
        <v>2.928200000000003E-2</v>
      </c>
      <c r="X26" s="18">
        <f t="shared" ca="1" si="9"/>
        <v>2.9179999999999984E-2</v>
      </c>
    </row>
    <row r="27" spans="1:24" x14ac:dyDescent="0.25">
      <c r="A27" s="12" t="s">
        <v>156</v>
      </c>
      <c r="B27" s="9"/>
      <c r="C27" s="13"/>
    </row>
    <row r="28" spans="1:24" x14ac:dyDescent="0.25">
      <c r="A28" s="9" t="s">
        <v>157</v>
      </c>
      <c r="B28" s="9"/>
      <c r="C28" s="13"/>
      <c r="D28" s="44">
        <f>'Economic Forecasts'!Q$14</f>
        <v>1032</v>
      </c>
      <c r="E28" s="44">
        <f>'Economic Forecasts'!R$14</f>
        <v>1047</v>
      </c>
      <c r="F28" s="44">
        <f>'Economic Forecasts'!S$14</f>
        <v>1082</v>
      </c>
      <c r="G28" s="44">
        <f>'Economic Forecasts'!T$14</f>
        <v>1161</v>
      </c>
      <c r="H28" s="44">
        <f>'Economic Forecasts'!U$14</f>
        <v>1231</v>
      </c>
      <c r="I28" s="44">
        <f>'Economic Forecasts'!V$14</f>
        <v>1272</v>
      </c>
      <c r="J28" s="45">
        <f>'Economic Forecasts'!W$14</f>
        <v>1299.5999999999999</v>
      </c>
      <c r="K28" s="45">
        <f>'Economic Forecasts'!X$14</f>
        <v>1326.7</v>
      </c>
      <c r="L28" s="45">
        <f>'Economic Forecasts'!Y$14</f>
        <v>1352.9</v>
      </c>
      <c r="M28" s="45">
        <f>'Economic Forecasts'!Z$14</f>
        <v>1379.7</v>
      </c>
      <c r="N28" s="45">
        <f>'Economic Forecasts'!AA$14</f>
        <v>1407.3</v>
      </c>
      <c r="O28" s="46">
        <f t="shared" ref="O28:X28" ca="1" si="10">N$28*(1+O$29)</f>
        <v>1435.4459999999999</v>
      </c>
      <c r="P28" s="46">
        <f t="shared" ca="1" si="10"/>
        <v>1464.1549199999999</v>
      </c>
      <c r="Q28" s="46">
        <f t="shared" ca="1" si="10"/>
        <v>1493.4380183999999</v>
      </c>
      <c r="R28" s="46">
        <f t="shared" ca="1" si="10"/>
        <v>1523.306778768</v>
      </c>
      <c r="S28" s="46">
        <f t="shared" ca="1" si="10"/>
        <v>1553.7729143433601</v>
      </c>
      <c r="T28" s="46">
        <f t="shared" ca="1" si="10"/>
        <v>1584.8483726302272</v>
      </c>
      <c r="U28" s="46">
        <f t="shared" ca="1" si="10"/>
        <v>1616.5453400828319</v>
      </c>
      <c r="V28" s="46">
        <f t="shared" ca="1" si="10"/>
        <v>1648.8762468844886</v>
      </c>
      <c r="W28" s="46">
        <f t="shared" ca="1" si="10"/>
        <v>1681.8537718221785</v>
      </c>
      <c r="X28" s="46">
        <f t="shared" ca="1" si="10"/>
        <v>1715.4908472586221</v>
      </c>
    </row>
    <row r="29" spans="1:24" x14ac:dyDescent="0.25">
      <c r="A29" s="10" t="str">
        <f>$A$12</f>
        <v>Annual percentage growth</v>
      </c>
      <c r="B29" s="9"/>
      <c r="C29" s="13"/>
      <c r="D29" s="39"/>
      <c r="E29" s="36">
        <f>E$28/D$28-1</f>
        <v>1.4534883720930258E-2</v>
      </c>
      <c r="F29" s="36">
        <f t="shared" ref="F29:N29" si="11">F$28/E$28-1</f>
        <v>3.3428844317096473E-2</v>
      </c>
      <c r="G29" s="36">
        <f t="shared" si="11"/>
        <v>7.3012939001848354E-2</v>
      </c>
      <c r="H29" s="36">
        <f t="shared" si="11"/>
        <v>6.0292850990525393E-2</v>
      </c>
      <c r="I29" s="36">
        <f t="shared" si="11"/>
        <v>3.3306255077172997E-2</v>
      </c>
      <c r="J29" s="19">
        <f t="shared" si="11"/>
        <v>2.1698113207547109E-2</v>
      </c>
      <c r="K29" s="19">
        <f t="shared" si="11"/>
        <v>2.0852570021545169E-2</v>
      </c>
      <c r="L29" s="19">
        <f t="shared" si="11"/>
        <v>1.9748247531469199E-2</v>
      </c>
      <c r="M29" s="19">
        <f t="shared" si="11"/>
        <v>1.9809298543868703E-2</v>
      </c>
      <c r="N29" s="19">
        <f t="shared" si="11"/>
        <v>2.0004348771472058E-2</v>
      </c>
      <c r="O29" s="18">
        <f ca="1">N$29+MIN(ABS(OFFSET(Assumptions!$B$15,0,$C$1)-N$29),OFFSET(Assumptions!$B$21,0,$C$1))*SIGN(OFFSET(Assumptions!$B$15,0,$C$1)-N$29)</f>
        <v>0.02</v>
      </c>
      <c r="P29" s="18">
        <f ca="1">O$29+MIN(ABS(OFFSET(Assumptions!$B$15,0,$C$1)-O$29),OFFSET(Assumptions!$B$21,0,$C$1))*SIGN(OFFSET(Assumptions!$B$15,0,$C$1)-O$29)</f>
        <v>0.02</v>
      </c>
      <c r="Q29" s="18">
        <f ca="1">P$29+MIN(ABS(OFFSET(Assumptions!$B$15,0,$C$1)-P$29),OFFSET(Assumptions!$B$21,0,$C$1))*SIGN(OFFSET(Assumptions!$B$15,0,$C$1)-P$29)</f>
        <v>0.02</v>
      </c>
      <c r="R29" s="18">
        <f ca="1">Q$29+MIN(ABS(OFFSET(Assumptions!$B$15,0,$C$1)-Q$29),OFFSET(Assumptions!$B$21,0,$C$1))*SIGN(OFFSET(Assumptions!$B$15,0,$C$1)-Q$29)</f>
        <v>0.02</v>
      </c>
      <c r="S29" s="18">
        <f ca="1">R$29+MIN(ABS(OFFSET(Assumptions!$B$15,0,$C$1)-R$29),OFFSET(Assumptions!$B$21,0,$C$1))*SIGN(OFFSET(Assumptions!$B$15,0,$C$1)-R$29)</f>
        <v>0.02</v>
      </c>
      <c r="T29" s="18">
        <f ca="1">S$29+MIN(ABS(OFFSET(Assumptions!$B$15,0,$C$1)-S$29),OFFSET(Assumptions!$B$21,0,$C$1))*SIGN(OFFSET(Assumptions!$B$15,0,$C$1)-S$29)</f>
        <v>0.02</v>
      </c>
      <c r="U29" s="18">
        <f ca="1">T$29+MIN(ABS(OFFSET(Assumptions!$B$15,0,$C$1)-T$29),OFFSET(Assumptions!$B$21,0,$C$1))*SIGN(OFFSET(Assumptions!$B$15,0,$C$1)-T$29)</f>
        <v>0.02</v>
      </c>
      <c r="V29" s="18">
        <f ca="1">U$29+MIN(ABS(OFFSET(Assumptions!$B$15,0,$C$1)-U$29),OFFSET(Assumptions!$B$21,0,$C$1))*SIGN(OFFSET(Assumptions!$B$15,0,$C$1)-U$29)</f>
        <v>0.02</v>
      </c>
      <c r="W29" s="18">
        <f ca="1">V$29+MIN(ABS(OFFSET(Assumptions!$B$15,0,$C$1)-V$29),OFFSET(Assumptions!$B$21,0,$C$1))*SIGN(OFFSET(Assumptions!$B$15,0,$C$1)-V$29)</f>
        <v>0.02</v>
      </c>
      <c r="X29" s="18">
        <f ca="1">W$29+MIN(ABS(OFFSET(Assumptions!$B$15,0,$C$1)-W$29),OFFSET(Assumptions!$B$21,0,$C$1))*SIGN(OFFSET(Assumptions!$B$15,0,$C$1)-W$29)</f>
        <v>0.02</v>
      </c>
    </row>
    <row r="30" spans="1:24" x14ac:dyDescent="0.25">
      <c r="A30" s="9" t="s">
        <v>70</v>
      </c>
      <c r="B30" s="9"/>
      <c r="C30" s="13"/>
      <c r="D30" s="36">
        <f>'Economic Forecasts'!Q$16</f>
        <v>2.3099999999999999E-2</v>
      </c>
      <c r="E30" s="36">
        <f>'Economic Forecasts'!R$16</f>
        <v>1.18E-2</v>
      </c>
      <c r="F30" s="36">
        <f>'Economic Forecasts'!S$16</f>
        <v>1.1599999999999999E-2</v>
      </c>
      <c r="G30" s="36">
        <f>'Economic Forecasts'!T$16</f>
        <v>2.6499999999999999E-2</v>
      </c>
      <c r="H30" s="36">
        <f>'Economic Forecasts'!U$16</f>
        <v>4.1500000000000002E-2</v>
      </c>
      <c r="I30" s="36">
        <f>'Economic Forecasts'!V$16</f>
        <v>4.8499999999999995E-2</v>
      </c>
      <c r="J30" s="19">
        <f>'Economic Forecasts'!W$16</f>
        <v>4.4400000000000002E-2</v>
      </c>
      <c r="K30" s="19">
        <f>'Economic Forecasts'!X$16</f>
        <v>4.2999999999999997E-2</v>
      </c>
      <c r="L30" s="19">
        <f>'Economic Forecasts'!Y$16</f>
        <v>4.2900000000000001E-2</v>
      </c>
      <c r="M30" s="19">
        <f>'Economic Forecasts'!Z$16</f>
        <v>4.24E-2</v>
      </c>
      <c r="N30" s="19">
        <f>'Economic Forecasts'!AA$16</f>
        <v>4.2599999999999999E-2</v>
      </c>
      <c r="O30" s="18">
        <f ca="1">N$30+MIN(ABS(OFFSET(Assumptions!$B$16,0,$C$1)-N$30),OFFSET(Assumptions!$B$22,0,$C$1))*SIGN(OFFSET(Assumptions!$B$16,0,$C$1)-N$30)</f>
        <v>4.2999999999999997E-2</v>
      </c>
      <c r="P30" s="18">
        <f ca="1">O$30+MIN(ABS(OFFSET(Assumptions!$B$16,0,$C$1)-O$30),OFFSET(Assumptions!$B$22,0,$C$1))*SIGN(OFFSET(Assumptions!$B$16,0,$C$1)-O$30)</f>
        <v>4.2999999999999997E-2</v>
      </c>
      <c r="Q30" s="18">
        <f ca="1">P$30+MIN(ABS(OFFSET(Assumptions!$B$16,0,$C$1)-P$30),OFFSET(Assumptions!$B$22,0,$C$1))*SIGN(OFFSET(Assumptions!$B$16,0,$C$1)-P$30)</f>
        <v>4.2999999999999997E-2</v>
      </c>
      <c r="R30" s="18">
        <f ca="1">Q$30+MIN(ABS(OFFSET(Assumptions!$B$16,0,$C$1)-Q$30),OFFSET(Assumptions!$B$22,0,$C$1))*SIGN(OFFSET(Assumptions!$B$16,0,$C$1)-Q$30)</f>
        <v>4.2999999999999997E-2</v>
      </c>
      <c r="S30" s="18">
        <f ca="1">R$30+MIN(ABS(OFFSET(Assumptions!$B$16,0,$C$1)-R$30),OFFSET(Assumptions!$B$22,0,$C$1))*SIGN(OFFSET(Assumptions!$B$16,0,$C$1)-R$30)</f>
        <v>4.2999999999999997E-2</v>
      </c>
      <c r="T30" s="18">
        <f ca="1">S$30+MIN(ABS(OFFSET(Assumptions!$B$16,0,$C$1)-S$30),OFFSET(Assumptions!$B$22,0,$C$1))*SIGN(OFFSET(Assumptions!$B$16,0,$C$1)-S$30)</f>
        <v>4.2999999999999997E-2</v>
      </c>
      <c r="U30" s="18">
        <f ca="1">T$30+MIN(ABS(OFFSET(Assumptions!$B$16,0,$C$1)-T$30),OFFSET(Assumptions!$B$22,0,$C$1))*SIGN(OFFSET(Assumptions!$B$16,0,$C$1)-T$30)</f>
        <v>4.2999999999999997E-2</v>
      </c>
      <c r="V30" s="18">
        <f ca="1">U$30+MIN(ABS(OFFSET(Assumptions!$B$16,0,$C$1)-U$30),OFFSET(Assumptions!$B$22,0,$C$1))*SIGN(OFFSET(Assumptions!$B$16,0,$C$1)-U$30)</f>
        <v>4.2999999999999997E-2</v>
      </c>
      <c r="W30" s="18">
        <f ca="1">V$30+MIN(ABS(OFFSET(Assumptions!$B$16,0,$C$1)-V$30),OFFSET(Assumptions!$B$22,0,$C$1))*SIGN(OFFSET(Assumptions!$B$16,0,$C$1)-V$30)</f>
        <v>4.2999999999999997E-2</v>
      </c>
      <c r="X30" s="18">
        <f ca="1">W$30+MIN(ABS(OFFSET(Assumptions!$B$16,0,$C$1)-W$30),OFFSET(Assumptions!$B$22,0,$C$1))*SIGN(OFFSET(Assumptions!$B$16,0,$C$1)-W$30)</f>
        <v>4.2999999999999997E-2</v>
      </c>
    </row>
    <row r="31" spans="1:24" x14ac:dyDescent="0.25">
      <c r="A31" s="9"/>
      <c r="B31" s="9"/>
      <c r="C31" s="13"/>
      <c r="D31" s="36"/>
      <c r="E31" s="36"/>
      <c r="F31" s="36"/>
      <c r="G31" s="36"/>
      <c r="H31" s="36"/>
      <c r="I31" s="36"/>
      <c r="J31" s="19"/>
      <c r="K31" s="19"/>
      <c r="L31" s="19"/>
      <c r="M31" s="19"/>
      <c r="N31" s="18"/>
      <c r="O31" s="18"/>
      <c r="P31" s="18"/>
      <c r="Q31" s="18"/>
      <c r="R31" s="18"/>
      <c r="S31" s="18"/>
      <c r="T31" s="18"/>
      <c r="U31" s="18"/>
      <c r="V31" s="18"/>
      <c r="W31" s="18"/>
      <c r="X31" s="18"/>
    </row>
    <row r="32" spans="1:24" ht="16.5" x14ac:dyDescent="0.25">
      <c r="A32" s="41" t="s">
        <v>842</v>
      </c>
      <c r="B32" s="9"/>
      <c r="C32" s="13"/>
      <c r="D32" s="36"/>
      <c r="E32" s="36"/>
      <c r="F32" s="36"/>
      <c r="G32" s="36"/>
      <c r="H32" s="36"/>
      <c r="I32" s="36"/>
      <c r="J32" s="19"/>
      <c r="K32" s="19"/>
      <c r="L32" s="19"/>
      <c r="M32" s="19"/>
      <c r="N32" s="18"/>
      <c r="O32" s="18"/>
      <c r="P32" s="18"/>
      <c r="Q32" s="18"/>
      <c r="R32" s="18"/>
      <c r="S32" s="18"/>
      <c r="T32" s="18"/>
      <c r="U32" s="18"/>
      <c r="V32" s="18"/>
      <c r="W32" s="18"/>
      <c r="X32" s="18"/>
    </row>
    <row r="33" spans="1:24" x14ac:dyDescent="0.25">
      <c r="A33" s="12" t="s">
        <v>843</v>
      </c>
      <c r="B33" s="9"/>
      <c r="C33" s="13"/>
      <c r="D33" s="36"/>
      <c r="E33" s="36"/>
      <c r="F33" s="36"/>
      <c r="G33" s="36"/>
      <c r="H33" s="36"/>
      <c r="I33" s="36"/>
      <c r="J33" s="19"/>
      <c r="K33" s="19"/>
      <c r="L33" s="19"/>
      <c r="M33" s="19"/>
      <c r="N33" s="18"/>
      <c r="O33" s="18"/>
      <c r="P33" s="18"/>
      <c r="Q33" s="18"/>
      <c r="R33" s="18"/>
      <c r="S33" s="18"/>
      <c r="T33" s="18"/>
      <c r="U33" s="18"/>
      <c r="V33" s="18"/>
      <c r="W33" s="18"/>
      <c r="X33" s="18"/>
    </row>
    <row r="34" spans="1:24" x14ac:dyDescent="0.25">
      <c r="A34" s="9" t="s">
        <v>844</v>
      </c>
      <c r="B34" s="9"/>
      <c r="C34" s="13"/>
      <c r="D34" s="42">
        <f t="shared" ref="D34:X34" ca="1" si="12">SUM(D$140,D$150,D$155,D$165,D$173,D$179)</f>
        <v>119.142</v>
      </c>
      <c r="E34" s="42">
        <f t="shared" ca="1" si="12"/>
        <v>116.003</v>
      </c>
      <c r="F34" s="42">
        <f t="shared" ca="1" si="12"/>
        <v>129.33500000000001</v>
      </c>
      <c r="G34" s="42">
        <f t="shared" ca="1" si="12"/>
        <v>141.62700000000001</v>
      </c>
      <c r="H34" s="42">
        <f t="shared" ca="1" si="12"/>
        <v>153.011</v>
      </c>
      <c r="I34" s="42">
        <f t="shared" ca="1" si="12"/>
        <v>167.34699999999998</v>
      </c>
      <c r="J34" s="43">
        <f t="shared" ca="1" si="12"/>
        <v>169.65100000000001</v>
      </c>
      <c r="K34" s="43">
        <f t="shared" ca="1" si="12"/>
        <v>175.864</v>
      </c>
      <c r="L34" s="43">
        <f t="shared" ca="1" si="12"/>
        <v>184.02299999999997</v>
      </c>
      <c r="M34" s="43">
        <f t="shared" ca="1" si="12"/>
        <v>193.79</v>
      </c>
      <c r="N34" s="43">
        <f t="shared" ca="1" si="12"/>
        <v>203.01099999999997</v>
      </c>
      <c r="O34" s="47">
        <f t="shared" ca="1" si="12"/>
        <v>211.17920690259692</v>
      </c>
      <c r="P34" s="47">
        <f t="shared" ca="1" si="12"/>
        <v>219.86184176463124</v>
      </c>
      <c r="Q34" s="47">
        <f t="shared" ca="1" si="12"/>
        <v>228.82739556661315</v>
      </c>
      <c r="R34" s="47">
        <f t="shared" ca="1" si="12"/>
        <v>237.85179127235949</v>
      </c>
      <c r="S34" s="47">
        <f t="shared" ca="1" si="12"/>
        <v>247.11854101072922</v>
      </c>
      <c r="T34" s="47">
        <f t="shared" ca="1" si="12"/>
        <v>256.57139092455259</v>
      </c>
      <c r="U34" s="47">
        <f t="shared" ca="1" si="12"/>
        <v>266.20661124961805</v>
      </c>
      <c r="V34" s="47">
        <f t="shared" ca="1" si="12"/>
        <v>275.8348465170555</v>
      </c>
      <c r="W34" s="47">
        <f t="shared" ca="1" si="12"/>
        <v>285.35910341546219</v>
      </c>
      <c r="X34" s="47">
        <f t="shared" ca="1" si="12"/>
        <v>295.01516492302488</v>
      </c>
    </row>
    <row r="35" spans="1:24" x14ac:dyDescent="0.25">
      <c r="A35" s="9" t="s">
        <v>914</v>
      </c>
      <c r="B35" s="9"/>
      <c r="C35" s="13"/>
      <c r="D35" s="42">
        <f t="shared" ref="D35:X35" si="13">SUM(D$194,D$212,D$218,D$226,D$233,D$240,D$245,D$248)</f>
        <v>111.376</v>
      </c>
      <c r="E35" s="42">
        <f t="shared" si="13"/>
        <v>138.91599999999997</v>
      </c>
      <c r="F35" s="42">
        <f t="shared" si="13"/>
        <v>133.72200000000004</v>
      </c>
      <c r="G35" s="42">
        <f t="shared" si="13"/>
        <v>150.95599999999999</v>
      </c>
      <c r="H35" s="42">
        <f t="shared" si="13"/>
        <v>161.822</v>
      </c>
      <c r="I35" s="42">
        <f t="shared" si="13"/>
        <v>180.06100000000001</v>
      </c>
      <c r="J35" s="43">
        <f t="shared" ca="1" si="13"/>
        <v>184.11200000000005</v>
      </c>
      <c r="K35" s="43">
        <f t="shared" ca="1" si="13"/>
        <v>191.15800000000002</v>
      </c>
      <c r="L35" s="43">
        <f t="shared" ca="1" si="13"/>
        <v>195.33299999999997</v>
      </c>
      <c r="M35" s="43">
        <f t="shared" ca="1" si="13"/>
        <v>199.89400000000006</v>
      </c>
      <c r="N35" s="43">
        <f t="shared" ca="1" si="13"/>
        <v>205.57500000000002</v>
      </c>
      <c r="O35" s="47">
        <f t="shared" ca="1" si="13"/>
        <v>213.74934159676877</v>
      </c>
      <c r="P35" s="47">
        <f t="shared" ca="1" si="13"/>
        <v>221.63408390637588</v>
      </c>
      <c r="Q35" s="47">
        <f t="shared" ca="1" si="13"/>
        <v>229.94040913642147</v>
      </c>
      <c r="R35" s="47">
        <f t="shared" ca="1" si="13"/>
        <v>238.44881628897636</v>
      </c>
      <c r="S35" s="47">
        <f t="shared" ca="1" si="13"/>
        <v>247.14326545060567</v>
      </c>
      <c r="T35" s="47">
        <f t="shared" ca="1" si="13"/>
        <v>255.88662566221001</v>
      </c>
      <c r="U35" s="47">
        <f t="shared" ca="1" si="13"/>
        <v>264.87269918833783</v>
      </c>
      <c r="V35" s="47">
        <f t="shared" ca="1" si="13"/>
        <v>274.17102374736436</v>
      </c>
      <c r="W35" s="47">
        <f t="shared" ca="1" si="13"/>
        <v>283.66208334679607</v>
      </c>
      <c r="X35" s="47">
        <f t="shared" ca="1" si="13"/>
        <v>293.31292997441943</v>
      </c>
    </row>
    <row r="36" spans="1:24" x14ac:dyDescent="0.25">
      <c r="A36" s="11" t="s">
        <v>845</v>
      </c>
      <c r="B36" s="9"/>
      <c r="C36" s="13"/>
      <c r="D36" s="35">
        <f t="shared" ref="D36:X36" si="14">D$346</f>
        <v>-7.1309999999999993</v>
      </c>
      <c r="E36" s="35">
        <f t="shared" si="14"/>
        <v>-8.7219999999999995</v>
      </c>
      <c r="F36" s="35">
        <f t="shared" si="14"/>
        <v>21.023</v>
      </c>
      <c r="G36" s="35">
        <f t="shared" si="14"/>
        <v>-6.7219999999999995</v>
      </c>
      <c r="H36" s="35">
        <f t="shared" si="14"/>
        <v>14.658000000000001</v>
      </c>
      <c r="I36" s="35">
        <f t="shared" si="14"/>
        <v>4.6669999999999998</v>
      </c>
      <c r="J36" s="17">
        <f t="shared" si="14"/>
        <v>9.0810000000000013</v>
      </c>
      <c r="K36" s="17">
        <f t="shared" si="14"/>
        <v>5.6920000000000002</v>
      </c>
      <c r="L36" s="17">
        <f t="shared" si="14"/>
        <v>6.0170000000000003</v>
      </c>
      <c r="M36" s="17">
        <f t="shared" si="14"/>
        <v>6.4740000000000002</v>
      </c>
      <c r="N36" s="17">
        <f t="shared" si="14"/>
        <v>6.9139999999999997</v>
      </c>
      <c r="O36" s="16">
        <f t="shared" ca="1" si="14"/>
        <v>7.2847494645998649</v>
      </c>
      <c r="P36" s="16">
        <f t="shared" ca="1" si="14"/>
        <v>7.6939267867362133</v>
      </c>
      <c r="Q36" s="16">
        <f t="shared" ca="1" si="14"/>
        <v>8.1241988488925561</v>
      </c>
      <c r="R36" s="16">
        <f t="shared" ca="1" si="14"/>
        <v>8.5743334068974093</v>
      </c>
      <c r="S36" s="16">
        <f t="shared" ca="1" si="14"/>
        <v>9.0435037297867016</v>
      </c>
      <c r="T36" s="16">
        <f t="shared" ca="1" si="14"/>
        <v>9.5329538582273425</v>
      </c>
      <c r="U36" s="16">
        <f t="shared" ca="1" si="14"/>
        <v>10.043607348466466</v>
      </c>
      <c r="V36" s="16">
        <f t="shared" ca="1" si="14"/>
        <v>10.571049809250679</v>
      </c>
      <c r="W36" s="16">
        <f t="shared" ca="1" si="14"/>
        <v>11.114002484351417</v>
      </c>
      <c r="X36" s="16">
        <f t="shared" ca="1" si="14"/>
        <v>11.676614644841319</v>
      </c>
    </row>
    <row r="37" spans="1:24" x14ac:dyDescent="0.25">
      <c r="A37" s="11" t="s">
        <v>546</v>
      </c>
      <c r="B37" s="10"/>
      <c r="C37" s="13"/>
      <c r="D37" s="35">
        <f t="shared" ref="D37:X37" si="15">D$350</f>
        <v>0.20599999999999999</v>
      </c>
      <c r="E37" s="35">
        <f t="shared" si="15"/>
        <v>1.1930000000000001</v>
      </c>
      <c r="F37" s="35">
        <f t="shared" si="15"/>
        <v>-0.36</v>
      </c>
      <c r="G37" s="35">
        <f t="shared" si="15"/>
        <v>-0.126</v>
      </c>
      <c r="H37" s="35">
        <f t="shared" si="15"/>
        <v>2.9000000000000001E-2</v>
      </c>
      <c r="I37" s="35">
        <f t="shared" si="15"/>
        <v>0.12</v>
      </c>
      <c r="J37" s="17">
        <f t="shared" si="15"/>
        <v>0.192</v>
      </c>
      <c r="K37" s="17">
        <f t="shared" si="15"/>
        <v>7.0999999999999994E-2</v>
      </c>
      <c r="L37" s="17">
        <f t="shared" si="15"/>
        <v>0.114</v>
      </c>
      <c r="M37" s="17">
        <f t="shared" si="15"/>
        <v>0.14799999999999999</v>
      </c>
      <c r="N37" s="17">
        <f t="shared" si="15"/>
        <v>0.21099999999999999</v>
      </c>
      <c r="O37" s="16">
        <f t="shared" ca="1" si="15"/>
        <v>0.2201041317331203</v>
      </c>
      <c r="P37" s="16">
        <f t="shared" ca="1" si="15"/>
        <v>0.22949160784128603</v>
      </c>
      <c r="Q37" s="16">
        <f t="shared" ca="1" si="15"/>
        <v>0.2388994667248488</v>
      </c>
      <c r="R37" s="16">
        <f t="shared" ca="1" si="15"/>
        <v>0.24830649164418553</v>
      </c>
      <c r="S37" s="16">
        <f t="shared" ca="1" si="15"/>
        <v>0.25792093827418805</v>
      </c>
      <c r="T37" s="16">
        <f t="shared" ca="1" si="15"/>
        <v>0.26772813410967505</v>
      </c>
      <c r="U37" s="16">
        <f t="shared" ca="1" si="15"/>
        <v>0.27766608979821761</v>
      </c>
      <c r="V37" s="16">
        <f t="shared" ca="1" si="15"/>
        <v>0.28775346073287089</v>
      </c>
      <c r="W37" s="16">
        <f t="shared" ca="1" si="15"/>
        <v>0.2979898710936395</v>
      </c>
      <c r="X37" s="16">
        <f t="shared" ca="1" si="15"/>
        <v>0.30845245765170465</v>
      </c>
    </row>
    <row r="38" spans="1:24" x14ac:dyDescent="0.25">
      <c r="A38" s="11" t="s">
        <v>915</v>
      </c>
      <c r="B38" s="10" t="s">
        <v>846</v>
      </c>
      <c r="C38" s="13"/>
      <c r="D38" s="35">
        <f>'Fiscal Forecasts'!D$28</f>
        <v>0.45200000000000001</v>
      </c>
      <c r="E38" s="35">
        <f>'Fiscal Forecasts'!E$28</f>
        <v>-0.40200000000000002</v>
      </c>
      <c r="F38" s="35">
        <f>'Fiscal Forecasts'!F$28</f>
        <v>0.11700000000000001</v>
      </c>
      <c r="G38" s="35">
        <f>'Fiscal Forecasts'!G$28</f>
        <v>0.755</v>
      </c>
      <c r="H38" s="35">
        <f>'Fiscal Forecasts'!H$28</f>
        <v>0.55500000000000005</v>
      </c>
      <c r="I38" s="35">
        <f>'Fiscal Forecasts'!I$28</f>
        <v>0.438</v>
      </c>
      <c r="J38" s="17">
        <f>'Fiscal Forecasts'!J$28</f>
        <v>0.30499999999999999</v>
      </c>
      <c r="K38" s="17">
        <f>'Fiscal Forecasts'!K$28</f>
        <v>0.35299999999999998</v>
      </c>
      <c r="L38" s="17">
        <f>'Fiscal Forecasts'!L$28</f>
        <v>0.48599999999999999</v>
      </c>
      <c r="M38" s="17">
        <f>'Fiscal Forecasts'!M$28</f>
        <v>0.55700000000000005</v>
      </c>
      <c r="N38" s="17">
        <f>'Fiscal Forecasts'!N$28</f>
        <v>0.49</v>
      </c>
      <c r="O38" s="16">
        <f t="shared" ref="O38:X38" ca="1" si="16">N$38*O$59/N$59</f>
        <v>0.51811714493247085</v>
      </c>
      <c r="P38" s="16">
        <f t="shared" ca="1" si="16"/>
        <v>0.54005240882414562</v>
      </c>
      <c r="Q38" s="16">
        <f t="shared" ca="1" si="16"/>
        <v>0.56203530016669512</v>
      </c>
      <c r="R38" s="16">
        <f t="shared" ca="1" si="16"/>
        <v>0.58401624282515063</v>
      </c>
      <c r="S38" s="16">
        <f t="shared" ca="1" si="16"/>
        <v>0.60648185781809638</v>
      </c>
      <c r="T38" s="16">
        <f t="shared" ca="1" si="16"/>
        <v>0.62939786060841152</v>
      </c>
      <c r="U38" s="16">
        <f t="shared" ca="1" si="16"/>
        <v>0.6526194036579146</v>
      </c>
      <c r="V38" s="16">
        <f t="shared" ca="1" si="16"/>
        <v>0.67619007812624776</v>
      </c>
      <c r="W38" s="16">
        <f t="shared" ca="1" si="16"/>
        <v>0.70010900585290448</v>
      </c>
      <c r="X38" s="16">
        <f t="shared" ca="1" si="16"/>
        <v>0.72455642862088554</v>
      </c>
    </row>
    <row r="39" spans="1:24" x14ac:dyDescent="0.25">
      <c r="A39" s="9" t="s">
        <v>835</v>
      </c>
      <c r="B39" s="9"/>
      <c r="C39" s="13"/>
      <c r="D39" s="65">
        <f t="shared" ref="D39:X39" ca="1" si="17">SUM(D$34,D$36,D$37)-SUM(D$35,D$38)</f>
        <v>0.38899999999999579</v>
      </c>
      <c r="E39" s="65">
        <f t="shared" ca="1" si="17"/>
        <v>-30.039999999999978</v>
      </c>
      <c r="F39" s="65">
        <f t="shared" ca="1" si="17"/>
        <v>16.158999999999963</v>
      </c>
      <c r="G39" s="65">
        <f t="shared" ca="1" si="17"/>
        <v>-16.931999999999988</v>
      </c>
      <c r="H39" s="65">
        <f t="shared" ca="1" si="17"/>
        <v>5.3209999999999695</v>
      </c>
      <c r="I39" s="65">
        <f t="shared" ca="1" si="17"/>
        <v>-8.3650000000000091</v>
      </c>
      <c r="J39" s="66">
        <f t="shared" ca="1" si="17"/>
        <v>-5.4930000000000518</v>
      </c>
      <c r="K39" s="66">
        <f t="shared" ca="1" si="17"/>
        <v>-9.8840000000000146</v>
      </c>
      <c r="L39" s="66">
        <f t="shared" ca="1" si="17"/>
        <v>-5.664999999999992</v>
      </c>
      <c r="M39" s="66">
        <f t="shared" ca="1" si="17"/>
        <v>-3.9000000000072532E-2</v>
      </c>
      <c r="N39" s="66">
        <f t="shared" ca="1" si="17"/>
        <v>4.0709999999999411</v>
      </c>
      <c r="O39" s="67">
        <f t="shared" ca="1" si="17"/>
        <v>4.4166017572286478</v>
      </c>
      <c r="P39" s="67">
        <f t="shared" ca="1" si="17"/>
        <v>5.6111238440087163</v>
      </c>
      <c r="Q39" s="67">
        <f t="shared" ca="1" si="17"/>
        <v>6.688049445642406</v>
      </c>
      <c r="R39" s="67">
        <f t="shared" ca="1" si="17"/>
        <v>7.6415986390995556</v>
      </c>
      <c r="S39" s="67">
        <f t="shared" ca="1" si="17"/>
        <v>8.6702183703663422</v>
      </c>
      <c r="T39" s="67">
        <f t="shared" ca="1" si="17"/>
        <v>9.8560493940711922</v>
      </c>
      <c r="U39" s="67">
        <f t="shared" ca="1" si="17"/>
        <v>11.002566095887005</v>
      </c>
      <c r="V39" s="67">
        <f t="shared" ca="1" si="17"/>
        <v>11.846435961548423</v>
      </c>
      <c r="W39" s="67">
        <f t="shared" ca="1" si="17"/>
        <v>12.408903418258319</v>
      </c>
      <c r="X39" s="67">
        <f t="shared" ca="1" si="17"/>
        <v>12.962745622477598</v>
      </c>
    </row>
    <row r="40" spans="1:24" x14ac:dyDescent="0.25">
      <c r="A40" s="11" t="s">
        <v>551</v>
      </c>
      <c r="B40" s="10" t="str">
        <f>$B$38</f>
        <v>From Fiscal Forecasts</v>
      </c>
      <c r="C40" s="13"/>
      <c r="D40" s="35">
        <f>'Fiscal Forecasts'!D$32</f>
        <v>0.115</v>
      </c>
      <c r="E40" s="35">
        <f>'Fiscal Forecasts'!E$32</f>
        <v>-0.54600000000000004</v>
      </c>
      <c r="F40" s="35">
        <f>'Fiscal Forecasts'!F$32</f>
        <v>-5.6000000000000001E-2</v>
      </c>
      <c r="G40" s="35">
        <f>'Fiscal Forecasts'!G$32</f>
        <v>0.39300000000000002</v>
      </c>
      <c r="H40" s="35">
        <f>'Fiscal Forecasts'!H$32</f>
        <v>-0.08</v>
      </c>
      <c r="I40" s="35">
        <f>'Fiscal Forecasts'!I$32</f>
        <v>0.29799999999999999</v>
      </c>
      <c r="J40" s="17">
        <f>'Fiscal Forecasts'!J$32</f>
        <v>2.5999999999999999E-2</v>
      </c>
      <c r="K40" s="17">
        <f>'Fiscal Forecasts'!K$32</f>
        <v>4.4999999999999998E-2</v>
      </c>
      <c r="L40" s="17">
        <f>'Fiscal Forecasts'!L$32</f>
        <v>4.1000000000000002E-2</v>
      </c>
      <c r="M40" s="17">
        <f>'Fiscal Forecasts'!M$32</f>
        <v>4.2000000000000003E-2</v>
      </c>
      <c r="N40" s="17">
        <f>'Fiscal Forecasts'!N$32</f>
        <v>4.3999999999999997E-2</v>
      </c>
      <c r="O40" s="16">
        <f ca="1">IF(O$6=OFFSET(Assumptions!$B$8,0,$C$1),AVERAGE(L$40/L$38,M$40/M$38,N$40/N$38),N$40/N$38)*O$38</f>
        <v>4.3100785025576988E-2</v>
      </c>
      <c r="P40" s="16">
        <f ca="1">IF(P$6=OFFSET(Assumptions!$B$8,0,$C$1),AVERAGE(M$40/M$38,N$40/N$38,O$40/O$38),O$40/O$38)*P$38</f>
        <v>4.4925521193297513E-2</v>
      </c>
      <c r="Q40" s="16">
        <f ca="1">IF(Q$6=OFFSET(Assumptions!$B$8,0,$C$1),AVERAGE(N$40/N$38,O$40/O$38,P$40/P$38),P$40/P$38)*Q$38</f>
        <v>4.6754219361777025E-2</v>
      </c>
      <c r="R40" s="16">
        <f ca="1">IF(R$6=OFFSET(Assumptions!$B$8,0,$C$1),AVERAGE(O$40/O$38,P$40/P$38,Q$40/Q$38),Q$40/Q$38)*R$38</f>
        <v>4.8582755424418041E-2</v>
      </c>
      <c r="S40" s="16">
        <f ca="1">IF(S$6=OFFSET(Assumptions!$B$8,0,$C$1),AVERAGE(P$40/P$38,Q$40/Q$38,R$40/R$38),R$40/R$38)*S$38</f>
        <v>5.0451610087400747E-2</v>
      </c>
      <c r="T40" s="16">
        <f ca="1">IF(T$6=OFFSET(Assumptions!$B$8,0,$C$1),AVERAGE(Q$40/Q$38,R$40/R$38,S$40/S$38),S$40/S$38)*T$38</f>
        <v>5.2357931311415883E-2</v>
      </c>
      <c r="U40" s="16">
        <f ca="1">IF(U$6=OFFSET(Assumptions!$B$8,0,$C$1),AVERAGE(R$40/R$38,S$40/S$38,T$40/T$38),T$40/T$38)*U$38</f>
        <v>5.4289669615635215E-2</v>
      </c>
      <c r="V40" s="16">
        <f ca="1">IF(V$6=OFFSET(Assumptions!$B$8,0,$C$1),AVERAGE(S$40/S$38,T$40/T$38,U$40/U$38),U$40/U$38)*V$38</f>
        <v>5.625045123250276E-2</v>
      </c>
      <c r="W40" s="16">
        <f ca="1">IF(W$6=OFFSET(Assumptions!$B$8,0,$C$1),AVERAGE(T$40/T$38,U$40/U$38,V$40/V$38),V$40/V$38)*W$38</f>
        <v>5.8240203110185379E-2</v>
      </c>
      <c r="X40" s="16">
        <f ca="1">IF(X$6=OFFSET(Assumptions!$B$8,0,$C$1),AVERAGE(U$40/U$38,V$40/V$38,W$40/W$38),W$40/W$38)*X$38</f>
        <v>6.0273919082447759E-2</v>
      </c>
    </row>
    <row r="41" spans="1:24" x14ac:dyDescent="0.25">
      <c r="A41" s="9" t="s">
        <v>922</v>
      </c>
      <c r="B41" s="9"/>
      <c r="C41" s="13"/>
      <c r="D41" s="65">
        <f t="shared" ref="D41:X41" ca="1" si="18">D$34-D$35-(D$38-D$40)</f>
        <v>7.4289999999999914</v>
      </c>
      <c r="E41" s="65">
        <f t="shared" ca="1" si="18"/>
        <v>-23.056999999999967</v>
      </c>
      <c r="F41" s="65">
        <f t="shared" ca="1" si="18"/>
        <v>-4.5600000000000289</v>
      </c>
      <c r="G41" s="65">
        <f t="shared" ca="1" si="18"/>
        <v>-9.6909999999999794</v>
      </c>
      <c r="H41" s="65">
        <f t="shared" ca="1" si="18"/>
        <v>-9.4460000000000068</v>
      </c>
      <c r="I41" s="65">
        <f t="shared" ca="1" si="18"/>
        <v>-12.854000000000028</v>
      </c>
      <c r="J41" s="66">
        <f t="shared" ca="1" si="18"/>
        <v>-14.740000000000041</v>
      </c>
      <c r="K41" s="66">
        <f t="shared" ca="1" si="18"/>
        <v>-15.602000000000011</v>
      </c>
      <c r="L41" s="66">
        <f t="shared" ca="1" si="18"/>
        <v>-11.755000000000003</v>
      </c>
      <c r="M41" s="66">
        <f t="shared" ca="1" si="18"/>
        <v>-6.6190000000000699</v>
      </c>
      <c r="N41" s="66">
        <f t="shared" ca="1" si="18"/>
        <v>-3.01000000000005</v>
      </c>
      <c r="O41" s="67">
        <f t="shared" ca="1" si="18"/>
        <v>-3.0451510540787492</v>
      </c>
      <c r="P41" s="67">
        <f t="shared" ca="1" si="18"/>
        <v>-2.2673690293754891</v>
      </c>
      <c r="Q41" s="67">
        <f t="shared" ca="1" si="18"/>
        <v>-1.6282946506132348</v>
      </c>
      <c r="R41" s="67">
        <f t="shared" ca="1" si="18"/>
        <v>-1.1324585040176007</v>
      </c>
      <c r="S41" s="67">
        <f t="shared" ca="1" si="18"/>
        <v>-0.58075468760714644</v>
      </c>
      <c r="T41" s="67">
        <f t="shared" ca="1" si="18"/>
        <v>0.10772533304558451</v>
      </c>
      <c r="U41" s="67">
        <f t="shared" ca="1" si="18"/>
        <v>0.73558232723793682</v>
      </c>
      <c r="V41" s="67">
        <f t="shared" ca="1" si="18"/>
        <v>1.0438831427973922</v>
      </c>
      <c r="W41" s="67">
        <f t="shared" ca="1" si="18"/>
        <v>1.055151265923401</v>
      </c>
      <c r="X41" s="67">
        <f t="shared" ca="1" si="18"/>
        <v>1.0379524390670132</v>
      </c>
    </row>
    <row r="42" spans="1:24" x14ac:dyDescent="0.25">
      <c r="A42" s="55" t="s">
        <v>916</v>
      </c>
      <c r="B42" s="10" t="s">
        <v>1047</v>
      </c>
      <c r="C42" s="13"/>
      <c r="D42" s="91" t="str">
        <f ca="1">IF(ROUND('Fiscal Forecasts'!D$33-D$41,3)=0,"OK","ERROR")</f>
        <v>OK</v>
      </c>
      <c r="E42" s="91" t="str">
        <f ca="1">IF(ROUND('Fiscal Forecasts'!E$33-E$41,3)=0,"OK","ERROR")</f>
        <v>OK</v>
      </c>
      <c r="F42" s="91" t="str">
        <f ca="1">IF(ROUND('Fiscal Forecasts'!F$33-F$41,3)=0,"OK","ERROR")</f>
        <v>OK</v>
      </c>
      <c r="G42" s="91" t="str">
        <f ca="1">IF(ROUND('Fiscal Forecasts'!G$33-G$41,3)=0,"OK","ERROR")</f>
        <v>OK</v>
      </c>
      <c r="H42" s="91" t="str">
        <f ca="1">IF(ROUND('Fiscal Forecasts'!H$33-H$41,3)=0,"OK","ERROR")</f>
        <v>OK</v>
      </c>
      <c r="I42" s="91" t="str">
        <f ca="1">IF(ROUND('Fiscal Forecasts'!I$33-I$41,3)=0,"OK","ERROR")</f>
        <v>OK</v>
      </c>
      <c r="J42" s="91" t="str">
        <f ca="1">IF(ROUND('Fiscal Forecasts'!J$33-J$41,3)=0,"OK","ERROR")</f>
        <v>OK</v>
      </c>
      <c r="K42" s="91" t="str">
        <f ca="1">IF(ROUND('Fiscal Forecasts'!K$33-K$41,3)=0,"OK","ERROR")</f>
        <v>OK</v>
      </c>
      <c r="L42" s="91" t="str">
        <f ca="1">IF(ROUND('Fiscal Forecasts'!L$33-L$41,3)=0,"OK","ERROR")</f>
        <v>OK</v>
      </c>
      <c r="M42" s="91" t="str">
        <f ca="1">IF(ROUND('Fiscal Forecasts'!M$33-M$41,3)=0,"OK","ERROR")</f>
        <v>OK</v>
      </c>
      <c r="N42" s="91" t="str">
        <f ca="1">IF(ROUND('Fiscal Forecasts'!N$33-N$41,3)=0,"OK","ERROR")</f>
        <v>OK</v>
      </c>
      <c r="O42" s="18"/>
      <c r="P42" s="18"/>
      <c r="Q42" s="18"/>
      <c r="R42" s="18"/>
      <c r="S42" s="18"/>
      <c r="T42" s="18"/>
      <c r="U42" s="18"/>
      <c r="V42" s="18"/>
      <c r="W42" s="18"/>
      <c r="X42" s="18"/>
    </row>
    <row r="43" spans="1:24" x14ac:dyDescent="0.25">
      <c r="A43" s="11" t="s">
        <v>1236</v>
      </c>
      <c r="B43" s="10" t="str">
        <f>$B$38</f>
        <v>From Fiscal Forecasts</v>
      </c>
      <c r="C43" s="13"/>
      <c r="D43" s="35">
        <f>'Fiscal Forecasts'!D$35</f>
        <v>5.827</v>
      </c>
      <c r="E43" s="35">
        <f>'Fiscal Forecasts'!E$35</f>
        <v>5.73</v>
      </c>
      <c r="F43" s="35">
        <f>'Fiscal Forecasts'!F$35</f>
        <v>6.1950000000000003</v>
      </c>
      <c r="G43" s="35">
        <f>'Fiscal Forecasts'!G$35</f>
        <v>6.625</v>
      </c>
      <c r="H43" s="35">
        <f>'Fiscal Forecasts'!H$35</f>
        <v>7.39</v>
      </c>
      <c r="I43" s="35">
        <f>'Fiscal Forecasts'!I$35</f>
        <v>7.9290000000000003</v>
      </c>
      <c r="J43" s="17">
        <f>'Fiscal Forecasts'!J$35</f>
        <v>8.5640000000000001</v>
      </c>
      <c r="K43" s="17">
        <f>'Fiscal Forecasts'!K$35</f>
        <v>9.0779999999999994</v>
      </c>
      <c r="L43" s="17">
        <f>'Fiscal Forecasts'!L$35</f>
        <v>9.76</v>
      </c>
      <c r="M43" s="17">
        <f>'Fiscal Forecasts'!M$35</f>
        <v>10.48</v>
      </c>
      <c r="N43" s="17">
        <f>'Fiscal Forecasts'!N$35</f>
        <v>11.268000000000001</v>
      </c>
      <c r="O43" s="16">
        <f>O$148+(N$43-N$148)*(1+Exogenous!Z$29/Exogenous!Y$30)</f>
        <v>12.079439766907566</v>
      </c>
      <c r="P43" s="16">
        <f>P$148+(O$43-O$148)*(1+Exogenous!AA$29/Exogenous!Z$30)</f>
        <v>12.946989239229504</v>
      </c>
      <c r="Q43" s="16">
        <f>Q$148+(P$43-P$148)*(1+Exogenous!AB$29/Exogenous!AA$30)</f>
        <v>13.922100932853603</v>
      </c>
      <c r="R43" s="16">
        <f>R$148+(Q$43-Q$148)*(1+Exogenous!AC$29/Exogenous!AB$30)</f>
        <v>14.959085505266426</v>
      </c>
      <c r="S43" s="16">
        <f>S$148+(R$43-R$148)*(1+Exogenous!AD$29/Exogenous!AC$30)</f>
        <v>16.086716885741083</v>
      </c>
      <c r="T43" s="16">
        <f>T$148+(S$43-S$148)*(1+Exogenous!AE$29/Exogenous!AD$30)</f>
        <v>17.277595530225824</v>
      </c>
      <c r="U43" s="16">
        <f>U$148+(T$43-T$148)*(1+Exogenous!AF$29/Exogenous!AE$30)</f>
        <v>18.56750333007993</v>
      </c>
      <c r="V43" s="16">
        <f>V$148+(U$43-U$148)*(1+Exogenous!AG$29/Exogenous!AF$30)</f>
        <v>19.751970130083862</v>
      </c>
      <c r="W43" s="16">
        <f>W$148+(V$43-V$148)*(1+Exogenous!AH$29/Exogenous!AG$30)</f>
        <v>20.736391036530534</v>
      </c>
      <c r="X43" s="16">
        <f>X$148+(W$43-W$148)*(1+Exogenous!AI$29/Exogenous!AH$30)</f>
        <v>21.688573679744984</v>
      </c>
    </row>
    <row r="44" spans="1:24" x14ac:dyDescent="0.25">
      <c r="A44" s="11" t="s">
        <v>1237</v>
      </c>
      <c r="B44" s="10" t="str">
        <f>$B$38</f>
        <v>From Fiscal Forecasts</v>
      </c>
      <c r="C44" s="13"/>
      <c r="D44" s="35">
        <f>'Fiscal Forecasts'!D$36</f>
        <v>6.9020000000000001</v>
      </c>
      <c r="E44" s="35">
        <f>'Fiscal Forecasts'!E$36</f>
        <v>7.8849999999999998</v>
      </c>
      <c r="F44" s="35">
        <f>'Fiscal Forecasts'!F$36</f>
        <v>8.1959999999999997</v>
      </c>
      <c r="G44" s="35">
        <f>'Fiscal Forecasts'!G$36</f>
        <v>7.6520000000000001</v>
      </c>
      <c r="H44" s="35">
        <f>'Fiscal Forecasts'!H$36</f>
        <v>9.6370000000000005</v>
      </c>
      <c r="I44" s="35">
        <f>'Fiscal Forecasts'!I$36</f>
        <v>12.01</v>
      </c>
      <c r="J44" s="17">
        <f>'Fiscal Forecasts'!J$36</f>
        <v>13.129</v>
      </c>
      <c r="K44" s="17">
        <f>'Fiscal Forecasts'!K$36</f>
        <v>12.605</v>
      </c>
      <c r="L44" s="17">
        <f>'Fiscal Forecasts'!L$36</f>
        <v>13.37</v>
      </c>
      <c r="M44" s="17">
        <f>'Fiscal Forecasts'!M$36</f>
        <v>14.006</v>
      </c>
      <c r="N44" s="17">
        <f>'Fiscal Forecasts'!N$36</f>
        <v>14.492000000000001</v>
      </c>
      <c r="O44" s="16">
        <f ca="1">O$241+(N$44-N$241)*(1+O$19)*(1+O$29)</f>
        <v>15.266117512088403</v>
      </c>
      <c r="P44" s="16">
        <f t="shared" ref="P44:X44" ca="1" si="19">P$241+(O$44-O$241)*(1+P$19)*(1+P$29)</f>
        <v>16.080835552040309</v>
      </c>
      <c r="Q44" s="16">
        <f t="shared" ca="1" si="19"/>
        <v>16.913797905686849</v>
      </c>
      <c r="R44" s="16">
        <f t="shared" ca="1" si="19"/>
        <v>17.749548086373334</v>
      </c>
      <c r="S44" s="16">
        <f t="shared" ca="1" si="19"/>
        <v>18.596885910592594</v>
      </c>
      <c r="T44" s="16">
        <f t="shared" ca="1" si="19"/>
        <v>19.429849265958147</v>
      </c>
      <c r="U44" s="16">
        <f t="shared" ca="1" si="19"/>
        <v>20.312352850006395</v>
      </c>
      <c r="V44" s="16">
        <f t="shared" ca="1" si="19"/>
        <v>21.202186489496263</v>
      </c>
      <c r="W44" s="16">
        <f t="shared" ca="1" si="19"/>
        <v>22.120774395475699</v>
      </c>
      <c r="X44" s="16">
        <f t="shared" ca="1" si="19"/>
        <v>23.078792530685739</v>
      </c>
    </row>
    <row r="45" spans="1:24" x14ac:dyDescent="0.25">
      <c r="A45" s="9" t="s">
        <v>1238</v>
      </c>
      <c r="B45" s="10"/>
      <c r="C45" s="13"/>
      <c r="D45" s="65">
        <f t="shared" ref="D45:X45" ca="1" si="20">D$41-(D$43-D$44)</f>
        <v>8.5039999999999907</v>
      </c>
      <c r="E45" s="65">
        <f t="shared" ca="1" si="20"/>
        <v>-20.901999999999965</v>
      </c>
      <c r="F45" s="65">
        <f t="shared" ca="1" si="20"/>
        <v>-2.5590000000000295</v>
      </c>
      <c r="G45" s="65">
        <f t="shared" ca="1" si="20"/>
        <v>-8.6639999999999802</v>
      </c>
      <c r="H45" s="65">
        <f t="shared" ca="1" si="20"/>
        <v>-7.1990000000000061</v>
      </c>
      <c r="I45" s="65">
        <f t="shared" ca="1" si="20"/>
        <v>-8.7730000000000281</v>
      </c>
      <c r="J45" s="66">
        <f t="shared" ca="1" si="20"/>
        <v>-10.175000000000042</v>
      </c>
      <c r="K45" s="66">
        <f t="shared" ca="1" si="20"/>
        <v>-12.07500000000001</v>
      </c>
      <c r="L45" s="66">
        <f t="shared" ca="1" si="20"/>
        <v>-8.1450000000000031</v>
      </c>
      <c r="M45" s="66">
        <f t="shared" ca="1" si="20"/>
        <v>-3.0930000000000701</v>
      </c>
      <c r="N45" s="66">
        <f t="shared" ca="1" si="20"/>
        <v>0.21399999999995023</v>
      </c>
      <c r="O45" s="67">
        <f t="shared" ca="1" si="20"/>
        <v>0.14152669110208826</v>
      </c>
      <c r="P45" s="67">
        <f t="shared" ca="1" si="20"/>
        <v>0.86647728343531583</v>
      </c>
      <c r="Q45" s="67">
        <f t="shared" ca="1" si="20"/>
        <v>1.3634023222200113</v>
      </c>
      <c r="R45" s="67">
        <f t="shared" ca="1" si="20"/>
        <v>1.6580040770893074</v>
      </c>
      <c r="S45" s="67">
        <f t="shared" ca="1" si="20"/>
        <v>1.929414337244364</v>
      </c>
      <c r="T45" s="67">
        <f t="shared" ca="1" si="20"/>
        <v>2.2599790687779073</v>
      </c>
      <c r="U45" s="67">
        <f t="shared" ca="1" si="20"/>
        <v>2.4804318471644016</v>
      </c>
      <c r="V45" s="67">
        <f t="shared" ca="1" si="20"/>
        <v>2.4940995022097936</v>
      </c>
      <c r="W45" s="67">
        <f t="shared" ca="1" si="20"/>
        <v>2.4395346248685659</v>
      </c>
      <c r="X45" s="67">
        <f t="shared" ca="1" si="20"/>
        <v>2.4281712900077683</v>
      </c>
    </row>
    <row r="46" spans="1:24" x14ac:dyDescent="0.25">
      <c r="A46" s="55" t="s">
        <v>917</v>
      </c>
      <c r="B46" s="9"/>
      <c r="C46" s="13"/>
      <c r="D46" s="91" t="str">
        <f t="shared" ref="D46:X46" si="21">IF(ROUND(D$35-SUM(D$200,D$233,D$245,D$248,D$252,D$264,D$277,D$285,D$289,D$296,D$303,D$307,D$311,D$315,D$319,D$325,D$329),3)=0,"OK","ERROR")</f>
        <v>OK</v>
      </c>
      <c r="E46" s="91" t="str">
        <f t="shared" si="21"/>
        <v>OK</v>
      </c>
      <c r="F46" s="91" t="str">
        <f t="shared" si="21"/>
        <v>OK</v>
      </c>
      <c r="G46" s="91" t="str">
        <f t="shared" si="21"/>
        <v>OK</v>
      </c>
      <c r="H46" s="91" t="str">
        <f t="shared" si="21"/>
        <v>OK</v>
      </c>
      <c r="I46" s="91" t="str">
        <f t="shared" si="21"/>
        <v>OK</v>
      </c>
      <c r="J46" s="91" t="str">
        <f t="shared" ca="1" si="21"/>
        <v>OK</v>
      </c>
      <c r="K46" s="91" t="str">
        <f t="shared" ca="1" si="21"/>
        <v>OK</v>
      </c>
      <c r="L46" s="91" t="str">
        <f t="shared" ca="1" si="21"/>
        <v>OK</v>
      </c>
      <c r="M46" s="91" t="str">
        <f t="shared" ca="1" si="21"/>
        <v>OK</v>
      </c>
      <c r="N46" s="91" t="str">
        <f t="shared" ca="1" si="21"/>
        <v>OK</v>
      </c>
      <c r="O46" s="91" t="str">
        <f t="shared" ca="1" si="21"/>
        <v>OK</v>
      </c>
      <c r="P46" s="91" t="str">
        <f t="shared" ca="1" si="21"/>
        <v>OK</v>
      </c>
      <c r="Q46" s="91" t="str">
        <f t="shared" ca="1" si="21"/>
        <v>OK</v>
      </c>
      <c r="R46" s="91" t="str">
        <f t="shared" ca="1" si="21"/>
        <v>OK</v>
      </c>
      <c r="S46" s="91" t="str">
        <f t="shared" ca="1" si="21"/>
        <v>OK</v>
      </c>
      <c r="T46" s="91" t="str">
        <f t="shared" ca="1" si="21"/>
        <v>OK</v>
      </c>
      <c r="U46" s="91" t="str">
        <f t="shared" ca="1" si="21"/>
        <v>OK</v>
      </c>
      <c r="V46" s="91" t="str">
        <f t="shared" ca="1" si="21"/>
        <v>OK</v>
      </c>
      <c r="W46" s="91" t="str">
        <f t="shared" ca="1" si="21"/>
        <v>OK</v>
      </c>
      <c r="X46" s="91" t="str">
        <f t="shared" ca="1" si="21"/>
        <v>OK</v>
      </c>
    </row>
    <row r="47" spans="1:24" x14ac:dyDescent="0.25">
      <c r="A47" s="9" t="s">
        <v>918</v>
      </c>
      <c r="B47" s="9"/>
      <c r="C47" s="13"/>
      <c r="D47" s="42">
        <f t="shared" ref="D47:X47" ca="1" si="22">SUM(D$142,D$147,D$154,D$161,D$170,D$178)</f>
        <v>93.474000000000004</v>
      </c>
      <c r="E47" s="42">
        <f t="shared" ca="1" si="22"/>
        <v>91.923000000000002</v>
      </c>
      <c r="F47" s="42">
        <f t="shared" ca="1" si="22"/>
        <v>104.968</v>
      </c>
      <c r="G47" s="42">
        <f t="shared" ca="1" si="22"/>
        <v>117.515</v>
      </c>
      <c r="H47" s="42">
        <f t="shared" ca="1" si="22"/>
        <v>123.398</v>
      </c>
      <c r="I47" s="42">
        <f t="shared" ca="1" si="22"/>
        <v>133.22</v>
      </c>
      <c r="J47" s="43">
        <f t="shared" ca="1" si="22"/>
        <v>134.18799999999999</v>
      </c>
      <c r="K47" s="43">
        <f t="shared" ca="1" si="22"/>
        <v>139.726</v>
      </c>
      <c r="L47" s="43">
        <f t="shared" ca="1" si="22"/>
        <v>146.42300000000003</v>
      </c>
      <c r="M47" s="43">
        <f t="shared" ca="1" si="22"/>
        <v>154.37099999999998</v>
      </c>
      <c r="N47" s="43">
        <f t="shared" ca="1" si="22"/>
        <v>162.505</v>
      </c>
      <c r="O47" s="47">
        <f t="shared" ca="1" si="22"/>
        <v>168.58762263816709</v>
      </c>
      <c r="P47" s="47">
        <f t="shared" ca="1" si="22"/>
        <v>175.31431810391663</v>
      </c>
      <c r="Q47" s="47">
        <f t="shared" ca="1" si="22"/>
        <v>182.23789608391752</v>
      </c>
      <c r="R47" s="47">
        <f t="shared" ca="1" si="22"/>
        <v>189.18073595333851</v>
      </c>
      <c r="S47" s="47">
        <f t="shared" ca="1" si="22"/>
        <v>196.26680555539977</v>
      </c>
      <c r="T47" s="47">
        <f t="shared" ca="1" si="22"/>
        <v>203.47873585415908</v>
      </c>
      <c r="U47" s="47">
        <f t="shared" ca="1" si="22"/>
        <v>210.7819107258903</v>
      </c>
      <c r="V47" s="47">
        <f t="shared" ca="1" si="22"/>
        <v>218.19013585372778</v>
      </c>
      <c r="W47" s="47">
        <f t="shared" ca="1" si="22"/>
        <v>225.70225035567739</v>
      </c>
      <c r="X47" s="47">
        <f t="shared" ca="1" si="22"/>
        <v>233.37442457734994</v>
      </c>
    </row>
    <row r="48" spans="1:24" x14ac:dyDescent="0.25">
      <c r="A48" s="9" t="s">
        <v>919</v>
      </c>
      <c r="B48" s="9"/>
      <c r="C48" s="13"/>
      <c r="D48" s="42">
        <f t="shared" ref="D48:X48" si="23">SUM(D$195,D$208,D$215,D$222,D$229,D$237,D$245,D$248)</f>
        <v>86.959000000000003</v>
      </c>
      <c r="E48" s="42">
        <f t="shared" si="23"/>
        <v>108.83199999999999</v>
      </c>
      <c r="F48" s="42">
        <f t="shared" si="23"/>
        <v>107.76500000000001</v>
      </c>
      <c r="G48" s="42">
        <f t="shared" si="23"/>
        <v>125.64100000000001</v>
      </c>
      <c r="H48" s="42">
        <f t="shared" si="23"/>
        <v>127.57400000000001</v>
      </c>
      <c r="I48" s="42">
        <f t="shared" si="23"/>
        <v>139.00000000000003</v>
      </c>
      <c r="J48" s="43">
        <f t="shared" ca="1" si="23"/>
        <v>142.208</v>
      </c>
      <c r="K48" s="43">
        <f t="shared" ca="1" si="23"/>
        <v>150.34899999999999</v>
      </c>
      <c r="L48" s="43">
        <f t="shared" ca="1" si="23"/>
        <v>153.142</v>
      </c>
      <c r="M48" s="43">
        <f t="shared" ca="1" si="23"/>
        <v>156.82700000000003</v>
      </c>
      <c r="N48" s="43">
        <f t="shared" ca="1" si="23"/>
        <v>161.95899999999997</v>
      </c>
      <c r="O48" s="47">
        <f t="shared" ca="1" si="23"/>
        <v>168.28172667246579</v>
      </c>
      <c r="P48" s="47">
        <f t="shared" ca="1" si="23"/>
        <v>174.60905856147753</v>
      </c>
      <c r="Q48" s="47">
        <f t="shared" ca="1" si="23"/>
        <v>181.40467860894819</v>
      </c>
      <c r="R48" s="47">
        <f t="shared" ca="1" si="23"/>
        <v>188.44130405356827</v>
      </c>
      <c r="S48" s="47">
        <f t="shared" ca="1" si="23"/>
        <v>195.69445819825165</v>
      </c>
      <c r="T48" s="47">
        <f t="shared" ca="1" si="23"/>
        <v>203.07403394782747</v>
      </c>
      <c r="U48" s="47">
        <f t="shared" ca="1" si="23"/>
        <v>210.68982342014627</v>
      </c>
      <c r="V48" s="47">
        <f t="shared" ca="1" si="23"/>
        <v>218.4826874480413</v>
      </c>
      <c r="W48" s="47">
        <f t="shared" ca="1" si="23"/>
        <v>226.39916453501942</v>
      </c>
      <c r="X48" s="47">
        <f t="shared" ca="1" si="23"/>
        <v>234.45646975583927</v>
      </c>
    </row>
    <row r="49" spans="1:24" x14ac:dyDescent="0.25">
      <c r="A49" s="9" t="s">
        <v>669</v>
      </c>
      <c r="B49" s="9"/>
      <c r="C49" s="13"/>
      <c r="D49" s="42">
        <f t="shared" ref="D49:X49" ca="1" si="24">SUM(D$47,-D$48,D$342,D$349)</f>
        <v>9.7070000000000007</v>
      </c>
      <c r="E49" s="42">
        <f t="shared" ca="1" si="24"/>
        <v>-20.882999999999992</v>
      </c>
      <c r="F49" s="42">
        <f t="shared" ca="1" si="24"/>
        <v>4.7029999999999887</v>
      </c>
      <c r="G49" s="42">
        <f t="shared" ca="1" si="24"/>
        <v>-19.532000000000004</v>
      </c>
      <c r="H49" s="42">
        <f t="shared" ca="1" si="24"/>
        <v>8.2929999999999833</v>
      </c>
      <c r="I49" s="42">
        <f t="shared" ca="1" si="24"/>
        <v>2.1039999999999708</v>
      </c>
      <c r="J49" s="43">
        <f t="shared" ca="1" si="24"/>
        <v>-0.77400000000000979</v>
      </c>
      <c r="K49" s="43">
        <f t="shared" ca="1" si="24"/>
        <v>-5.4479999999999906</v>
      </c>
      <c r="L49" s="43">
        <f t="shared" ca="1" si="24"/>
        <v>-1.2689999999999655</v>
      </c>
      <c r="M49" s="43">
        <f t="shared" ca="1" si="24"/>
        <v>3.3019999999999543</v>
      </c>
      <c r="N49" s="43">
        <f t="shared" ca="1" si="24"/>
        <v>6.6430000000000211</v>
      </c>
      <c r="O49" s="47">
        <f t="shared" ca="1" si="24"/>
        <v>6.7505877565956016</v>
      </c>
      <c r="P49" s="47">
        <f t="shared" ca="1" si="24"/>
        <v>7.5305132398828709</v>
      </c>
      <c r="Q49" s="47">
        <f t="shared" ca="1" si="24"/>
        <v>8.0530648441533614</v>
      </c>
      <c r="R49" s="47">
        <f t="shared" ca="1" si="24"/>
        <v>8.3658811118224072</v>
      </c>
      <c r="S49" s="47">
        <f t="shared" ca="1" si="24"/>
        <v>8.6155360861022903</v>
      </c>
      <c r="T49" s="47">
        <f t="shared" ca="1" si="24"/>
        <v>8.8745045538071174</v>
      </c>
      <c r="U49" s="47">
        <f t="shared" ca="1" si="24"/>
        <v>8.9978166732961551</v>
      </c>
      <c r="V49" s="47">
        <f t="shared" ca="1" si="24"/>
        <v>9.0579239301170222</v>
      </c>
      <c r="W49" s="47">
        <f t="shared" ca="1" si="24"/>
        <v>9.1102458535851429</v>
      </c>
      <c r="X49" s="47">
        <f t="shared" ca="1" si="24"/>
        <v>9.1989105624231389</v>
      </c>
    </row>
    <row r="50" spans="1:24" x14ac:dyDescent="0.25">
      <c r="A50" s="9" t="s">
        <v>832</v>
      </c>
      <c r="B50" s="9"/>
      <c r="C50" s="13"/>
      <c r="D50" s="42">
        <f t="shared" ref="D50:X50" ca="1" si="25">(D$47-D$161)-(D$48-D$229)</f>
        <v>9.144999999999996</v>
      </c>
      <c r="E50" s="42">
        <f t="shared" ca="1" si="25"/>
        <v>-14.530999999999992</v>
      </c>
      <c r="F50" s="42">
        <f t="shared" ca="1" si="25"/>
        <v>-1.5949999999999989</v>
      </c>
      <c r="G50" s="42">
        <f t="shared" ca="1" si="25"/>
        <v>-6.1000000000000085</v>
      </c>
      <c r="H50" s="42">
        <f t="shared" ca="1" si="25"/>
        <v>-0.4690000000000083</v>
      </c>
      <c r="I50" s="42">
        <f t="shared" ca="1" si="25"/>
        <v>-1.27800000000002</v>
      </c>
      <c r="J50" s="43">
        <f t="shared" ca="1" si="25"/>
        <v>-3.2600000000000193</v>
      </c>
      <c r="K50" s="43">
        <f t="shared" ca="1" si="25"/>
        <v>-4.8259999999999934</v>
      </c>
      <c r="L50" s="43">
        <f t="shared" ca="1" si="25"/>
        <v>8.0000000000381988E-3</v>
      </c>
      <c r="M50" s="43">
        <f t="shared" ca="1" si="25"/>
        <v>5.1669999999999732</v>
      </c>
      <c r="N50" s="43">
        <f t="shared" ca="1" si="25"/>
        <v>8.8270000000000266</v>
      </c>
      <c r="O50" s="47">
        <f t="shared" ca="1" si="25"/>
        <v>8.878993923096715</v>
      </c>
      <c r="P50" s="47">
        <f t="shared" ca="1" si="25"/>
        <v>9.5003122666395541</v>
      </c>
      <c r="Q50" s="47">
        <f t="shared" ca="1" si="25"/>
        <v>9.9164094006663959</v>
      </c>
      <c r="R50" s="47">
        <f t="shared" ca="1" si="25"/>
        <v>10.116336753830808</v>
      </c>
      <c r="S50" s="47">
        <f t="shared" ca="1" si="25"/>
        <v>10.253435308545505</v>
      </c>
      <c r="T50" s="47">
        <f t="shared" ca="1" si="25"/>
        <v>10.356117733735914</v>
      </c>
      <c r="U50" s="47">
        <f t="shared" ca="1" si="25"/>
        <v>10.328297174537795</v>
      </c>
      <c r="V50" s="47">
        <f t="shared" ca="1" si="25"/>
        <v>10.244058012862752</v>
      </c>
      <c r="W50" s="47">
        <f t="shared" ca="1" si="25"/>
        <v>10.156467262579071</v>
      </c>
      <c r="X50" s="47">
        <f t="shared" ca="1" si="25"/>
        <v>10.109390089990228</v>
      </c>
    </row>
    <row r="51" spans="1:24" x14ac:dyDescent="0.25">
      <c r="A51" s="9" t="s">
        <v>831</v>
      </c>
      <c r="B51" s="9"/>
      <c r="C51" s="13"/>
      <c r="D51" s="42">
        <f t="shared" ref="D51:X51" si="26">D$504</f>
        <v>-0.7100000000000124</v>
      </c>
      <c r="E51" s="42">
        <f t="shared" si="26"/>
        <v>-23.692000000000007</v>
      </c>
      <c r="F51" s="42">
        <f t="shared" si="26"/>
        <v>-13.766999999999978</v>
      </c>
      <c r="G51" s="42">
        <f t="shared" si="26"/>
        <v>-27.042999999999999</v>
      </c>
      <c r="H51" s="42">
        <f t="shared" si="26"/>
        <v>-25.648000000000007</v>
      </c>
      <c r="I51" s="42">
        <f t="shared" si="26"/>
        <v>-19.302000000000007</v>
      </c>
      <c r="J51" s="43">
        <f t="shared" ca="1" si="26"/>
        <v>-9.9900000000000215</v>
      </c>
      <c r="K51" s="43">
        <f t="shared" ca="1" si="26"/>
        <v>-14.533000000000023</v>
      </c>
      <c r="L51" s="43">
        <f t="shared" ca="1" si="26"/>
        <v>-18.212000000000007</v>
      </c>
      <c r="M51" s="43">
        <f t="shared" ca="1" si="26"/>
        <v>-11.415000000000003</v>
      </c>
      <c r="N51" s="43">
        <f t="shared" ca="1" si="26"/>
        <v>-8.1450000000000209</v>
      </c>
      <c r="O51" s="47">
        <f t="shared" ca="1" si="26"/>
        <v>-8.5140952575351534</v>
      </c>
      <c r="P51" s="47">
        <f t="shared" ca="1" si="26"/>
        <v>-8.201298723121031</v>
      </c>
      <c r="Q51" s="47">
        <f t="shared" ca="1" si="26"/>
        <v>-8.1233427143123151</v>
      </c>
      <c r="R51" s="47">
        <f t="shared" ca="1" si="26"/>
        <v>-8.2073083674677125</v>
      </c>
      <c r="S51" s="47">
        <f t="shared" ca="1" si="26"/>
        <v>-8.3463934777881246</v>
      </c>
      <c r="T51" s="47">
        <f t="shared" ca="1" si="26"/>
        <v>-8.4876241130722843</v>
      </c>
      <c r="U51" s="47">
        <f t="shared" ca="1" si="26"/>
        <v>-8.721648939262888</v>
      </c>
      <c r="V51" s="47">
        <f t="shared" ca="1" si="26"/>
        <v>-9.0556324739855931</v>
      </c>
      <c r="W51" s="47">
        <f t="shared" ca="1" si="26"/>
        <v>-9.4853880671092163</v>
      </c>
      <c r="X51" s="47">
        <f t="shared" ca="1" si="26"/>
        <v>-9.9850221129549546</v>
      </c>
    </row>
    <row r="52" spans="1:24" x14ac:dyDescent="0.25">
      <c r="A52" s="55" t="s">
        <v>920</v>
      </c>
      <c r="B52" s="10" t="str">
        <f>$B$42</f>
        <v>Outturn &amp; Forecast only</v>
      </c>
      <c r="C52" s="13"/>
      <c r="D52" s="91" t="str">
        <f ca="1">IF(ROUND('Fiscal Forecasts'!D$178-D$49,3)=0,"OK","ERROR")</f>
        <v>OK</v>
      </c>
      <c r="E52" s="91" t="str">
        <f ca="1">IF(ROUND('Fiscal Forecasts'!E$178-E$49,3)=0,"OK","ERROR")</f>
        <v>OK</v>
      </c>
      <c r="F52" s="91" t="str">
        <f ca="1">IF(ROUND('Fiscal Forecasts'!F$178-F$49,3)-0.001=0,"OK","ERROR")</f>
        <v>OK</v>
      </c>
      <c r="G52" s="91" t="str">
        <f ca="1">IF(ROUND('Fiscal Forecasts'!G$178-G$49,3)=0,"OK","ERROR")</f>
        <v>OK</v>
      </c>
      <c r="H52" s="91" t="str">
        <f ca="1">IF(ROUND('Fiscal Forecasts'!H$178-H$49,3)=0,"OK","ERROR")</f>
        <v>OK</v>
      </c>
      <c r="I52" s="91" t="str">
        <f ca="1">IF(ROUND('Fiscal Forecasts'!I$178-I$49-0.002,3)=0,"OK","ERROR")</f>
        <v>OK</v>
      </c>
      <c r="J52" s="91" t="str">
        <f ca="1">IF(ROUND('Fiscal Forecasts'!J$178-J$49,3)=0,"OK","ERROR")</f>
        <v>OK</v>
      </c>
      <c r="K52" s="91" t="str">
        <f ca="1">IF(ROUND('Fiscal Forecasts'!K$178-K$49,3)=0,"OK","ERROR")</f>
        <v>OK</v>
      </c>
      <c r="L52" s="91" t="str">
        <f ca="1">IF(ROUND('Fiscal Forecasts'!L$178-L$49,3)=0,"OK","ERROR")</f>
        <v>OK</v>
      </c>
      <c r="M52" s="91" t="str">
        <f ca="1">IF(ROUND('Fiscal Forecasts'!M$178-M$49,3)=0,"OK","ERROR")</f>
        <v>OK</v>
      </c>
      <c r="N52" s="91" t="str">
        <f ca="1">IF(ROUND('Fiscal Forecasts'!N$178-N$49,3)=0,"OK","ERROR")</f>
        <v>OK</v>
      </c>
      <c r="O52" s="18"/>
      <c r="P52" s="18"/>
      <c r="Q52" s="18"/>
      <c r="R52" s="18"/>
      <c r="S52" s="18"/>
      <c r="T52" s="18"/>
      <c r="U52" s="18"/>
      <c r="V52" s="18"/>
      <c r="W52" s="18"/>
      <c r="X52" s="18"/>
    </row>
    <row r="53" spans="1:24" x14ac:dyDescent="0.25">
      <c r="A53" s="55" t="s">
        <v>921</v>
      </c>
      <c r="B53" s="9"/>
      <c r="C53" s="13"/>
      <c r="D53" s="91" t="str">
        <f>IF(ROUND(D$48-SUM(D$197,D$229,D$245,D$248,D$251,D$261,D$274,D$284,D$288,D$292,D$302,D$306,D$310,D$314,D$318,D$324,D$328),3)-0.001=0,"OK","ERROR")</f>
        <v>OK</v>
      </c>
      <c r="E53" s="91" t="str">
        <f>IF(ROUND(E$48-SUM(E$197,E$229,E$245,E$248,E$251,E$261,E$274,E$284,E$288,E$292,E$302,E$306,E$310,E$314,E$318,E$324,E$328),3)=0,"OK","ERROR")</f>
        <v>OK</v>
      </c>
      <c r="F53" s="91" t="str">
        <f>IF(ROUND(F$48-SUM(F$197,F$229,F$245,F$248,F$251,F$261,F$274,F$284,F$288,F$292,F$302,F$306,F$310,F$314,F$318,F$324,F$328),3)-0.001=0,"OK","ERROR")</f>
        <v>OK</v>
      </c>
      <c r="G53" s="91" t="str">
        <f t="shared" ref="G53:H53" si="27">IF(ROUND(G$48-SUM(G$197,G$229,G$245,G$248,G$251,G$261,G$274,G$284,G$288,G$292,G$302,G$306,G$310,G$314,G$318,G$324,G$328),3)=0,"OK","ERROR")</f>
        <v>OK</v>
      </c>
      <c r="H53" s="91" t="str">
        <f t="shared" si="27"/>
        <v>OK</v>
      </c>
      <c r="I53" s="91" t="str">
        <f>IF(ROUND(I$48-SUM(I$197,I$229,I$245,I$248,I$251,I$261,I$274,I$284,I$288,I$292,I$302,I$306,I$310,I$314,I$318,I$324,I$328)-0.002,3)=0,"OK","ERROR")</f>
        <v>OK</v>
      </c>
      <c r="J53" s="91" t="str">
        <f t="shared" ref="J53:X53" ca="1" si="28">IF(ROUND(J$48-SUM(J$197,J$229,J$245,J$248,J$251,J$261,J$274,J$284,J$288,J$292,J$302,J$306,J$310,J$314,J$318,J$324,J$328),3)=0,"OK","ERROR")</f>
        <v>OK</v>
      </c>
      <c r="K53" s="91" t="str">
        <f t="shared" ca="1" si="28"/>
        <v>OK</v>
      </c>
      <c r="L53" s="91" t="str">
        <f t="shared" ca="1" si="28"/>
        <v>OK</v>
      </c>
      <c r="M53" s="91" t="str">
        <f t="shared" ca="1" si="28"/>
        <v>OK</v>
      </c>
      <c r="N53" s="91" t="str">
        <f t="shared" ca="1" si="28"/>
        <v>OK</v>
      </c>
      <c r="O53" s="91" t="str">
        <f t="shared" ca="1" si="28"/>
        <v>OK</v>
      </c>
      <c r="P53" s="91" t="str">
        <f t="shared" ca="1" si="28"/>
        <v>OK</v>
      </c>
      <c r="Q53" s="91" t="str">
        <f t="shared" ca="1" si="28"/>
        <v>OK</v>
      </c>
      <c r="R53" s="91" t="str">
        <f t="shared" ca="1" si="28"/>
        <v>OK</v>
      </c>
      <c r="S53" s="91" t="str">
        <f t="shared" ca="1" si="28"/>
        <v>OK</v>
      </c>
      <c r="T53" s="91" t="str">
        <f t="shared" ca="1" si="28"/>
        <v>OK</v>
      </c>
      <c r="U53" s="91" t="str">
        <f t="shared" ca="1" si="28"/>
        <v>OK</v>
      </c>
      <c r="V53" s="91" t="str">
        <f t="shared" ca="1" si="28"/>
        <v>OK</v>
      </c>
      <c r="W53" s="91" t="str">
        <f t="shared" ca="1" si="28"/>
        <v>OK</v>
      </c>
      <c r="X53" s="91" t="str">
        <f t="shared" ca="1" si="28"/>
        <v>OK</v>
      </c>
    </row>
    <row r="54" spans="1:24" x14ac:dyDescent="0.25">
      <c r="A54" s="9"/>
      <c r="B54" s="9"/>
      <c r="C54" s="13"/>
      <c r="D54" s="13"/>
      <c r="E54" s="13"/>
      <c r="F54" s="13"/>
      <c r="G54" s="13"/>
      <c r="H54" s="13"/>
      <c r="I54" s="13"/>
      <c r="J54" s="13"/>
      <c r="K54" s="13"/>
      <c r="L54" s="13"/>
      <c r="M54" s="13"/>
      <c r="N54" s="13"/>
      <c r="O54" s="42"/>
      <c r="P54" s="42"/>
      <c r="Q54" s="42"/>
      <c r="R54" s="42"/>
      <c r="S54" s="42"/>
      <c r="T54" s="42"/>
      <c r="U54" s="42"/>
      <c r="V54" s="42"/>
      <c r="W54" s="42"/>
      <c r="X54" s="42"/>
    </row>
    <row r="55" spans="1:24" x14ac:dyDescent="0.25">
      <c r="A55" s="12" t="s">
        <v>1132</v>
      </c>
      <c r="B55" s="9"/>
      <c r="C55" s="13"/>
      <c r="D55" s="114"/>
      <c r="E55" s="114"/>
      <c r="F55" s="114"/>
      <c r="G55" s="114"/>
      <c r="H55" s="114"/>
      <c r="I55" s="114"/>
      <c r="J55" s="114"/>
      <c r="K55" s="114"/>
      <c r="L55" s="114"/>
      <c r="M55" s="114"/>
      <c r="N55" s="114"/>
      <c r="O55" s="18"/>
      <c r="P55" s="18"/>
      <c r="Q55" s="18"/>
      <c r="R55" s="18"/>
      <c r="S55" s="18"/>
      <c r="T55" s="18"/>
      <c r="U55" s="18"/>
      <c r="V55" s="18"/>
      <c r="W55" s="18"/>
      <c r="X55" s="18"/>
    </row>
    <row r="56" spans="1:24" x14ac:dyDescent="0.25">
      <c r="A56" s="9" t="s">
        <v>1133</v>
      </c>
      <c r="B56" s="9"/>
      <c r="C56" s="13"/>
      <c r="D56" s="42">
        <f t="shared" ref="D56:X56" ca="1" si="29">SUM(D$356,D$363,D$372,D$381,D$397,D$406,D$420,D$424,D$429,D$438,D$444,D$450,D$451)</f>
        <v>364.65199999999999</v>
      </c>
      <c r="E56" s="42">
        <f t="shared" ca="1" si="29"/>
        <v>393.4</v>
      </c>
      <c r="F56" s="42">
        <f t="shared" ca="1" si="29"/>
        <v>438.59599999999995</v>
      </c>
      <c r="G56" s="42">
        <f t="shared" ca="1" si="29"/>
        <v>501.84400000000005</v>
      </c>
      <c r="H56" s="42">
        <f t="shared" ca="1" si="29"/>
        <v>536.66599999999994</v>
      </c>
      <c r="I56" s="42">
        <f t="shared" ca="1" si="29"/>
        <v>570.86800000000005</v>
      </c>
      <c r="J56" s="43">
        <f t="shared" ca="1" si="29"/>
        <v>600.50799999999992</v>
      </c>
      <c r="K56" s="43">
        <f t="shared" ca="1" si="29"/>
        <v>619.46400000000006</v>
      </c>
      <c r="L56" s="43">
        <f t="shared" ca="1" si="29"/>
        <v>637.74200000000008</v>
      </c>
      <c r="M56" s="43">
        <f t="shared" ca="1" si="29"/>
        <v>657.05399999999997</v>
      </c>
      <c r="N56" s="43">
        <f t="shared" ca="1" si="29"/>
        <v>676.23599999999999</v>
      </c>
      <c r="O56" s="47">
        <f t="shared" ca="1" si="29"/>
        <v>698.53174131989613</v>
      </c>
      <c r="P56" s="47">
        <f t="shared" ca="1" si="29"/>
        <v>720.73230468694464</v>
      </c>
      <c r="Q56" s="47">
        <f t="shared" ca="1" si="29"/>
        <v>743.62222280846197</v>
      </c>
      <c r="R56" s="47">
        <f t="shared" ca="1" si="29"/>
        <v>767.14885575682899</v>
      </c>
      <c r="S56" s="47">
        <f t="shared" ca="1" si="29"/>
        <v>791.38255098328727</v>
      </c>
      <c r="T56" s="47">
        <f t="shared" ca="1" si="29"/>
        <v>816.35801067862599</v>
      </c>
      <c r="U56" s="47">
        <f t="shared" ca="1" si="29"/>
        <v>842.04054611740878</v>
      </c>
      <c r="V56" s="47">
        <f t="shared" ca="1" si="29"/>
        <v>868.38083570920219</v>
      </c>
      <c r="W56" s="47">
        <f t="shared" ca="1" si="29"/>
        <v>895.38218882447029</v>
      </c>
      <c r="X56" s="47">
        <f t="shared" ca="1" si="29"/>
        <v>923.16187088557501</v>
      </c>
    </row>
    <row r="57" spans="1:24" x14ac:dyDescent="0.25">
      <c r="A57" s="9" t="s">
        <v>1134</v>
      </c>
      <c r="B57" s="9"/>
      <c r="C57" s="13"/>
      <c r="D57" s="42">
        <f t="shared" ref="D57:X57" si="30">SUM(D$70,D$454,D$461,D$465,D$469,D$475,D$480,D$486)</f>
        <v>221.31299999999999</v>
      </c>
      <c r="E57" s="42">
        <f t="shared" si="30"/>
        <v>277.45699999999999</v>
      </c>
      <c r="F57" s="42">
        <f t="shared" si="30"/>
        <v>281.40300000000002</v>
      </c>
      <c r="G57" s="42">
        <f t="shared" si="30"/>
        <v>327.52500000000003</v>
      </c>
      <c r="H57" s="42">
        <f t="shared" si="30"/>
        <v>345.19400000000002</v>
      </c>
      <c r="I57" s="42">
        <f t="shared" si="30"/>
        <v>379.81899999999996</v>
      </c>
      <c r="J57" s="43">
        <f t="shared" si="30"/>
        <v>417.37800000000004</v>
      </c>
      <c r="K57" s="43">
        <f t="shared" si="30"/>
        <v>446.24</v>
      </c>
      <c r="L57" s="43">
        <f t="shared" si="30"/>
        <v>469.96299999999997</v>
      </c>
      <c r="M57" s="43">
        <f t="shared" si="30"/>
        <v>489.21399999999994</v>
      </c>
      <c r="N57" s="43">
        <f t="shared" si="30"/>
        <v>504.34300000000002</v>
      </c>
      <c r="O57" s="47">
        <f t="shared" ca="1" si="30"/>
        <v>521.70402241773513</v>
      </c>
      <c r="P57" s="47">
        <f t="shared" ca="1" si="30"/>
        <v>537.75340953195075</v>
      </c>
      <c r="Q57" s="47">
        <f t="shared" ca="1" si="30"/>
        <v>553.39324290765887</v>
      </c>
      <c r="R57" s="47">
        <f t="shared" ca="1" si="30"/>
        <v>568.6942609741011</v>
      </c>
      <c r="S57" s="47">
        <f t="shared" ca="1" si="30"/>
        <v>583.65125597237488</v>
      </c>
      <c r="T57" s="47">
        <f t="shared" ca="1" si="30"/>
        <v>598.14126841303391</v>
      </c>
      <c r="U57" s="47">
        <f t="shared" ca="1" si="30"/>
        <v>612.16861835227201</v>
      </c>
      <c r="V57" s="47">
        <f t="shared" ca="1" si="30"/>
        <v>625.98628190439081</v>
      </c>
      <c r="W57" s="47">
        <f t="shared" ca="1" si="30"/>
        <v>639.87862259554754</v>
      </c>
      <c r="X57" s="47">
        <f t="shared" ca="1" si="30"/>
        <v>653.97100260555385</v>
      </c>
    </row>
    <row r="58" spans="1:24" x14ac:dyDescent="0.25">
      <c r="A58" s="9" t="s">
        <v>838</v>
      </c>
      <c r="B58" s="9"/>
      <c r="C58" s="13"/>
      <c r="D58" s="65">
        <f t="shared" ref="D58:X58" ca="1" si="31">D$56-D$57</f>
        <v>143.339</v>
      </c>
      <c r="E58" s="65">
        <f t="shared" ca="1" si="31"/>
        <v>115.94299999999998</v>
      </c>
      <c r="F58" s="65">
        <f t="shared" ca="1" si="31"/>
        <v>157.19299999999993</v>
      </c>
      <c r="G58" s="65">
        <f t="shared" ca="1" si="31"/>
        <v>174.31900000000002</v>
      </c>
      <c r="H58" s="65">
        <f t="shared" ca="1" si="31"/>
        <v>191.47199999999992</v>
      </c>
      <c r="I58" s="65">
        <f t="shared" ca="1" si="31"/>
        <v>191.04900000000009</v>
      </c>
      <c r="J58" s="66">
        <f t="shared" ca="1" si="31"/>
        <v>183.12999999999988</v>
      </c>
      <c r="K58" s="66">
        <f t="shared" ca="1" si="31"/>
        <v>173.22400000000005</v>
      </c>
      <c r="L58" s="66">
        <f t="shared" ca="1" si="31"/>
        <v>167.77900000000011</v>
      </c>
      <c r="M58" s="66">
        <f t="shared" ca="1" si="31"/>
        <v>167.84000000000003</v>
      </c>
      <c r="N58" s="66">
        <f t="shared" ca="1" si="31"/>
        <v>171.89299999999997</v>
      </c>
      <c r="O58" s="67">
        <f t="shared" ca="1" si="31"/>
        <v>176.827718902161</v>
      </c>
      <c r="P58" s="67">
        <f t="shared" ca="1" si="31"/>
        <v>182.97889515499389</v>
      </c>
      <c r="Q58" s="67">
        <f t="shared" ca="1" si="31"/>
        <v>190.2289799008031</v>
      </c>
      <c r="R58" s="67">
        <f t="shared" ca="1" si="31"/>
        <v>198.4545947827279</v>
      </c>
      <c r="S58" s="67">
        <f t="shared" ca="1" si="31"/>
        <v>207.73129501091239</v>
      </c>
      <c r="T58" s="67">
        <f t="shared" ca="1" si="31"/>
        <v>218.21674226559207</v>
      </c>
      <c r="U58" s="67">
        <f t="shared" ca="1" si="31"/>
        <v>229.87192776513677</v>
      </c>
      <c r="V58" s="67">
        <f t="shared" ca="1" si="31"/>
        <v>242.39455380481138</v>
      </c>
      <c r="W58" s="67">
        <f t="shared" ca="1" si="31"/>
        <v>255.50356622892275</v>
      </c>
      <c r="X58" s="67">
        <f t="shared" ca="1" si="31"/>
        <v>269.19086828002116</v>
      </c>
    </row>
    <row r="59" spans="1:24" x14ac:dyDescent="0.25">
      <c r="A59" s="11" t="s">
        <v>1135</v>
      </c>
      <c r="B59" s="10" t="str">
        <f>$B$38</f>
        <v>From Fiscal Forecasts</v>
      </c>
      <c r="C59" s="13"/>
      <c r="D59" s="35">
        <f>'Fiscal Forecasts'!D$145</f>
        <v>6.39</v>
      </c>
      <c r="E59" s="35">
        <f>'Fiscal Forecasts'!E$145</f>
        <v>5.6230000000000002</v>
      </c>
      <c r="F59" s="35">
        <f>'Fiscal Forecasts'!F$145</f>
        <v>5.7240000000000002</v>
      </c>
      <c r="G59" s="35">
        <f>'Fiscal Forecasts'!G$145</f>
        <v>7.2830000000000004</v>
      </c>
      <c r="H59" s="35">
        <f>'Fiscal Forecasts'!H$145</f>
        <v>7.9580000000000002</v>
      </c>
      <c r="I59" s="35">
        <f>'Fiscal Forecasts'!I$145</f>
        <v>9.2309999999999999</v>
      </c>
      <c r="J59" s="17">
        <f>'Fiscal Forecasts'!J$145</f>
        <v>9.4350000000000005</v>
      </c>
      <c r="K59" s="17">
        <f>'Fiscal Forecasts'!K$145</f>
        <v>9.3460000000000001</v>
      </c>
      <c r="L59" s="17">
        <f>'Fiscal Forecasts'!L$145</f>
        <v>9.4849999999999994</v>
      </c>
      <c r="M59" s="17">
        <f>'Fiscal Forecasts'!M$145</f>
        <v>9.5519999999999996</v>
      </c>
      <c r="N59" s="17">
        <f>'Fiscal Forecasts'!N$145</f>
        <v>9.5259999999999998</v>
      </c>
      <c r="O59" s="16">
        <f ca="1">IF(O$6=OFFSET(Assumptions!$B$8,0,$C$1),AVERAGE(L$59/SUM(L$370,L$379),M$59/SUM(M$370,M$379),N$59/SUM(N$370,N$379)),N$59/SUM(N$370,N$379))*SUM(O$370,O$379)</f>
        <v>10.072620250258607</v>
      </c>
      <c r="P59" s="16">
        <f ca="1">IF(P$6=OFFSET(Assumptions!$B$8,0,$C$1),AVERAGE(M$59/SUM(M$370,M$379),N$59/SUM(N$370,N$379),O$59/SUM(O$370,O$379)),O$59/SUM(O$370,O$379))*SUM(P$370,P$379)</f>
        <v>10.499059686650636</v>
      </c>
      <c r="Q59" s="16">
        <f ca="1">IF(Q$6=OFFSET(Assumptions!$B$8,0,$C$1),AVERAGE(N$59/SUM(N$370,N$379),O$59/SUM(O$370,O$379),P$59/SUM(P$370,P$379)),P$59/SUM(P$370,P$379))*SUM(Q$370,Q$379)</f>
        <v>10.926425039567219</v>
      </c>
      <c r="R59" s="16">
        <f ca="1">IF(R$6=OFFSET(Assumptions!$B$8,0,$C$1),AVERAGE(O$59/SUM(O$370,O$379),P$59/SUM(P$370,P$379),Q$59/SUM(Q$370,Q$379)),Q$59/SUM(Q$370,Q$379))*SUM(R$370,R$379)</f>
        <v>11.353752508474253</v>
      </c>
      <c r="S59" s="16">
        <f ca="1">IF(S$6=OFFSET(Assumptions!$B$8,0,$C$1),AVERAGE(P$59/SUM(P$370,P$379),Q$59/SUM(Q$370,Q$379),R$59/SUM(R$370,R$379)),R$59/SUM(R$370,R$379))*SUM(S$370,S$379)</f>
        <v>11.790502403214663</v>
      </c>
      <c r="T59" s="16">
        <f ca="1">IF(T$6=OFFSET(Assumptions!$B$8,0,$C$1),AVERAGE(Q$59/SUM(Q$370,Q$379),R$59/SUM(R$370,R$379),S$59/SUM(S$370,S$379)),S$59/SUM(S$370,S$379))*SUM(T$370,T$379)</f>
        <v>12.236008204399441</v>
      </c>
      <c r="U59" s="16">
        <f ca="1">IF(U$6=OFFSET(Assumptions!$B$8,0,$C$1),AVERAGE(R$59/SUM(R$370,R$379),S$59/SUM(S$370,S$379),T$59/SUM(T$370,T$379)),T$59/SUM(T$370,T$379))*SUM(U$370,U$379)</f>
        <v>12.687453957643454</v>
      </c>
      <c r="V59" s="16">
        <f ca="1">IF(V$6=OFFSET(Assumptions!$B$8,0,$C$1),AVERAGE(S$59/SUM(S$370,S$379),T$59/SUM(T$370,T$379),U$59/SUM(U$370,U$379)),U$59/SUM(U$370,U$379))*SUM(V$370,V$379)</f>
        <v>13.145687110674762</v>
      </c>
      <c r="W59" s="16">
        <f ca="1">IF(W$6=OFFSET(Assumptions!$B$8,0,$C$1),AVERAGE(T$59/SUM(T$370,T$379),U$59/SUM(U$370,U$379),V$59/SUM(V$370,V$379)),V$59/SUM(V$370,V$379))*SUM(W$370,W$379)</f>
        <v>13.610690591336256</v>
      </c>
      <c r="X59" s="16">
        <f ca="1">IF(X$6=OFFSET(Assumptions!$B$8,0,$C$1),AVERAGE(U$59/SUM(U$370,U$379),V$59/SUM(V$370,V$379),W$59/SUM(W$370,W$379)),W$59/SUM(W$370,W$379))*SUM(X$370,X$379)</f>
        <v>14.085968447025619</v>
      </c>
    </row>
    <row r="60" spans="1:24" x14ac:dyDescent="0.25">
      <c r="A60" s="9" t="s">
        <v>839</v>
      </c>
      <c r="B60" s="10"/>
      <c r="C60" s="13"/>
      <c r="D60" s="65">
        <f t="shared" ref="D60:X60" ca="1" si="32">D$58-D$59</f>
        <v>136.94900000000001</v>
      </c>
      <c r="E60" s="65">
        <f t="shared" ca="1" si="32"/>
        <v>110.31999999999998</v>
      </c>
      <c r="F60" s="65">
        <f t="shared" ca="1" si="32"/>
        <v>151.46899999999994</v>
      </c>
      <c r="G60" s="65">
        <f t="shared" ca="1" si="32"/>
        <v>167.03600000000003</v>
      </c>
      <c r="H60" s="65">
        <f t="shared" ca="1" si="32"/>
        <v>183.51399999999992</v>
      </c>
      <c r="I60" s="65">
        <f t="shared" ca="1" si="32"/>
        <v>181.8180000000001</v>
      </c>
      <c r="J60" s="66">
        <f t="shared" ca="1" si="32"/>
        <v>173.69499999999988</v>
      </c>
      <c r="K60" s="66">
        <f t="shared" ca="1" si="32"/>
        <v>163.87800000000004</v>
      </c>
      <c r="L60" s="66">
        <f t="shared" ca="1" si="32"/>
        <v>158.2940000000001</v>
      </c>
      <c r="M60" s="66">
        <f t="shared" ca="1" si="32"/>
        <v>158.28800000000004</v>
      </c>
      <c r="N60" s="66">
        <f t="shared" ca="1" si="32"/>
        <v>162.36699999999996</v>
      </c>
      <c r="O60" s="67">
        <f t="shared" ca="1" si="32"/>
        <v>166.75509865190239</v>
      </c>
      <c r="P60" s="67">
        <f t="shared" ca="1" si="32"/>
        <v>172.47983546834325</v>
      </c>
      <c r="Q60" s="67">
        <f t="shared" ca="1" si="32"/>
        <v>179.30255486123588</v>
      </c>
      <c r="R60" s="67">
        <f t="shared" ca="1" si="32"/>
        <v>187.10084227425364</v>
      </c>
      <c r="S60" s="67">
        <f t="shared" ca="1" si="32"/>
        <v>195.94079260769772</v>
      </c>
      <c r="T60" s="67">
        <f t="shared" ca="1" si="32"/>
        <v>205.98073406119263</v>
      </c>
      <c r="U60" s="67">
        <f t="shared" ca="1" si="32"/>
        <v>217.18447380749333</v>
      </c>
      <c r="V60" s="67">
        <f t="shared" ca="1" si="32"/>
        <v>229.24886669413661</v>
      </c>
      <c r="W60" s="67">
        <f t="shared" ca="1" si="32"/>
        <v>241.89287563758649</v>
      </c>
      <c r="X60" s="67">
        <f t="shared" ca="1" si="32"/>
        <v>255.10489983299556</v>
      </c>
    </row>
    <row r="61" spans="1:24" x14ac:dyDescent="0.25">
      <c r="A61" s="55" t="s">
        <v>1136</v>
      </c>
      <c r="B61" s="10" t="str">
        <f>$B$42</f>
        <v>Outturn &amp; Forecast only</v>
      </c>
      <c r="C61" s="13"/>
      <c r="D61" s="91" t="str">
        <f ca="1">IF(ROUND('Fiscal Forecasts'!D$143-D$58,3)=0,"OK","ERROR")</f>
        <v>OK</v>
      </c>
      <c r="E61" s="91" t="str">
        <f ca="1">IF(ROUND('Fiscal Forecasts'!E$143-E$58,3)=0,"OK","ERROR")</f>
        <v>OK</v>
      </c>
      <c r="F61" s="91" t="str">
        <f ca="1">IF(ROUND('Fiscal Forecasts'!F$143-F$58,3)=0,"OK","ERROR")</f>
        <v>OK</v>
      </c>
      <c r="G61" s="91" t="str">
        <f ca="1">IF(ROUND('Fiscal Forecasts'!G$143-G$58,3)=0,"OK","ERROR")</f>
        <v>OK</v>
      </c>
      <c r="H61" s="91" t="str">
        <f ca="1">IF(ROUND('Fiscal Forecasts'!H$143-H$58,3)=0,"OK","ERROR")</f>
        <v>OK</v>
      </c>
      <c r="I61" s="91" t="str">
        <f ca="1">IF(ROUND('Fiscal Forecasts'!I$143-I$58,3)=0,"OK","ERROR")</f>
        <v>OK</v>
      </c>
      <c r="J61" s="91" t="str">
        <f ca="1">IF(ROUND('Fiscal Forecasts'!J$143-J$58,3)=0,"OK","ERROR")</f>
        <v>OK</v>
      </c>
      <c r="K61" s="91" t="str">
        <f ca="1">IF(ROUND('Fiscal Forecasts'!K$143-K$58,3)=0,"OK","ERROR")</f>
        <v>OK</v>
      </c>
      <c r="L61" s="91" t="str">
        <f ca="1">IF(ROUND('Fiscal Forecasts'!L$143-L$58,3)=0,"OK","ERROR")</f>
        <v>OK</v>
      </c>
      <c r="M61" s="91" t="str">
        <f ca="1">IF(ROUND('Fiscal Forecasts'!M$143-M$58,3)=0,"OK","ERROR")</f>
        <v>OK</v>
      </c>
      <c r="N61" s="91" t="str">
        <f ca="1">IF(ROUND('Fiscal Forecasts'!N$143-N$58,3)=0,"OK","ERROR")</f>
        <v>OK</v>
      </c>
      <c r="O61" s="18"/>
      <c r="P61" s="18"/>
      <c r="Q61" s="18"/>
      <c r="R61" s="18"/>
      <c r="S61" s="18"/>
      <c r="T61" s="18"/>
      <c r="U61" s="18"/>
      <c r="V61" s="18"/>
      <c r="W61" s="18"/>
      <c r="X61" s="18"/>
    </row>
    <row r="62" spans="1:24" x14ac:dyDescent="0.25">
      <c r="A62" s="55" t="s">
        <v>1147</v>
      </c>
      <c r="B62" s="10" t="s">
        <v>1146</v>
      </c>
      <c r="C62" s="13"/>
      <c r="D62" s="36"/>
      <c r="E62" s="36"/>
      <c r="F62" s="36"/>
      <c r="G62" s="36"/>
      <c r="H62" s="36"/>
      <c r="I62" s="36"/>
      <c r="J62" s="19"/>
      <c r="K62" s="19"/>
      <c r="L62" s="19"/>
      <c r="M62" s="19"/>
      <c r="N62" s="19"/>
      <c r="O62" s="91" t="str">
        <f t="shared" ref="O62:X62" ca="1" si="33">IF(ROUND(O$39+O$38-(O$58-N$58),3)=0,"OK","ERROR")</f>
        <v>OK</v>
      </c>
      <c r="P62" s="91" t="str">
        <f t="shared" ca="1" si="33"/>
        <v>OK</v>
      </c>
      <c r="Q62" s="91" t="str">
        <f t="shared" ca="1" si="33"/>
        <v>OK</v>
      </c>
      <c r="R62" s="91" t="str">
        <f t="shared" ca="1" si="33"/>
        <v>OK</v>
      </c>
      <c r="S62" s="91" t="str">
        <f t="shared" ca="1" si="33"/>
        <v>OK</v>
      </c>
      <c r="T62" s="91" t="str">
        <f t="shared" ca="1" si="33"/>
        <v>OK</v>
      </c>
      <c r="U62" s="91" t="str">
        <f t="shared" ca="1" si="33"/>
        <v>OK</v>
      </c>
      <c r="V62" s="91" t="str">
        <f t="shared" ca="1" si="33"/>
        <v>OK</v>
      </c>
      <c r="W62" s="91" t="str">
        <f t="shared" ca="1" si="33"/>
        <v>OK</v>
      </c>
      <c r="X62" s="91" t="str">
        <f t="shared" ca="1" si="33"/>
        <v>OK</v>
      </c>
    </row>
    <row r="63" spans="1:24" x14ac:dyDescent="0.25">
      <c r="A63" s="9" t="s">
        <v>672</v>
      </c>
      <c r="B63" s="9"/>
      <c r="C63" s="13"/>
      <c r="D63" s="42">
        <f t="shared" ref="D63:X63" ca="1" si="34">SUM(D$355,D$362,D$368,D$377,D$397,D$403,D$419,D$423,D$427,D$437,D$441,D$450,D$451)</f>
        <v>201.42400000000004</v>
      </c>
      <c r="E63" s="42">
        <f t="shared" ca="1" si="34"/>
        <v>219.821</v>
      </c>
      <c r="F63" s="42">
        <f t="shared" ca="1" si="34"/>
        <v>239.35500000000002</v>
      </c>
      <c r="G63" s="42">
        <f t="shared" ca="1" si="34"/>
        <v>269.32</v>
      </c>
      <c r="H63" s="42">
        <f t="shared" ca="1" si="34"/>
        <v>294.69400000000002</v>
      </c>
      <c r="I63" s="42">
        <f t="shared" ca="1" si="34"/>
        <v>326.74099999999999</v>
      </c>
      <c r="J63" s="43">
        <f t="shared" ca="1" si="34"/>
        <v>357.79299999999995</v>
      </c>
      <c r="K63" s="43">
        <f t="shared" ca="1" si="34"/>
        <v>372.36100000000005</v>
      </c>
      <c r="L63" s="43">
        <f t="shared" ca="1" si="34"/>
        <v>387.94900000000007</v>
      </c>
      <c r="M63" s="43">
        <f t="shared" ca="1" si="34"/>
        <v>401.86699999999996</v>
      </c>
      <c r="N63" s="43">
        <f t="shared" ca="1" si="34"/>
        <v>416.26400000000001</v>
      </c>
      <c r="O63" s="47">
        <f t="shared" ca="1" si="34"/>
        <v>432.97294674571225</v>
      </c>
      <c r="P63" s="47">
        <f t="shared" ca="1" si="34"/>
        <v>449.34894031547736</v>
      </c>
      <c r="Q63" s="47">
        <f t="shared" ca="1" si="34"/>
        <v>466.2321771888241</v>
      </c>
      <c r="R63" s="47">
        <f t="shared" ca="1" si="34"/>
        <v>483.56153976588149</v>
      </c>
      <c r="S63" s="47">
        <f t="shared" ca="1" si="34"/>
        <v>501.33709774520719</v>
      </c>
      <c r="T63" s="47">
        <f t="shared" ca="1" si="34"/>
        <v>519.57287793981573</v>
      </c>
      <c r="U63" s="47">
        <f t="shared" ca="1" si="34"/>
        <v>538.22904239667616</v>
      </c>
      <c r="V63" s="47">
        <f t="shared" ca="1" si="34"/>
        <v>557.34162313967806</v>
      </c>
      <c r="W63" s="47">
        <f t="shared" ca="1" si="34"/>
        <v>577.00607283747831</v>
      </c>
      <c r="X63" s="47">
        <f t="shared" ca="1" si="34"/>
        <v>597.33966730181453</v>
      </c>
    </row>
    <row r="64" spans="1:24" x14ac:dyDescent="0.25">
      <c r="A64" s="9" t="s">
        <v>674</v>
      </c>
      <c r="B64" s="9"/>
      <c r="C64" s="13"/>
      <c r="D64" s="42">
        <f t="shared" ref="D64:X64" si="35">SUM(D$71,D$454,D$460,D$464,D$468,D$472,D$478,D$485)</f>
        <v>132.88</v>
      </c>
      <c r="E64" s="42">
        <f t="shared" si="35"/>
        <v>172.70499999999998</v>
      </c>
      <c r="F64" s="42">
        <f t="shared" si="35"/>
        <v>178.81700000000001</v>
      </c>
      <c r="G64" s="42">
        <f t="shared" si="35"/>
        <v>224.036</v>
      </c>
      <c r="H64" s="42">
        <f t="shared" si="35"/>
        <v>235.35300000000001</v>
      </c>
      <c r="I64" s="42">
        <f t="shared" si="35"/>
        <v>261.70100000000002</v>
      </c>
      <c r="J64" s="43">
        <f t="shared" si="35"/>
        <v>296.44799999999992</v>
      </c>
      <c r="K64" s="43">
        <f t="shared" si="35"/>
        <v>316.36</v>
      </c>
      <c r="L64" s="43">
        <f t="shared" si="35"/>
        <v>333.11800000000005</v>
      </c>
      <c r="M64" s="43">
        <f t="shared" si="35"/>
        <v>343.65699999999998</v>
      </c>
      <c r="N64" s="43">
        <f t="shared" si="35"/>
        <v>351.35600000000005</v>
      </c>
      <c r="O64" s="47">
        <f t="shared" ca="1" si="35"/>
        <v>361.31435898911667</v>
      </c>
      <c r="P64" s="47">
        <f t="shared" ca="1" si="35"/>
        <v>370.15983931899893</v>
      </c>
      <c r="Q64" s="47">
        <f t="shared" ca="1" si="35"/>
        <v>378.99001134819224</v>
      </c>
      <c r="R64" s="47">
        <f t="shared" ca="1" si="35"/>
        <v>387.95349281342726</v>
      </c>
      <c r="S64" s="47">
        <f t="shared" ca="1" si="35"/>
        <v>397.11351470665056</v>
      </c>
      <c r="T64" s="47">
        <f t="shared" ca="1" si="35"/>
        <v>406.47479034745214</v>
      </c>
      <c r="U64" s="47">
        <f t="shared" ca="1" si="35"/>
        <v>416.13313813101655</v>
      </c>
      <c r="V64" s="47">
        <f t="shared" ca="1" si="35"/>
        <v>426.18779494390139</v>
      </c>
      <c r="W64" s="47">
        <f t="shared" ca="1" si="35"/>
        <v>436.74199878811646</v>
      </c>
      <c r="X64" s="47">
        <f t="shared" ca="1" si="35"/>
        <v>447.87668269002955</v>
      </c>
    </row>
    <row r="65" spans="1:24" x14ac:dyDescent="0.25">
      <c r="A65" s="9" t="s">
        <v>676</v>
      </c>
      <c r="B65" s="9"/>
      <c r="C65" s="13"/>
      <c r="D65" s="65">
        <f t="shared" ref="D65:X65" ca="1" si="36">D$63-D$64</f>
        <v>68.54400000000004</v>
      </c>
      <c r="E65" s="65">
        <f t="shared" ca="1" si="36"/>
        <v>47.116000000000014</v>
      </c>
      <c r="F65" s="65">
        <f t="shared" ca="1" si="36"/>
        <v>60.538000000000011</v>
      </c>
      <c r="G65" s="65">
        <f t="shared" ca="1" si="36"/>
        <v>45.283999999999992</v>
      </c>
      <c r="H65" s="65">
        <f t="shared" ca="1" si="36"/>
        <v>59.341000000000008</v>
      </c>
      <c r="I65" s="65">
        <f t="shared" ca="1" si="36"/>
        <v>65.039999999999964</v>
      </c>
      <c r="J65" s="66">
        <f t="shared" ca="1" si="36"/>
        <v>61.345000000000027</v>
      </c>
      <c r="K65" s="66">
        <f t="shared" ca="1" si="36"/>
        <v>56.001000000000033</v>
      </c>
      <c r="L65" s="66">
        <f t="shared" ca="1" si="36"/>
        <v>54.831000000000017</v>
      </c>
      <c r="M65" s="66">
        <f t="shared" ca="1" si="36"/>
        <v>58.20999999999998</v>
      </c>
      <c r="N65" s="66">
        <f t="shared" ca="1" si="36"/>
        <v>64.907999999999959</v>
      </c>
      <c r="O65" s="67">
        <f t="shared" ca="1" si="36"/>
        <v>71.65858775659558</v>
      </c>
      <c r="P65" s="67">
        <f t="shared" ca="1" si="36"/>
        <v>79.18910099647843</v>
      </c>
      <c r="Q65" s="67">
        <f t="shared" ca="1" si="36"/>
        <v>87.242165840631856</v>
      </c>
      <c r="R65" s="67">
        <f t="shared" ca="1" si="36"/>
        <v>95.608046952454231</v>
      </c>
      <c r="S65" s="67">
        <f t="shared" ca="1" si="36"/>
        <v>104.22358303855663</v>
      </c>
      <c r="T65" s="67">
        <f t="shared" ca="1" si="36"/>
        <v>113.09808759236358</v>
      </c>
      <c r="U65" s="67">
        <f t="shared" ca="1" si="36"/>
        <v>122.09590426565961</v>
      </c>
      <c r="V65" s="67">
        <f t="shared" ca="1" si="36"/>
        <v>131.15382819577667</v>
      </c>
      <c r="W65" s="67">
        <f t="shared" ca="1" si="36"/>
        <v>140.26407404936185</v>
      </c>
      <c r="X65" s="67">
        <f t="shared" ca="1" si="36"/>
        <v>149.46298461178498</v>
      </c>
    </row>
    <row r="66" spans="1:24" x14ac:dyDescent="0.25">
      <c r="A66" s="55" t="s">
        <v>1155</v>
      </c>
      <c r="B66" s="10" t="str">
        <f>$B$42</f>
        <v>Outturn &amp; Forecast only</v>
      </c>
      <c r="C66" s="13"/>
      <c r="D66" s="91" t="str">
        <f ca="1">IF(ROUND('Fiscal Forecasts'!D$200-D$65,3)=0,"OK","ERROR")</f>
        <v>OK</v>
      </c>
      <c r="E66" s="91" t="str">
        <f ca="1">IF(ROUND('Fiscal Forecasts'!E$200-E$65,3)=0,"OK","ERROR")</f>
        <v>OK</v>
      </c>
      <c r="F66" s="91" t="str">
        <f ca="1">IF(ROUND('Fiscal Forecasts'!F$200-F$65,3)=0,"OK","ERROR")</f>
        <v>OK</v>
      </c>
      <c r="G66" s="91" t="str">
        <f ca="1">IF(ROUND('Fiscal Forecasts'!G$200-G$65,3)=0,"OK","ERROR")</f>
        <v>OK</v>
      </c>
      <c r="H66" s="91" t="str">
        <f ca="1">IF(ROUND('Fiscal Forecasts'!H$200-H$65,3)=0,"OK","ERROR")</f>
        <v>OK</v>
      </c>
      <c r="I66" s="91" t="str">
        <f ca="1">IF(ROUND('Fiscal Forecasts'!I$200-I$65,3)=0,"OK","ERROR")</f>
        <v>OK</v>
      </c>
      <c r="J66" s="91" t="str">
        <f ca="1">IF(ROUND('Fiscal Forecasts'!J$200-J$65,3)=0,"OK","ERROR")</f>
        <v>OK</v>
      </c>
      <c r="K66" s="91" t="str">
        <f ca="1">IF(ROUND('Fiscal Forecasts'!K$200-K$65,3)=0,"OK","ERROR")</f>
        <v>OK</v>
      </c>
      <c r="L66" s="91" t="str">
        <f ca="1">IF(ROUND('Fiscal Forecasts'!L$200-L$65,3)=0,"OK","ERROR")</f>
        <v>OK</v>
      </c>
      <c r="M66" s="91" t="str">
        <f ca="1">IF(ROUND('Fiscal Forecasts'!M$200-M$65,3)=0,"OK","ERROR")</f>
        <v>OK</v>
      </c>
      <c r="N66" s="91" t="str">
        <f ca="1">IF(ROUND('Fiscal Forecasts'!N$200-N$65,3)=0,"OK","ERROR")</f>
        <v>OK</v>
      </c>
      <c r="O66" s="18"/>
      <c r="P66" s="18"/>
      <c r="Q66" s="18"/>
      <c r="R66" s="18"/>
      <c r="S66" s="18"/>
      <c r="T66" s="18"/>
      <c r="U66" s="18"/>
      <c r="V66" s="18"/>
      <c r="W66" s="18"/>
      <c r="X66" s="18"/>
    </row>
    <row r="67" spans="1:24" x14ac:dyDescent="0.25">
      <c r="A67" s="55" t="s">
        <v>1156</v>
      </c>
      <c r="B67" s="10" t="str">
        <f>$B$62</f>
        <v>Projected Years only</v>
      </c>
      <c r="C67" s="13"/>
      <c r="D67" s="36"/>
      <c r="E67" s="36"/>
      <c r="F67" s="36"/>
      <c r="G67" s="36"/>
      <c r="H67" s="36"/>
      <c r="I67" s="36"/>
      <c r="J67" s="19"/>
      <c r="K67" s="19"/>
      <c r="L67" s="19"/>
      <c r="M67" s="19"/>
      <c r="N67" s="19"/>
      <c r="O67" s="91" t="str">
        <f t="shared" ref="O67:X67" ca="1" si="37">IF(ROUND(O$49-(O$65-N$65),3)=0,"OK","ERROR")</f>
        <v>OK</v>
      </c>
      <c r="P67" s="91" t="str">
        <f t="shared" ca="1" si="37"/>
        <v>OK</v>
      </c>
      <c r="Q67" s="91" t="str">
        <f t="shared" ca="1" si="37"/>
        <v>OK</v>
      </c>
      <c r="R67" s="91" t="str">
        <f t="shared" ca="1" si="37"/>
        <v>OK</v>
      </c>
      <c r="S67" s="91" t="str">
        <f t="shared" ca="1" si="37"/>
        <v>OK</v>
      </c>
      <c r="T67" s="91" t="str">
        <f t="shared" ca="1" si="37"/>
        <v>OK</v>
      </c>
      <c r="U67" s="91" t="str">
        <f t="shared" ca="1" si="37"/>
        <v>OK</v>
      </c>
      <c r="V67" s="91" t="str">
        <f t="shared" ca="1" si="37"/>
        <v>OK</v>
      </c>
      <c r="W67" s="91" t="str">
        <f t="shared" ca="1" si="37"/>
        <v>OK</v>
      </c>
      <c r="X67" s="91" t="str">
        <f t="shared" ca="1" si="37"/>
        <v>OK</v>
      </c>
    </row>
    <row r="68" spans="1:24" x14ac:dyDescent="0.25">
      <c r="A68" s="9"/>
      <c r="B68" s="9"/>
      <c r="C68" s="13"/>
      <c r="D68" s="36"/>
      <c r="E68" s="36"/>
      <c r="F68" s="36"/>
      <c r="G68" s="36"/>
      <c r="H68" s="36"/>
      <c r="I68" s="36"/>
      <c r="J68" s="19"/>
      <c r="K68" s="19"/>
      <c r="L68" s="19"/>
      <c r="M68" s="19"/>
      <c r="N68" s="19"/>
      <c r="O68" s="18"/>
      <c r="P68" s="18"/>
      <c r="Q68" s="18"/>
      <c r="R68" s="18"/>
      <c r="S68" s="18"/>
      <c r="T68" s="18"/>
      <c r="U68" s="18"/>
      <c r="V68" s="18"/>
      <c r="W68" s="18"/>
      <c r="X68" s="18"/>
    </row>
    <row r="69" spans="1:24" x14ac:dyDescent="0.25">
      <c r="A69" s="12" t="s">
        <v>894</v>
      </c>
      <c r="B69" s="9"/>
      <c r="C69" s="13"/>
      <c r="D69" s="36"/>
      <c r="E69" s="36"/>
      <c r="F69" s="36"/>
      <c r="G69" s="36"/>
      <c r="H69" s="36"/>
      <c r="I69" s="36"/>
      <c r="J69" s="36"/>
      <c r="K69" s="36"/>
      <c r="L69" s="36"/>
      <c r="M69" s="36"/>
      <c r="N69" s="36"/>
      <c r="O69" s="13"/>
      <c r="P69" s="13"/>
      <c r="Q69" s="13"/>
      <c r="R69" s="13"/>
      <c r="S69" s="13"/>
      <c r="T69" s="13"/>
      <c r="U69" s="13"/>
      <c r="V69" s="13"/>
      <c r="W69" s="13"/>
      <c r="X69" s="13"/>
    </row>
    <row r="70" spans="1:24" x14ac:dyDescent="0.25">
      <c r="A70" s="9" t="s">
        <v>895</v>
      </c>
      <c r="B70" s="10" t="str">
        <f>$B$38</f>
        <v>From Fiscal Forecasts</v>
      </c>
      <c r="C70" s="13"/>
      <c r="D70" s="42">
        <f>'Fiscal Forecasts'!D$137</f>
        <v>110.248</v>
      </c>
      <c r="E70" s="42">
        <f>'Fiscal Forecasts'!E$137</f>
        <v>152.71700000000001</v>
      </c>
      <c r="F70" s="42">
        <f>'Fiscal Forecasts'!F$137</f>
        <v>162.56</v>
      </c>
      <c r="G70" s="42">
        <f>'Fiscal Forecasts'!G$137</f>
        <v>203.965</v>
      </c>
      <c r="H70" s="42">
        <f>'Fiscal Forecasts'!H$137</f>
        <v>226.755</v>
      </c>
      <c r="I70" s="42">
        <f>'Fiscal Forecasts'!I$137</f>
        <v>250.94300000000001</v>
      </c>
      <c r="J70" s="43">
        <f>'Fiscal Forecasts'!J$137</f>
        <v>277.57</v>
      </c>
      <c r="K70" s="43">
        <f>'Fiscal Forecasts'!K$137</f>
        <v>305.07600000000002</v>
      </c>
      <c r="L70" s="43">
        <f>'Fiscal Forecasts'!L$137</f>
        <v>325.91899999999998</v>
      </c>
      <c r="M70" s="43">
        <f>'Fiscal Forecasts'!M$137</f>
        <v>342.61099999999999</v>
      </c>
      <c r="N70" s="43">
        <f>'Fiscal Forecasts'!N$137</f>
        <v>354.2</v>
      </c>
      <c r="O70" s="47">
        <f t="shared" ref="O70:X70" ca="1" si="38">SUM(N$70,O$108)</f>
        <v>363.89694538999805</v>
      </c>
      <c r="P70" s="47">
        <f t="shared" ca="1" si="38"/>
        <v>374.31068715129459</v>
      </c>
      <c r="Q70" s="47">
        <f t="shared" ca="1" si="38"/>
        <v>383.93155151417631</v>
      </c>
      <c r="R70" s="47">
        <f t="shared" ca="1" si="38"/>
        <v>392.88115947570793</v>
      </c>
      <c r="S70" s="47">
        <f t="shared" ca="1" si="38"/>
        <v>401.14940456637953</v>
      </c>
      <c r="T70" s="47">
        <f t="shared" ca="1" si="38"/>
        <v>408.59165639238677</v>
      </c>
      <c r="U70" s="47">
        <f t="shared" ca="1" si="38"/>
        <v>415.25148866583635</v>
      </c>
      <c r="V70" s="47">
        <f t="shared" ca="1" si="38"/>
        <v>421.41013408714235</v>
      </c>
      <c r="W70" s="47">
        <f t="shared" ca="1" si="38"/>
        <v>427.33752771744787</v>
      </c>
      <c r="X70" s="47">
        <f t="shared" ca="1" si="38"/>
        <v>433.14889563505994</v>
      </c>
    </row>
    <row r="71" spans="1:24" x14ac:dyDescent="0.25">
      <c r="A71" s="11" t="s">
        <v>645</v>
      </c>
      <c r="B71" s="10" t="str">
        <f>$B$38</f>
        <v>From Fiscal Forecasts</v>
      </c>
      <c r="C71" s="13"/>
      <c r="D71" s="42">
        <f>'Fiscal Forecasts'!D$147</f>
        <v>91.51</v>
      </c>
      <c r="E71" s="42">
        <f>'Fiscal Forecasts'!E$147</f>
        <v>126.34099999999999</v>
      </c>
      <c r="F71" s="42">
        <f>'Fiscal Forecasts'!F$147</f>
        <v>132.54300000000001</v>
      </c>
      <c r="G71" s="42">
        <f>'Fiscal Forecasts'!G$147</f>
        <v>168.98599999999999</v>
      </c>
      <c r="H71" s="42">
        <f>'Fiscal Forecasts'!H$147</f>
        <v>191.029</v>
      </c>
      <c r="I71" s="42">
        <f>'Fiscal Forecasts'!I$147</f>
        <v>216.34899999999999</v>
      </c>
      <c r="J71" s="43">
        <f>'Fiscal Forecasts'!J$147</f>
        <v>244.69399999999999</v>
      </c>
      <c r="K71" s="43">
        <f>'Fiscal Forecasts'!K$147</f>
        <v>266.68599999999998</v>
      </c>
      <c r="L71" s="43">
        <f>'Fiscal Forecasts'!L$147</f>
        <v>283.69200000000001</v>
      </c>
      <c r="M71" s="43">
        <f>'Fiscal Forecasts'!M$147</f>
        <v>295.63799999999998</v>
      </c>
      <c r="N71" s="43">
        <f>'Fiscal Forecasts'!N$147</f>
        <v>304.26799999999997</v>
      </c>
      <c r="O71" s="47">
        <f t="shared" ref="O71:X71" ca="1" si="39">SUM(N$71,O$518)</f>
        <v>311.26672352813625</v>
      </c>
      <c r="P71" s="47">
        <f t="shared" ca="1" si="39"/>
        <v>319.57070637464165</v>
      </c>
      <c r="Q71" s="47">
        <f t="shared" ca="1" si="39"/>
        <v>327.80312826596071</v>
      </c>
      <c r="R71" s="47">
        <f t="shared" ca="1" si="39"/>
        <v>336.12377129288376</v>
      </c>
      <c r="S71" s="47">
        <f t="shared" ca="1" si="39"/>
        <v>344.58666774369186</v>
      </c>
      <c r="T71" s="47">
        <f t="shared" ca="1" si="39"/>
        <v>353.19466919746122</v>
      </c>
      <c r="U71" s="47">
        <f t="shared" ca="1" si="39"/>
        <v>362.03866964525315</v>
      </c>
      <c r="V71" s="47">
        <f t="shared" ca="1" si="39"/>
        <v>371.21986554945971</v>
      </c>
      <c r="W71" s="47">
        <f t="shared" ca="1" si="39"/>
        <v>380.83768315099076</v>
      </c>
      <c r="X71" s="47">
        <f t="shared" ca="1" si="39"/>
        <v>390.96613986571322</v>
      </c>
    </row>
    <row r="72" spans="1:24" x14ac:dyDescent="0.25">
      <c r="A72" s="11" t="s">
        <v>646</v>
      </c>
      <c r="B72" s="10" t="str">
        <f t="shared" ref="B72:B80" si="40">$B$38</f>
        <v>From Fiscal Forecasts</v>
      </c>
      <c r="C72" s="13"/>
      <c r="D72" s="35">
        <f>'Fiscal Forecasts'!D$148</f>
        <v>0.251</v>
      </c>
      <c r="E72" s="35">
        <f>'Fiscal Forecasts'!E$148</f>
        <v>5.5E-2</v>
      </c>
      <c r="F72" s="35">
        <f>'Fiscal Forecasts'!F$148</f>
        <v>2.1000000000000001E-2</v>
      </c>
      <c r="G72" s="35">
        <f>'Fiscal Forecasts'!G$148</f>
        <v>0.20799999999999999</v>
      </c>
      <c r="H72" s="35">
        <f>'Fiscal Forecasts'!H$148</f>
        <v>0.96199999999999997</v>
      </c>
      <c r="I72" s="35">
        <f>'Fiscal Forecasts'!I$148</f>
        <v>0.84699999999999998</v>
      </c>
      <c r="J72" s="17">
        <f>'Fiscal Forecasts'!J$148</f>
        <v>5.6289999999999996</v>
      </c>
      <c r="K72" s="17">
        <f>'Fiscal Forecasts'!K$148</f>
        <v>5.2130000000000001</v>
      </c>
      <c r="L72" s="17">
        <f>'Fiscal Forecasts'!L$148</f>
        <v>6.266</v>
      </c>
      <c r="M72" s="17">
        <f>'Fiscal Forecasts'!M$148</f>
        <v>5.5540000000000003</v>
      </c>
      <c r="N72" s="17">
        <f>'Fiscal Forecasts'!N$148</f>
        <v>5.21</v>
      </c>
      <c r="O72" s="16">
        <f t="shared" ref="O72:X72" ca="1" si="41">N$72*(1+O$29)</f>
        <v>5.3142000000000005</v>
      </c>
      <c r="P72" s="16">
        <f t="shared" ca="1" si="41"/>
        <v>5.420484000000001</v>
      </c>
      <c r="Q72" s="16">
        <f t="shared" ca="1" si="41"/>
        <v>5.5288936800000013</v>
      </c>
      <c r="R72" s="16">
        <f t="shared" ca="1" si="41"/>
        <v>5.6394715536000017</v>
      </c>
      <c r="S72" s="16">
        <f t="shared" ca="1" si="41"/>
        <v>5.7522609846720023</v>
      </c>
      <c r="T72" s="16">
        <f t="shared" ca="1" si="41"/>
        <v>5.867306204365442</v>
      </c>
      <c r="U72" s="16">
        <f t="shared" ca="1" si="41"/>
        <v>5.9846523284527509</v>
      </c>
      <c r="V72" s="16">
        <f t="shared" ca="1" si="41"/>
        <v>6.104345375021806</v>
      </c>
      <c r="W72" s="16">
        <f t="shared" ca="1" si="41"/>
        <v>6.226432282522242</v>
      </c>
      <c r="X72" s="16">
        <f t="shared" ca="1" si="41"/>
        <v>6.3509609281726869</v>
      </c>
    </row>
    <row r="73" spans="1:24" x14ac:dyDescent="0.25">
      <c r="A73" s="11" t="s">
        <v>1044</v>
      </c>
      <c r="B73" s="10" t="str">
        <f t="shared" si="40"/>
        <v>From Fiscal Forecasts</v>
      </c>
      <c r="C73" s="13"/>
      <c r="D73" s="35">
        <f>'Fiscal Forecasts'!D$149</f>
        <v>0.90300000000000002</v>
      </c>
      <c r="E73" s="35">
        <f>'Fiscal Forecasts'!E$149</f>
        <v>2.6749999999999998</v>
      </c>
      <c r="F73" s="35">
        <f>'Fiscal Forecasts'!F$149</f>
        <v>2.2170000000000001</v>
      </c>
      <c r="G73" s="35">
        <f>'Fiscal Forecasts'!G$149</f>
        <v>9.99</v>
      </c>
      <c r="H73" s="35">
        <f>'Fiscal Forecasts'!H$149</f>
        <v>3.093</v>
      </c>
      <c r="I73" s="35">
        <f>'Fiscal Forecasts'!I$149</f>
        <v>2.754</v>
      </c>
      <c r="J73" s="17">
        <f>'Fiscal Forecasts'!J$149</f>
        <v>6.6070000000000002</v>
      </c>
      <c r="K73" s="17">
        <f>'Fiscal Forecasts'!K$149</f>
        <v>6.3109999999999999</v>
      </c>
      <c r="L73" s="17">
        <f>'Fiscal Forecasts'!L$149</f>
        <v>7.3639999999999999</v>
      </c>
      <c r="M73" s="17">
        <f>'Fiscal Forecasts'!M$149</f>
        <v>6.6509999999999998</v>
      </c>
      <c r="N73" s="17">
        <f>'Fiscal Forecasts'!N$149</f>
        <v>6.335</v>
      </c>
      <c r="O73" s="16">
        <f ca="1">OFFSET(Assumptions!$B$53,0,$C$1)*O$394</f>
        <v>5.0083082706011082</v>
      </c>
      <c r="P73" s="16">
        <f ca="1">OFFSET(Assumptions!$B$53,0,$C$1)*P$394</f>
        <v>5.303445993985485</v>
      </c>
      <c r="Q73" s="16">
        <f ca="1">OFFSET(Assumptions!$B$53,0,$C$1)*Q$394</f>
        <v>5.6088278429922438</v>
      </c>
      <c r="R73" s="16">
        <f ca="1">OFFSET(Assumptions!$B$53,0,$C$1)*R$394</f>
        <v>5.9223912278876014</v>
      </c>
      <c r="S73" s="16">
        <f ca="1">OFFSET(Assumptions!$B$53,0,$C$1)*S$394</f>
        <v>6.2431275008564224</v>
      </c>
      <c r="T73" s="16">
        <f ca="1">OFFSET(Assumptions!$B$53,0,$C$1)*T$394</f>
        <v>6.5718228075012632</v>
      </c>
      <c r="U73" s="16">
        <f ca="1">OFFSET(Assumptions!$B$53,0,$C$1)*U$394</f>
        <v>6.9066586412970077</v>
      </c>
      <c r="V73" s="16">
        <f ca="1">OFFSET(Assumptions!$B$53,0,$C$1)*V$394</f>
        <v>7.2489560832900279</v>
      </c>
      <c r="W73" s="16">
        <f ca="1">OFFSET(Assumptions!$B$53,0,$C$1)*W$394</f>
        <v>7.6024543097193593</v>
      </c>
      <c r="X73" s="16">
        <f ca="1">OFFSET(Assumptions!$B$53,0,$C$1)*X$394</f>
        <v>7.9713789773345125</v>
      </c>
    </row>
    <row r="74" spans="1:24" x14ac:dyDescent="0.25">
      <c r="A74" s="11" t="s">
        <v>1045</v>
      </c>
      <c r="B74" s="10" t="str">
        <f t="shared" si="40"/>
        <v>From Fiscal Forecasts</v>
      </c>
      <c r="C74" s="13"/>
      <c r="D74" s="35">
        <f>'Fiscal Forecasts'!D$150</f>
        <v>92.590999999999994</v>
      </c>
      <c r="E74" s="35">
        <f>'Fiscal Forecasts'!E$150</f>
        <v>101.77800000000001</v>
      </c>
      <c r="F74" s="35">
        <f>'Fiscal Forecasts'!F$150</f>
        <v>108.423</v>
      </c>
      <c r="G74" s="35">
        <f>'Fiscal Forecasts'!G$150</f>
        <v>121.13800000000001</v>
      </c>
      <c r="H74" s="35">
        <f>'Fiscal Forecasts'!H$150</f>
        <v>135.595</v>
      </c>
      <c r="I74" s="35">
        <f>'Fiscal Forecasts'!I$150</f>
        <v>154.9</v>
      </c>
      <c r="J74" s="17">
        <f>'Fiscal Forecasts'!J$150</f>
        <v>178.327</v>
      </c>
      <c r="K74" s="17">
        <f>'Fiscal Forecasts'!K$150</f>
        <v>184.34800000000001</v>
      </c>
      <c r="L74" s="17">
        <f>'Fiscal Forecasts'!L$150</f>
        <v>192.185</v>
      </c>
      <c r="M74" s="17">
        <f>'Fiscal Forecasts'!M$150</f>
        <v>198.71100000000001</v>
      </c>
      <c r="N74" s="17">
        <f>'Fiscal Forecasts'!N$150</f>
        <v>206.35</v>
      </c>
      <c r="O74" s="16">
        <f t="shared" ref="O74:X74" ca="1" si="42">SUM(O$355,O$368,O$377,O$397,O$403)</f>
        <v>211.19504072049011</v>
      </c>
      <c r="P74" s="16">
        <f t="shared" ca="1" si="42"/>
        <v>217.89289636413051</v>
      </c>
      <c r="Q74" s="16">
        <f t="shared" ca="1" si="42"/>
        <v>224.80707839071698</v>
      </c>
      <c r="R74" s="16">
        <f t="shared" ca="1" si="42"/>
        <v>231.88820532530087</v>
      </c>
      <c r="S74" s="16">
        <f t="shared" ca="1" si="42"/>
        <v>239.11210667478636</v>
      </c>
      <c r="T74" s="16">
        <f t="shared" ca="1" si="42"/>
        <v>246.48584164773231</v>
      </c>
      <c r="U74" s="16">
        <f t="shared" ca="1" si="42"/>
        <v>253.96863580884855</v>
      </c>
      <c r="V74" s="16">
        <f t="shared" ca="1" si="42"/>
        <v>261.58583681645962</v>
      </c>
      <c r="W74" s="16">
        <f t="shared" ca="1" si="42"/>
        <v>269.42234041725624</v>
      </c>
      <c r="X74" s="16">
        <f t="shared" ca="1" si="42"/>
        <v>277.57621770886936</v>
      </c>
    </row>
    <row r="75" spans="1:24" x14ac:dyDescent="0.25">
      <c r="A75" s="11" t="s">
        <v>1046</v>
      </c>
      <c r="B75" s="10" t="str">
        <f t="shared" si="40"/>
        <v>From Fiscal Forecasts</v>
      </c>
      <c r="C75" s="13"/>
      <c r="D75" s="35">
        <f>'Fiscal Forecasts'!D$151</f>
        <v>0.66900000000000004</v>
      </c>
      <c r="E75" s="35">
        <f>'Fiscal Forecasts'!E$151</f>
        <v>1.9E-2</v>
      </c>
      <c r="F75" s="35">
        <f>'Fiscal Forecasts'!F$151</f>
        <v>5.6000000000000001E-2</v>
      </c>
      <c r="G75" s="35">
        <f>'Fiscal Forecasts'!G$151</f>
        <v>0.55100000000000005</v>
      </c>
      <c r="H75" s="35">
        <f>'Fiscal Forecasts'!H$151</f>
        <v>2.5649999999999999</v>
      </c>
      <c r="I75" s="35">
        <f>'Fiscal Forecasts'!I$151</f>
        <v>3.278</v>
      </c>
      <c r="J75" s="17">
        <f>'Fiscal Forecasts'!J$151</f>
        <v>4.8579999999999997</v>
      </c>
      <c r="K75" s="17">
        <f>'Fiscal Forecasts'!K$151</f>
        <v>4.2329999999999997</v>
      </c>
      <c r="L75" s="17">
        <f>'Fiscal Forecasts'!L$151</f>
        <v>4.2619999999999996</v>
      </c>
      <c r="M75" s="17">
        <f>'Fiscal Forecasts'!M$151</f>
        <v>4.2910000000000004</v>
      </c>
      <c r="N75" s="17">
        <f>'Fiscal Forecasts'!N$151</f>
        <v>4.3239999999999998</v>
      </c>
      <c r="O75" s="16">
        <f t="shared" ref="O75:X75" ca="1" si="43">N$75*(1+O$29)</f>
        <v>4.4104799999999997</v>
      </c>
      <c r="P75" s="16">
        <f t="shared" ca="1" si="43"/>
        <v>4.4986895999999996</v>
      </c>
      <c r="Q75" s="16">
        <f t="shared" ca="1" si="43"/>
        <v>4.588663392</v>
      </c>
      <c r="R75" s="16">
        <f t="shared" ca="1" si="43"/>
        <v>4.6804366598399998</v>
      </c>
      <c r="S75" s="16">
        <f t="shared" ca="1" si="43"/>
        <v>4.7740453930367996</v>
      </c>
      <c r="T75" s="16">
        <f t="shared" ca="1" si="43"/>
        <v>4.8695263008975358</v>
      </c>
      <c r="U75" s="16">
        <f t="shared" ca="1" si="43"/>
        <v>4.9669168269154866</v>
      </c>
      <c r="V75" s="16">
        <f t="shared" ca="1" si="43"/>
        <v>5.0662551634537962</v>
      </c>
      <c r="W75" s="16">
        <f t="shared" ca="1" si="43"/>
        <v>5.1675802667228723</v>
      </c>
      <c r="X75" s="16">
        <f t="shared" ca="1" si="43"/>
        <v>5.2709318720573295</v>
      </c>
    </row>
    <row r="76" spans="1:24" x14ac:dyDescent="0.25">
      <c r="A76" s="11" t="s">
        <v>650</v>
      </c>
      <c r="B76" s="10" t="str">
        <f t="shared" si="40"/>
        <v>From Fiscal Forecasts</v>
      </c>
      <c r="C76" s="13"/>
      <c r="D76" s="35">
        <f>'Fiscal Forecasts'!D$152</f>
        <v>46.292999999999999</v>
      </c>
      <c r="E76" s="35">
        <f>'Fiscal Forecasts'!E$152</f>
        <v>46.895000000000003</v>
      </c>
      <c r="F76" s="35">
        <f>'Fiscal Forecasts'!F$152</f>
        <v>61.483999999999995</v>
      </c>
      <c r="G76" s="35">
        <f>'Fiscal Forecasts'!G$152</f>
        <v>65.254999999999995</v>
      </c>
      <c r="H76" s="35">
        <f>'Fiscal Forecasts'!H$152</f>
        <v>67.994000000000014</v>
      </c>
      <c r="I76" s="35">
        <f>'Fiscal Forecasts'!I$152</f>
        <v>78.811999999999998</v>
      </c>
      <c r="J76" s="17">
        <f>'Fiscal Forecasts'!J$152</f>
        <v>90.046999999999997</v>
      </c>
      <c r="K76" s="17">
        <f>'Fiscal Forecasts'!K$152</f>
        <v>93.933000000000007</v>
      </c>
      <c r="L76" s="17">
        <f>'Fiscal Forecasts'!L$152</f>
        <v>100.199</v>
      </c>
      <c r="M76" s="17">
        <f>'Fiscal Forecasts'!M$152</f>
        <v>104.995</v>
      </c>
      <c r="N76" s="17">
        <f>'Fiscal Forecasts'!N$152</f>
        <v>110.628</v>
      </c>
      <c r="O76" s="16">
        <f t="shared" ref="O76:X76" ca="1" si="44">SUM(O$353,O$366,O$375,O$397,O$400,O$75-O$72)</f>
        <v>115.5183207204901</v>
      </c>
      <c r="P76" s="16">
        <f t="shared" ca="1" si="44"/>
        <v>122.28010196413048</v>
      </c>
      <c r="Q76" s="16">
        <f t="shared" ca="1" si="44"/>
        <v>129.27684810271697</v>
      </c>
      <c r="R76" s="16">
        <f t="shared" ca="1" si="44"/>
        <v>136.46117043154086</v>
      </c>
      <c r="S76" s="16">
        <f t="shared" ca="1" si="44"/>
        <v>143.80989108315114</v>
      </c>
      <c r="T76" s="16">
        <f t="shared" ca="1" si="44"/>
        <v>151.34106174426441</v>
      </c>
      <c r="U76" s="16">
        <f t="shared" ca="1" si="44"/>
        <v>159.01290030731127</v>
      </c>
      <c r="V76" s="16">
        <f t="shared" ca="1" si="44"/>
        <v>166.85574660489161</v>
      </c>
      <c r="W76" s="16">
        <f t="shared" ca="1" si="44"/>
        <v>174.95548840145685</v>
      </c>
      <c r="X76" s="16">
        <f t="shared" ca="1" si="44"/>
        <v>183.40918865275401</v>
      </c>
    </row>
    <row r="77" spans="1:24" x14ac:dyDescent="0.25">
      <c r="A77" s="11" t="s">
        <v>651</v>
      </c>
      <c r="B77" s="10" t="str">
        <f t="shared" si="40"/>
        <v>From Fiscal Forecasts</v>
      </c>
      <c r="C77" s="13"/>
      <c r="D77" s="35">
        <f>'Fiscal Forecasts'!D$153</f>
        <v>13.845000000000001</v>
      </c>
      <c r="E77" s="35">
        <f>'Fiscal Forecasts'!E$153</f>
        <v>14.555999999999999</v>
      </c>
      <c r="F77" s="35">
        <f>'Fiscal Forecasts'!F$153</f>
        <v>18.728000000000002</v>
      </c>
      <c r="G77" s="35">
        <f>'Fiscal Forecasts'!G$153</f>
        <v>26.103000000000002</v>
      </c>
      <c r="H77" s="35">
        <f>'Fiscal Forecasts'!H$153</f>
        <v>36.540999999999997</v>
      </c>
      <c r="I77" s="35">
        <f>'Fiscal Forecasts'!I$153</f>
        <v>40.387999999999998</v>
      </c>
      <c r="J77" s="17">
        <f>'Fiscal Forecasts'!J$153</f>
        <v>35.066000000000003</v>
      </c>
      <c r="K77" s="17">
        <f>'Fiscal Forecasts'!K$153</f>
        <v>29.248000000000001</v>
      </c>
      <c r="L77" s="17">
        <f>'Fiscal Forecasts'!L$153</f>
        <v>32.091999999999999</v>
      </c>
      <c r="M77" s="17">
        <f>'Fiscal Forecasts'!M$153</f>
        <v>33.713999999999999</v>
      </c>
      <c r="N77" s="17">
        <f>'Fiscal Forecasts'!N$153</f>
        <v>35.417999999999999</v>
      </c>
      <c r="O77" s="16">
        <f t="shared" ref="O77:X77" si="45">SUM(O$401:O$402)</f>
        <v>35.354999999999997</v>
      </c>
      <c r="P77" s="16">
        <f t="shared" si="45"/>
        <v>35.272999999999996</v>
      </c>
      <c r="Q77" s="16">
        <f t="shared" si="45"/>
        <v>35.171999999999997</v>
      </c>
      <c r="R77" s="16">
        <f t="shared" si="45"/>
        <v>35.049999999999997</v>
      </c>
      <c r="S77" s="16">
        <f t="shared" si="45"/>
        <v>34.905999999999999</v>
      </c>
      <c r="T77" s="16">
        <f t="shared" si="45"/>
        <v>34.728999999999999</v>
      </c>
      <c r="U77" s="16">
        <f t="shared" si="45"/>
        <v>34.519999999999996</v>
      </c>
      <c r="V77" s="16">
        <f t="shared" si="45"/>
        <v>34.274000000000001</v>
      </c>
      <c r="W77" s="16">
        <f t="shared" si="45"/>
        <v>33.989999999999995</v>
      </c>
      <c r="X77" s="16">
        <f t="shared" si="45"/>
        <v>33.668999999999997</v>
      </c>
    </row>
    <row r="78" spans="1:24" x14ac:dyDescent="0.25">
      <c r="A78" s="9" t="s">
        <v>896</v>
      </c>
      <c r="B78" s="9"/>
      <c r="C78" s="13"/>
      <c r="D78" s="65">
        <f>SUM(D$71,D$72,D$76,D$77)-SUM(D$73,D$74,D$75)</f>
        <v>57.736000000000004</v>
      </c>
      <c r="E78" s="65">
        <f t="shared" ref="E78:X78" si="46">SUM(E$71,E$72,E$76,E$77)-SUM(E$73,E$74,E$75)</f>
        <v>83.375</v>
      </c>
      <c r="F78" s="65">
        <f t="shared" si="46"/>
        <v>102.08000000000001</v>
      </c>
      <c r="G78" s="65">
        <f t="shared" si="46"/>
        <v>128.87299999999996</v>
      </c>
      <c r="H78" s="65">
        <f t="shared" si="46"/>
        <v>155.27300000000002</v>
      </c>
      <c r="I78" s="65">
        <f t="shared" si="46"/>
        <v>175.46399999999997</v>
      </c>
      <c r="J78" s="66">
        <f t="shared" si="46"/>
        <v>185.64400000000003</v>
      </c>
      <c r="K78" s="66">
        <f t="shared" si="46"/>
        <v>200.18799999999996</v>
      </c>
      <c r="L78" s="66">
        <f t="shared" si="46"/>
        <v>218.43800000000002</v>
      </c>
      <c r="M78" s="66">
        <f t="shared" si="46"/>
        <v>230.24799999999993</v>
      </c>
      <c r="N78" s="66">
        <f t="shared" si="46"/>
        <v>238.51499999999993</v>
      </c>
      <c r="O78" s="92">
        <f t="shared" ca="1" si="46"/>
        <v>246.8404152575352</v>
      </c>
      <c r="P78" s="92">
        <f t="shared" ca="1" si="46"/>
        <v>254.84926038065615</v>
      </c>
      <c r="Q78" s="92">
        <f t="shared" ca="1" si="46"/>
        <v>262.77630042296846</v>
      </c>
      <c r="R78" s="92">
        <f t="shared" ca="1" si="46"/>
        <v>270.78338006499609</v>
      </c>
      <c r="S78" s="92">
        <f t="shared" ca="1" si="46"/>
        <v>278.92554024283532</v>
      </c>
      <c r="T78" s="92">
        <f t="shared" ca="1" si="46"/>
        <v>287.20484638995998</v>
      </c>
      <c r="U78" s="92">
        <f t="shared" ca="1" si="46"/>
        <v>295.71401100395616</v>
      </c>
      <c r="V78" s="92">
        <f t="shared" ca="1" si="46"/>
        <v>304.55290946616975</v>
      </c>
      <c r="W78" s="92">
        <f t="shared" ca="1" si="46"/>
        <v>313.8172288412714</v>
      </c>
      <c r="X78" s="92">
        <f t="shared" ca="1" si="46"/>
        <v>323.57676088837877</v>
      </c>
    </row>
    <row r="79" spans="1:24" x14ac:dyDescent="0.25">
      <c r="A79" s="11" t="s">
        <v>653</v>
      </c>
      <c r="B79" s="10" t="str">
        <f t="shared" si="40"/>
        <v>From Fiscal Forecasts</v>
      </c>
      <c r="C79" s="13"/>
      <c r="D79" s="35">
        <f>'Fiscal Forecasts'!D$155</f>
        <v>6.931</v>
      </c>
      <c r="E79" s="35">
        <f>'Fiscal Forecasts'!E$155</f>
        <v>11.111000000000001</v>
      </c>
      <c r="F79" s="35">
        <f>'Fiscal Forecasts'!F$155</f>
        <v>11.836</v>
      </c>
      <c r="G79" s="35">
        <f>'Fiscal Forecasts'!G$155</f>
        <v>14.345000000000001</v>
      </c>
      <c r="H79" s="35">
        <f>'Fiscal Forecasts'!H$155</f>
        <v>48.11</v>
      </c>
      <c r="I79" s="35">
        <f>'Fiscal Forecasts'!I$155</f>
        <v>56.47</v>
      </c>
      <c r="J79" s="17">
        <f>'Fiscal Forecasts'!J$155</f>
        <v>62.162999999999997</v>
      </c>
      <c r="K79" s="17">
        <f>'Fiscal Forecasts'!K$155</f>
        <v>67.882999999999996</v>
      </c>
      <c r="L79" s="17">
        <f>'Fiscal Forecasts'!L$155</f>
        <v>73.34</v>
      </c>
      <c r="M79" s="17">
        <f>'Fiscal Forecasts'!M$155</f>
        <v>78.39</v>
      </c>
      <c r="N79" s="17">
        <f>'Fiscal Forecasts'!N$155</f>
        <v>82.649000000000001</v>
      </c>
      <c r="O79" s="16">
        <f t="shared" ref="O79:X79" ca="1" si="47">N$79+O$80-N$80</f>
        <v>84.811425450562993</v>
      </c>
      <c r="P79" s="16">
        <f t="shared" ca="1" si="47"/>
        <v>87.041151233088783</v>
      </c>
      <c r="Q79" s="16">
        <f t="shared" ca="1" si="47"/>
        <v>89.275718359475107</v>
      </c>
      <c r="R79" s="16">
        <f t="shared" ca="1" si="47"/>
        <v>91.510087401571781</v>
      </c>
      <c r="S79" s="16">
        <f t="shared" ca="1" si="47"/>
        <v>93.793723523637368</v>
      </c>
      <c r="T79" s="16">
        <f t="shared" ca="1" si="47"/>
        <v>96.12314169277056</v>
      </c>
      <c r="U79" s="16">
        <f t="shared" ca="1" si="47"/>
        <v>98.483618115721697</v>
      </c>
      <c r="V79" s="16">
        <f t="shared" ca="1" si="47"/>
        <v>100.87958384620518</v>
      </c>
      <c r="W79" s="16">
        <f t="shared" ca="1" si="47"/>
        <v>103.31094961895703</v>
      </c>
      <c r="X79" s="16">
        <f t="shared" ca="1" si="47"/>
        <v>105.79603706222977</v>
      </c>
    </row>
    <row r="80" spans="1:24" x14ac:dyDescent="0.25">
      <c r="A80" s="11" t="s">
        <v>1170</v>
      </c>
      <c r="B80" s="10" t="str">
        <f t="shared" si="40"/>
        <v>From Fiscal Forecasts</v>
      </c>
      <c r="C80" s="13"/>
      <c r="D80" s="35">
        <f>'Fiscal Forecasts'!D$156</f>
        <v>0</v>
      </c>
      <c r="E80" s="35">
        <f>'Fiscal Forecasts'!E$156</f>
        <v>0</v>
      </c>
      <c r="F80" s="35">
        <f>'Fiscal Forecasts'!F$156</f>
        <v>0</v>
      </c>
      <c r="G80" s="35">
        <f>'Fiscal Forecasts'!G$156</f>
        <v>0</v>
      </c>
      <c r="H80" s="35">
        <f>'Fiscal Forecasts'!H$156</f>
        <v>30.574000000000002</v>
      </c>
      <c r="I80" s="35">
        <f>'Fiscal Forecasts'!I$156</f>
        <v>33.290999999999997</v>
      </c>
      <c r="J80" s="17">
        <f>'Fiscal Forecasts'!J$156</f>
        <v>36.505000000000003</v>
      </c>
      <c r="K80" s="17">
        <f>'Fiscal Forecasts'!K$156</f>
        <v>40.314999999999998</v>
      </c>
      <c r="L80" s="17">
        <f>'Fiscal Forecasts'!L$156</f>
        <v>44.011000000000003</v>
      </c>
      <c r="M80" s="17">
        <f>'Fiscal Forecasts'!M$156</f>
        <v>48.152999999999999</v>
      </c>
      <c r="N80" s="17">
        <f>'Fiscal Forecasts'!N$156</f>
        <v>51.787999999999997</v>
      </c>
      <c r="O80" s="16">
        <f t="shared" ref="O80:X80" ca="1" si="48">N$80+O$404-N$404</f>
        <v>53.950425450562982</v>
      </c>
      <c r="P80" s="16">
        <f t="shared" ca="1" si="48"/>
        <v>56.180151233088779</v>
      </c>
      <c r="Q80" s="16">
        <f t="shared" ca="1" si="48"/>
        <v>58.414718359475103</v>
      </c>
      <c r="R80" s="16">
        <f t="shared" ca="1" si="48"/>
        <v>60.649087401571769</v>
      </c>
      <c r="S80" s="16">
        <f t="shared" ca="1" si="48"/>
        <v>62.932723523637343</v>
      </c>
      <c r="T80" s="16">
        <f t="shared" ca="1" si="48"/>
        <v>65.262141692770541</v>
      </c>
      <c r="U80" s="16">
        <f t="shared" ca="1" si="48"/>
        <v>67.622618115721679</v>
      </c>
      <c r="V80" s="16">
        <f t="shared" ca="1" si="48"/>
        <v>70.018583846205175</v>
      </c>
      <c r="W80" s="16">
        <f t="shared" ca="1" si="48"/>
        <v>72.449949618957021</v>
      </c>
      <c r="X80" s="16">
        <f t="shared" ca="1" si="48"/>
        <v>74.935037062229767</v>
      </c>
    </row>
    <row r="81" spans="1:24" x14ac:dyDescent="0.25">
      <c r="A81" s="9" t="s">
        <v>830</v>
      </c>
      <c r="B81" s="9"/>
      <c r="C81" s="13"/>
      <c r="D81" s="65">
        <f>SUM(D$78,D$79)-SUM(D$77,D$80)</f>
        <v>50.822000000000003</v>
      </c>
      <c r="E81" s="65">
        <f t="shared" ref="E81:X81" si="49">SUM(E$78,E$79)-SUM(E$77,E$80)</f>
        <v>79.930000000000007</v>
      </c>
      <c r="F81" s="65">
        <f t="shared" si="49"/>
        <v>95.188000000000017</v>
      </c>
      <c r="G81" s="65">
        <f t="shared" si="49"/>
        <v>117.11499999999995</v>
      </c>
      <c r="H81" s="65">
        <f t="shared" si="49"/>
        <v>136.26800000000003</v>
      </c>
      <c r="I81" s="65">
        <f t="shared" si="49"/>
        <v>158.25499999999997</v>
      </c>
      <c r="J81" s="66">
        <f t="shared" si="49"/>
        <v>176.23600000000002</v>
      </c>
      <c r="K81" s="66">
        <f t="shared" si="49"/>
        <v>198.50799999999998</v>
      </c>
      <c r="L81" s="66">
        <f t="shared" si="49"/>
        <v>215.67500000000001</v>
      </c>
      <c r="M81" s="66">
        <f t="shared" si="49"/>
        <v>226.77099999999993</v>
      </c>
      <c r="N81" s="66">
        <f t="shared" si="49"/>
        <v>233.95799999999994</v>
      </c>
      <c r="O81" s="92">
        <f t="shared" ca="1" si="49"/>
        <v>242.3464152575352</v>
      </c>
      <c r="P81" s="92">
        <f t="shared" ca="1" si="49"/>
        <v>250.4372603806562</v>
      </c>
      <c r="Q81" s="92">
        <f t="shared" ca="1" si="49"/>
        <v>258.46530042296843</v>
      </c>
      <c r="R81" s="92">
        <f t="shared" ca="1" si="49"/>
        <v>266.59438006499613</v>
      </c>
      <c r="S81" s="92">
        <f t="shared" ca="1" si="49"/>
        <v>274.88054024283537</v>
      </c>
      <c r="T81" s="92">
        <f t="shared" ca="1" si="49"/>
        <v>283.33684638995999</v>
      </c>
      <c r="U81" s="92">
        <f t="shared" ca="1" si="49"/>
        <v>292.05501100395617</v>
      </c>
      <c r="V81" s="92">
        <f t="shared" ca="1" si="49"/>
        <v>301.1399094661698</v>
      </c>
      <c r="W81" s="92">
        <f t="shared" ca="1" si="49"/>
        <v>310.68822884127138</v>
      </c>
      <c r="X81" s="92">
        <f t="shared" ca="1" si="49"/>
        <v>320.76876088837878</v>
      </c>
    </row>
    <row r="82" spans="1:24" x14ac:dyDescent="0.25">
      <c r="A82" s="9" t="s">
        <v>656</v>
      </c>
      <c r="B82" s="9"/>
      <c r="C82" s="13"/>
      <c r="D82" s="65">
        <f>SUM(D$81,D$73)-D$76</f>
        <v>5.4320000000000022</v>
      </c>
      <c r="E82" s="65">
        <f t="shared" ref="E82:X82" si="50">SUM(E$81,E$73)-E$76</f>
        <v>35.71</v>
      </c>
      <c r="F82" s="65">
        <f t="shared" si="50"/>
        <v>35.921000000000021</v>
      </c>
      <c r="G82" s="65">
        <f t="shared" si="50"/>
        <v>61.849999999999952</v>
      </c>
      <c r="H82" s="65">
        <f t="shared" si="50"/>
        <v>71.367000000000004</v>
      </c>
      <c r="I82" s="65">
        <f t="shared" si="50"/>
        <v>82.19699999999996</v>
      </c>
      <c r="J82" s="66">
        <f t="shared" si="50"/>
        <v>92.796000000000021</v>
      </c>
      <c r="K82" s="66">
        <f t="shared" si="50"/>
        <v>110.88599999999998</v>
      </c>
      <c r="L82" s="66">
        <f t="shared" si="50"/>
        <v>122.84000000000002</v>
      </c>
      <c r="M82" s="66">
        <f t="shared" si="50"/>
        <v>128.42699999999994</v>
      </c>
      <c r="N82" s="66">
        <f t="shared" si="50"/>
        <v>129.66499999999996</v>
      </c>
      <c r="O82" s="92">
        <f t="shared" ca="1" si="50"/>
        <v>131.83640280764621</v>
      </c>
      <c r="P82" s="92">
        <f t="shared" ca="1" si="50"/>
        <v>133.46060441051122</v>
      </c>
      <c r="Q82" s="92">
        <f t="shared" ca="1" si="50"/>
        <v>134.7972801632437</v>
      </c>
      <c r="R82" s="92">
        <f t="shared" ca="1" si="50"/>
        <v>136.05560086134287</v>
      </c>
      <c r="S82" s="92">
        <f t="shared" ca="1" si="50"/>
        <v>137.31377666054064</v>
      </c>
      <c r="T82" s="92">
        <f t="shared" ca="1" si="50"/>
        <v>138.56760745319681</v>
      </c>
      <c r="U82" s="92">
        <f t="shared" ca="1" si="50"/>
        <v>139.94876933794188</v>
      </c>
      <c r="V82" s="92">
        <f t="shared" ca="1" si="50"/>
        <v>141.5331189445682</v>
      </c>
      <c r="W82" s="92">
        <f t="shared" ca="1" si="50"/>
        <v>143.33519474953388</v>
      </c>
      <c r="X82" s="92">
        <f t="shared" ca="1" si="50"/>
        <v>145.33095121295926</v>
      </c>
    </row>
    <row r="83" spans="1:24" x14ac:dyDescent="0.25">
      <c r="A83" s="55" t="s">
        <v>897</v>
      </c>
      <c r="B83" s="10" t="str">
        <f>$B$42</f>
        <v>Outturn &amp; Forecast only</v>
      </c>
      <c r="C83" s="13"/>
      <c r="D83" s="91" t="str">
        <f>IF(ROUND('Fiscal Forecasts'!D$158-D$82,3)=0,"OK","ERROR")</f>
        <v>OK</v>
      </c>
      <c r="E83" s="91" t="str">
        <f>IF(ROUND('Fiscal Forecasts'!E$158-E$82,3)=0,"OK","ERROR")</f>
        <v>OK</v>
      </c>
      <c r="F83" s="91" t="str">
        <f>IF(ROUND('Fiscal Forecasts'!F$158-F$82,3)=0,"OK","ERROR")</f>
        <v>OK</v>
      </c>
      <c r="G83" s="91" t="str">
        <f>IF(ROUND('Fiscal Forecasts'!G$158-G$82,3)=0,"OK","ERROR")</f>
        <v>OK</v>
      </c>
      <c r="H83" s="91" t="str">
        <f>IF(ROUND('Fiscal Forecasts'!H$158-H$82,3)=0,"OK","ERROR")</f>
        <v>OK</v>
      </c>
      <c r="I83" s="91" t="str">
        <f>IF(ROUND('Fiscal Forecasts'!I$158-I$82,3)=0,"OK","ERROR")</f>
        <v>OK</v>
      </c>
      <c r="J83" s="91" t="str">
        <f>IF(ROUND('Fiscal Forecasts'!J$158-J$82,3)=0,"OK","ERROR")</f>
        <v>OK</v>
      </c>
      <c r="K83" s="91" t="str">
        <f>IF(ROUND('Fiscal Forecasts'!K$158-K$82,3)=0,"OK","ERROR")</f>
        <v>OK</v>
      </c>
      <c r="L83" s="91" t="str">
        <f>IF(ROUND('Fiscal Forecasts'!L$158-L$82,3)=0,"OK","ERROR")</f>
        <v>OK</v>
      </c>
      <c r="M83" s="91" t="str">
        <f>IF(ROUND('Fiscal Forecasts'!M$158-M$82,3)=0,"OK","ERROR")</f>
        <v>OK</v>
      </c>
      <c r="N83" s="91" t="str">
        <f>IF(ROUND('Fiscal Forecasts'!N$158-N$82,3)=0,"OK","ERROR")</f>
        <v>OK</v>
      </c>
      <c r="O83" s="18"/>
      <c r="P83" s="18"/>
      <c r="Q83" s="18"/>
      <c r="R83" s="18"/>
      <c r="S83" s="18"/>
      <c r="T83" s="18"/>
      <c r="U83" s="18"/>
      <c r="V83" s="18"/>
      <c r="W83" s="18"/>
      <c r="X83" s="18"/>
    </row>
    <row r="84" spans="1:24" x14ac:dyDescent="0.25">
      <c r="A84" s="11" t="s">
        <v>898</v>
      </c>
      <c r="B84" s="10" t="str">
        <f t="shared" ref="B84" si="51">$B$38</f>
        <v>From Fiscal Forecasts</v>
      </c>
      <c r="C84" s="13"/>
      <c r="D84" s="35">
        <f>'Fiscal Forecasts'!D$160</f>
        <v>6.4809999999999999</v>
      </c>
      <c r="E84" s="35">
        <f>'Fiscal Forecasts'!E$160</f>
        <v>21.887999999999998</v>
      </c>
      <c r="F84" s="35">
        <f>'Fiscal Forecasts'!F$160</f>
        <v>30.420999999999999</v>
      </c>
      <c r="G84" s="35">
        <f>'Fiscal Forecasts'!G$160</f>
        <v>45.088000000000001</v>
      </c>
      <c r="H84" s="35">
        <f>'Fiscal Forecasts'!H$160</f>
        <v>53.109000000000002</v>
      </c>
      <c r="I84" s="35">
        <f>'Fiscal Forecasts'!I$160</f>
        <v>38.475999999999999</v>
      </c>
      <c r="J84" s="17">
        <f>'Fiscal Forecasts'!J$160</f>
        <v>33.716999999999999</v>
      </c>
      <c r="K84" s="17">
        <f>'Fiscal Forecasts'!K$160</f>
        <v>26.771999999999998</v>
      </c>
      <c r="L84" s="17">
        <f>'Fiscal Forecasts'!L$160</f>
        <v>20.100000000000001</v>
      </c>
      <c r="M84" s="17">
        <f>'Fiscal Forecasts'!M$160</f>
        <v>20.100000000000001</v>
      </c>
      <c r="N84" s="17">
        <f>'Fiscal Forecasts'!N$160</f>
        <v>20.100000000000001</v>
      </c>
      <c r="O84" s="16">
        <f t="shared" ref="O84:X84" ca="1" si="52">N$84*(1+O$29)</f>
        <v>20.502000000000002</v>
      </c>
      <c r="P84" s="16">
        <f t="shared" ca="1" si="52"/>
        <v>20.912040000000005</v>
      </c>
      <c r="Q84" s="16">
        <f t="shared" ca="1" si="52"/>
        <v>21.330280800000004</v>
      </c>
      <c r="R84" s="16">
        <f t="shared" ca="1" si="52"/>
        <v>21.756886416000004</v>
      </c>
      <c r="S84" s="16">
        <f t="shared" ca="1" si="52"/>
        <v>22.192024144320005</v>
      </c>
      <c r="T84" s="16">
        <f t="shared" ca="1" si="52"/>
        <v>22.635864627206406</v>
      </c>
      <c r="U84" s="16">
        <f t="shared" ca="1" si="52"/>
        <v>23.088581919750535</v>
      </c>
      <c r="V84" s="16">
        <f t="shared" ca="1" si="52"/>
        <v>23.550353558145545</v>
      </c>
      <c r="W84" s="16">
        <f t="shared" ca="1" si="52"/>
        <v>24.021360629308457</v>
      </c>
      <c r="X84" s="16">
        <f t="shared" ca="1" si="52"/>
        <v>24.501787841894625</v>
      </c>
    </row>
    <row r="85" spans="1:24" x14ac:dyDescent="0.25">
      <c r="A85" s="55" t="s">
        <v>659</v>
      </c>
      <c r="B85" s="9"/>
      <c r="C85" s="13"/>
      <c r="D85" s="65">
        <f>SUM(D$71,D$72)-SUM(D$73,D$84)</f>
        <v>84.37700000000001</v>
      </c>
      <c r="E85" s="65">
        <f t="shared" ref="E85:X85" si="53">SUM(E$71,E$72)-SUM(E$73,E$84)</f>
        <v>101.833</v>
      </c>
      <c r="F85" s="65">
        <f t="shared" si="53"/>
        <v>99.925999999999988</v>
      </c>
      <c r="G85" s="65">
        <f t="shared" si="53"/>
        <v>114.11599999999999</v>
      </c>
      <c r="H85" s="65">
        <f t="shared" si="53"/>
        <v>135.78899999999999</v>
      </c>
      <c r="I85" s="65">
        <f t="shared" si="53"/>
        <v>175.96600000000001</v>
      </c>
      <c r="J85" s="66">
        <f t="shared" si="53"/>
        <v>209.99899999999997</v>
      </c>
      <c r="K85" s="66">
        <f t="shared" si="53"/>
        <v>238.816</v>
      </c>
      <c r="L85" s="66">
        <f t="shared" si="53"/>
        <v>262.49400000000003</v>
      </c>
      <c r="M85" s="66">
        <f t="shared" si="53"/>
        <v>274.44099999999997</v>
      </c>
      <c r="N85" s="66">
        <f t="shared" si="53"/>
        <v>283.04299999999995</v>
      </c>
      <c r="O85" s="92">
        <f t="shared" ca="1" si="53"/>
        <v>291.07061525753517</v>
      </c>
      <c r="P85" s="92">
        <f t="shared" ca="1" si="53"/>
        <v>298.77570438065612</v>
      </c>
      <c r="Q85" s="92">
        <f t="shared" ca="1" si="53"/>
        <v>306.39291330296845</v>
      </c>
      <c r="R85" s="92">
        <f t="shared" ca="1" si="53"/>
        <v>314.08396520259618</v>
      </c>
      <c r="S85" s="92">
        <f t="shared" ca="1" si="53"/>
        <v>321.90377708318744</v>
      </c>
      <c r="T85" s="92">
        <f t="shared" ca="1" si="53"/>
        <v>329.85428796711898</v>
      </c>
      <c r="U85" s="92">
        <f t="shared" ca="1" si="53"/>
        <v>338.02808141265837</v>
      </c>
      <c r="V85" s="92">
        <f t="shared" ca="1" si="53"/>
        <v>346.52490128304595</v>
      </c>
      <c r="W85" s="92">
        <f t="shared" ca="1" si="53"/>
        <v>355.4403004944852</v>
      </c>
      <c r="X85" s="92">
        <f t="shared" ca="1" si="53"/>
        <v>364.84393397465681</v>
      </c>
    </row>
    <row r="86" spans="1:24" x14ac:dyDescent="0.25">
      <c r="A86" s="9"/>
      <c r="B86" s="9"/>
      <c r="C86" s="13"/>
      <c r="D86" s="36"/>
      <c r="E86" s="36"/>
      <c r="F86" s="36"/>
      <c r="G86" s="36"/>
      <c r="H86" s="36"/>
      <c r="I86" s="36"/>
      <c r="J86" s="19"/>
      <c r="K86" s="19"/>
      <c r="L86" s="19"/>
      <c r="M86" s="19"/>
      <c r="N86" s="19"/>
      <c r="O86" s="18"/>
      <c r="P86" s="18"/>
      <c r="Q86" s="18"/>
      <c r="R86" s="18"/>
      <c r="S86" s="18"/>
      <c r="T86" s="18"/>
      <c r="U86" s="18"/>
      <c r="V86" s="18"/>
      <c r="W86" s="18"/>
      <c r="X86" s="18"/>
    </row>
    <row r="87" spans="1:24" x14ac:dyDescent="0.25">
      <c r="A87" s="12" t="s">
        <v>1048</v>
      </c>
      <c r="B87" s="9"/>
      <c r="C87" s="13"/>
      <c r="D87" s="36"/>
      <c r="E87" s="36"/>
      <c r="F87" s="36"/>
      <c r="G87" s="36"/>
      <c r="H87" s="36"/>
      <c r="I87" s="36"/>
      <c r="J87" s="19"/>
      <c r="K87" s="19"/>
      <c r="L87" s="19"/>
      <c r="M87" s="19"/>
      <c r="N87" s="19"/>
      <c r="O87" s="18"/>
      <c r="P87" s="18"/>
      <c r="Q87" s="18"/>
      <c r="R87" s="18"/>
      <c r="S87" s="18"/>
      <c r="T87" s="18"/>
      <c r="U87" s="18"/>
      <c r="V87" s="18"/>
      <c r="W87" s="18"/>
      <c r="X87" s="18"/>
    </row>
    <row r="88" spans="1:24" x14ac:dyDescent="0.25">
      <c r="A88" s="11" t="s">
        <v>574</v>
      </c>
      <c r="B88" s="10" t="str">
        <f t="shared" ref="B88:B96" si="54">$B$38</f>
        <v>From Fiscal Forecasts</v>
      </c>
      <c r="C88" s="13"/>
      <c r="D88" s="35">
        <f>'Fiscal Forecasts'!D$74</f>
        <v>83.016999999999996</v>
      </c>
      <c r="E88" s="35">
        <f>'Fiscal Forecasts'!E$74</f>
        <v>83.156000000000006</v>
      </c>
      <c r="F88" s="35">
        <f>'Fiscal Forecasts'!F$74</f>
        <v>95.382000000000005</v>
      </c>
      <c r="G88" s="35">
        <f>'Fiscal Forecasts'!G$74</f>
        <v>102.712</v>
      </c>
      <c r="H88" s="35">
        <f>'Fiscal Forecasts'!H$74</f>
        <v>110.78700000000001</v>
      </c>
      <c r="I88" s="35">
        <f>'Fiscal Forecasts'!I$74</f>
        <v>116.042</v>
      </c>
      <c r="J88" s="17">
        <f>'Fiscal Forecasts'!J$74</f>
        <v>121.328</v>
      </c>
      <c r="K88" s="17">
        <f>'Fiscal Forecasts'!K$74</f>
        <v>122.887</v>
      </c>
      <c r="L88" s="17">
        <f>'Fiscal Forecasts'!L$74</f>
        <v>131.096</v>
      </c>
      <c r="M88" s="17">
        <f>'Fiscal Forecasts'!M$74</f>
        <v>138.239</v>
      </c>
      <c r="N88" s="17">
        <f>'Fiscal Forecasts'!N$74</f>
        <v>145.541</v>
      </c>
      <c r="O88" s="16">
        <f t="shared" ref="O88:X88" ca="1" si="55">(O$489-O$385+O$141)</f>
        <v>151.09837350612511</v>
      </c>
      <c r="P88" s="16">
        <f t="shared" ca="1" si="55"/>
        <v>157.26363368341887</v>
      </c>
      <c r="Q88" s="16">
        <f t="shared" ca="1" si="55"/>
        <v>163.66152400156537</v>
      </c>
      <c r="R88" s="16">
        <f t="shared" ca="1" si="55"/>
        <v>170.09394244765312</v>
      </c>
      <c r="S88" s="16">
        <f t="shared" ca="1" si="55"/>
        <v>176.65559011328375</v>
      </c>
      <c r="T88" s="16">
        <f t="shared" ca="1" si="55"/>
        <v>183.34833573537901</v>
      </c>
      <c r="U88" s="16">
        <f t="shared" ca="1" si="55"/>
        <v>190.13476110159522</v>
      </c>
      <c r="V88" s="16">
        <f t="shared" ca="1" si="55"/>
        <v>197.02207339143527</v>
      </c>
      <c r="W88" s="16">
        <f t="shared" ca="1" si="55"/>
        <v>204.00959554257619</v>
      </c>
      <c r="X88" s="16">
        <f t="shared" ca="1" si="55"/>
        <v>211.14540203345899</v>
      </c>
    </row>
    <row r="89" spans="1:24" x14ac:dyDescent="0.25">
      <c r="A89" s="11" t="s">
        <v>575</v>
      </c>
      <c r="B89" s="10" t="str">
        <f t="shared" si="54"/>
        <v>From Fiscal Forecasts</v>
      </c>
      <c r="C89" s="13"/>
      <c r="D89" s="35">
        <f>'Fiscal Forecasts'!D$75</f>
        <v>5.1870000000000003</v>
      </c>
      <c r="E89" s="35">
        <f>'Fiscal Forecasts'!E$75</f>
        <v>5.2939999999999996</v>
      </c>
      <c r="F89" s="35">
        <f>'Fiscal Forecasts'!F$75</f>
        <v>6.4240000000000004</v>
      </c>
      <c r="G89" s="35">
        <f>'Fiscal Forecasts'!G$75</f>
        <v>7.8029999999999999</v>
      </c>
      <c r="H89" s="35">
        <f>'Fiscal Forecasts'!H$75</f>
        <v>7.6310000000000002</v>
      </c>
      <c r="I89" s="35">
        <f>'Fiscal Forecasts'!I$75</f>
        <v>7.484</v>
      </c>
      <c r="J89" s="17">
        <f>'Fiscal Forecasts'!J$75</f>
        <v>7.9989999999999997</v>
      </c>
      <c r="K89" s="17">
        <f>'Fiscal Forecasts'!K$75</f>
        <v>8.6050000000000004</v>
      </c>
      <c r="L89" s="17">
        <f>'Fiscal Forecasts'!L$75</f>
        <v>9.2100000000000009</v>
      </c>
      <c r="M89" s="17">
        <f>'Fiscal Forecasts'!M$75</f>
        <v>9.8490000000000002</v>
      </c>
      <c r="N89" s="17">
        <f>'Fiscal Forecasts'!N$75</f>
        <v>10.413</v>
      </c>
      <c r="O89" s="16">
        <f t="shared" ref="O89:X89" ca="1" si="56">SUM(O$146,O$148,O$149,O$151)</f>
        <v>11.624343197189001</v>
      </c>
      <c r="P89" s="16">
        <f t="shared" ca="1" si="56"/>
        <v>12.357999630779686</v>
      </c>
      <c r="Q89" s="16">
        <f t="shared" ca="1" si="56"/>
        <v>13.175966787549914</v>
      </c>
      <c r="R89" s="16">
        <f t="shared" ca="1" si="56"/>
        <v>14.032442985481318</v>
      </c>
      <c r="S89" s="16">
        <f t="shared" ca="1" si="56"/>
        <v>14.959409050031137</v>
      </c>
      <c r="T89" s="16">
        <f t="shared" ca="1" si="56"/>
        <v>15.929322116477383</v>
      </c>
      <c r="U89" s="16">
        <f t="shared" ca="1" si="56"/>
        <v>16.978729004015072</v>
      </c>
      <c r="V89" s="16">
        <f t="shared" ca="1" si="56"/>
        <v>17.901857933544228</v>
      </c>
      <c r="W89" s="16">
        <f t="shared" ca="1" si="56"/>
        <v>18.601225007730122</v>
      </c>
      <c r="X89" s="16">
        <f t="shared" ca="1" si="56"/>
        <v>19.244960779862286</v>
      </c>
    </row>
    <row r="90" spans="1:24" x14ac:dyDescent="0.25">
      <c r="A90" s="11" t="s">
        <v>530</v>
      </c>
      <c r="B90" s="10" t="str">
        <f t="shared" si="54"/>
        <v>From Fiscal Forecasts</v>
      </c>
      <c r="C90" s="13"/>
      <c r="D90" s="35">
        <f>'Fiscal Forecasts'!D$76</f>
        <v>19.763999999999999</v>
      </c>
      <c r="E90" s="35">
        <f>'Fiscal Forecasts'!E$76</f>
        <v>18.289000000000001</v>
      </c>
      <c r="F90" s="35">
        <f>'Fiscal Forecasts'!F$76</f>
        <v>17.731999999999999</v>
      </c>
      <c r="G90" s="35">
        <f>'Fiscal Forecasts'!G$76</f>
        <v>17.834</v>
      </c>
      <c r="H90" s="35">
        <f>'Fiscal Forecasts'!H$76</f>
        <v>22.283999999999999</v>
      </c>
      <c r="I90" s="35">
        <f>'Fiscal Forecasts'!I$76</f>
        <v>24.359000000000002</v>
      </c>
      <c r="J90" s="17">
        <f>'Fiscal Forecasts'!J$76</f>
        <v>27.206</v>
      </c>
      <c r="K90" s="17">
        <f>'Fiscal Forecasts'!K$76</f>
        <v>27.605</v>
      </c>
      <c r="L90" s="17">
        <f>'Fiscal Forecasts'!L$76</f>
        <v>28.786999999999999</v>
      </c>
      <c r="M90" s="17">
        <f>'Fiscal Forecasts'!M$76</f>
        <v>29.917000000000002</v>
      </c>
      <c r="N90" s="17">
        <f>'Fiscal Forecasts'!N$76</f>
        <v>30.298999999999999</v>
      </c>
      <c r="O90" s="16">
        <f t="shared" ref="O90:X90" ca="1" si="57">O$155</f>
        <v>31.517025502224552</v>
      </c>
      <c r="P90" s="16">
        <f t="shared" ca="1" si="57"/>
        <v>32.834131196395788</v>
      </c>
      <c r="Q90" s="16">
        <f t="shared" ca="1" si="57"/>
        <v>34.154889165926434</v>
      </c>
      <c r="R90" s="16">
        <f t="shared" ca="1" si="57"/>
        <v>35.475773927409826</v>
      </c>
      <c r="S90" s="16">
        <f t="shared" ca="1" si="57"/>
        <v>36.824653359169588</v>
      </c>
      <c r="T90" s="16">
        <f t="shared" ca="1" si="57"/>
        <v>38.199401650237419</v>
      </c>
      <c r="U90" s="16">
        <f t="shared" ca="1" si="57"/>
        <v>39.59293518274719</v>
      </c>
      <c r="V90" s="16">
        <f t="shared" ca="1" si="57"/>
        <v>41.007289806661774</v>
      </c>
      <c r="W90" s="16">
        <f t="shared" ca="1" si="57"/>
        <v>42.441198296769436</v>
      </c>
      <c r="X90" s="16">
        <f t="shared" ca="1" si="57"/>
        <v>43.90572355563144</v>
      </c>
    </row>
    <row r="91" spans="1:24" x14ac:dyDescent="0.25">
      <c r="A91" s="11" t="s">
        <v>576</v>
      </c>
      <c r="B91" s="10" t="str">
        <f t="shared" si="54"/>
        <v>From Fiscal Forecasts</v>
      </c>
      <c r="C91" s="13"/>
      <c r="D91" s="35">
        <f>'Fiscal Forecasts'!D$77</f>
        <v>2.528</v>
      </c>
      <c r="E91" s="35">
        <f>'Fiscal Forecasts'!E$77</f>
        <v>2.3069999999999999</v>
      </c>
      <c r="F91" s="35">
        <f>'Fiscal Forecasts'!F$77</f>
        <v>1.67</v>
      </c>
      <c r="G91" s="35">
        <f>'Fiscal Forecasts'!G$77</f>
        <v>1.9610000000000001</v>
      </c>
      <c r="H91" s="35">
        <f>'Fiscal Forecasts'!H$77</f>
        <v>3.6110000000000002</v>
      </c>
      <c r="I91" s="35">
        <f>'Fiscal Forecasts'!I$77</f>
        <v>5.2830000000000004</v>
      </c>
      <c r="J91" s="17">
        <f>'Fiscal Forecasts'!J$77</f>
        <v>6.0940000000000003</v>
      </c>
      <c r="K91" s="17">
        <f>'Fiscal Forecasts'!K$77</f>
        <v>5.6040000000000001</v>
      </c>
      <c r="L91" s="17">
        <f>'Fiscal Forecasts'!L$77</f>
        <v>4.6559999999999997</v>
      </c>
      <c r="M91" s="17">
        <f>'Fiscal Forecasts'!M$77</f>
        <v>4.6390000000000002</v>
      </c>
      <c r="N91" s="17">
        <f>'Fiscal Forecasts'!N$77</f>
        <v>4.9080000000000004</v>
      </c>
      <c r="O91" s="16">
        <f t="shared" ref="O91:X91" ca="1" si="58">SUM(O$158,O$160,O$162:O$164,O$341)</f>
        <v>6.9626776990843595</v>
      </c>
      <c r="P91" s="16">
        <f t="shared" ca="1" si="58"/>
        <v>7.096944455830168</v>
      </c>
      <c r="Q91" s="16">
        <f t="shared" ca="1" si="58"/>
        <v>7.2342034416784191</v>
      </c>
      <c r="R91" s="16">
        <f t="shared" ca="1" si="58"/>
        <v>7.3741305167375675</v>
      </c>
      <c r="S91" s="16">
        <f t="shared" ca="1" si="58"/>
        <v>7.5165717741497984</v>
      </c>
      <c r="T91" s="16">
        <f t="shared" ca="1" si="58"/>
        <v>7.6509193443429977</v>
      </c>
      <c r="U91" s="16">
        <f t="shared" ca="1" si="58"/>
        <v>7.7874269024508687</v>
      </c>
      <c r="V91" s="16">
        <f t="shared" ca="1" si="58"/>
        <v>7.926034612833865</v>
      </c>
      <c r="W91" s="16">
        <f t="shared" ca="1" si="58"/>
        <v>8.0672401452018629</v>
      </c>
      <c r="X91" s="16">
        <f t="shared" ca="1" si="58"/>
        <v>8.2119143950204592</v>
      </c>
    </row>
    <row r="92" spans="1:24" x14ac:dyDescent="0.25">
      <c r="A92" s="11" t="s">
        <v>577</v>
      </c>
      <c r="B92" s="10" t="str">
        <f t="shared" si="54"/>
        <v>From Fiscal Forecasts</v>
      </c>
      <c r="C92" s="13"/>
      <c r="D92" s="35">
        <f>'Fiscal Forecasts'!D$78</f>
        <v>4.5629999999999997</v>
      </c>
      <c r="E92" s="35">
        <f>'Fiscal Forecasts'!E$78</f>
        <v>4.5439999999999996</v>
      </c>
      <c r="F92" s="35">
        <f>'Fiscal Forecasts'!F$78</f>
        <v>4.8140000000000001</v>
      </c>
      <c r="G92" s="35">
        <f>'Fiscal Forecasts'!G$78</f>
        <v>4.8019999999999996</v>
      </c>
      <c r="H92" s="35">
        <f>'Fiscal Forecasts'!H$78</f>
        <v>4.9219999999999997</v>
      </c>
      <c r="I92" s="35">
        <f>'Fiscal Forecasts'!I$78</f>
        <v>6.5350000000000001</v>
      </c>
      <c r="J92" s="17">
        <f>'Fiscal Forecasts'!J$78</f>
        <v>6.6260000000000003</v>
      </c>
      <c r="K92" s="17">
        <f>'Fiscal Forecasts'!K$78</f>
        <v>6.0540000000000003</v>
      </c>
      <c r="L92" s="17">
        <f>'Fiscal Forecasts'!L$78</f>
        <v>6.3639999999999999</v>
      </c>
      <c r="M92" s="17">
        <f>'Fiscal Forecasts'!M$78</f>
        <v>6.4029999999999996</v>
      </c>
      <c r="N92" s="17">
        <f>'Fiscal Forecasts'!N$78</f>
        <v>6.6180000000000003</v>
      </c>
      <c r="O92" s="16">
        <f t="shared" ref="O92:X92" ca="1" si="59">SUM(O$173,O$179)</f>
        <v>5.957937142686907</v>
      </c>
      <c r="P92" s="16">
        <f t="shared" ca="1" si="59"/>
        <v>6.1667266413542272</v>
      </c>
      <c r="Q92" s="16">
        <f t="shared" ca="1" si="59"/>
        <v>6.3787635746558369</v>
      </c>
      <c r="R92" s="16">
        <f t="shared" ca="1" si="59"/>
        <v>6.5944233547183666</v>
      </c>
      <c r="S92" s="16">
        <f t="shared" ca="1" si="59"/>
        <v>6.8151050446889379</v>
      </c>
      <c r="T92" s="16">
        <f t="shared" ca="1" si="59"/>
        <v>7.0360323772641662</v>
      </c>
      <c r="U92" s="16">
        <f t="shared" ca="1" si="59"/>
        <v>7.2562037724334445</v>
      </c>
      <c r="V92" s="16">
        <f t="shared" ca="1" si="59"/>
        <v>7.4750218963047637</v>
      </c>
      <c r="W92" s="16">
        <f t="shared" ca="1" si="59"/>
        <v>7.6927036798367174</v>
      </c>
      <c r="X92" s="16">
        <f t="shared" ca="1" si="59"/>
        <v>7.9134964364881988</v>
      </c>
    </row>
    <row r="93" spans="1:24" x14ac:dyDescent="0.25">
      <c r="A93" s="9" t="s">
        <v>578</v>
      </c>
      <c r="B93" s="9"/>
      <c r="C93" s="13"/>
      <c r="D93" s="65">
        <f>SUM(D$88:D$92)</f>
        <v>115.059</v>
      </c>
      <c r="E93" s="65">
        <f t="shared" ref="E93:X93" si="60">SUM(E$88:E$92)</f>
        <v>113.59</v>
      </c>
      <c r="F93" s="65">
        <f t="shared" si="60"/>
        <v>126.02200000000002</v>
      </c>
      <c r="G93" s="65">
        <f t="shared" si="60"/>
        <v>135.11199999999999</v>
      </c>
      <c r="H93" s="65">
        <f t="shared" si="60"/>
        <v>149.23499999999999</v>
      </c>
      <c r="I93" s="65">
        <f t="shared" si="60"/>
        <v>159.70299999999997</v>
      </c>
      <c r="J93" s="66">
        <f t="shared" si="60"/>
        <v>169.25299999999999</v>
      </c>
      <c r="K93" s="66">
        <f t="shared" si="60"/>
        <v>170.755</v>
      </c>
      <c r="L93" s="66">
        <f t="shared" si="60"/>
        <v>180.11300000000003</v>
      </c>
      <c r="M93" s="66">
        <f t="shared" si="60"/>
        <v>189.047</v>
      </c>
      <c r="N93" s="66">
        <f t="shared" si="60"/>
        <v>197.779</v>
      </c>
      <c r="O93" s="92">
        <f t="shared" ca="1" si="60"/>
        <v>207.16035704730996</v>
      </c>
      <c r="P93" s="92">
        <f t="shared" ca="1" si="60"/>
        <v>215.71943560777873</v>
      </c>
      <c r="Q93" s="92">
        <f t="shared" ca="1" si="60"/>
        <v>224.60534697137598</v>
      </c>
      <c r="R93" s="92">
        <f t="shared" ca="1" si="60"/>
        <v>233.5707132320002</v>
      </c>
      <c r="S93" s="92">
        <f t="shared" ca="1" si="60"/>
        <v>242.77132934132322</v>
      </c>
      <c r="T93" s="92">
        <f t="shared" ca="1" si="60"/>
        <v>252.16401122370101</v>
      </c>
      <c r="U93" s="92">
        <f t="shared" ca="1" si="60"/>
        <v>261.75005596324178</v>
      </c>
      <c r="V93" s="92">
        <f t="shared" ca="1" si="60"/>
        <v>271.33227764077992</v>
      </c>
      <c r="W93" s="92">
        <f t="shared" ca="1" si="60"/>
        <v>280.8119626721143</v>
      </c>
      <c r="X93" s="92">
        <f t="shared" ca="1" si="60"/>
        <v>290.42149720046137</v>
      </c>
    </row>
    <row r="94" spans="1:24" x14ac:dyDescent="0.25">
      <c r="A94" s="11" t="s">
        <v>534</v>
      </c>
      <c r="B94" s="10" t="str">
        <f t="shared" si="54"/>
        <v>From Fiscal Forecasts</v>
      </c>
      <c r="C94" s="13"/>
      <c r="D94" s="35">
        <f>'Fiscal Forecasts'!D$80</f>
        <v>27.981999999999999</v>
      </c>
      <c r="E94" s="35">
        <f>'Fiscal Forecasts'!E$80</f>
        <v>42.945</v>
      </c>
      <c r="F94" s="35">
        <f>'Fiscal Forecasts'!F$80</f>
        <v>35.515000000000001</v>
      </c>
      <c r="G94" s="35">
        <f>'Fiscal Forecasts'!G$80</f>
        <v>44.273000000000003</v>
      </c>
      <c r="H94" s="35">
        <f>'Fiscal Forecasts'!H$80</f>
        <v>39.17</v>
      </c>
      <c r="I94" s="35">
        <f>'Fiscal Forecasts'!I$80</f>
        <v>42.335000000000001</v>
      </c>
      <c r="J94" s="17">
        <f>'Fiscal Forecasts'!J$80</f>
        <v>46.25</v>
      </c>
      <c r="K94" s="17">
        <f>'Fiscal Forecasts'!K$80</f>
        <v>47.412999999999997</v>
      </c>
      <c r="L94" s="17">
        <f>'Fiscal Forecasts'!L$80</f>
        <v>48.414999999999999</v>
      </c>
      <c r="M94" s="17">
        <f>'Fiscal Forecasts'!M$80</f>
        <v>49.828000000000003</v>
      </c>
      <c r="N94" s="17">
        <f>'Fiscal Forecasts'!N$80</f>
        <v>51.317</v>
      </c>
      <c r="O94" s="16">
        <f t="shared" ref="O94:X94" ca="1" si="61">O$194</f>
        <v>52.716537878014769</v>
      </c>
      <c r="P94" s="16">
        <f t="shared" ca="1" si="61"/>
        <v>54.97496932655698</v>
      </c>
      <c r="Q94" s="16">
        <f t="shared" ca="1" si="61"/>
        <v>57.336481433380918</v>
      </c>
      <c r="R94" s="16">
        <f t="shared" ca="1" si="61"/>
        <v>59.784834344606928</v>
      </c>
      <c r="S94" s="16">
        <f t="shared" ca="1" si="61"/>
        <v>62.321710620668796</v>
      </c>
      <c r="T94" s="16">
        <f t="shared" ca="1" si="61"/>
        <v>64.903902206045629</v>
      </c>
      <c r="U94" s="16">
        <f t="shared" ca="1" si="61"/>
        <v>67.58738423613697</v>
      </c>
      <c r="V94" s="16">
        <f t="shared" ca="1" si="61"/>
        <v>70.30501559046796</v>
      </c>
      <c r="W94" s="16">
        <f t="shared" ca="1" si="61"/>
        <v>72.993209551386627</v>
      </c>
      <c r="X94" s="16">
        <f t="shared" ca="1" si="61"/>
        <v>75.659959432481941</v>
      </c>
    </row>
    <row r="95" spans="1:24" x14ac:dyDescent="0.25">
      <c r="A95" s="11" t="s">
        <v>579</v>
      </c>
      <c r="B95" s="10" t="str">
        <f t="shared" si="54"/>
        <v>From Fiscal Forecasts</v>
      </c>
      <c r="C95" s="13"/>
      <c r="D95" s="35">
        <f>'Fiscal Forecasts'!D$81</f>
        <v>72.078999999999994</v>
      </c>
      <c r="E95" s="35">
        <f>'Fiscal Forecasts'!E$81</f>
        <v>77.191999999999993</v>
      </c>
      <c r="F95" s="35">
        <f>'Fiscal Forecasts'!F$81</f>
        <v>84.256</v>
      </c>
      <c r="G95" s="35">
        <f>'Fiscal Forecasts'!G$81</f>
        <v>92.965000000000003</v>
      </c>
      <c r="H95" s="35">
        <f>'Fiscal Forecasts'!H$81</f>
        <v>99.414000000000001</v>
      </c>
      <c r="I95" s="35">
        <f>'Fiscal Forecasts'!I$81</f>
        <v>111.095</v>
      </c>
      <c r="J95" s="17">
        <f ca="1">'Fiscal Forecasts'!J$81+IF(OFFSET(Assumptions!$B$56,0,$C$1)="Yes",SUM(Allocation!C$14:C$24),0)</f>
        <v>120.33</v>
      </c>
      <c r="K95" s="17">
        <f ca="1">'Fiscal Forecasts'!K$81+IF(OFFSET(Assumptions!$B$56,0,$C$1)="Yes",SUM(Allocation!D$14:D$24),0)</f>
        <v>116.934</v>
      </c>
      <c r="L95" s="17">
        <f ca="1">'Fiscal Forecasts'!L$81+IF(OFFSET(Assumptions!$B$56,0,$C$1)="Yes",SUM(Allocation!E$14:E$24),0)</f>
        <v>118.45699999999999</v>
      </c>
      <c r="M95" s="17">
        <f ca="1">'Fiscal Forecasts'!M$81+IF(OFFSET(Assumptions!$B$56,0,$C$1)="Yes",SUM(Allocation!F$14:F$24),0)</f>
        <v>117.18600000000001</v>
      </c>
      <c r="N95" s="17">
        <f ca="1">'Fiscal Forecasts'!N$81+IF(OFFSET(Assumptions!$B$56,0,$C$1)="Yes",SUM(Allocation!G$14:G$24),0)</f>
        <v>116.807</v>
      </c>
      <c r="O95" s="16">
        <f t="shared" ref="O95:X95" ca="1" si="62">SUM(O$212,O$226,O$240)-SUM(O$115,O$272,O$282,O$322,O$475-N$475,O$480-N$480)</f>
        <v>116.79671856403286</v>
      </c>
      <c r="P95" s="16">
        <f t="shared" ca="1" si="62"/>
        <v>117.79277160384858</v>
      </c>
      <c r="Q95" s="16">
        <f t="shared" ca="1" si="62"/>
        <v>119.05561024636972</v>
      </c>
      <c r="R95" s="16">
        <f t="shared" ca="1" si="62"/>
        <v>120.39127076904113</v>
      </c>
      <c r="S95" s="16">
        <f t="shared" ca="1" si="62"/>
        <v>121.73627497427508</v>
      </c>
      <c r="T95" s="16">
        <f t="shared" ca="1" si="62"/>
        <v>123.03427223271825</v>
      </c>
      <c r="U95" s="16">
        <f t="shared" ca="1" si="62"/>
        <v>124.42166775942131</v>
      </c>
      <c r="V95" s="16">
        <f t="shared" ca="1" si="62"/>
        <v>126.01808613623763</v>
      </c>
      <c r="W95" s="16">
        <f t="shared" ca="1" si="62"/>
        <v>127.70820348767606</v>
      </c>
      <c r="X95" s="16">
        <f t="shared" ca="1" si="62"/>
        <v>129.44681316755364</v>
      </c>
    </row>
    <row r="96" spans="1:24" x14ac:dyDescent="0.25">
      <c r="A96" s="11" t="s">
        <v>580</v>
      </c>
      <c r="B96" s="10" t="str">
        <f t="shared" si="54"/>
        <v>From Fiscal Forecasts</v>
      </c>
      <c r="C96" s="13"/>
      <c r="D96" s="35">
        <f>'Fiscal Forecasts'!D$82</f>
        <v>4.0250000000000004</v>
      </c>
      <c r="E96" s="35">
        <f>'Fiscal Forecasts'!E$82</f>
        <v>3.8490000000000002</v>
      </c>
      <c r="F96" s="35">
        <f>'Fiscal Forecasts'!F$82</f>
        <v>3.1469999999999998</v>
      </c>
      <c r="G96" s="35">
        <f>'Fiscal Forecasts'!G$82</f>
        <v>3.2509999999999999</v>
      </c>
      <c r="H96" s="35">
        <f>'Fiscal Forecasts'!H$82</f>
        <v>6.1260000000000003</v>
      </c>
      <c r="I96" s="35">
        <f>'Fiscal Forecasts'!I$82</f>
        <v>8.5790000000000006</v>
      </c>
      <c r="J96" s="17">
        <f>'Fiscal Forecasts'!J$82</f>
        <v>8.5350000000000001</v>
      </c>
      <c r="K96" s="17">
        <f>'Fiscal Forecasts'!K$82</f>
        <v>9.2810000000000006</v>
      </c>
      <c r="L96" s="17">
        <f>'Fiscal Forecasts'!L$82</f>
        <v>10.356999999999999</v>
      </c>
      <c r="M96" s="17">
        <f>'Fiscal Forecasts'!M$82</f>
        <v>10.997</v>
      </c>
      <c r="N96" s="17">
        <f>'Fiscal Forecasts'!N$82</f>
        <v>12.266999999999999</v>
      </c>
      <c r="O96" s="16">
        <f t="shared" ref="O96:X96" ca="1" si="63">(2*N$70-SUM(O$93,O$106,O$107)+SUM(O$94,O$95,O$97,O$109,O$356-N$356))/(2/O$234-1)</f>
        <v>15.234670180165645</v>
      </c>
      <c r="P96" s="16">
        <f t="shared" ca="1" si="63"/>
        <v>15.716629497194274</v>
      </c>
      <c r="Q96" s="16">
        <f t="shared" ca="1" si="63"/>
        <v>16.199971754864013</v>
      </c>
      <c r="R96" s="16">
        <f t="shared" ca="1" si="63"/>
        <v>16.654939459092944</v>
      </c>
      <c r="S96" s="16">
        <f t="shared" ca="1" si="63"/>
        <v>17.083611777231088</v>
      </c>
      <c r="T96" s="16">
        <f t="shared" ca="1" si="63"/>
        <v>17.42183916909336</v>
      </c>
      <c r="U96" s="16">
        <f t="shared" ca="1" si="63"/>
        <v>17.725491708033704</v>
      </c>
      <c r="V96" s="16">
        <f t="shared" ca="1" si="63"/>
        <v>18.001553591167255</v>
      </c>
      <c r="W96" s="16">
        <f t="shared" ca="1" si="63"/>
        <v>18.261874908057656</v>
      </c>
      <c r="X96" s="16">
        <f t="shared" ca="1" si="63"/>
        <v>18.514740176033992</v>
      </c>
    </row>
    <row r="97" spans="1:24" x14ac:dyDescent="0.25">
      <c r="A97" s="11" t="s">
        <v>1125</v>
      </c>
      <c r="B97" s="9"/>
      <c r="C97" s="13"/>
      <c r="D97" s="35">
        <f t="shared" ref="D97:X97" si="64">SUM(D$245,D$248)</f>
        <v>0</v>
      </c>
      <c r="E97" s="35">
        <f t="shared" si="64"/>
        <v>0</v>
      </c>
      <c r="F97" s="35">
        <f t="shared" si="64"/>
        <v>0</v>
      </c>
      <c r="G97" s="35">
        <f t="shared" si="64"/>
        <v>0</v>
      </c>
      <c r="H97" s="35">
        <f t="shared" si="64"/>
        <v>0</v>
      </c>
      <c r="I97" s="35">
        <f t="shared" si="64"/>
        <v>0</v>
      </c>
      <c r="J97" s="17">
        <f t="shared" ca="1" si="64"/>
        <v>-2.7</v>
      </c>
      <c r="K97" s="17">
        <f t="shared" ca="1" si="64"/>
        <v>0.82</v>
      </c>
      <c r="L97" s="17">
        <f t="shared" ca="1" si="64"/>
        <v>2.1190000000000002</v>
      </c>
      <c r="M97" s="17">
        <f t="shared" ca="1" si="64"/>
        <v>4.7690000000000001</v>
      </c>
      <c r="N97" s="17">
        <f t="shared" ca="1" si="64"/>
        <v>7.3029999999999999</v>
      </c>
      <c r="O97" s="16">
        <f t="shared" ca="1" si="64"/>
        <v>11.427999999999999</v>
      </c>
      <c r="P97" s="16">
        <f t="shared" ca="1" si="64"/>
        <v>15.05875</v>
      </c>
      <c r="Q97" s="16">
        <f t="shared" ca="1" si="64"/>
        <v>18.798422500000001</v>
      </c>
      <c r="R97" s="16">
        <f t="shared" ca="1" si="64"/>
        <v>22.650285175</v>
      </c>
      <c r="S97" s="16">
        <f t="shared" ca="1" si="64"/>
        <v>26.61770373025</v>
      </c>
      <c r="T97" s="16">
        <f t="shared" ca="1" si="64"/>
        <v>30.704144842157501</v>
      </c>
      <c r="U97" s="16">
        <f t="shared" ca="1" si="64"/>
        <v>34.91317918742223</v>
      </c>
      <c r="V97" s="16">
        <f t="shared" ca="1" si="64"/>
        <v>39.248484563044897</v>
      </c>
      <c r="W97" s="16">
        <f t="shared" ca="1" si="64"/>
        <v>43.713849099936247</v>
      </c>
      <c r="X97" s="16">
        <f t="shared" ca="1" si="64"/>
        <v>48.313174572934336</v>
      </c>
    </row>
    <row r="98" spans="1:24" x14ac:dyDescent="0.25">
      <c r="A98" s="9" t="s">
        <v>1157</v>
      </c>
      <c r="B98" s="9"/>
      <c r="C98" s="13"/>
      <c r="D98" s="65">
        <f>SUM(D$94:D$97)</f>
        <v>104.086</v>
      </c>
      <c r="E98" s="65">
        <f t="shared" ref="E98:X98" si="65">SUM(E$94:E$97)</f>
        <v>123.986</v>
      </c>
      <c r="F98" s="65">
        <f t="shared" si="65"/>
        <v>122.91800000000001</v>
      </c>
      <c r="G98" s="65">
        <f t="shared" si="65"/>
        <v>140.489</v>
      </c>
      <c r="H98" s="65">
        <f t="shared" si="65"/>
        <v>144.71</v>
      </c>
      <c r="I98" s="65">
        <f t="shared" si="65"/>
        <v>162.00900000000001</v>
      </c>
      <c r="J98" s="66">
        <f t="shared" ca="1" si="65"/>
        <v>172.41499999999999</v>
      </c>
      <c r="K98" s="66">
        <f t="shared" ca="1" si="65"/>
        <v>174.44799999999998</v>
      </c>
      <c r="L98" s="66">
        <f t="shared" ca="1" si="65"/>
        <v>179.34799999999998</v>
      </c>
      <c r="M98" s="66">
        <f t="shared" ca="1" si="65"/>
        <v>182.78000000000003</v>
      </c>
      <c r="N98" s="66">
        <f t="shared" ca="1" si="65"/>
        <v>187.69399999999999</v>
      </c>
      <c r="O98" s="92">
        <f t="shared" ca="1" si="65"/>
        <v>196.17592662221327</v>
      </c>
      <c r="P98" s="92">
        <f t="shared" ca="1" si="65"/>
        <v>203.54312042759983</v>
      </c>
      <c r="Q98" s="92">
        <f t="shared" ca="1" si="65"/>
        <v>211.39048593461467</v>
      </c>
      <c r="R98" s="92">
        <f t="shared" ca="1" si="65"/>
        <v>219.481329747741</v>
      </c>
      <c r="S98" s="92">
        <f t="shared" ca="1" si="65"/>
        <v>227.75930110242496</v>
      </c>
      <c r="T98" s="92">
        <f t="shared" ca="1" si="65"/>
        <v>236.06415845001473</v>
      </c>
      <c r="U98" s="92">
        <f t="shared" ca="1" si="65"/>
        <v>244.64772289101421</v>
      </c>
      <c r="V98" s="92">
        <f t="shared" ca="1" si="65"/>
        <v>253.57313988091778</v>
      </c>
      <c r="W98" s="92">
        <f t="shared" ca="1" si="65"/>
        <v>262.67713704705659</v>
      </c>
      <c r="X98" s="92">
        <f t="shared" ca="1" si="65"/>
        <v>271.93468734900392</v>
      </c>
    </row>
    <row r="99" spans="1:24" x14ac:dyDescent="0.25">
      <c r="A99" s="9" t="s">
        <v>1142</v>
      </c>
      <c r="B99" s="9"/>
      <c r="C99" s="13"/>
      <c r="D99" s="65">
        <f>D$93-D$98</f>
        <v>10.972999999999999</v>
      </c>
      <c r="E99" s="65">
        <f t="shared" ref="E99:X99" si="66">E$93-E$98</f>
        <v>-10.396000000000001</v>
      </c>
      <c r="F99" s="65">
        <f t="shared" si="66"/>
        <v>3.1040000000000134</v>
      </c>
      <c r="G99" s="65">
        <f t="shared" si="66"/>
        <v>-5.3770000000000095</v>
      </c>
      <c r="H99" s="65">
        <f t="shared" si="66"/>
        <v>4.5249999999999773</v>
      </c>
      <c r="I99" s="65">
        <f t="shared" si="66"/>
        <v>-2.30600000000004</v>
      </c>
      <c r="J99" s="66">
        <f t="shared" ca="1" si="66"/>
        <v>-3.1620000000000061</v>
      </c>
      <c r="K99" s="66">
        <f t="shared" ca="1" si="66"/>
        <v>-3.6929999999999836</v>
      </c>
      <c r="L99" s="66">
        <f t="shared" ca="1" si="66"/>
        <v>0.7650000000000432</v>
      </c>
      <c r="M99" s="66">
        <f t="shared" ca="1" si="66"/>
        <v>6.2669999999999675</v>
      </c>
      <c r="N99" s="66">
        <f t="shared" ca="1" si="66"/>
        <v>10.085000000000008</v>
      </c>
      <c r="O99" s="92">
        <f t="shared" ca="1" si="66"/>
        <v>10.98443042509669</v>
      </c>
      <c r="P99" s="92">
        <f t="shared" ca="1" si="66"/>
        <v>12.176315180178904</v>
      </c>
      <c r="Q99" s="92">
        <f t="shared" ca="1" si="66"/>
        <v>13.214861036761306</v>
      </c>
      <c r="R99" s="92">
        <f t="shared" ca="1" si="66"/>
        <v>14.089383484259201</v>
      </c>
      <c r="S99" s="92">
        <f t="shared" ca="1" si="66"/>
        <v>15.012028238898267</v>
      </c>
      <c r="T99" s="92">
        <f t="shared" ca="1" si="66"/>
        <v>16.09985277368628</v>
      </c>
      <c r="U99" s="92">
        <f t="shared" ca="1" si="66"/>
        <v>17.102333072227566</v>
      </c>
      <c r="V99" s="92">
        <f t="shared" ca="1" si="66"/>
        <v>17.759137759862142</v>
      </c>
      <c r="W99" s="92">
        <f t="shared" ca="1" si="66"/>
        <v>18.134825625057715</v>
      </c>
      <c r="X99" s="92">
        <f t="shared" ca="1" si="66"/>
        <v>18.486809851457451</v>
      </c>
    </row>
    <row r="100" spans="1:24" x14ac:dyDescent="0.25">
      <c r="A100" s="11" t="s">
        <v>1126</v>
      </c>
      <c r="B100" s="10" t="str">
        <f t="shared" ref="B100:B104" si="67">$B$38</f>
        <v>From Fiscal Forecasts</v>
      </c>
      <c r="C100" s="13"/>
      <c r="D100" s="35">
        <f>-'Fiscal Forecasts'!D$85</f>
        <v>8.4640000000000004</v>
      </c>
      <c r="E100" s="35">
        <f>-'Fiscal Forecasts'!E$85</f>
        <v>9.0709999999999997</v>
      </c>
      <c r="F100" s="35">
        <f>-'Fiscal Forecasts'!F$85</f>
        <v>9.3930000000000007</v>
      </c>
      <c r="G100" s="35">
        <f>-'Fiscal Forecasts'!G$85</f>
        <v>10.571999999999999</v>
      </c>
      <c r="H100" s="35">
        <f>-'Fiscal Forecasts'!H$85</f>
        <v>14.271000000000001</v>
      </c>
      <c r="I100" s="35">
        <f>-'Fiscal Forecasts'!I$85</f>
        <v>16.948</v>
      </c>
      <c r="J100" s="17">
        <f>-'Fiscal Forecasts'!J$85</f>
        <v>15.737</v>
      </c>
      <c r="K100" s="17">
        <f>-'Fiscal Forecasts'!K$85</f>
        <v>17.817</v>
      </c>
      <c r="L100" s="17">
        <f>-'Fiscal Forecasts'!L$85</f>
        <v>15.276999999999999</v>
      </c>
      <c r="M100" s="17">
        <f>-'Fiscal Forecasts'!M$85</f>
        <v>14.224</v>
      </c>
      <c r="N100" s="17">
        <f>-'Fiscal Forecasts'!N$85</f>
        <v>12.698</v>
      </c>
      <c r="O100" s="16">
        <f t="shared" ref="O100:X100" ca="1" si="68">SUM(O$429-N$429,O$218)</f>
        <v>11.714747316313188</v>
      </c>
      <c r="P100" s="16">
        <f t="shared" ca="1" si="68"/>
        <v>11.739327932043718</v>
      </c>
      <c r="Q100" s="16">
        <f t="shared" ca="1" si="68"/>
        <v>11.800890311107777</v>
      </c>
      <c r="R100" s="16">
        <f t="shared" ca="1" si="68"/>
        <v>11.870370881610375</v>
      </c>
      <c r="S100" s="16">
        <f t="shared" ca="1" si="68"/>
        <v>11.941204662617775</v>
      </c>
      <c r="T100" s="16">
        <f t="shared" ca="1" si="68"/>
        <v>12.013338886677428</v>
      </c>
      <c r="U100" s="16">
        <f t="shared" ca="1" si="68"/>
        <v>12.086516977663774</v>
      </c>
      <c r="V100" s="16">
        <f t="shared" ca="1" si="68"/>
        <v>12.160825440625404</v>
      </c>
      <c r="W100" s="16">
        <f t="shared" ca="1" si="68"/>
        <v>12.236270015643228</v>
      </c>
      <c r="X100" s="16">
        <f t="shared" ca="1" si="68"/>
        <v>12.313189112753307</v>
      </c>
    </row>
    <row r="101" spans="1:24" x14ac:dyDescent="0.25">
      <c r="A101" s="11" t="s">
        <v>1163</v>
      </c>
      <c r="B101" s="10" t="str">
        <f t="shared" si="67"/>
        <v>From Fiscal Forecasts</v>
      </c>
      <c r="C101" s="13"/>
      <c r="D101" s="35">
        <f>-'Fiscal Forecasts'!D$86</f>
        <v>-3.8039999999999998</v>
      </c>
      <c r="E101" s="35">
        <f>-'Fiscal Forecasts'!E$86</f>
        <v>14.148999999999999</v>
      </c>
      <c r="F101" s="35">
        <f>-'Fiscal Forecasts'!F$86</f>
        <v>-4.1890000000000001</v>
      </c>
      <c r="G101" s="35">
        <f>-'Fiscal Forecasts'!G$86</f>
        <v>4.9859999999999998</v>
      </c>
      <c r="H101" s="35">
        <f>-'Fiscal Forecasts'!H$86</f>
        <v>4.9059999999999997</v>
      </c>
      <c r="I101" s="35">
        <f>-'Fiscal Forecasts'!I$86</f>
        <v>10.231999999999999</v>
      </c>
      <c r="J101" s="17">
        <f>-'Fiscal Forecasts'!J$86</f>
        <v>6.375</v>
      </c>
      <c r="K101" s="17">
        <f>-'Fiscal Forecasts'!K$86</f>
        <v>4.6929999999999996</v>
      </c>
      <c r="L101" s="17">
        <f>-'Fiscal Forecasts'!L$86</f>
        <v>-3.2610000000000001</v>
      </c>
      <c r="M101" s="17">
        <f>-'Fiscal Forecasts'!M$86</f>
        <v>-0.20200000000000001</v>
      </c>
      <c r="N101" s="17">
        <f>-'Fiscal Forecasts'!N$86</f>
        <v>-0.113</v>
      </c>
      <c r="O101" s="16">
        <f t="shared" ref="O101:X101" ca="1" si="69">SUM(O$372-N$372,O$381-N$381,O$397-N$397)-SUM(O$340,O$343:O$345)</f>
        <v>-2.6260628699416904</v>
      </c>
      <c r="P101" s="16">
        <f t="shared" ca="1" si="69"/>
        <v>-0.5560093800008179</v>
      </c>
      <c r="Q101" s="16">
        <f t="shared" ca="1" si="69"/>
        <v>-0.61888529475448895</v>
      </c>
      <c r="R101" s="16">
        <f t="shared" ca="1" si="69"/>
        <v>-0.72918476219052053</v>
      </c>
      <c r="S101" s="16">
        <f t="shared" ca="1" si="69"/>
        <v>-0.85783984643032163</v>
      </c>
      <c r="T101" s="16">
        <f t="shared" ca="1" si="69"/>
        <v>-0.96735590032054652</v>
      </c>
      <c r="U101" s="16">
        <f t="shared" ca="1" si="69"/>
        <v>-1.114387345815155</v>
      </c>
      <c r="V101" s="16">
        <f t="shared" ca="1" si="69"/>
        <v>-1.3422295341735193</v>
      </c>
      <c r="W101" s="16">
        <f t="shared" ca="1" si="69"/>
        <v>-1.6041744214994882</v>
      </c>
      <c r="X101" s="16">
        <f t="shared" ca="1" si="69"/>
        <v>-1.8210006160178978</v>
      </c>
    </row>
    <row r="102" spans="1:24" x14ac:dyDescent="0.25">
      <c r="A102" s="11" t="s">
        <v>1164</v>
      </c>
      <c r="B102" s="10" t="str">
        <f t="shared" si="67"/>
        <v>From Fiscal Forecasts</v>
      </c>
      <c r="C102" s="13"/>
      <c r="D102" s="35">
        <f>-'Fiscal Forecasts'!D$87</f>
        <v>0.79100000000000004</v>
      </c>
      <c r="E102" s="35">
        <f>-'Fiscal Forecasts'!E$87</f>
        <v>0.85499999999999998</v>
      </c>
      <c r="F102" s="35">
        <f>-'Fiscal Forecasts'!F$87</f>
        <v>0.89800000000000002</v>
      </c>
      <c r="G102" s="35">
        <f>-'Fiscal Forecasts'!G$87</f>
        <v>0.71</v>
      </c>
      <c r="H102" s="35">
        <f>-'Fiscal Forecasts'!H$87</f>
        <v>0.86799999999999999</v>
      </c>
      <c r="I102" s="35">
        <f>-'Fiscal Forecasts'!I$87</f>
        <v>0.86</v>
      </c>
      <c r="J102" s="17">
        <f>-'Fiscal Forecasts'!J$87</f>
        <v>0.91400000000000003</v>
      </c>
      <c r="K102" s="17">
        <f>-'Fiscal Forecasts'!K$87</f>
        <v>0.74299999999999999</v>
      </c>
      <c r="L102" s="17">
        <f>-'Fiscal Forecasts'!L$87</f>
        <v>0.621</v>
      </c>
      <c r="M102" s="17">
        <f>-'Fiscal Forecasts'!M$87</f>
        <v>0.59199999999999997</v>
      </c>
      <c r="N102" s="17">
        <f>-'Fiscal Forecasts'!N$87</f>
        <v>0.622</v>
      </c>
      <c r="O102" s="16">
        <f t="shared" ref="O102:X102" ca="1" si="70">SUM(O$444-N$444,O$115)</f>
        <v>0.86540356501818028</v>
      </c>
      <c r="P102" s="16">
        <f t="shared" ca="1" si="70"/>
        <v>0.87623288155166745</v>
      </c>
      <c r="Q102" s="16">
        <f t="shared" ca="1" si="70"/>
        <v>0.88727878441582397</v>
      </c>
      <c r="R102" s="16">
        <f t="shared" ca="1" si="70"/>
        <v>0.89854560533726402</v>
      </c>
      <c r="S102" s="16">
        <f t="shared" ca="1" si="70"/>
        <v>0.91003776267713388</v>
      </c>
      <c r="T102" s="16">
        <f t="shared" ca="1" si="70"/>
        <v>0.92175976316379893</v>
      </c>
      <c r="U102" s="16">
        <f t="shared" ca="1" si="70"/>
        <v>0.93371620366019847</v>
      </c>
      <c r="V102" s="16">
        <f t="shared" ca="1" si="70"/>
        <v>0.94591177296652651</v>
      </c>
      <c r="W102" s="16">
        <f t="shared" ca="1" si="70"/>
        <v>0.95835125365897966</v>
      </c>
      <c r="X102" s="16">
        <f t="shared" ca="1" si="70"/>
        <v>0.97103952396528281</v>
      </c>
    </row>
    <row r="103" spans="1:24" x14ac:dyDescent="0.25">
      <c r="A103" s="11" t="s">
        <v>1165</v>
      </c>
      <c r="B103" s="10" t="str">
        <f t="shared" si="67"/>
        <v>From Fiscal Forecasts</v>
      </c>
      <c r="C103" s="13"/>
      <c r="D103" s="35">
        <f>-'Fiscal Forecasts'!D$88</f>
        <v>1.9019999999999999</v>
      </c>
      <c r="E103" s="35">
        <f>-'Fiscal Forecasts'!E$88</f>
        <v>1.29</v>
      </c>
      <c r="F103" s="35">
        <f>-'Fiscal Forecasts'!F$88</f>
        <v>5.6630000000000003</v>
      </c>
      <c r="G103" s="35">
        <f>-'Fiscal Forecasts'!G$88</f>
        <v>12.958</v>
      </c>
      <c r="H103" s="35">
        <f>-'Fiscal Forecasts'!H$88</f>
        <v>8.2149999999999999</v>
      </c>
      <c r="I103" s="35">
        <f>-'Fiscal Forecasts'!I$88</f>
        <v>-0.151</v>
      </c>
      <c r="J103" s="17">
        <f>-'Fiscal Forecasts'!J$88</f>
        <v>-6.0140000000000002</v>
      </c>
      <c r="K103" s="17">
        <f>-'Fiscal Forecasts'!K$88</f>
        <v>-2.7429999999999999</v>
      </c>
      <c r="L103" s="17">
        <f>-'Fiscal Forecasts'!L$88</f>
        <v>3.83</v>
      </c>
      <c r="M103" s="17">
        <f>-'Fiscal Forecasts'!M$88</f>
        <v>4.2050000000000001</v>
      </c>
      <c r="N103" s="17">
        <f>-'Fiscal Forecasts'!N$88</f>
        <v>3.948</v>
      </c>
      <c r="O103" s="16">
        <f t="shared" ref="O103:X103" ca="1" si="71">SUM(O$406-N$406,O$411,-O$413)</f>
        <v>3.4696511861953203</v>
      </c>
      <c r="P103" s="16">
        <f t="shared" ca="1" si="71"/>
        <v>2.9442632046461332</v>
      </c>
      <c r="Q103" s="16">
        <f t="shared" ca="1" si="71"/>
        <v>2.956684471526438</v>
      </c>
      <c r="R103" s="16">
        <f t="shared" ca="1" si="71"/>
        <v>2.9615199859409089</v>
      </c>
      <c r="S103" s="16">
        <f t="shared" ca="1" si="71"/>
        <v>3.015597420692532</v>
      </c>
      <c r="T103" s="16">
        <f t="shared" ca="1" si="71"/>
        <v>3.0619226309681102</v>
      </c>
      <c r="U103" s="16">
        <f t="shared" ca="1" si="71"/>
        <v>3.0975157276296006</v>
      </c>
      <c r="V103" s="16">
        <f t="shared" ca="1" si="71"/>
        <v>3.1394517818057759</v>
      </c>
      <c r="W103" s="16">
        <f t="shared" ca="1" si="71"/>
        <v>3.1915403977656345</v>
      </c>
      <c r="X103" s="16">
        <f t="shared" ca="1" si="71"/>
        <v>3.2762647608818378</v>
      </c>
    </row>
    <row r="104" spans="1:24" x14ac:dyDescent="0.25">
      <c r="A104" s="11" t="s">
        <v>1166</v>
      </c>
      <c r="B104" s="10" t="str">
        <f t="shared" si="67"/>
        <v>From Fiscal Forecasts</v>
      </c>
      <c r="C104" s="13"/>
      <c r="D104" s="35">
        <f>-'Fiscal Forecasts'!D$89</f>
        <v>-0.13600000000000001</v>
      </c>
      <c r="E104" s="35">
        <f>-'Fiscal Forecasts'!E$89</f>
        <v>0.28599999999999998</v>
      </c>
      <c r="F104" s="35">
        <f>-'Fiscal Forecasts'!F$89</f>
        <v>0.39200000000000002</v>
      </c>
      <c r="G104" s="35">
        <f>-'Fiscal Forecasts'!G$89</f>
        <v>0.44800000000000001</v>
      </c>
      <c r="H104" s="35">
        <f>-'Fiscal Forecasts'!H$89</f>
        <v>0.20200000000000001</v>
      </c>
      <c r="I104" s="35">
        <f>-'Fiscal Forecasts'!I$89</f>
        <v>0.39700000000000002</v>
      </c>
      <c r="J104" s="17">
        <f>-'Fiscal Forecasts'!J$89</f>
        <v>0.45600000000000002</v>
      </c>
      <c r="K104" s="17">
        <f>-'Fiscal Forecasts'!K$89</f>
        <v>0.26600000000000001</v>
      </c>
      <c r="L104" s="17">
        <f>-'Fiscal Forecasts'!L$89</f>
        <v>0.193</v>
      </c>
      <c r="M104" s="17">
        <f>-'Fiscal Forecasts'!M$89</f>
        <v>0.26800000000000002</v>
      </c>
      <c r="N104" s="17">
        <f>-'Fiscal Forecasts'!N$89</f>
        <v>8.7999999999999995E-2</v>
      </c>
      <c r="O104" s="16">
        <f t="shared" ref="O104:X104" ca="1" si="72">SUM(O$438-N$438,-O$350)</f>
        <v>0.1328558682668792</v>
      </c>
      <c r="P104" s="16">
        <f t="shared" ca="1" si="72"/>
        <v>0.13052759215871396</v>
      </c>
      <c r="Q104" s="16">
        <f t="shared" ca="1" si="72"/>
        <v>0.12832011727515197</v>
      </c>
      <c r="R104" s="16">
        <f t="shared" ca="1" si="72"/>
        <v>0.12625748403581546</v>
      </c>
      <c r="S104" s="16">
        <f t="shared" ca="1" si="72"/>
        <v>0.1241343169194109</v>
      </c>
      <c r="T104" s="16">
        <f t="shared" ca="1" si="72"/>
        <v>0.12196822618779574</v>
      </c>
      <c r="U104" s="16">
        <f t="shared" ca="1" si="72"/>
        <v>0.11982419770520558</v>
      </c>
      <c r="V104" s="16">
        <f t="shared" ca="1" si="72"/>
        <v>0.11768663252061806</v>
      </c>
      <c r="W104" s="16">
        <f t="shared" ca="1" si="72"/>
        <v>0.1155590240249198</v>
      </c>
      <c r="X104" s="16">
        <f t="shared" ca="1" si="72"/>
        <v>0.11336741536922484</v>
      </c>
    </row>
    <row r="105" spans="1:24" x14ac:dyDescent="0.25">
      <c r="A105" s="11" t="s">
        <v>1130</v>
      </c>
      <c r="B105" s="9"/>
      <c r="C105" s="13"/>
      <c r="D105" s="35">
        <f t="shared" ref="D105:X105" si="73">SUM(D$450-C$450,D$451-C$451)</f>
        <v>0</v>
      </c>
      <c r="E105" s="35">
        <f t="shared" si="73"/>
        <v>0</v>
      </c>
      <c r="F105" s="35">
        <f t="shared" si="73"/>
        <v>0</v>
      </c>
      <c r="G105" s="35">
        <f t="shared" si="73"/>
        <v>0</v>
      </c>
      <c r="H105" s="35">
        <f t="shared" si="73"/>
        <v>0</v>
      </c>
      <c r="I105" s="35">
        <f t="shared" si="73"/>
        <v>0</v>
      </c>
      <c r="J105" s="17">
        <f t="shared" si="73"/>
        <v>-1.5</v>
      </c>
      <c r="K105" s="17">
        <f t="shared" si="73"/>
        <v>1.6600000000000001</v>
      </c>
      <c r="L105" s="17">
        <f t="shared" si="73"/>
        <v>3.0419999999999998</v>
      </c>
      <c r="M105" s="17">
        <f t="shared" si="73"/>
        <v>3.3770000000000002</v>
      </c>
      <c r="N105" s="17">
        <f t="shared" si="73"/>
        <v>3.9310000000000005</v>
      </c>
      <c r="O105" s="16">
        <f t="shared" ca="1" si="73"/>
        <v>7</v>
      </c>
      <c r="P105" s="16">
        <f t="shared" ca="1" si="73"/>
        <v>7.2100000000000009</v>
      </c>
      <c r="Q105" s="16">
        <f t="shared" ca="1" si="73"/>
        <v>7.4262999999999977</v>
      </c>
      <c r="R105" s="16">
        <f t="shared" ca="1" si="73"/>
        <v>7.6490890000000036</v>
      </c>
      <c r="S105" s="16">
        <f t="shared" ca="1" si="73"/>
        <v>7.8785616700000034</v>
      </c>
      <c r="T105" s="16">
        <f t="shared" ca="1" si="73"/>
        <v>8.114918520099998</v>
      </c>
      <c r="U105" s="16">
        <f t="shared" ca="1" si="73"/>
        <v>8.3583660757030032</v>
      </c>
      <c r="V105" s="16">
        <f t="shared" ca="1" si="73"/>
        <v>8.609117057974089</v>
      </c>
      <c r="W105" s="16">
        <f t="shared" ca="1" si="73"/>
        <v>8.867390569713308</v>
      </c>
      <c r="X105" s="16">
        <f t="shared" ca="1" si="73"/>
        <v>9.1334122868047132</v>
      </c>
    </row>
    <row r="106" spans="1:24" x14ac:dyDescent="0.25">
      <c r="A106" s="9" t="s">
        <v>1158</v>
      </c>
      <c r="B106" s="9"/>
      <c r="C106" s="13"/>
      <c r="D106" s="65">
        <f>-SUM(D$100:D$105)</f>
        <v>-7.2170000000000005</v>
      </c>
      <c r="E106" s="65">
        <f t="shared" ref="E106:I106" si="74">-SUM(E$100:E$105)</f>
        <v>-25.651</v>
      </c>
      <c r="F106" s="65">
        <f t="shared" si="74"/>
        <v>-12.157</v>
      </c>
      <c r="G106" s="65">
        <f t="shared" si="74"/>
        <v>-29.673999999999999</v>
      </c>
      <c r="H106" s="65">
        <f t="shared" si="74"/>
        <v>-28.462</v>
      </c>
      <c r="I106" s="65">
        <f t="shared" si="74"/>
        <v>-28.285999999999998</v>
      </c>
      <c r="J106" s="66">
        <f t="shared" ref="J106:X106" si="75">-SUM(J$100:J$105)</f>
        <v>-15.968000000000004</v>
      </c>
      <c r="K106" s="66">
        <f t="shared" si="75"/>
        <v>-22.435999999999996</v>
      </c>
      <c r="L106" s="66">
        <f t="shared" si="75"/>
        <v>-19.701999999999998</v>
      </c>
      <c r="M106" s="66">
        <f t="shared" si="75"/>
        <v>-22.464000000000002</v>
      </c>
      <c r="N106" s="66">
        <f t="shared" si="75"/>
        <v>-21.174000000000003</v>
      </c>
      <c r="O106" s="92">
        <f t="shared" ca="1" si="75"/>
        <v>-20.55659506585188</v>
      </c>
      <c r="P106" s="92">
        <f t="shared" ca="1" si="75"/>
        <v>-22.344342230399416</v>
      </c>
      <c r="Q106" s="92">
        <f t="shared" ca="1" si="75"/>
        <v>-22.5805883895707</v>
      </c>
      <c r="R106" s="92">
        <f t="shared" ca="1" si="75"/>
        <v>-22.776598194733843</v>
      </c>
      <c r="S106" s="92">
        <f t="shared" ca="1" si="75"/>
        <v>-23.011695986476532</v>
      </c>
      <c r="T106" s="92">
        <f t="shared" ca="1" si="75"/>
        <v>-23.266552126776585</v>
      </c>
      <c r="U106" s="92">
        <f t="shared" ca="1" si="75"/>
        <v>-23.481551836546629</v>
      </c>
      <c r="V106" s="92">
        <f t="shared" ca="1" si="75"/>
        <v>-23.630763151718895</v>
      </c>
      <c r="W106" s="92">
        <f t="shared" ca="1" si="75"/>
        <v>-23.764936839306586</v>
      </c>
      <c r="X106" s="92">
        <f t="shared" ca="1" si="75"/>
        <v>-23.986272483756469</v>
      </c>
    </row>
    <row r="107" spans="1:24" x14ac:dyDescent="0.25">
      <c r="A107" s="11" t="s">
        <v>590</v>
      </c>
      <c r="B107" s="10" t="str">
        <f t="shared" ref="B107:B109" si="76">$B$38</f>
        <v>From Fiscal Forecasts</v>
      </c>
      <c r="C107" s="13"/>
      <c r="D107" s="35">
        <f>'Fiscal Forecasts'!D$92</f>
        <v>0.437</v>
      </c>
      <c r="E107" s="35">
        <f>'Fiscal Forecasts'!E$92</f>
        <v>1.2090000000000001</v>
      </c>
      <c r="F107" s="35">
        <f>'Fiscal Forecasts'!F$92</f>
        <v>0.23400000000000001</v>
      </c>
      <c r="G107" s="35">
        <f>'Fiscal Forecasts'!G$92</f>
        <v>0.80500000000000005</v>
      </c>
      <c r="H107" s="35">
        <f>'Fiscal Forecasts'!H$92</f>
        <v>-5.8999999999999997E-2</v>
      </c>
      <c r="I107" s="35">
        <f>'Fiscal Forecasts'!I$92</f>
        <v>-2.4E-2</v>
      </c>
      <c r="J107" s="17">
        <f>'Fiscal Forecasts'!J$92</f>
        <v>8.8999999999999996E-2</v>
      </c>
      <c r="K107" s="17">
        <f>'Fiscal Forecasts'!K$92</f>
        <v>9.0999999999999998E-2</v>
      </c>
      <c r="L107" s="17">
        <f>'Fiscal Forecasts'!L$92</f>
        <v>9.1999999999999998E-2</v>
      </c>
      <c r="M107" s="17">
        <f>'Fiscal Forecasts'!M$92</f>
        <v>9.1999999999999998E-2</v>
      </c>
      <c r="N107" s="17">
        <f>'Fiscal Forecasts'!N$92</f>
        <v>9.2999999999999999E-2</v>
      </c>
      <c r="O107" s="16">
        <f t="shared" ref="O107:X107" ca="1" si="77">O$454-N$454</f>
        <v>0.18867999999999974</v>
      </c>
      <c r="P107" s="16">
        <f t="shared" ca="1" si="77"/>
        <v>0.19245360000000034</v>
      </c>
      <c r="Q107" s="16">
        <f t="shared" ca="1" si="77"/>
        <v>0.19630267199999984</v>
      </c>
      <c r="R107" s="16">
        <f t="shared" ca="1" si="77"/>
        <v>0.20022872544000059</v>
      </c>
      <c r="S107" s="16">
        <f t="shared" ca="1" si="77"/>
        <v>0.20423329994880035</v>
      </c>
      <c r="T107" s="16">
        <f t="shared" ca="1" si="77"/>
        <v>0.20831796594777607</v>
      </c>
      <c r="U107" s="16">
        <f t="shared" ca="1" si="77"/>
        <v>0.21248432526673255</v>
      </c>
      <c r="V107" s="16">
        <f t="shared" ca="1" si="77"/>
        <v>0.21673401177206664</v>
      </c>
      <c r="W107" s="16">
        <f t="shared" ca="1" si="77"/>
        <v>0.22106869200750801</v>
      </c>
      <c r="X107" s="16">
        <f t="shared" ca="1" si="77"/>
        <v>0.22549006584765863</v>
      </c>
    </row>
    <row r="108" spans="1:24" x14ac:dyDescent="0.25">
      <c r="A108" s="11" t="s">
        <v>1159</v>
      </c>
      <c r="B108" s="10" t="str">
        <f t="shared" si="76"/>
        <v>From Fiscal Forecasts</v>
      </c>
      <c r="C108" s="13"/>
      <c r="D108" s="35">
        <f>SUM('Fiscal Forecasts'!D$93:D$96)</f>
        <v>-2.5789999999999997</v>
      </c>
      <c r="E108" s="35">
        <f>SUM('Fiscal Forecasts'!E$93:E$96)</f>
        <v>36.155999999999999</v>
      </c>
      <c r="F108" s="35">
        <f>SUM('Fiscal Forecasts'!F$93:F$96)</f>
        <v>7.3529999999999998</v>
      </c>
      <c r="G108" s="35">
        <f>SUM('Fiscal Forecasts'!G$93:G$96)</f>
        <v>33.409000000000006</v>
      </c>
      <c r="H108" s="35">
        <f>SUM('Fiscal Forecasts'!H$93:H$96)</f>
        <v>24.929000000000002</v>
      </c>
      <c r="I108" s="35">
        <f>SUM('Fiscal Forecasts'!I$93:I$96)</f>
        <v>28.588000000000001</v>
      </c>
      <c r="J108" s="17">
        <f>SUM('Fiscal Forecasts'!J$93:J$96)</f>
        <v>25.192000000000004</v>
      </c>
      <c r="K108" s="17">
        <f>SUM('Fiscal Forecasts'!K$93:K$96)</f>
        <v>26.640000000000004</v>
      </c>
      <c r="L108" s="17">
        <f>SUM('Fiscal Forecasts'!L$93:L$96)</f>
        <v>20.073999999999998</v>
      </c>
      <c r="M108" s="17">
        <f>SUM('Fiscal Forecasts'!M$93:M$96)</f>
        <v>15.950000000000001</v>
      </c>
      <c r="N108" s="17">
        <f>SUM('Fiscal Forecasts'!N$93:N$96)</f>
        <v>11.384</v>
      </c>
      <c r="O108" s="16">
        <f t="shared" ref="O108:X108" ca="1" si="78">O$356-N$356-SUM(O$99,O$106,O$107)</f>
        <v>9.6969453899980795</v>
      </c>
      <c r="P108" s="16">
        <f t="shared" ca="1" si="78"/>
        <v>10.41374176129651</v>
      </c>
      <c r="Q108" s="16">
        <f t="shared" ca="1" si="78"/>
        <v>9.6208643628817132</v>
      </c>
      <c r="R108" s="16">
        <f t="shared" ca="1" si="78"/>
        <v>8.9496079615316209</v>
      </c>
      <c r="S108" s="16">
        <f t="shared" ca="1" si="78"/>
        <v>8.268245090671595</v>
      </c>
      <c r="T108" s="16">
        <f t="shared" ca="1" si="78"/>
        <v>7.4422518260072632</v>
      </c>
      <c r="U108" s="16">
        <f t="shared" ca="1" si="78"/>
        <v>6.6598322734495845</v>
      </c>
      <c r="V108" s="16">
        <f t="shared" ca="1" si="78"/>
        <v>6.1586454213060033</v>
      </c>
      <c r="W108" s="16">
        <f t="shared" ca="1" si="78"/>
        <v>5.9273936303055148</v>
      </c>
      <c r="X108" s="16">
        <f t="shared" ca="1" si="78"/>
        <v>5.8113679176120776</v>
      </c>
    </row>
    <row r="109" spans="1:24" x14ac:dyDescent="0.25">
      <c r="A109" s="11" t="s">
        <v>1167</v>
      </c>
      <c r="B109" s="10" t="str">
        <f t="shared" si="76"/>
        <v>From Fiscal Forecasts</v>
      </c>
      <c r="C109" s="13"/>
      <c r="D109" s="35">
        <f>-'Fiscal Forecasts'!D$97</f>
        <v>0.504</v>
      </c>
      <c r="E109" s="35">
        <f>-'Fiscal Forecasts'!E$97</f>
        <v>0.47899999999999998</v>
      </c>
      <c r="F109" s="35">
        <f>-'Fiscal Forecasts'!F$97</f>
        <v>0.373</v>
      </c>
      <c r="G109" s="35">
        <f>-'Fiscal Forecasts'!G$97</f>
        <v>0.30399999999999999</v>
      </c>
      <c r="H109" s="35">
        <f>-'Fiscal Forecasts'!H$97</f>
        <v>0.372</v>
      </c>
      <c r="I109" s="35">
        <f>-'Fiscal Forecasts'!I$97</f>
        <v>0.505</v>
      </c>
      <c r="J109" s="17">
        <f>-'Fiscal Forecasts'!J$97</f>
        <v>0.438</v>
      </c>
      <c r="K109" s="17">
        <f>-'Fiscal Forecasts'!K$97</f>
        <v>0.46200000000000002</v>
      </c>
      <c r="L109" s="17">
        <f>-'Fiscal Forecasts'!L$97</f>
        <v>0.46300000000000002</v>
      </c>
      <c r="M109" s="17">
        <f>-'Fiscal Forecasts'!M$97</f>
        <v>0.504</v>
      </c>
      <c r="N109" s="17">
        <f>-'Fiscal Forecasts'!N$97</f>
        <v>0.52600000000000002</v>
      </c>
      <c r="O109" s="16">
        <f t="shared" ref="O109:X109" ca="1" si="79">O$38-O$40</f>
        <v>0.47501635990689384</v>
      </c>
      <c r="P109" s="16">
        <f t="shared" ca="1" si="79"/>
        <v>0.49512688763084811</v>
      </c>
      <c r="Q109" s="16">
        <f t="shared" ca="1" si="79"/>
        <v>0.51528108080491808</v>
      </c>
      <c r="R109" s="16">
        <f t="shared" ca="1" si="79"/>
        <v>0.5354334874007326</v>
      </c>
      <c r="S109" s="16">
        <f t="shared" ca="1" si="79"/>
        <v>0.55603024773069565</v>
      </c>
      <c r="T109" s="16">
        <f t="shared" ca="1" si="79"/>
        <v>0.57703992929699566</v>
      </c>
      <c r="U109" s="16">
        <f t="shared" ca="1" si="79"/>
        <v>0.5983297340422794</v>
      </c>
      <c r="V109" s="16">
        <f t="shared" ca="1" si="79"/>
        <v>0.61993962689374504</v>
      </c>
      <c r="W109" s="16">
        <f t="shared" ca="1" si="79"/>
        <v>0.64186880274271907</v>
      </c>
      <c r="X109" s="16">
        <f t="shared" ca="1" si="79"/>
        <v>0.66428250953843782</v>
      </c>
    </row>
    <row r="110" spans="1:24" x14ac:dyDescent="0.25">
      <c r="A110" s="9" t="s">
        <v>1160</v>
      </c>
      <c r="B110" s="9"/>
      <c r="C110" s="13"/>
      <c r="D110" s="65">
        <f>(D$107+D$108-D$109)</f>
        <v>-2.6459999999999999</v>
      </c>
      <c r="E110" s="65">
        <f t="shared" ref="E110:X110" si="80">(E$107+E$108-E$109)</f>
        <v>36.886000000000003</v>
      </c>
      <c r="F110" s="65">
        <f t="shared" si="80"/>
        <v>7.2139999999999995</v>
      </c>
      <c r="G110" s="65">
        <f t="shared" si="80"/>
        <v>33.910000000000004</v>
      </c>
      <c r="H110" s="65">
        <f t="shared" si="80"/>
        <v>24.498000000000001</v>
      </c>
      <c r="I110" s="65">
        <f t="shared" si="80"/>
        <v>28.059000000000001</v>
      </c>
      <c r="J110" s="66">
        <f t="shared" si="80"/>
        <v>24.843000000000004</v>
      </c>
      <c r="K110" s="66">
        <f t="shared" si="80"/>
        <v>26.269000000000005</v>
      </c>
      <c r="L110" s="66">
        <f t="shared" si="80"/>
        <v>19.702999999999996</v>
      </c>
      <c r="M110" s="66">
        <f t="shared" si="80"/>
        <v>15.538000000000002</v>
      </c>
      <c r="N110" s="66">
        <f t="shared" si="80"/>
        <v>10.951000000000001</v>
      </c>
      <c r="O110" s="92">
        <f t="shared" ca="1" si="80"/>
        <v>9.4106090300911855</v>
      </c>
      <c r="P110" s="92">
        <f t="shared" ca="1" si="80"/>
        <v>10.111068473665663</v>
      </c>
      <c r="Q110" s="92">
        <f t="shared" ca="1" si="80"/>
        <v>9.3018859540767949</v>
      </c>
      <c r="R110" s="92">
        <f t="shared" ca="1" si="80"/>
        <v>8.614403199570889</v>
      </c>
      <c r="S110" s="92">
        <f t="shared" ca="1" si="80"/>
        <v>7.9164481428897</v>
      </c>
      <c r="T110" s="92">
        <f t="shared" ca="1" si="80"/>
        <v>7.0735298626580434</v>
      </c>
      <c r="U110" s="92">
        <f t="shared" ca="1" si="80"/>
        <v>6.273986864674038</v>
      </c>
      <c r="V110" s="92">
        <f t="shared" ca="1" si="80"/>
        <v>5.7554398061843246</v>
      </c>
      <c r="W110" s="92">
        <f t="shared" ca="1" si="80"/>
        <v>5.5065935195703037</v>
      </c>
      <c r="X110" s="92">
        <f t="shared" ca="1" si="80"/>
        <v>5.3725754739212981</v>
      </c>
    </row>
    <row r="111" spans="1:24" x14ac:dyDescent="0.25">
      <c r="A111" s="9" t="s">
        <v>597</v>
      </c>
      <c r="B111" s="9"/>
      <c r="C111" s="13"/>
      <c r="D111" s="65">
        <f>SUM(D$99,D$106,D$110)</f>
        <v>1.1099999999999985</v>
      </c>
      <c r="E111" s="65">
        <f t="shared" ref="E111:X111" si="81">SUM(E$99,E$106,E$110)</f>
        <v>0.83900000000000574</v>
      </c>
      <c r="F111" s="65">
        <f t="shared" si="81"/>
        <v>-1.8389999999999871</v>
      </c>
      <c r="G111" s="65">
        <f t="shared" si="81"/>
        <v>-1.1410000000000053</v>
      </c>
      <c r="H111" s="65">
        <f t="shared" si="81"/>
        <v>0.56099999999997863</v>
      </c>
      <c r="I111" s="65">
        <f t="shared" si="81"/>
        <v>-2.5330000000000368</v>
      </c>
      <c r="J111" s="66">
        <f t="shared" ca="1" si="81"/>
        <v>5.7129999999999939</v>
      </c>
      <c r="K111" s="66">
        <f t="shared" ca="1" si="81"/>
        <v>0.14000000000002544</v>
      </c>
      <c r="L111" s="66">
        <f t="shared" ca="1" si="81"/>
        <v>0.76600000000004087</v>
      </c>
      <c r="M111" s="66">
        <f t="shared" ca="1" si="81"/>
        <v>-0.65900000000003267</v>
      </c>
      <c r="N111" s="66">
        <f t="shared" ca="1" si="81"/>
        <v>-0.13799999999999457</v>
      </c>
      <c r="O111" s="92">
        <f t="shared" ca="1" si="81"/>
        <v>-0.16155561066400459</v>
      </c>
      <c r="P111" s="92">
        <f t="shared" ca="1" si="81"/>
        <v>-5.6958576554849927E-2</v>
      </c>
      <c r="Q111" s="92">
        <f t="shared" ca="1" si="81"/>
        <v>-6.3841398732598975E-2</v>
      </c>
      <c r="R111" s="92">
        <f t="shared" ca="1" si="81"/>
        <v>-7.2811510903752819E-2</v>
      </c>
      <c r="S111" s="92">
        <f t="shared" ca="1" si="81"/>
        <v>-8.3219604688564708E-2</v>
      </c>
      <c r="T111" s="92">
        <f t="shared" ca="1" si="81"/>
        <v>-9.3169490432261526E-2</v>
      </c>
      <c r="U111" s="92">
        <f t="shared" ca="1" si="81"/>
        <v>-0.105231899645025</v>
      </c>
      <c r="V111" s="92">
        <f t="shared" ca="1" si="81"/>
        <v>-0.11618558567242854</v>
      </c>
      <c r="W111" s="92">
        <f t="shared" ca="1" si="81"/>
        <v>-0.12351769467856677</v>
      </c>
      <c r="X111" s="92">
        <f t="shared" ca="1" si="81"/>
        <v>-0.1268871583777198</v>
      </c>
    </row>
    <row r="112" spans="1:24" x14ac:dyDescent="0.25">
      <c r="A112" s="12" t="s">
        <v>1141</v>
      </c>
      <c r="B112" s="9"/>
      <c r="C112" s="13"/>
      <c r="D112" s="36"/>
      <c r="E112" s="36"/>
      <c r="F112" s="36"/>
      <c r="G112" s="36"/>
      <c r="H112" s="36"/>
      <c r="I112" s="36"/>
      <c r="J112" s="19"/>
      <c r="K112" s="19"/>
      <c r="L112" s="19"/>
      <c r="M112" s="19"/>
      <c r="N112" s="19"/>
      <c r="O112" s="18"/>
      <c r="P112" s="18"/>
      <c r="Q112" s="18"/>
      <c r="R112" s="18"/>
      <c r="S112" s="18"/>
      <c r="T112" s="18"/>
      <c r="U112" s="18"/>
      <c r="V112" s="18"/>
      <c r="W112" s="18"/>
      <c r="X112" s="18"/>
    </row>
    <row r="113" spans="1:24" x14ac:dyDescent="0.25">
      <c r="A113" s="9" t="s">
        <v>1161</v>
      </c>
      <c r="B113" s="9"/>
      <c r="C113" s="13"/>
      <c r="D113" s="42">
        <f t="shared" ref="D113:X113" si="82">SUM(D$346,D$350,-D$38)</f>
        <v>-7.3769999999999989</v>
      </c>
      <c r="E113" s="42">
        <f t="shared" si="82"/>
        <v>-7.1269999999999998</v>
      </c>
      <c r="F113" s="42">
        <f t="shared" si="82"/>
        <v>20.545999999999999</v>
      </c>
      <c r="G113" s="42">
        <f t="shared" si="82"/>
        <v>-7.6029999999999998</v>
      </c>
      <c r="H113" s="42">
        <f t="shared" si="82"/>
        <v>14.132000000000001</v>
      </c>
      <c r="I113" s="42">
        <f t="shared" si="82"/>
        <v>4.3490000000000002</v>
      </c>
      <c r="J113" s="43">
        <f t="shared" si="82"/>
        <v>8.9680000000000017</v>
      </c>
      <c r="K113" s="43">
        <f t="shared" si="82"/>
        <v>5.41</v>
      </c>
      <c r="L113" s="43">
        <f t="shared" si="82"/>
        <v>5.6450000000000005</v>
      </c>
      <c r="M113" s="43">
        <f t="shared" si="82"/>
        <v>6.0649999999999995</v>
      </c>
      <c r="N113" s="43">
        <f t="shared" si="82"/>
        <v>6.6349999999999998</v>
      </c>
      <c r="O113" s="47">
        <f t="shared" ca="1" si="82"/>
        <v>6.9867364514005148</v>
      </c>
      <c r="P113" s="47">
        <f t="shared" ca="1" si="82"/>
        <v>7.383365985753354</v>
      </c>
      <c r="Q113" s="47">
        <f t="shared" ca="1" si="82"/>
        <v>7.8010630154507101</v>
      </c>
      <c r="R113" s="47">
        <f t="shared" ca="1" si="82"/>
        <v>8.2386236557164452</v>
      </c>
      <c r="S113" s="47">
        <f t="shared" ca="1" si="82"/>
        <v>8.694942810242793</v>
      </c>
      <c r="T113" s="47">
        <f t="shared" ca="1" si="82"/>
        <v>9.1712841317286049</v>
      </c>
      <c r="U113" s="47">
        <f t="shared" ca="1" si="82"/>
        <v>9.6686540346067691</v>
      </c>
      <c r="V113" s="47">
        <f t="shared" ca="1" si="82"/>
        <v>10.182613191857303</v>
      </c>
      <c r="W113" s="47">
        <f t="shared" ca="1" si="82"/>
        <v>10.711883349592151</v>
      </c>
      <c r="X113" s="47">
        <f t="shared" ca="1" si="82"/>
        <v>11.260510673872137</v>
      </c>
    </row>
    <row r="114" spans="1:24" x14ac:dyDescent="0.25">
      <c r="A114" s="11" t="s">
        <v>536</v>
      </c>
      <c r="B114" s="10"/>
      <c r="C114" s="13"/>
      <c r="D114" s="35">
        <f t="shared" ref="D114:X114" si="83">D$218</f>
        <v>4.5540000000000003</v>
      </c>
      <c r="E114" s="35">
        <f t="shared" si="83"/>
        <v>5.2940000000000005</v>
      </c>
      <c r="F114" s="35">
        <f t="shared" si="83"/>
        <v>5.5660000000000007</v>
      </c>
      <c r="G114" s="35">
        <f t="shared" si="83"/>
        <v>6.1520000000000001</v>
      </c>
      <c r="H114" s="35">
        <f t="shared" si="83"/>
        <v>6.6009999999999991</v>
      </c>
      <c r="I114" s="35">
        <f t="shared" si="83"/>
        <v>7.6210000000000004</v>
      </c>
      <c r="J114" s="17">
        <f t="shared" si="83"/>
        <v>8.06</v>
      </c>
      <c r="K114" s="17">
        <f t="shared" si="83"/>
        <v>8.4239999999999995</v>
      </c>
      <c r="L114" s="17">
        <f t="shared" si="83"/>
        <v>8.7170000000000005</v>
      </c>
      <c r="M114" s="17">
        <f t="shared" si="83"/>
        <v>9.0640000000000001</v>
      </c>
      <c r="N114" s="17">
        <f t="shared" si="83"/>
        <v>9.2050000000000001</v>
      </c>
      <c r="O114" s="16">
        <f t="shared" ca="1" si="83"/>
        <v>9.2337767255345771</v>
      </c>
      <c r="P114" s="16">
        <f t="shared" ca="1" si="83"/>
        <v>9.2625053385363252</v>
      </c>
      <c r="Q114" s="16">
        <f t="shared" ca="1" si="83"/>
        <v>9.291610423013152</v>
      </c>
      <c r="R114" s="16">
        <f t="shared" ca="1" si="83"/>
        <v>9.3211784522143883</v>
      </c>
      <c r="S114" s="16">
        <f t="shared" ca="1" si="83"/>
        <v>9.3512196339142797</v>
      </c>
      <c r="T114" s="16">
        <f t="shared" ca="1" si="83"/>
        <v>9.3817434538140496</v>
      </c>
      <c r="U114" s="16">
        <f t="shared" ca="1" si="83"/>
        <v>9.4127563469539659</v>
      </c>
      <c r="V114" s="16">
        <f t="shared" ca="1" si="83"/>
        <v>9.4442656664558218</v>
      </c>
      <c r="W114" s="16">
        <f t="shared" ca="1" si="83"/>
        <v>9.4762787469463063</v>
      </c>
      <c r="X114" s="16">
        <f t="shared" ca="1" si="83"/>
        <v>9.508806719157846</v>
      </c>
    </row>
    <row r="115" spans="1:24" x14ac:dyDescent="0.25">
      <c r="A115" s="11" t="s">
        <v>1228</v>
      </c>
      <c r="B115" s="10" t="str">
        <f>$B$38</f>
        <v>From Fiscal Forecasts</v>
      </c>
      <c r="C115" s="13"/>
      <c r="D115" s="35">
        <f>-'Fiscal Forecasts'!D$104</f>
        <v>-1.5799999999999996</v>
      </c>
      <c r="E115" s="35">
        <f>-'Fiscal Forecasts'!E$104</f>
        <v>2.726</v>
      </c>
      <c r="F115" s="35">
        <f>-'Fiscal Forecasts'!F$104</f>
        <v>1.0489999999999999</v>
      </c>
      <c r="G115" s="35">
        <f>-'Fiscal Forecasts'!G$104</f>
        <v>-0.26900000000000002</v>
      </c>
      <c r="H115" s="35">
        <f>-'Fiscal Forecasts'!H$104</f>
        <v>0.73399999999999999</v>
      </c>
      <c r="I115" s="35">
        <f>-'Fiscal Forecasts'!I$104</f>
        <v>1.1950000000000001</v>
      </c>
      <c r="J115" s="17">
        <f>-'Fiscal Forecasts'!J$104</f>
        <v>0.84399999999999997</v>
      </c>
      <c r="K115" s="17">
        <f>-'Fiscal Forecasts'!K$104</f>
        <v>1.556</v>
      </c>
      <c r="L115" s="17">
        <f>-'Fiscal Forecasts'!L$104</f>
        <v>0.83</v>
      </c>
      <c r="M115" s="17">
        <f>-'Fiscal Forecasts'!M$104</f>
        <v>0.81299999999999994</v>
      </c>
      <c r="N115" s="17">
        <f>-'Fiscal Forecasts'!N$104</f>
        <v>0.81</v>
      </c>
      <c r="O115" s="16">
        <f ca="1">IF(O$6=OFFSET(Assumptions!$B$8,0,$C$1),AVERAGE(L$115/L$444,M$115/M$444,N$115/N$444),N$115/N$444)*O$444</f>
        <v>0.81740356501818023</v>
      </c>
      <c r="P115" s="16">
        <f ca="1">IF(P$6=OFFSET(Assumptions!$B$8,0,$C$1),AVERAGE(M$115/M$444,N$115/N$444,O$115/O$444),O$115/O$444)*P$444</f>
        <v>0.82727288155166734</v>
      </c>
      <c r="Q115" s="16">
        <f ca="1">IF(Q$6=OFFSET(Assumptions!$B$8,0,$C$1),AVERAGE(N$115/N$444,O$115/O$444,P$115/P$444),P$115/P$444)*Q$444</f>
        <v>0.83733958441582412</v>
      </c>
      <c r="R115" s="16">
        <f ca="1">IF(R$6=OFFSET(Assumptions!$B$8,0,$C$1),AVERAGE(O$115/O$444,P$115/P$444,Q$115/Q$444),Q$115/Q$444)*R$444</f>
        <v>0.84760762133726408</v>
      </c>
      <c r="S115" s="16">
        <f ca="1">IF(S$6=OFFSET(Assumptions!$B$8,0,$C$1),AVERAGE(P$115/P$444,Q$115/Q$444,R$115/R$444),R$115/R$444)*S$444</f>
        <v>0.85808101899713307</v>
      </c>
      <c r="T115" s="16">
        <f ca="1">IF(T$6=OFFSET(Assumptions!$B$8,0,$C$1),AVERAGE(Q$115/Q$444,R$115/R$444,S$115/S$444),S$115/S$444)*T$444</f>
        <v>0.86876388461019916</v>
      </c>
      <c r="U115" s="16">
        <f ca="1">IF(U$6=OFFSET(Assumptions!$B$8,0,$C$1),AVERAGE(R$115/R$444,S$115/S$444,T$115/T$444),T$115/T$444)*U$444</f>
        <v>0.87966040753552655</v>
      </c>
      <c r="V115" s="16">
        <f ca="1">IF(V$6=OFFSET(Assumptions!$B$8,0,$C$1),AVERAGE(S$115/S$444,T$115/T$444,U$115/U$444),U$115/U$444)*V$444</f>
        <v>0.89077486091936064</v>
      </c>
      <c r="W115" s="16">
        <f ca="1">IF(W$6=OFFSET(Assumptions!$B$8,0,$C$1),AVERAGE(T$115/T$444,U$115/U$444,V$115/V$444),V$115/V$444)*W$444</f>
        <v>0.90211160337087126</v>
      </c>
      <c r="X115" s="16">
        <f ca="1">IF(X$6=OFFSET(Assumptions!$B$8,0,$C$1),AVERAGE(U$115/U$444,V$115/V$444,W$115/W$444),W$115/W$444)*X$444</f>
        <v>0.91367508067141212</v>
      </c>
    </row>
    <row r="116" spans="1:24" x14ac:dyDescent="0.25">
      <c r="A116" s="11" t="s">
        <v>603</v>
      </c>
      <c r="B116" s="10" t="str">
        <f>$B$38</f>
        <v>From Fiscal Forecasts</v>
      </c>
      <c r="C116" s="13"/>
      <c r="D116" s="35">
        <f>-'Fiscal Forecasts'!D$105</f>
        <v>0.76300000000000001</v>
      </c>
      <c r="E116" s="35">
        <f>-'Fiscal Forecasts'!E$105</f>
        <v>1.2789999999999999</v>
      </c>
      <c r="F116" s="35">
        <f>-'Fiscal Forecasts'!F$105</f>
        <v>1.0389999999999999</v>
      </c>
      <c r="G116" s="35">
        <f>-'Fiscal Forecasts'!G$105</f>
        <v>0.85799999999999998</v>
      </c>
      <c r="H116" s="35">
        <f>-'Fiscal Forecasts'!H$105</f>
        <v>0.73799999999999999</v>
      </c>
      <c r="I116" s="35">
        <f>-'Fiscal Forecasts'!I$105</f>
        <v>0.71899999999999997</v>
      </c>
      <c r="J116" s="17">
        <f>-'Fiscal Forecasts'!J$105</f>
        <v>0.61199999999999999</v>
      </c>
      <c r="K116" s="17">
        <f>-'Fiscal Forecasts'!K$105</f>
        <v>0.68100000000000005</v>
      </c>
      <c r="L116" s="17">
        <f>-'Fiscal Forecasts'!L$105</f>
        <v>0.67400000000000004</v>
      </c>
      <c r="M116" s="17">
        <f>-'Fiscal Forecasts'!M$105</f>
        <v>0.65</v>
      </c>
      <c r="N116" s="17">
        <f>-'Fiscal Forecasts'!N$105</f>
        <v>0.66300000000000003</v>
      </c>
      <c r="O116" s="16">
        <f t="shared" ref="O116:X116" si="84">O$411</f>
        <v>0.65600000000000003</v>
      </c>
      <c r="P116" s="16">
        <f t="shared" si="84"/>
        <v>0.67400000000000004</v>
      </c>
      <c r="Q116" s="16">
        <f t="shared" si="84"/>
        <v>0.69299999999999995</v>
      </c>
      <c r="R116" s="16">
        <f t="shared" si="84"/>
        <v>0.71099999999999997</v>
      </c>
      <c r="S116" s="16">
        <f t="shared" si="84"/>
        <v>0.72699999999999998</v>
      </c>
      <c r="T116" s="16">
        <f t="shared" si="84"/>
        <v>0.74199999999999999</v>
      </c>
      <c r="U116" s="16">
        <f t="shared" si="84"/>
        <v>0.75600000000000001</v>
      </c>
      <c r="V116" s="16">
        <f t="shared" si="84"/>
        <v>0.76900000000000002</v>
      </c>
      <c r="W116" s="16">
        <f t="shared" si="84"/>
        <v>0.78300000000000003</v>
      </c>
      <c r="X116" s="16">
        <f t="shared" si="84"/>
        <v>0.79700000000000004</v>
      </c>
    </row>
    <row r="117" spans="1:24" x14ac:dyDescent="0.25">
      <c r="A117" s="11" t="s">
        <v>1171</v>
      </c>
      <c r="B117" s="10" t="str">
        <f>$B$38</f>
        <v>From Fiscal Forecasts</v>
      </c>
      <c r="C117" s="13"/>
      <c r="D117" s="35">
        <f>-'Fiscal Forecasts'!D$106</f>
        <v>4.1000000000000002E-2</v>
      </c>
      <c r="E117" s="35">
        <f>-'Fiscal Forecasts'!E$106</f>
        <v>5.2999999999999999E-2</v>
      </c>
      <c r="F117" s="35">
        <f>-'Fiscal Forecasts'!F$106</f>
        <v>1E-3</v>
      </c>
      <c r="G117" s="35">
        <f>-'Fiscal Forecasts'!G$106</f>
        <v>3.7999999999999999E-2</v>
      </c>
      <c r="H117" s="35">
        <f>-'Fiscal Forecasts'!H$106</f>
        <v>9.7000000000000003E-2</v>
      </c>
      <c r="I117" s="35">
        <f>-'Fiscal Forecasts'!I$106</f>
        <v>0.123</v>
      </c>
      <c r="J117" s="17">
        <f>-'Fiscal Forecasts'!J$106</f>
        <v>-3.1E-2</v>
      </c>
      <c r="K117" s="17">
        <f>-'Fiscal Forecasts'!K$106</f>
        <v>-4.7E-2</v>
      </c>
      <c r="L117" s="17">
        <f>-'Fiscal Forecasts'!L$106</f>
        <v>-3.1E-2</v>
      </c>
      <c r="M117" s="17">
        <f>-'Fiscal Forecasts'!M$106</f>
        <v>1.0999999999999999E-2</v>
      </c>
      <c r="N117" s="17">
        <f>-'Fiscal Forecasts'!N$106</f>
        <v>0.01</v>
      </c>
      <c r="O117" s="16">
        <f ca="1">IF(O$6=OFFSET(Assumptions!$B$8,0,$C$1),OFFSET(Assumptions!$B$9,0,$C$1),N$117)</f>
        <v>0</v>
      </c>
      <c r="P117" s="16">
        <f ca="1">IF(P$6=OFFSET(Assumptions!$B$8,0,$C$1),OFFSET(Assumptions!$B$9,0,$C$1),O$117)</f>
        <v>0</v>
      </c>
      <c r="Q117" s="16">
        <f ca="1">IF(Q$6=OFFSET(Assumptions!$B$8,0,$C$1),OFFSET(Assumptions!$B$9,0,$C$1),P$117)</f>
        <v>0</v>
      </c>
      <c r="R117" s="16">
        <f ca="1">IF(R$6=OFFSET(Assumptions!$B$8,0,$C$1),OFFSET(Assumptions!$B$9,0,$C$1),Q$117)</f>
        <v>0</v>
      </c>
      <c r="S117" s="16">
        <f ca="1">IF(S$6=OFFSET(Assumptions!$B$8,0,$C$1),OFFSET(Assumptions!$B$9,0,$C$1),R$117)</f>
        <v>0</v>
      </c>
      <c r="T117" s="16">
        <f ca="1">IF(T$6=OFFSET(Assumptions!$B$8,0,$C$1),OFFSET(Assumptions!$B$9,0,$C$1),S$117)</f>
        <v>0</v>
      </c>
      <c r="U117" s="16">
        <f ca="1">IF(U$6=OFFSET(Assumptions!$B$8,0,$C$1),OFFSET(Assumptions!$B$9,0,$C$1),T$117)</f>
        <v>0</v>
      </c>
      <c r="V117" s="16">
        <f ca="1">IF(V$6=OFFSET(Assumptions!$B$8,0,$C$1),OFFSET(Assumptions!$B$9,0,$C$1),U$117)</f>
        <v>0</v>
      </c>
      <c r="W117" s="16">
        <f ca="1">IF(W$6=OFFSET(Assumptions!$B$8,0,$C$1),OFFSET(Assumptions!$B$9,0,$C$1),V$117)</f>
        <v>0</v>
      </c>
      <c r="X117" s="16">
        <f ca="1">IF(X$6=OFFSET(Assumptions!$B$8,0,$C$1),OFFSET(Assumptions!$B$9,0,$C$1),W$117)</f>
        <v>0</v>
      </c>
    </row>
    <row r="118" spans="1:24" x14ac:dyDescent="0.25">
      <c r="A118" s="11" t="s">
        <v>605</v>
      </c>
      <c r="B118" s="10" t="str">
        <f>$B$38</f>
        <v>From Fiscal Forecasts</v>
      </c>
      <c r="C118" s="13"/>
      <c r="D118" s="35">
        <f>-'Fiscal Forecasts'!D$107</f>
        <v>1.768</v>
      </c>
      <c r="E118" s="35">
        <f>-'Fiscal Forecasts'!E$107</f>
        <v>2.351</v>
      </c>
      <c r="F118" s="35">
        <f>-'Fiscal Forecasts'!F$107</f>
        <v>1.8680000000000001</v>
      </c>
      <c r="G118" s="35">
        <f>-'Fiscal Forecasts'!G$107</f>
        <v>1.696</v>
      </c>
      <c r="H118" s="35">
        <f>-'Fiscal Forecasts'!H$107</f>
        <v>3.5249999999999999</v>
      </c>
      <c r="I118" s="35">
        <f>-'Fiscal Forecasts'!I$107</f>
        <v>3.8380000000000001</v>
      </c>
      <c r="J118" s="17">
        <f>-'Fiscal Forecasts'!J$107</f>
        <v>4.0350000000000001</v>
      </c>
      <c r="K118" s="17">
        <f>-'Fiscal Forecasts'!K$107</f>
        <v>3.0369999999999999</v>
      </c>
      <c r="L118" s="17">
        <f>-'Fiscal Forecasts'!L$107</f>
        <v>3.3239999999999998</v>
      </c>
      <c r="M118" s="17">
        <f>-'Fiscal Forecasts'!M$107</f>
        <v>3.6920000000000002</v>
      </c>
      <c r="N118" s="17">
        <f>-'Fiscal Forecasts'!N$107</f>
        <v>3.85</v>
      </c>
      <c r="O118" s="16">
        <f t="shared" ref="O118:X118" ca="1" si="85">O$475-N$475</f>
        <v>4.2940415667566612</v>
      </c>
      <c r="P118" s="16">
        <f t="shared" ca="1" si="85"/>
        <v>4.6745198695422658</v>
      </c>
      <c r="Q118" s="16">
        <f t="shared" ca="1" si="85"/>
        <v>4.9931983149520676</v>
      </c>
      <c r="R118" s="16">
        <f t="shared" ca="1" si="85"/>
        <v>5.2719906953987135</v>
      </c>
      <c r="S118" s="16">
        <f t="shared" ca="1" si="85"/>
        <v>5.5463118745630595</v>
      </c>
      <c r="T118" s="16">
        <f t="shared" ca="1" si="85"/>
        <v>5.8402675851831418</v>
      </c>
      <c r="U118" s="16">
        <f t="shared" ca="1" si="85"/>
        <v>6.0898671107307507</v>
      </c>
      <c r="V118" s="16">
        <f t="shared" ca="1" si="85"/>
        <v>6.3129879384634364</v>
      </c>
      <c r="W118" s="16">
        <f t="shared" ca="1" si="85"/>
        <v>6.5465401488230697</v>
      </c>
      <c r="X118" s="16">
        <f t="shared" ca="1" si="85"/>
        <v>6.7831238224722483</v>
      </c>
    </row>
    <row r="119" spans="1:24" x14ac:dyDescent="0.25">
      <c r="A119" s="11" t="s">
        <v>606</v>
      </c>
      <c r="B119" s="10" t="str">
        <f>$B$38</f>
        <v>From Fiscal Forecasts</v>
      </c>
      <c r="C119" s="13"/>
      <c r="D119" s="35">
        <f>-'Fiscal Forecasts'!D$108</f>
        <v>0</v>
      </c>
      <c r="E119" s="35">
        <f>-'Fiscal Forecasts'!E$108</f>
        <v>0</v>
      </c>
      <c r="F119" s="35">
        <f>-'Fiscal Forecasts'!F$108</f>
        <v>0</v>
      </c>
      <c r="G119" s="35">
        <f>-'Fiscal Forecasts'!G$108</f>
        <v>0</v>
      </c>
      <c r="H119" s="35">
        <f>-'Fiscal Forecasts'!H$108</f>
        <v>-0.39500000000000002</v>
      </c>
      <c r="I119" s="35">
        <f>-'Fiscal Forecasts'!I$108</f>
        <v>-0.61399999999999999</v>
      </c>
      <c r="J119" s="17">
        <f>-'Fiscal Forecasts'!J$108</f>
        <v>-1.2769999999999999</v>
      </c>
      <c r="K119" s="17">
        <f>-'Fiscal Forecasts'!K$108</f>
        <v>-1.145</v>
      </c>
      <c r="L119" s="17">
        <f>-'Fiscal Forecasts'!L$108</f>
        <v>-0.88600000000000001</v>
      </c>
      <c r="M119" s="17">
        <f>-'Fiscal Forecasts'!M$108</f>
        <v>-0.64300000000000002</v>
      </c>
      <c r="N119" s="17">
        <f>-'Fiscal Forecasts'!N$108</f>
        <v>-0.64900000000000002</v>
      </c>
      <c r="O119" s="16">
        <f t="shared" ref="O119:X119" ca="1" si="86">O$469-N$469</f>
        <v>-0.40904000000000007</v>
      </c>
      <c r="P119" s="16">
        <f t="shared" ca="1" si="86"/>
        <v>-0.37950079999999975</v>
      </c>
      <c r="Q119" s="16">
        <f t="shared" ca="1" si="86"/>
        <v>-0.34937081599999997</v>
      </c>
      <c r="R119" s="16">
        <f t="shared" ca="1" si="86"/>
        <v>-0.3186382323200001</v>
      </c>
      <c r="S119" s="16">
        <f t="shared" ca="1" si="86"/>
        <v>-0.2872909969663997</v>
      </c>
      <c r="T119" s="16">
        <f t="shared" ca="1" si="86"/>
        <v>-0.25531681690572761</v>
      </c>
      <c r="U119" s="16">
        <f t="shared" ca="1" si="86"/>
        <v>-0.2227031532438426</v>
      </c>
      <c r="V119" s="16">
        <f t="shared" ca="1" si="86"/>
        <v>-0.18943721630871924</v>
      </c>
      <c r="W119" s="16">
        <f t="shared" ca="1" si="86"/>
        <v>-0.15550596063489364</v>
      </c>
      <c r="X119" s="16">
        <f t="shared" ca="1" si="86"/>
        <v>-0.12089607984759154</v>
      </c>
    </row>
    <row r="120" spans="1:24" x14ac:dyDescent="0.25">
      <c r="A120" s="11" t="s">
        <v>607</v>
      </c>
      <c r="B120" s="10" t="str">
        <f t="shared" ref="B120" si="87">$B$38</f>
        <v>From Fiscal Forecasts</v>
      </c>
      <c r="C120" s="13"/>
      <c r="D120" s="35">
        <f>-'Fiscal Forecasts'!D$109</f>
        <v>-0.57099999999999995</v>
      </c>
      <c r="E120" s="35">
        <f>-'Fiscal Forecasts'!E$109</f>
        <v>0.80400000000000005</v>
      </c>
      <c r="F120" s="35">
        <f>-'Fiscal Forecasts'!F$109</f>
        <v>-0.73299999999999998</v>
      </c>
      <c r="G120" s="35">
        <f>-'Fiscal Forecasts'!G$109</f>
        <v>-0.79</v>
      </c>
      <c r="H120" s="35">
        <f>-'Fiscal Forecasts'!H$109</f>
        <v>-6.0999999999999999E-2</v>
      </c>
      <c r="I120" s="35">
        <f>-'Fiscal Forecasts'!I$109</f>
        <v>-6.0999999999999999E-2</v>
      </c>
      <c r="J120" s="17">
        <f>-'Fiscal Forecasts'!J$109</f>
        <v>0.05</v>
      </c>
      <c r="K120" s="17">
        <f>-'Fiscal Forecasts'!K$109</f>
        <v>4.9000000000000002E-2</v>
      </c>
      <c r="L120" s="17">
        <f>-'Fiscal Forecasts'!L$109</f>
        <v>4.8000000000000001E-2</v>
      </c>
      <c r="M120" s="17">
        <f>-'Fiscal Forecasts'!M$109</f>
        <v>4.5999999999999999E-2</v>
      </c>
      <c r="N120" s="17">
        <f>-'Fiscal Forecasts'!N$109</f>
        <v>4.4999999999999998E-2</v>
      </c>
      <c r="O120" s="16">
        <f t="shared" ref="O120:X120" ca="1" si="88">O$480-N$480</f>
        <v>-0.19022764830508443</v>
      </c>
      <c r="P120" s="16">
        <f t="shared" ca="1" si="88"/>
        <v>-0.19206557203389885</v>
      </c>
      <c r="Q120" s="16">
        <f t="shared" ca="1" si="88"/>
        <v>-0.19448453389830522</v>
      </c>
      <c r="R120" s="16">
        <f t="shared" ca="1" si="88"/>
        <v>-0.19883866525423732</v>
      </c>
      <c r="S120" s="16">
        <f t="shared" ca="1" si="88"/>
        <v>-0.20029004237288106</v>
      </c>
      <c r="T120" s="16">
        <f t="shared" ca="1" si="88"/>
        <v>-0.2007738347457626</v>
      </c>
      <c r="U120" s="16">
        <f t="shared" ca="1" si="88"/>
        <v>-0.19400074152542324</v>
      </c>
      <c r="V120" s="16">
        <f t="shared" ca="1" si="88"/>
        <v>-0.1915817796610173</v>
      </c>
      <c r="W120" s="16">
        <f t="shared" ca="1" si="88"/>
        <v>-0.18867902542372894</v>
      </c>
      <c r="X120" s="16">
        <f t="shared" ca="1" si="88"/>
        <v>-0.18529247881355948</v>
      </c>
    </row>
    <row r="121" spans="1:24" x14ac:dyDescent="0.25">
      <c r="A121" s="9" t="s">
        <v>1143</v>
      </c>
      <c r="B121" s="9"/>
      <c r="C121" s="13"/>
      <c r="D121" s="65">
        <f t="shared" ref="D121:X121" si="89">-SUM(D$114:D$120)</f>
        <v>-4.9750000000000005</v>
      </c>
      <c r="E121" s="65">
        <f t="shared" si="89"/>
        <v>-12.507</v>
      </c>
      <c r="F121" s="65">
        <f t="shared" si="89"/>
        <v>-8.7899999999999991</v>
      </c>
      <c r="G121" s="65">
        <f t="shared" si="89"/>
        <v>-7.6849999999999996</v>
      </c>
      <c r="H121" s="65">
        <f t="shared" si="89"/>
        <v>-11.238999999999999</v>
      </c>
      <c r="I121" s="65">
        <f t="shared" si="89"/>
        <v>-12.820999999999998</v>
      </c>
      <c r="J121" s="66">
        <f t="shared" si="89"/>
        <v>-12.293000000000001</v>
      </c>
      <c r="K121" s="66">
        <f t="shared" si="89"/>
        <v>-12.555</v>
      </c>
      <c r="L121" s="66">
        <f t="shared" si="89"/>
        <v>-12.676</v>
      </c>
      <c r="M121" s="66">
        <f t="shared" si="89"/>
        <v>-13.632999999999999</v>
      </c>
      <c r="N121" s="66">
        <f t="shared" si="89"/>
        <v>-13.933999999999999</v>
      </c>
      <c r="O121" s="92">
        <f t="shared" ca="1" si="89"/>
        <v>-14.401954209004336</v>
      </c>
      <c r="P121" s="92">
        <f t="shared" ca="1" si="89"/>
        <v>-14.866731717596361</v>
      </c>
      <c r="Q121" s="92">
        <f t="shared" ca="1" si="89"/>
        <v>-15.271292972482737</v>
      </c>
      <c r="R121" s="92">
        <f t="shared" ca="1" si="89"/>
        <v>-15.634299871376129</v>
      </c>
      <c r="S121" s="92">
        <f t="shared" ca="1" si="89"/>
        <v>-15.995031488135194</v>
      </c>
      <c r="T121" s="92">
        <f t="shared" ca="1" si="89"/>
        <v>-16.376684271955899</v>
      </c>
      <c r="U121" s="92">
        <f t="shared" ca="1" si="89"/>
        <v>-16.721579970450982</v>
      </c>
      <c r="V121" s="92">
        <f t="shared" ca="1" si="89"/>
        <v>-17.036009469868883</v>
      </c>
      <c r="W121" s="92">
        <f t="shared" ca="1" si="89"/>
        <v>-17.363745513081625</v>
      </c>
      <c r="X121" s="92">
        <f t="shared" ca="1" si="89"/>
        <v>-17.696417063640361</v>
      </c>
    </row>
    <row r="122" spans="1:24" x14ac:dyDescent="0.25">
      <c r="A122" s="11" t="s">
        <v>609</v>
      </c>
      <c r="B122" s="10" t="str">
        <f t="shared" ref="B122:B127" si="90">$B$38</f>
        <v>From Fiscal Forecasts</v>
      </c>
      <c r="C122" s="13"/>
      <c r="D122" s="35">
        <f>'Fiscal Forecasts'!D$111</f>
        <v>4.1879999999999997</v>
      </c>
      <c r="E122" s="35">
        <f>'Fiscal Forecasts'!E$111</f>
        <v>0.63100000000000001</v>
      </c>
      <c r="F122" s="35">
        <f>'Fiscal Forecasts'!F$111</f>
        <v>1.4810000000000001</v>
      </c>
      <c r="G122" s="35">
        <f>'Fiscal Forecasts'!G$111</f>
        <v>5.0270000000000001</v>
      </c>
      <c r="H122" s="35">
        <f>'Fiscal Forecasts'!H$111</f>
        <v>1.155</v>
      </c>
      <c r="I122" s="35">
        <f>'Fiscal Forecasts'!I$111</f>
        <v>3.3050000000000002</v>
      </c>
      <c r="J122" s="17">
        <f>'Fiscal Forecasts'!J$111</f>
        <v>-2.56</v>
      </c>
      <c r="K122" s="17">
        <f>'Fiscal Forecasts'!K$111</f>
        <v>1.3380000000000001</v>
      </c>
      <c r="L122" s="17">
        <f>'Fiscal Forecasts'!L$111</f>
        <v>-0.01</v>
      </c>
      <c r="M122" s="17">
        <f>'Fiscal Forecasts'!M$111</f>
        <v>1.1919999999999999</v>
      </c>
      <c r="N122" s="17">
        <f>'Fiscal Forecasts'!N$111</f>
        <v>1.5449999999999999</v>
      </c>
      <c r="O122" s="16">
        <f t="shared" ref="O122:X122" ca="1" si="91">O$363-N$363</f>
        <v>4.2002421011101845</v>
      </c>
      <c r="P122" s="16">
        <f t="shared" ca="1" si="91"/>
        <v>1.8150547992839776</v>
      </c>
      <c r="Q122" s="16">
        <f t="shared" ca="1" si="91"/>
        <v>1.8637758813322876</v>
      </c>
      <c r="R122" s="16">
        <f t="shared" ca="1" si="91"/>
        <v>1.8869478208642079</v>
      </c>
      <c r="S122" s="16">
        <f t="shared" ca="1" si="91"/>
        <v>1.9269300777456166</v>
      </c>
      <c r="T122" s="16">
        <f t="shared" ca="1" si="91"/>
        <v>1.9663144849072296</v>
      </c>
      <c r="U122" s="16">
        <f t="shared" ca="1" si="91"/>
        <v>1.9991291365301436</v>
      </c>
      <c r="V122" s="16">
        <f t="shared" ca="1" si="91"/>
        <v>2.0348328280565013</v>
      </c>
      <c r="W122" s="16">
        <f t="shared" ca="1" si="91"/>
        <v>2.0730834485657184</v>
      </c>
      <c r="X122" s="16">
        <f t="shared" ca="1" si="91"/>
        <v>2.1219787327612138</v>
      </c>
    </row>
    <row r="123" spans="1:24" x14ac:dyDescent="0.25">
      <c r="A123" s="11" t="s">
        <v>610</v>
      </c>
      <c r="B123" s="10" t="str">
        <f t="shared" si="90"/>
        <v>From Fiscal Forecasts</v>
      </c>
      <c r="C123" s="13"/>
      <c r="D123" s="35">
        <f>'Fiscal Forecasts'!D$112</f>
        <v>3.6999999999999998E-2</v>
      </c>
      <c r="E123" s="35">
        <f>'Fiscal Forecasts'!E$112</f>
        <v>2.1000000000000001E-2</v>
      </c>
      <c r="F123" s="35">
        <f>'Fiscal Forecasts'!F$112</f>
        <v>1.1259999999999999</v>
      </c>
      <c r="G123" s="35">
        <f>'Fiscal Forecasts'!G$112</f>
        <v>0.19700000000000001</v>
      </c>
      <c r="H123" s="35">
        <f>'Fiscal Forecasts'!H$112</f>
        <v>0.183</v>
      </c>
      <c r="I123" s="35">
        <f>'Fiscal Forecasts'!I$112</f>
        <v>0.21099999999999999</v>
      </c>
      <c r="J123" s="17">
        <f>'Fiscal Forecasts'!J$112</f>
        <v>-1.05</v>
      </c>
      <c r="K123" s="17">
        <f>'Fiscal Forecasts'!K$112</f>
        <v>-1.0189999999999999</v>
      </c>
      <c r="L123" s="17">
        <f>'Fiscal Forecasts'!L$112</f>
        <v>-6.7000000000000004E-2</v>
      </c>
      <c r="M123" s="17">
        <f>'Fiscal Forecasts'!M$112</f>
        <v>-0.34699999999999998</v>
      </c>
      <c r="N123" s="17">
        <f>'Fiscal Forecasts'!N$112</f>
        <v>-3.6999999999999998E-2</v>
      </c>
      <c r="O123" s="16">
        <f t="shared" ref="O123:X123" ca="1" si="92">O$413-O$341</f>
        <v>0.33801009791106412</v>
      </c>
      <c r="P123" s="16">
        <f t="shared" ca="1" si="92"/>
        <v>0.35180265179958148</v>
      </c>
      <c r="Q123" s="16">
        <f t="shared" ca="1" si="92"/>
        <v>0.35957955635343375</v>
      </c>
      <c r="R123" s="16">
        <f t="shared" ca="1" si="92"/>
        <v>0.36235710120209463</v>
      </c>
      <c r="S123" s="16">
        <f t="shared" ca="1" si="92"/>
        <v>0.35997539336294582</v>
      </c>
      <c r="T123" s="16">
        <f t="shared" ca="1" si="92"/>
        <v>0.35144569798214537</v>
      </c>
      <c r="U123" s="16">
        <f t="shared" ca="1" si="92"/>
        <v>0.33481560878051553</v>
      </c>
      <c r="V123" s="16">
        <f t="shared" ca="1" si="92"/>
        <v>0.31307080266007081</v>
      </c>
      <c r="W123" s="16">
        <f t="shared" ca="1" si="92"/>
        <v>0.28921156816507315</v>
      </c>
      <c r="X123" s="16">
        <f t="shared" ca="1" si="92"/>
        <v>0.26117868180295678</v>
      </c>
    </row>
    <row r="124" spans="1:24" x14ac:dyDescent="0.25">
      <c r="A124" s="11" t="s">
        <v>611</v>
      </c>
      <c r="B124" s="10" t="str">
        <f t="shared" si="90"/>
        <v>From Fiscal Forecasts</v>
      </c>
      <c r="C124" s="13"/>
      <c r="D124" s="35">
        <f>'Fiscal Forecasts'!D$113</f>
        <v>0.17499999999999999</v>
      </c>
      <c r="E124" s="35">
        <f>'Fiscal Forecasts'!E$113</f>
        <v>0.254</v>
      </c>
      <c r="F124" s="35">
        <f>'Fiscal Forecasts'!F$113</f>
        <v>0.42099999999999999</v>
      </c>
      <c r="G124" s="35">
        <f>'Fiscal Forecasts'!G$113</f>
        <v>0.874</v>
      </c>
      <c r="H124" s="35">
        <f>'Fiscal Forecasts'!H$113</f>
        <v>-2.7E-2</v>
      </c>
      <c r="I124" s="35">
        <f>'Fiscal Forecasts'!I$113</f>
        <v>-0.18</v>
      </c>
      <c r="J124" s="17">
        <f>'Fiscal Forecasts'!J$113</f>
        <v>0.54400000000000004</v>
      </c>
      <c r="K124" s="17">
        <f>'Fiscal Forecasts'!K$113</f>
        <v>0.112</v>
      </c>
      <c r="L124" s="17">
        <f>'Fiscal Forecasts'!L$113</f>
        <v>4.2000000000000003E-2</v>
      </c>
      <c r="M124" s="17">
        <f>'Fiscal Forecasts'!M$113</f>
        <v>-7.0999999999999994E-2</v>
      </c>
      <c r="N124" s="17">
        <f>'Fiscal Forecasts'!N$113</f>
        <v>-9.2999999999999999E-2</v>
      </c>
      <c r="O124" s="16">
        <f t="shared" ref="O124:X124" ca="1" si="93">O$420-N$420</f>
        <v>3.4920000000000062E-2</v>
      </c>
      <c r="P124" s="16">
        <f t="shared" ca="1" si="93"/>
        <v>3.5618399999999717E-2</v>
      </c>
      <c r="Q124" s="16">
        <f t="shared" ca="1" si="93"/>
        <v>3.6330768000000013E-2</v>
      </c>
      <c r="R124" s="16">
        <f t="shared" ca="1" si="93"/>
        <v>3.7057383360000085E-2</v>
      </c>
      <c r="S124" s="16">
        <f t="shared" ca="1" si="93"/>
        <v>3.7798531027199989E-2</v>
      </c>
      <c r="T124" s="16">
        <f t="shared" ca="1" si="93"/>
        <v>3.855450164774421E-2</v>
      </c>
      <c r="U124" s="16">
        <f t="shared" ca="1" si="93"/>
        <v>3.9325591680698935E-2</v>
      </c>
      <c r="V124" s="16">
        <f t="shared" ca="1" si="93"/>
        <v>4.0112103514312825E-2</v>
      </c>
      <c r="W124" s="16">
        <f t="shared" ca="1" si="93"/>
        <v>4.0914345584599054E-2</v>
      </c>
      <c r="X124" s="16">
        <f t="shared" ca="1" si="93"/>
        <v>4.1732632496291E-2</v>
      </c>
    </row>
    <row r="125" spans="1:24" x14ac:dyDescent="0.25">
      <c r="A125" s="11" t="s">
        <v>612</v>
      </c>
      <c r="B125" s="10" t="str">
        <f t="shared" si="90"/>
        <v>From Fiscal Forecasts</v>
      </c>
      <c r="C125" s="13"/>
      <c r="D125" s="35">
        <f>'Fiscal Forecasts'!D$114</f>
        <v>3.5999999999999997E-2</v>
      </c>
      <c r="E125" s="35">
        <f>'Fiscal Forecasts'!E$114</f>
        <v>0.108</v>
      </c>
      <c r="F125" s="35">
        <f>'Fiscal Forecasts'!F$114</f>
        <v>6.3E-2</v>
      </c>
      <c r="G125" s="35">
        <f>'Fiscal Forecasts'!G$114</f>
        <v>0.30299999999999999</v>
      </c>
      <c r="H125" s="35">
        <f>'Fiscal Forecasts'!H$114</f>
        <v>0.113</v>
      </c>
      <c r="I125" s="35">
        <f>'Fiscal Forecasts'!I$114</f>
        <v>0.30499999999999999</v>
      </c>
      <c r="J125" s="17">
        <f>'Fiscal Forecasts'!J$114</f>
        <v>0.58199999999999996</v>
      </c>
      <c r="K125" s="17">
        <f>'Fiscal Forecasts'!K$114</f>
        <v>-0.17799999999999999</v>
      </c>
      <c r="L125" s="17">
        <f>'Fiscal Forecasts'!L$114</f>
        <v>0.109</v>
      </c>
      <c r="M125" s="17">
        <f>'Fiscal Forecasts'!M$114</f>
        <v>0.107</v>
      </c>
      <c r="N125" s="17">
        <f>'Fiscal Forecasts'!N$114</f>
        <v>1.4999999999999999E-2</v>
      </c>
      <c r="O125" s="16">
        <f t="shared" ref="O125:X125" ca="1" si="94">O$424-N$424</f>
        <v>5.4840000000000444E-2</v>
      </c>
      <c r="P125" s="16">
        <f t="shared" ca="1" si="94"/>
        <v>5.5936799999999565E-2</v>
      </c>
      <c r="Q125" s="16">
        <f t="shared" ca="1" si="94"/>
        <v>5.7055536000000018E-2</v>
      </c>
      <c r="R125" s="16">
        <f t="shared" ca="1" si="94"/>
        <v>5.8196646719999912E-2</v>
      </c>
      <c r="S125" s="16">
        <f t="shared" ca="1" si="94"/>
        <v>5.9360579654399892E-2</v>
      </c>
      <c r="T125" s="16">
        <f t="shared" ca="1" si="94"/>
        <v>6.0547791247488547E-2</v>
      </c>
      <c r="U125" s="16">
        <f t="shared" ca="1" si="94"/>
        <v>6.1758747072437892E-2</v>
      </c>
      <c r="V125" s="16">
        <f t="shared" ca="1" si="94"/>
        <v>6.2993922013887094E-2</v>
      </c>
      <c r="W125" s="16">
        <f t="shared" ca="1" si="94"/>
        <v>6.4253800454164178E-2</v>
      </c>
      <c r="X125" s="16">
        <f t="shared" ca="1" si="94"/>
        <v>6.5538876463246964E-2</v>
      </c>
    </row>
    <row r="126" spans="1:24" x14ac:dyDescent="0.25">
      <c r="A126" s="11" t="s">
        <v>1168</v>
      </c>
      <c r="B126" s="10" t="str">
        <f t="shared" si="90"/>
        <v>From Fiscal Forecasts</v>
      </c>
      <c r="C126" s="13"/>
      <c r="D126" s="35">
        <f>-'Fiscal Forecasts'!D$115</f>
        <v>9.7000000000000003E-2</v>
      </c>
      <c r="E126" s="35">
        <f>-'Fiscal Forecasts'!E$115</f>
        <v>6.8000000000000005E-2</v>
      </c>
      <c r="F126" s="35">
        <f>-'Fiscal Forecasts'!F$115</f>
        <v>-0.04</v>
      </c>
      <c r="G126" s="35">
        <f>-'Fiscal Forecasts'!G$115</f>
        <v>0.81899999999999995</v>
      </c>
      <c r="H126" s="35">
        <f>-'Fiscal Forecasts'!H$115</f>
        <v>0.24399999999999999</v>
      </c>
      <c r="I126" s="35">
        <f>-'Fiscal Forecasts'!I$115</f>
        <v>-0.158</v>
      </c>
      <c r="J126" s="17">
        <f>-'Fiscal Forecasts'!J$115</f>
        <v>0.183</v>
      </c>
      <c r="K126" s="17">
        <f>-'Fiscal Forecasts'!K$115</f>
        <v>7.0000000000000001E-3</v>
      </c>
      <c r="L126" s="17">
        <f>-'Fiscal Forecasts'!L$115</f>
        <v>9.0999999999999998E-2</v>
      </c>
      <c r="M126" s="17">
        <f>-'Fiscal Forecasts'!M$115</f>
        <v>2.4E-2</v>
      </c>
      <c r="N126" s="17">
        <f>-'Fiscal Forecasts'!N$115</f>
        <v>6.4000000000000001E-2</v>
      </c>
      <c r="O126" s="16">
        <f t="shared" ref="O126:X126" ca="1" si="95">O$465-N$465</f>
        <v>8.9760000000000506E-2</v>
      </c>
      <c r="P126" s="16">
        <f t="shared" ca="1" si="95"/>
        <v>9.1555199999998838E-2</v>
      </c>
      <c r="Q126" s="16">
        <f t="shared" ca="1" si="95"/>
        <v>9.3386304000000031E-2</v>
      </c>
      <c r="R126" s="16">
        <f t="shared" ca="1" si="95"/>
        <v>9.5254030079999552E-2</v>
      </c>
      <c r="S126" s="16">
        <f t="shared" ca="1" si="95"/>
        <v>9.7159110681600325E-2</v>
      </c>
      <c r="T126" s="16">
        <f t="shared" ca="1" si="95"/>
        <v>9.9102292895232758E-2</v>
      </c>
      <c r="U126" s="16">
        <f t="shared" ca="1" si="95"/>
        <v>0.10108433875313683</v>
      </c>
      <c r="V126" s="16">
        <f t="shared" ca="1" si="95"/>
        <v>0.10310602552820036</v>
      </c>
      <c r="W126" s="16">
        <f t="shared" ca="1" si="95"/>
        <v>0.10516814603876323</v>
      </c>
      <c r="X126" s="16">
        <f t="shared" ca="1" si="95"/>
        <v>0.10727150895953841</v>
      </c>
    </row>
    <row r="127" spans="1:24" x14ac:dyDescent="0.25">
      <c r="A127" s="11" t="s">
        <v>1169</v>
      </c>
      <c r="B127" s="10" t="str">
        <f t="shared" si="90"/>
        <v>From Fiscal Forecasts</v>
      </c>
      <c r="C127" s="13"/>
      <c r="D127" s="35">
        <f>-'Fiscal Forecasts'!D$116</f>
        <v>2.5710000000000002</v>
      </c>
      <c r="E127" s="35">
        <f>-'Fiscal Forecasts'!E$116</f>
        <v>0.95599999999999996</v>
      </c>
      <c r="F127" s="35">
        <f>-'Fiscal Forecasts'!F$116</f>
        <v>1.8320000000000001</v>
      </c>
      <c r="G127" s="35">
        <f>-'Fiscal Forecasts'!G$116</f>
        <v>1.849</v>
      </c>
      <c r="H127" s="35">
        <f>-'Fiscal Forecasts'!H$116</f>
        <v>3.2770000000000001</v>
      </c>
      <c r="I127" s="35">
        <f>-'Fiscal Forecasts'!I$116</f>
        <v>1.3859999999999999</v>
      </c>
      <c r="J127" s="17">
        <f>-'Fiscal Forecasts'!J$116</f>
        <v>-3.661</v>
      </c>
      <c r="K127" s="17">
        <f>-'Fiscal Forecasts'!K$116</f>
        <v>-0.70799999999999996</v>
      </c>
      <c r="L127" s="17">
        <f>-'Fiscal Forecasts'!L$116</f>
        <v>-0.61799999999999999</v>
      </c>
      <c r="M127" s="17">
        <f>-'Fiscal Forecasts'!M$116</f>
        <v>-0.40500000000000003</v>
      </c>
      <c r="N127" s="17">
        <f>-'Fiscal Forecasts'!N$116</f>
        <v>8.1000000000000003E-2</v>
      </c>
      <c r="O127" s="16">
        <f t="shared" ref="O127:X127" ca="1" si="96">SUM(O$461-N$461,O$486-N$486)</f>
        <v>3.6908631092854733</v>
      </c>
      <c r="P127" s="16">
        <f t="shared" ca="1" si="96"/>
        <v>1.2486830554107087</v>
      </c>
      <c r="Q127" s="16">
        <f t="shared" ca="1" si="96"/>
        <v>1.2799370717726362</v>
      </c>
      <c r="R127" s="16">
        <f t="shared" ca="1" si="96"/>
        <v>1.301413551566224</v>
      </c>
      <c r="S127" s="16">
        <f t="shared" ca="1" si="96"/>
        <v>1.3286266617480607</v>
      </c>
      <c r="T127" s="16">
        <f t="shared" ca="1" si="96"/>
        <v>1.3561634222771737</v>
      </c>
      <c r="U127" s="16">
        <f t="shared" ca="1" si="96"/>
        <v>1.3807857858069852</v>
      </c>
      <c r="V127" s="16">
        <f t="shared" ca="1" si="96"/>
        <v>1.4072091510187086</v>
      </c>
      <c r="W127" s="16">
        <f t="shared" ca="1" si="96"/>
        <v>1.4363550600407855</v>
      </c>
      <c r="X127" s="16">
        <f t="shared" ca="1" si="96"/>
        <v>1.4713152537757992</v>
      </c>
    </row>
    <row r="128" spans="1:24" x14ac:dyDescent="0.25">
      <c r="A128" s="9" t="s">
        <v>615</v>
      </c>
      <c r="B128" s="9"/>
      <c r="C128" s="13"/>
      <c r="D128" s="65">
        <f t="shared" ref="D128:X128" si="97">SUM(D$122:D$125)-SUM(D$126:D$127)</f>
        <v>1.7679999999999989</v>
      </c>
      <c r="E128" s="65">
        <f t="shared" si="97"/>
        <v>-1.0000000000000009E-2</v>
      </c>
      <c r="F128" s="65">
        <f t="shared" si="97"/>
        <v>1.2990000000000002</v>
      </c>
      <c r="G128" s="65">
        <f t="shared" si="97"/>
        <v>3.7329999999999997</v>
      </c>
      <c r="H128" s="65">
        <f t="shared" si="97"/>
        <v>-2.0969999999999995</v>
      </c>
      <c r="I128" s="65">
        <f t="shared" si="97"/>
        <v>2.4130000000000003</v>
      </c>
      <c r="J128" s="66">
        <f t="shared" si="97"/>
        <v>0.99399999999999977</v>
      </c>
      <c r="K128" s="66">
        <f t="shared" si="97"/>
        <v>0.95400000000000018</v>
      </c>
      <c r="L128" s="66">
        <f t="shared" si="97"/>
        <v>0.60099999999999998</v>
      </c>
      <c r="M128" s="66">
        <f t="shared" si="97"/>
        <v>1.262</v>
      </c>
      <c r="N128" s="66">
        <f t="shared" si="97"/>
        <v>1.2849999999999999</v>
      </c>
      <c r="O128" s="92">
        <f t="shared" ca="1" si="97"/>
        <v>0.84738908973577542</v>
      </c>
      <c r="P128" s="92">
        <f t="shared" ca="1" si="97"/>
        <v>0.91817439567285097</v>
      </c>
      <c r="Q128" s="92">
        <f t="shared" ca="1" si="97"/>
        <v>0.94341836591308503</v>
      </c>
      <c r="R128" s="92">
        <f t="shared" ca="1" si="97"/>
        <v>0.94789137050007888</v>
      </c>
      <c r="S128" s="92">
        <f t="shared" ca="1" si="97"/>
        <v>0.95827880936050125</v>
      </c>
      <c r="T128" s="92">
        <f t="shared" ca="1" si="97"/>
        <v>0.96159676061220134</v>
      </c>
      <c r="U128" s="92">
        <f t="shared" ca="1" si="97"/>
        <v>0.95315895950367402</v>
      </c>
      <c r="V128" s="92">
        <f t="shared" ca="1" si="97"/>
        <v>0.94069447969786291</v>
      </c>
      <c r="W128" s="92">
        <f t="shared" ca="1" si="97"/>
        <v>0.92593995669000595</v>
      </c>
      <c r="X128" s="92">
        <f t="shared" ca="1" si="97"/>
        <v>0.9118421607883711</v>
      </c>
    </row>
    <row r="129" spans="1:24" x14ac:dyDescent="0.25">
      <c r="A129" s="9" t="s">
        <v>1144</v>
      </c>
      <c r="B129" s="9"/>
      <c r="C129" s="13"/>
      <c r="D129" s="65">
        <f t="shared" ref="D129:X129" si="98">SUM(D$99,D$113,D$121,D$128)</f>
        <v>0.38899999999999846</v>
      </c>
      <c r="E129" s="65">
        <f t="shared" si="98"/>
        <v>-30.040000000000003</v>
      </c>
      <c r="F129" s="65">
        <f t="shared" si="98"/>
        <v>16.159000000000013</v>
      </c>
      <c r="G129" s="65">
        <f t="shared" si="98"/>
        <v>-16.932000000000009</v>
      </c>
      <c r="H129" s="65">
        <f t="shared" si="98"/>
        <v>5.3209999999999802</v>
      </c>
      <c r="I129" s="65">
        <f t="shared" si="98"/>
        <v>-8.3650000000000375</v>
      </c>
      <c r="J129" s="66">
        <f t="shared" ca="1" si="98"/>
        <v>-5.4930000000000057</v>
      </c>
      <c r="K129" s="66">
        <f t="shared" ca="1" si="98"/>
        <v>-9.8839999999999826</v>
      </c>
      <c r="L129" s="66">
        <f t="shared" ca="1" si="98"/>
        <v>-5.6649999999999565</v>
      </c>
      <c r="M129" s="66">
        <f t="shared" ca="1" si="98"/>
        <v>-3.900000000003212E-2</v>
      </c>
      <c r="N129" s="66">
        <f t="shared" ca="1" si="98"/>
        <v>4.0710000000000068</v>
      </c>
      <c r="O129" s="92">
        <f t="shared" ca="1" si="98"/>
        <v>4.4166017572286442</v>
      </c>
      <c r="P129" s="92">
        <f t="shared" ca="1" si="98"/>
        <v>5.6111238440087483</v>
      </c>
      <c r="Q129" s="92">
        <f t="shared" ca="1" si="98"/>
        <v>6.6880494456423625</v>
      </c>
      <c r="R129" s="92">
        <f t="shared" ca="1" si="98"/>
        <v>7.6415986390995965</v>
      </c>
      <c r="S129" s="92">
        <f t="shared" ca="1" si="98"/>
        <v>8.6702183703663671</v>
      </c>
      <c r="T129" s="92">
        <f t="shared" ca="1" si="98"/>
        <v>9.8560493940711869</v>
      </c>
      <c r="U129" s="92">
        <f t="shared" ca="1" si="98"/>
        <v>11.002566095887026</v>
      </c>
      <c r="V129" s="92">
        <f t="shared" ca="1" si="98"/>
        <v>11.846435961548424</v>
      </c>
      <c r="W129" s="92">
        <f t="shared" ca="1" si="98"/>
        <v>12.408903418258244</v>
      </c>
      <c r="X129" s="92">
        <f t="shared" ca="1" si="98"/>
        <v>12.962745622477598</v>
      </c>
    </row>
    <row r="130" spans="1:24" x14ac:dyDescent="0.25">
      <c r="A130" s="55" t="s">
        <v>1162</v>
      </c>
      <c r="B130" s="9"/>
      <c r="C130" s="13"/>
      <c r="D130" s="91" t="str">
        <f t="shared" ref="D130:X130" ca="1" si="99">IF(ROUND(D$39-D$129,3)=0,"OK","ERROR")</f>
        <v>OK</v>
      </c>
      <c r="E130" s="91" t="str">
        <f t="shared" ca="1" si="99"/>
        <v>OK</v>
      </c>
      <c r="F130" s="91" t="str">
        <f t="shared" ca="1" si="99"/>
        <v>OK</v>
      </c>
      <c r="G130" s="91" t="str">
        <f t="shared" ca="1" si="99"/>
        <v>OK</v>
      </c>
      <c r="H130" s="91" t="str">
        <f t="shared" ca="1" si="99"/>
        <v>OK</v>
      </c>
      <c r="I130" s="91" t="str">
        <f t="shared" ca="1" si="99"/>
        <v>OK</v>
      </c>
      <c r="J130" s="91" t="str">
        <f t="shared" ca="1" si="99"/>
        <v>OK</v>
      </c>
      <c r="K130" s="91" t="str">
        <f t="shared" ca="1" si="99"/>
        <v>OK</v>
      </c>
      <c r="L130" s="91" t="str">
        <f t="shared" ca="1" si="99"/>
        <v>OK</v>
      </c>
      <c r="M130" s="91" t="str">
        <f t="shared" ca="1" si="99"/>
        <v>OK</v>
      </c>
      <c r="N130" s="91" t="str">
        <f t="shared" ca="1" si="99"/>
        <v>OK</v>
      </c>
      <c r="O130" s="91" t="str">
        <f t="shared" ca="1" si="99"/>
        <v>OK</v>
      </c>
      <c r="P130" s="91" t="str">
        <f t="shared" ca="1" si="99"/>
        <v>OK</v>
      </c>
      <c r="Q130" s="91" t="str">
        <f t="shared" ca="1" si="99"/>
        <v>OK</v>
      </c>
      <c r="R130" s="91" t="str">
        <f t="shared" ca="1" si="99"/>
        <v>OK</v>
      </c>
      <c r="S130" s="91" t="str">
        <f t="shared" ca="1" si="99"/>
        <v>OK</v>
      </c>
      <c r="T130" s="91" t="str">
        <f t="shared" ca="1" si="99"/>
        <v>OK</v>
      </c>
      <c r="U130" s="91" t="str">
        <f t="shared" ca="1" si="99"/>
        <v>OK</v>
      </c>
      <c r="V130" s="91" t="str">
        <f t="shared" ca="1" si="99"/>
        <v>OK</v>
      </c>
      <c r="W130" s="91" t="str">
        <f t="shared" ca="1" si="99"/>
        <v>OK</v>
      </c>
      <c r="X130" s="91" t="str">
        <f t="shared" ca="1" si="99"/>
        <v>OK</v>
      </c>
    </row>
    <row r="131" spans="1:24" x14ac:dyDescent="0.25">
      <c r="A131" s="9"/>
      <c r="B131" s="9"/>
      <c r="C131" s="13"/>
      <c r="D131" s="36"/>
      <c r="E131" s="36"/>
      <c r="F131" s="36"/>
      <c r="G131" s="36"/>
      <c r="H131" s="36"/>
      <c r="I131" s="36"/>
      <c r="J131" s="19"/>
      <c r="K131" s="19"/>
      <c r="L131" s="19"/>
      <c r="M131" s="19"/>
      <c r="N131" s="19"/>
      <c r="O131" s="18"/>
      <c r="P131" s="18"/>
      <c r="Q131" s="18"/>
      <c r="R131" s="18"/>
      <c r="S131" s="18"/>
      <c r="T131" s="18"/>
      <c r="U131" s="18"/>
      <c r="V131" s="18"/>
      <c r="W131" s="18"/>
      <c r="X131" s="18"/>
    </row>
    <row r="132" spans="1:24" x14ac:dyDescent="0.25">
      <c r="A132" s="12" t="s">
        <v>847</v>
      </c>
      <c r="B132" s="9"/>
      <c r="C132" s="13"/>
      <c r="D132" s="40"/>
      <c r="E132" s="40"/>
      <c r="F132" s="40"/>
      <c r="G132" s="40"/>
      <c r="H132" s="40"/>
      <c r="I132" s="40"/>
    </row>
    <row r="133" spans="1:24" x14ac:dyDescent="0.25">
      <c r="A133" s="9" t="s">
        <v>694</v>
      </c>
      <c r="B133" s="9"/>
      <c r="C133" s="13"/>
      <c r="D133" s="40"/>
      <c r="E133" s="40"/>
      <c r="F133" s="40"/>
      <c r="G133" s="40"/>
      <c r="H133" s="40"/>
      <c r="I133" s="40"/>
    </row>
    <row r="134" spans="1:24" x14ac:dyDescent="0.25">
      <c r="A134" s="11" t="s">
        <v>848</v>
      </c>
      <c r="B134" s="10" t="str">
        <f>$B$38</f>
        <v>From Fiscal Forecasts</v>
      </c>
      <c r="C134" s="13"/>
      <c r="D134" s="35">
        <f>'Fiscal Forecasts'!D$220</f>
        <v>32.878999999999998</v>
      </c>
      <c r="E134" s="35">
        <f>'Fiscal Forecasts'!E$220</f>
        <v>34.963000000000001</v>
      </c>
      <c r="F134" s="35">
        <f>'Fiscal Forecasts'!F$220</f>
        <v>38.164000000000001</v>
      </c>
      <c r="G134" s="35">
        <f>'Fiscal Forecasts'!G$220</f>
        <v>42.448</v>
      </c>
      <c r="H134" s="35">
        <f>'Fiscal Forecasts'!H$220</f>
        <v>47.386000000000003</v>
      </c>
      <c r="I134" s="35">
        <f>'Fiscal Forecasts'!I$220</f>
        <v>52.283000000000001</v>
      </c>
      <c r="J134" s="17">
        <f>'Fiscal Forecasts'!J$220</f>
        <v>52.734000000000002</v>
      </c>
      <c r="K134" s="17">
        <f>'Fiscal Forecasts'!K$220</f>
        <v>55.243000000000002</v>
      </c>
      <c r="L134" s="17">
        <f>'Fiscal Forecasts'!L$220</f>
        <v>58.265999999999998</v>
      </c>
      <c r="M134" s="17">
        <f>'Fiscal Forecasts'!M$220</f>
        <v>61.514000000000003</v>
      </c>
      <c r="N134" s="17">
        <f>'Fiscal Forecasts'!N$220</f>
        <v>65.031999999999996</v>
      </c>
      <c r="O134" s="16">
        <f ca="1">N$134*(1+O$17)*(1+IF(O$6&lt;OFFSET(Assumptions!$B$8,0,$C$1)+OFFSET(Assumptions!$B$29,0,$C$1)="Yes",OFFSET(Assumptions!$B$30,0,$C$1),1)*O$26)</f>
        <v>67.666933667365313</v>
      </c>
      <c r="P134" s="16">
        <f ca="1">O$134*(1+P$17)*(1+IF(P$6&lt;OFFSET(Assumptions!$B$8,0,$C$1)+OFFSET(Assumptions!$B$29,0,$C$1)="Yes",OFFSET(Assumptions!$B$30,0,$C$1),1)*P$26)</f>
        <v>70.382669882235248</v>
      </c>
      <c r="Q134" s="16">
        <f ca="1">P$134*(1+Q$17)*(1+IF(Q$6&lt;OFFSET(Assumptions!$B$8,0,$C$1)+OFFSET(Assumptions!$B$29,0,$C$1)="Yes",OFFSET(Assumptions!$B$30,0,$C$1),1)*Q$26)</f>
        <v>73.180737795712076</v>
      </c>
      <c r="R134" s="16">
        <f ca="1">Q$134*(1+R$17)*(1+IF(R$6&lt;OFFSET(Assumptions!$B$8,0,$C$1)+OFFSET(Assumptions!$B$29,0,$C$1)="Yes",OFFSET(Assumptions!$B$30,0,$C$1),1)*R$26)</f>
        <v>76.062339138307749</v>
      </c>
      <c r="S134" s="16">
        <f ca="1">R$134*(1+S$17)*(1+IF(S$6&lt;OFFSET(Assumptions!$B$8,0,$C$1)+OFFSET(Assumptions!$B$29,0,$C$1)="Yes",OFFSET(Assumptions!$B$30,0,$C$1),1)*S$26)</f>
        <v>79.007478813698654</v>
      </c>
      <c r="T134" s="16">
        <f ca="1">S$134*(1+T$17)*(1+IF(T$6&lt;OFFSET(Assumptions!$B$8,0,$C$1)+OFFSET(Assumptions!$B$29,0,$C$1)="Yes",OFFSET(Assumptions!$B$30,0,$C$1),1)*T$26)</f>
        <v>82.011662275416356</v>
      </c>
      <c r="U134" s="16">
        <f ca="1">T$134*(1+U$17)*(1+IF(U$6&lt;OFFSET(Assumptions!$B$8,0,$C$1)+OFFSET(Assumptions!$B$29,0,$C$1)="Yes",OFFSET(Assumptions!$B$30,0,$C$1),1)*U$26)</f>
        <v>85.055900671755111</v>
      </c>
      <c r="V134" s="16">
        <f ca="1">U$134*(1+V$17)*(1+IF(V$6&lt;OFFSET(Assumptions!$B$8,0,$C$1)+OFFSET(Assumptions!$B$29,0,$C$1)="Yes",OFFSET(Assumptions!$B$30,0,$C$1),1)*V$26)</f>
        <v>88.145908604954769</v>
      </c>
      <c r="W134" s="16">
        <f ca="1">V$134*(1+W$17)*(1+IF(W$6&lt;OFFSET(Assumptions!$B$8,0,$C$1)+OFFSET(Assumptions!$B$29,0,$C$1)="Yes",OFFSET(Assumptions!$B$30,0,$C$1),1)*W$26)</f>
        <v>91.281570952177546</v>
      </c>
      <c r="X134" s="16">
        <f ca="1">W$134*(1+X$17)*(1+IF(X$6&lt;OFFSET(Assumptions!$B$8,0,$C$1)+OFFSET(Assumptions!$B$29,0,$C$1)="Yes",OFFSET(Assumptions!$B$30,0,$C$1),1)*X$26)</f>
        <v>94.486516589216393</v>
      </c>
    </row>
    <row r="135" spans="1:24" x14ac:dyDescent="0.25">
      <c r="A135" s="11" t="s">
        <v>849</v>
      </c>
      <c r="B135" s="10" t="str">
        <f>$B$38</f>
        <v>From Fiscal Forecasts</v>
      </c>
      <c r="C135" s="13"/>
      <c r="D135" s="35">
        <f>'Fiscal Forecasts'!D$221</f>
        <v>8.3160000000000007</v>
      </c>
      <c r="E135" s="35">
        <f>'Fiscal Forecasts'!E$221</f>
        <v>8.1910000000000007</v>
      </c>
      <c r="F135" s="35">
        <f>'Fiscal Forecasts'!F$221</f>
        <v>10.183999999999999</v>
      </c>
      <c r="G135" s="35">
        <f>'Fiscal Forecasts'!G$221</f>
        <v>12.015000000000001</v>
      </c>
      <c r="H135" s="35">
        <f>'Fiscal Forecasts'!H$221</f>
        <v>11.71</v>
      </c>
      <c r="I135" s="35">
        <f>'Fiscal Forecasts'!I$221</f>
        <v>14.042999999999999</v>
      </c>
      <c r="J135" s="17">
        <f>'Fiscal Forecasts'!J$221</f>
        <v>13.619</v>
      </c>
      <c r="K135" s="17">
        <f>'Fiscal Forecasts'!K$221</f>
        <v>13.744</v>
      </c>
      <c r="L135" s="17">
        <f>'Fiscal Forecasts'!L$221</f>
        <v>13.545</v>
      </c>
      <c r="M135" s="17">
        <f>'Fiscal Forecasts'!M$221</f>
        <v>13.956</v>
      </c>
      <c r="N135" s="17">
        <f>'Fiscal Forecasts'!N$221</f>
        <v>14.414</v>
      </c>
      <c r="O135" s="16">
        <f ca="1">N$135*(1+O$17)*(1+IF(O$6&lt;OFFSET(Assumptions!$B$8,0,$C$1)+OFFSET(Assumptions!$B$29,0,$C$1)="Yes",OFFSET(Assumptions!$B$30,0,$C$1),1)*O$26)</f>
        <v>14.998019157974591</v>
      </c>
      <c r="P135" s="16">
        <f ca="1">O$135*(1+P$17)*(1+IF(P$6&lt;OFFSET(Assumptions!$B$8,0,$C$1)+OFFSET(Assumptions!$B$29,0,$C$1)="Yes",OFFSET(Assumptions!$B$30,0,$C$1),1)*P$26)</f>
        <v>15.599947774673065</v>
      </c>
      <c r="Q135" s="16">
        <f ca="1">P$135*(1+Q$17)*(1+IF(Q$6&lt;OFFSET(Assumptions!$B$8,0,$C$1)+OFFSET(Assumptions!$B$29,0,$C$1)="Yes",OFFSET(Assumptions!$B$30,0,$C$1),1)*Q$26)</f>
        <v>16.220124778376704</v>
      </c>
      <c r="R135" s="16">
        <f ca="1">Q$135*(1+R$17)*(1+IF(R$6&lt;OFFSET(Assumptions!$B$8,0,$C$1)+OFFSET(Assumptions!$B$29,0,$C$1)="Yes",OFFSET(Assumptions!$B$30,0,$C$1),1)*R$26)</f>
        <v>16.858816526318858</v>
      </c>
      <c r="S135" s="16">
        <f ca="1">R$135*(1+S$17)*(1+IF(S$6&lt;OFFSET(Assumptions!$B$8,0,$C$1)+OFFSET(Assumptions!$B$29,0,$C$1)="Yes",OFFSET(Assumptions!$B$30,0,$C$1),1)*S$26)</f>
        <v>17.511591210798567</v>
      </c>
      <c r="T135" s="16">
        <f ca="1">S$135*(1+T$17)*(1+IF(T$6&lt;OFFSET(Assumptions!$B$8,0,$C$1)+OFFSET(Assumptions!$B$29,0,$C$1)="Yes",OFFSET(Assumptions!$B$30,0,$C$1),1)*T$26)</f>
        <v>18.17745263928299</v>
      </c>
      <c r="U135" s="16">
        <f ca="1">T$135*(1+U$17)*(1+IF(U$6&lt;OFFSET(Assumptions!$B$8,0,$C$1)+OFFSET(Assumptions!$B$29,0,$C$1)="Yes",OFFSET(Assumptions!$B$30,0,$C$1),1)*U$26)</f>
        <v>18.852192032886553</v>
      </c>
      <c r="V135" s="16">
        <f ca="1">U$135*(1+V$17)*(1+IF(V$6&lt;OFFSET(Assumptions!$B$8,0,$C$1)+OFFSET(Assumptions!$B$29,0,$C$1)="Yes",OFFSET(Assumptions!$B$30,0,$C$1),1)*V$26)</f>
        <v>19.537076003072613</v>
      </c>
      <c r="W135" s="16">
        <f ca="1">V$135*(1+W$17)*(1+IF(W$6&lt;OFFSET(Assumptions!$B$8,0,$C$1)+OFFSET(Assumptions!$B$29,0,$C$1)="Yes",OFFSET(Assumptions!$B$30,0,$C$1),1)*W$26)</f>
        <v>20.232079033471017</v>
      </c>
      <c r="X135" s="16">
        <f ca="1">W$135*(1+X$17)*(1+IF(X$6&lt;OFFSET(Assumptions!$B$8,0,$C$1)+OFFSET(Assumptions!$B$29,0,$C$1)="Yes",OFFSET(Assumptions!$B$30,0,$C$1),1)*X$26)</f>
        <v>20.942438339847538</v>
      </c>
    </row>
    <row r="136" spans="1:24" x14ac:dyDescent="0.25">
      <c r="A136" s="11" t="s">
        <v>852</v>
      </c>
      <c r="B136" s="10" t="str">
        <f>$B$38</f>
        <v>From Fiscal Forecasts</v>
      </c>
      <c r="C136" s="64" cm="1">
        <f t="array" aca="1" ref="C136" ca="1">SUMPRODUCT(OFFSET($N$136,0,0,1,-OFFSET(Assumptions!$B$33,0,$C$1))/OFFSET($N$13,0,0,1,-OFFSET(Assumptions!$B$33,0,$C$1)))/OFFSET(Assumptions!$B$33,0,$C$1)</f>
        <v>4.2272263426074277E-2</v>
      </c>
      <c r="D136" s="35">
        <f>'Fiscal Forecasts'!D$222</f>
        <v>15.199</v>
      </c>
      <c r="E136" s="35">
        <f>'Fiscal Forecasts'!E$222</f>
        <v>12.103999999999999</v>
      </c>
      <c r="F136" s="35">
        <f>'Fiscal Forecasts'!F$222</f>
        <v>15.768000000000001</v>
      </c>
      <c r="G136" s="35">
        <f>'Fiscal Forecasts'!G$222</f>
        <v>19.896000000000001</v>
      </c>
      <c r="H136" s="35">
        <f>'Fiscal Forecasts'!H$222</f>
        <v>17.978000000000002</v>
      </c>
      <c r="I136" s="35">
        <f>'Fiscal Forecasts'!I$222</f>
        <v>16.908999999999999</v>
      </c>
      <c r="J136" s="17">
        <f>'Fiscal Forecasts'!J$222</f>
        <v>16.321999999999999</v>
      </c>
      <c r="K136" s="17">
        <f>'Fiscal Forecasts'!K$222</f>
        <v>16.748000000000001</v>
      </c>
      <c r="L136" s="17">
        <f>'Fiscal Forecasts'!L$222</f>
        <v>19.547000000000001</v>
      </c>
      <c r="M136" s="17">
        <f>'Fiscal Forecasts'!M$222</f>
        <v>20.765999999999998</v>
      </c>
      <c r="N136" s="17">
        <f>'Fiscal Forecasts'!N$222</f>
        <v>22.405999999999999</v>
      </c>
      <c r="O136" s="16">
        <f ca="1">(N$136/N$13+MIN(ABS($C$136-N$136/N$13),OFFSET(Assumptions!$B$34,0,$C$1))*SIGN($C$136-N$136/N$13))*O$13</f>
        <v>23.111792604654376</v>
      </c>
      <c r="P136" s="16">
        <f ca="1">(O$136/O$13+MIN(ABS($C$136-O$136/O$13),OFFSET(Assumptions!$B$34,0,$C$1))*SIGN($C$136-O$136/O$13))*P$13</f>
        <v>24.09751422280257</v>
      </c>
      <c r="Q136" s="16">
        <f ca="1">(P$136/P$13+MIN(ABS($C$136-P$136/P$13),OFFSET(Assumptions!$B$34,0,$C$1))*SIGN($C$136-P$136/P$13))*Q$13</f>
        <v>25.085376111894224</v>
      </c>
      <c r="R136" s="16">
        <f ca="1">(Q$136/Q$13+MIN(ABS($C$136-Q$136/Q$13),OFFSET(Assumptions!$B$34,0,$C$1))*SIGN($C$136-Q$136/Q$13))*R$13</f>
        <v>26.07315043148829</v>
      </c>
      <c r="S136" s="16">
        <f ca="1">(R$136/R$13+MIN(ABS($C$136-R$136/R$13),OFFSET(Assumptions!$B$34,0,$C$1))*SIGN($C$136-R$136/R$13))*S$13</f>
        <v>27.082704839992381</v>
      </c>
      <c r="T136" s="16">
        <f ca="1">(S$136/S$13+MIN(ABS($C$136-S$136/S$13),OFFSET(Assumptions!$B$34,0,$C$1))*SIGN($C$136-S$136/S$13))*T$13</f>
        <v>28.112498667115254</v>
      </c>
      <c r="U136" s="16">
        <f ca="1">(T$136/T$13+MIN(ABS($C$136-T$136/T$13),OFFSET(Assumptions!$B$34,0,$C$1))*SIGN($C$136-T$136/T$13))*U$13</f>
        <v>29.15602278899015</v>
      </c>
      <c r="V136" s="16">
        <f ca="1">(U$136/U$13+MIN(ABS($C$136-U$136/U$13),OFFSET(Assumptions!$B$34,0,$C$1))*SIGN($C$136-U$136/U$13))*V$13</f>
        <v>30.215236094674967</v>
      </c>
      <c r="W136" s="16">
        <f ca="1">(V$136/V$13+MIN(ABS($C$136-V$136/V$13),OFFSET(Assumptions!$B$34,0,$C$1))*SIGN($C$136-V$136/V$13))*W$13</f>
        <v>31.290099121603866</v>
      </c>
      <c r="X136" s="16">
        <f ca="1">(W$136/W$13+MIN(ABS($C$136-W$136/W$13),OFFSET(Assumptions!$B$34,0,$C$1))*SIGN($C$136-W$136/W$13))*X$13</f>
        <v>32.388711531712751</v>
      </c>
    </row>
    <row r="137" spans="1:24" x14ac:dyDescent="0.25">
      <c r="A137" s="11" t="s">
        <v>853</v>
      </c>
      <c r="B137" s="10" t="str">
        <f t="shared" ref="B137:B141" si="100">$B$38</f>
        <v>From Fiscal Forecasts</v>
      </c>
      <c r="C137" s="64" cm="1">
        <f t="array" aca="1" ref="C137" ca="1">SUMPRODUCT(OFFSET($N$137,0,0,1,-OFFSET(Assumptions!$B$33,0,$C$1))/OFFSET($N$13,0,0,1,-OFFSET(Assumptions!$B$33,0,$C$1)))/OFFSET(Assumptions!$B$33,0,$C$1)</f>
        <v>6.9331116486344269E-2</v>
      </c>
      <c r="D137" s="35">
        <f>'Fiscal Forecasts'!D$223</f>
        <v>21.861999999999998</v>
      </c>
      <c r="E137" s="35">
        <f>'Fiscal Forecasts'!E$223</f>
        <v>21.748999999999999</v>
      </c>
      <c r="F137" s="35">
        <f>'Fiscal Forecasts'!F$223</f>
        <v>25.562000000000001</v>
      </c>
      <c r="G137" s="35">
        <f>'Fiscal Forecasts'!G$223</f>
        <v>26.123999999999999</v>
      </c>
      <c r="H137" s="35">
        <f>'Fiscal Forecasts'!H$223</f>
        <v>28.13</v>
      </c>
      <c r="I137" s="35">
        <f>'Fiscal Forecasts'!I$223</f>
        <v>29.277999999999999</v>
      </c>
      <c r="J137" s="17">
        <f>'Fiscal Forecasts'!J$223</f>
        <v>29.81</v>
      </c>
      <c r="K137" s="17">
        <f>'Fiscal Forecasts'!K$223</f>
        <v>30.504999999999999</v>
      </c>
      <c r="L137" s="17">
        <f>'Fiscal Forecasts'!L$223</f>
        <v>32.298999999999999</v>
      </c>
      <c r="M137" s="17">
        <f>'Fiscal Forecasts'!M$223</f>
        <v>34.191000000000003</v>
      </c>
      <c r="N137" s="17">
        <f>'Fiscal Forecasts'!N$223</f>
        <v>35.695</v>
      </c>
      <c r="O137" s="16">
        <f ca="1">(N$137/N$13+MIN(ABS($C$137-N$137/N$13),OFFSET(Assumptions!$B$34,0,$C$1))*SIGN($C$137-N$137/N$13))*O$13</f>
        <v>37.508519862937639</v>
      </c>
      <c r="P137" s="16">
        <f ca="1">(O$137/O$13+MIN(ABS($C$137-O$137/O$13),OFFSET(Assumptions!$B$34,0,$C$1))*SIGN($C$137-O$137/O$13))*P$13</f>
        <v>39.393291670045947</v>
      </c>
      <c r="Q137" s="16">
        <f ca="1">(P$137/P$13+MIN(ABS($C$137-P$137/P$13),OFFSET(Assumptions!$B$34,0,$C$1))*SIGN($C$137-P$137/P$13))*Q$13</f>
        <v>41.142749225127339</v>
      </c>
      <c r="R137" s="16">
        <f ca="1">(Q$137/Q$13+MIN(ABS($C$137-Q$137/Q$13),OFFSET(Assumptions!$B$34,0,$C$1))*SIGN($C$137-Q$137/Q$13))*R$13</f>
        <v>42.762806701674812</v>
      </c>
      <c r="S137" s="16">
        <f ca="1">(R$137/R$13+MIN(ABS($C$137-R$137/R$13),OFFSET(Assumptions!$B$34,0,$C$1))*SIGN($C$137-R$137/R$13))*S$13</f>
        <v>44.418585896410953</v>
      </c>
      <c r="T137" s="16">
        <f ca="1">(S$137/S$13+MIN(ABS($C$137-S$137/S$13),OFFSET(Assumptions!$B$34,0,$C$1))*SIGN($C$137-S$137/S$13))*T$13</f>
        <v>46.107559942242041</v>
      </c>
      <c r="U137" s="16">
        <f ca="1">(T$137/T$13+MIN(ABS($C$137-T$137/T$13),OFFSET(Assumptions!$B$34,0,$C$1))*SIGN($C$137-T$137/T$13))*U$13</f>
        <v>47.819053167026226</v>
      </c>
      <c r="V137" s="16">
        <f ca="1">(U$137/U$13+MIN(ABS($C$137-U$137/U$13),OFFSET(Assumptions!$B$34,0,$C$1))*SIGN($C$137-U$137/U$13))*V$13</f>
        <v>49.556278362188671</v>
      </c>
      <c r="W137" s="16">
        <f ca="1">(V$137/V$13+MIN(ABS($C$137-V$137/V$13),OFFSET(Assumptions!$B$34,0,$C$1))*SIGN($C$137-V$137/V$13))*W$13</f>
        <v>51.319170804822953</v>
      </c>
      <c r="X137" s="16">
        <f ca="1">(W$137/W$13+MIN(ABS($C$137-W$137/W$13),OFFSET(Assumptions!$B$34,0,$C$1))*SIGN($C$137-W$137/W$13))*X$13</f>
        <v>53.12101482275223</v>
      </c>
    </row>
    <row r="138" spans="1:24" x14ac:dyDescent="0.25">
      <c r="A138" s="11" t="s">
        <v>854</v>
      </c>
      <c r="B138" s="10" t="str">
        <f t="shared" si="100"/>
        <v>From Fiscal Forecasts</v>
      </c>
      <c r="C138" s="64" cm="1">
        <f t="array" aca="1" ref="C138" ca="1">SUMPRODUCT(OFFSET($N$138,0,0,1,-OFFSET(Assumptions!$B$33,0,$C$1))/OFFSET($N$13,0,0,1,-OFFSET(Assumptions!$B$33,0,$C$1)))/OFFSET(Assumptions!$B$33,0,$C$1)</f>
        <v>1.0544383130732245E-2</v>
      </c>
      <c r="D138" s="35">
        <f>'Fiscal Forecasts'!D$224</f>
        <v>3.8820000000000001</v>
      </c>
      <c r="E138" s="35">
        <f>'Fiscal Forecasts'!E$224</f>
        <v>3.819</v>
      </c>
      <c r="F138" s="35">
        <f>'Fiscal Forecasts'!F$224</f>
        <v>4.306</v>
      </c>
      <c r="G138" s="35">
        <f>'Fiscal Forecasts'!G$224</f>
        <v>3.823</v>
      </c>
      <c r="H138" s="35">
        <f>'Fiscal Forecasts'!H$224</f>
        <v>2.976</v>
      </c>
      <c r="I138" s="35">
        <f>'Fiscal Forecasts'!I$224</f>
        <v>4.0730000000000004</v>
      </c>
      <c r="J138" s="17">
        <f>'Fiscal Forecasts'!J$224</f>
        <v>4.2720000000000002</v>
      </c>
      <c r="K138" s="17">
        <f>'Fiscal Forecasts'!K$224</f>
        <v>4.5709999999999997</v>
      </c>
      <c r="L138" s="17">
        <f>'Fiscal Forecasts'!L$224</f>
        <v>5.05</v>
      </c>
      <c r="M138" s="17">
        <f>'Fiscal Forecasts'!M$224</f>
        <v>5.6630000000000003</v>
      </c>
      <c r="N138" s="17">
        <f>'Fiscal Forecasts'!N$224</f>
        <v>6.093</v>
      </c>
      <c r="O138" s="16">
        <f ca="1">(N$138/N$13+MIN(ABS($C$138-N$138/N$13),OFFSET(Assumptions!$B$34,0,$C$1))*SIGN($C$138-N$138/N$13))*O$13</f>
        <v>6.0825296956577661</v>
      </c>
      <c r="P138" s="16">
        <f ca="1">(O$138/O$13+MIN(ABS($C$138-O$138/O$13),OFFSET(Assumptions!$B$34,0,$C$1))*SIGN($C$138-O$138/O$13))*P$13</f>
        <v>6.0569230620472281</v>
      </c>
      <c r="Q138" s="16">
        <f ca="1">(P$138/P$13+MIN(ABS($C$138-P$138/P$13),OFFSET(Assumptions!$B$34,0,$C$1))*SIGN($C$138-P$138/P$13))*Q$13</f>
        <v>6.257290129848518</v>
      </c>
      <c r="R138" s="16">
        <f ca="1">(Q$138/Q$13+MIN(ABS($C$138-Q$138/Q$13),OFFSET(Assumptions!$B$34,0,$C$1))*SIGN($C$138-Q$138/Q$13))*R$13</f>
        <v>6.503680316423524</v>
      </c>
      <c r="S138" s="16">
        <f ca="1">(R$138/R$13+MIN(ABS($C$138-R$138/R$13),OFFSET(Assumptions!$B$34,0,$C$1))*SIGN($C$138-R$138/R$13))*S$13</f>
        <v>6.7555033230908412</v>
      </c>
      <c r="T138" s="16">
        <f ca="1">(S$138/S$13+MIN(ABS($C$138-S$138/S$13),OFFSET(Assumptions!$B$34,0,$C$1))*SIGN($C$138-S$138/S$13))*T$13</f>
        <v>7.0123748454269004</v>
      </c>
      <c r="U138" s="16">
        <f ca="1">(T$138/T$13+MIN(ABS($C$138-T$138/T$13),OFFSET(Assumptions!$B$34,0,$C$1))*SIGN($C$138-T$138/T$13))*U$13</f>
        <v>7.2726712491539551</v>
      </c>
      <c r="V138" s="16">
        <f ca="1">(U$138/U$13+MIN(ABS($C$138-U$138/U$13),OFFSET(Assumptions!$B$34,0,$C$1))*SIGN($C$138-U$138/U$13))*V$13</f>
        <v>7.536881159083241</v>
      </c>
      <c r="W138" s="16">
        <f ca="1">(V$138/V$13+MIN(ABS($C$138-V$138/V$13),OFFSET(Assumptions!$B$34,0,$C$1))*SIGN($C$138-V$138/V$13))*W$13</f>
        <v>7.8049947316819113</v>
      </c>
      <c r="X138" s="16">
        <f ca="1">(W$138/W$13+MIN(ABS($C$138-W$138/W$13),OFFSET(Assumptions!$B$34,0,$C$1))*SIGN($C$138-W$138/W$13))*X$13</f>
        <v>8.0790323446577013</v>
      </c>
    </row>
    <row r="139" spans="1:24" x14ac:dyDescent="0.25">
      <c r="A139" s="11" t="s">
        <v>700</v>
      </c>
      <c r="B139" s="10" t="str">
        <f t="shared" si="100"/>
        <v>From Fiscal Forecasts</v>
      </c>
      <c r="C139" s="64"/>
      <c r="D139" s="35">
        <f>'Fiscal Forecasts'!D$225</f>
        <v>3.585</v>
      </c>
      <c r="E139" s="35">
        <f>'Fiscal Forecasts'!E$225</f>
        <v>3.6949999999999998</v>
      </c>
      <c r="F139" s="35">
        <f>'Fiscal Forecasts'!F$225</f>
        <v>3.3780000000000001</v>
      </c>
      <c r="G139" s="35">
        <f>'Fiscal Forecasts'!G$225</f>
        <v>3.5670000000000002</v>
      </c>
      <c r="H139" s="35">
        <f>'Fiscal Forecasts'!H$225</f>
        <v>3.532</v>
      </c>
      <c r="I139" s="35">
        <f>'Fiscal Forecasts'!I$225</f>
        <v>3.3140000000000001</v>
      </c>
      <c r="J139" s="17">
        <f>'Fiscal Forecasts'!J$225</f>
        <v>3.403</v>
      </c>
      <c r="K139" s="17">
        <f>'Fiscal Forecasts'!K$225</f>
        <v>3.399</v>
      </c>
      <c r="L139" s="17">
        <f>'Fiscal Forecasts'!L$225</f>
        <v>3.39</v>
      </c>
      <c r="M139" s="17">
        <f>'Fiscal Forecasts'!M$225</f>
        <v>3.39</v>
      </c>
      <c r="N139" s="17">
        <f>'Fiscal Forecasts'!N$225</f>
        <v>3.4140000000000001</v>
      </c>
      <c r="O139" s="16">
        <f ca="1">N$139*(1+O$19)*(1+O$29)</f>
        <v>3.5254182749113085</v>
      </c>
      <c r="P139" s="16">
        <f t="shared" ref="P139:X139" ca="1" si="101">O$139*(1+P$19)*(1+P$29)</f>
        <v>3.6378905766677603</v>
      </c>
      <c r="Q139" s="16">
        <f t="shared" ca="1" si="101"/>
        <v>3.7517149994902392</v>
      </c>
      <c r="R139" s="16">
        <f t="shared" ca="1" si="101"/>
        <v>3.8658702725971064</v>
      </c>
      <c r="S139" s="16">
        <f t="shared" ca="1" si="101"/>
        <v>3.9809623053354337</v>
      </c>
      <c r="T139" s="16">
        <f t="shared" ca="1" si="101"/>
        <v>4.096721368764916</v>
      </c>
      <c r="U139" s="16">
        <f t="shared" ca="1" si="101"/>
        <v>4.2146608693789736</v>
      </c>
      <c r="V139" s="16">
        <f t="shared" ca="1" si="101"/>
        <v>4.3341912410765806</v>
      </c>
      <c r="W139" s="16">
        <f t="shared" ca="1" si="101"/>
        <v>4.4536100740016673</v>
      </c>
      <c r="X139" s="16">
        <f t="shared" ca="1" si="101"/>
        <v>4.5741774460329756</v>
      </c>
    </row>
    <row r="140" spans="1:24" x14ac:dyDescent="0.25">
      <c r="A140" s="9" t="s">
        <v>908</v>
      </c>
      <c r="B140" s="10"/>
      <c r="C140" s="13"/>
      <c r="D140" s="65">
        <f t="shared" ref="D140:X140" si="102">SUM(D$134:D$139)</f>
        <v>85.722999999999999</v>
      </c>
      <c r="E140" s="65">
        <f t="shared" si="102"/>
        <v>84.521000000000001</v>
      </c>
      <c r="F140" s="65">
        <f t="shared" si="102"/>
        <v>97.361999999999995</v>
      </c>
      <c r="G140" s="65">
        <f t="shared" si="102"/>
        <v>107.87299999999999</v>
      </c>
      <c r="H140" s="65">
        <f t="shared" si="102"/>
        <v>111.712</v>
      </c>
      <c r="I140" s="65">
        <f t="shared" si="102"/>
        <v>119.89999999999998</v>
      </c>
      <c r="J140" s="66">
        <f t="shared" si="102"/>
        <v>120.16000000000003</v>
      </c>
      <c r="K140" s="66">
        <f t="shared" si="102"/>
        <v>124.21</v>
      </c>
      <c r="L140" s="66">
        <f t="shared" si="102"/>
        <v>132.09699999999998</v>
      </c>
      <c r="M140" s="66">
        <f t="shared" si="102"/>
        <v>139.47999999999999</v>
      </c>
      <c r="N140" s="66">
        <f t="shared" si="102"/>
        <v>147.05399999999997</v>
      </c>
      <c r="O140" s="67">
        <f t="shared" ca="1" si="102"/>
        <v>152.89321326350102</v>
      </c>
      <c r="P140" s="67">
        <f t="shared" ca="1" si="102"/>
        <v>159.16823718847181</v>
      </c>
      <c r="Q140" s="67">
        <f t="shared" ca="1" si="102"/>
        <v>165.63799304044909</v>
      </c>
      <c r="R140" s="67">
        <f t="shared" ca="1" si="102"/>
        <v>172.12666338681035</v>
      </c>
      <c r="S140" s="67">
        <f t="shared" ca="1" si="102"/>
        <v>178.75682638932682</v>
      </c>
      <c r="T140" s="67">
        <f t="shared" ca="1" si="102"/>
        <v>185.51826973824845</v>
      </c>
      <c r="U140" s="67">
        <f t="shared" ca="1" si="102"/>
        <v>192.37050077919096</v>
      </c>
      <c r="V140" s="67">
        <f t="shared" ca="1" si="102"/>
        <v>199.32557146505084</v>
      </c>
      <c r="W140" s="67">
        <f t="shared" ca="1" si="102"/>
        <v>206.38152471775896</v>
      </c>
      <c r="X140" s="67">
        <f t="shared" ca="1" si="102"/>
        <v>213.59189107421957</v>
      </c>
    </row>
    <row r="141" spans="1:24" x14ac:dyDescent="0.25">
      <c r="A141" s="11" t="s">
        <v>855</v>
      </c>
      <c r="B141" s="10" t="str">
        <f t="shared" si="100"/>
        <v>From Fiscal Forecasts</v>
      </c>
      <c r="C141" s="64" cm="1">
        <f t="array" aca="1" ref="C141" ca="1">SUMPRODUCT(OFFSET($N$141,0,0,1,-OFFSET(Assumptions!$B$33,0,$C$1))/OFFSET($N$13,0,0,1,-OFFSET(Assumptions!$B$33,0,$C$1)))/OFFSET(Assumptions!$B$33,0,$C$1)</f>
        <v>-1.8075933684058583E-3</v>
      </c>
      <c r="D141" s="35">
        <f>D$140-'Fiscal Forecasts'!D$163</f>
        <v>-0.74500000000000455</v>
      </c>
      <c r="E141" s="35">
        <f>E$140-'Fiscal Forecasts'!E$163</f>
        <v>-0.58100000000000307</v>
      </c>
      <c r="F141" s="35">
        <f>F$140-'Fiscal Forecasts'!F$163</f>
        <v>-0.62100000000000932</v>
      </c>
      <c r="G141" s="35">
        <f>G$140-'Fiscal Forecasts'!G$163</f>
        <v>-0.58500000000000796</v>
      </c>
      <c r="H141" s="35">
        <f>H$140-'Fiscal Forecasts'!H$163</f>
        <v>-0.6460000000000008</v>
      </c>
      <c r="I141" s="35">
        <f>I$140-'Fiscal Forecasts'!I$163</f>
        <v>-0.66600000000002524</v>
      </c>
      <c r="J141" s="17">
        <f>J$140-'Fiscal Forecasts'!J$163</f>
        <v>-0.73399999999998045</v>
      </c>
      <c r="K141" s="17">
        <f>K$140-'Fiscal Forecasts'!K$163</f>
        <v>-0.83400000000000318</v>
      </c>
      <c r="L141" s="17">
        <f>L$140-'Fiscal Forecasts'!L$163</f>
        <v>-0.92100000000002069</v>
      </c>
      <c r="M141" s="17">
        <f>M$140-'Fiscal Forecasts'!M$163</f>
        <v>-1.0110000000000241</v>
      </c>
      <c r="N141" s="17">
        <f>N$140-'Fiscal Forecasts'!N$163</f>
        <v>-1.146000000000015</v>
      </c>
      <c r="O141" s="16">
        <f ca="1">(N$141/N$13+MIN(ABS($C$141-N$141/N$13),OFFSET(Assumptions!$B$34,0,$C$1))*SIGN($C$141-N$141/N$13))*O$13</f>
        <v>-0.98827741072355701</v>
      </c>
      <c r="P141" s="16">
        <f ca="1">(O$141/O$13+MIN(ABS($C$141-O$141/O$13),OFFSET(Assumptions!$B$34,0,$C$1))*SIGN($C$141-O$141/O$13))*P$13</f>
        <v>-1.0304275989474487</v>
      </c>
      <c r="Q141" s="16">
        <f ca="1">(P$141/P$13+MIN(ABS($C$141-P$141/P$13),OFFSET(Assumptions!$B$34,0,$C$1))*SIGN($C$141-P$141/P$13))*Q$13</f>
        <v>-1.0726693067458899</v>
      </c>
      <c r="R141" s="16">
        <f ca="1">(Q$141/Q$13+MIN(ABS($C$141-Q$141/Q$13),OFFSET(Assumptions!$B$34,0,$C$1))*SIGN($C$141-Q$141/Q$13))*R$13</f>
        <v>-1.1149072700075997</v>
      </c>
      <c r="S141" s="16">
        <f ca="1">(R$141/R$13+MIN(ABS($C$141-R$141/R$13),OFFSET(Assumptions!$B$34,0,$C$1))*SIGN($C$141-R$141/R$13))*S$13</f>
        <v>-1.1580765660413503</v>
      </c>
      <c r="T141" s="16">
        <f ca="1">(S$141/S$13+MIN(ABS($C$141-S$141/S$13),OFFSET(Assumptions!$B$34,0,$C$1))*SIGN($C$141-S$141/S$13))*T$13</f>
        <v>-1.2021113146416447</v>
      </c>
      <c r="U141" s="16">
        <f ca="1">(T$141/T$13+MIN(ABS($C$141-T$141/T$13),OFFSET(Assumptions!$B$34,0,$C$1))*SIGN($C$141-T$141/T$13))*U$13</f>
        <v>-1.246733180839354</v>
      </c>
      <c r="V141" s="16">
        <f ca="1">(U$141/U$13+MIN(ABS($C$141-U$141/U$13),OFFSET(Assumptions!$B$34,0,$C$1))*SIGN($C$141-U$141/U$13))*V$13</f>
        <v>-1.2920259281849373</v>
      </c>
      <c r="W141" s="16">
        <f ca="1">(V$141/V$13+MIN(ABS($C$141-V$141/V$13),OFFSET(Assumptions!$B$34,0,$C$1))*SIGN($C$141-V$141/V$13))*W$13</f>
        <v>-1.3379878692297809</v>
      </c>
      <c r="X141" s="16">
        <f ca="1">(W$141/W$13+MIN(ABS($C$141-W$141/W$13),OFFSET(Assumptions!$B$34,0,$C$1))*SIGN($C$141-W$141/W$13))*X$13</f>
        <v>-1.3849653515317173</v>
      </c>
    </row>
    <row r="142" spans="1:24" x14ac:dyDescent="0.25">
      <c r="A142" s="9" t="s">
        <v>856</v>
      </c>
      <c r="B142" s="9"/>
      <c r="C142" s="13"/>
      <c r="D142" s="65">
        <f t="shared" ref="D142:X142" si="103">D$140-D$141</f>
        <v>86.468000000000004</v>
      </c>
      <c r="E142" s="65">
        <f t="shared" si="103"/>
        <v>85.102000000000004</v>
      </c>
      <c r="F142" s="65">
        <f t="shared" si="103"/>
        <v>97.983000000000004</v>
      </c>
      <c r="G142" s="65">
        <f t="shared" si="103"/>
        <v>108.458</v>
      </c>
      <c r="H142" s="65">
        <f t="shared" si="103"/>
        <v>112.358</v>
      </c>
      <c r="I142" s="65">
        <f t="shared" si="103"/>
        <v>120.566</v>
      </c>
      <c r="J142" s="66">
        <f t="shared" si="103"/>
        <v>120.89400000000001</v>
      </c>
      <c r="K142" s="66">
        <f t="shared" si="103"/>
        <v>125.044</v>
      </c>
      <c r="L142" s="66">
        <f t="shared" si="103"/>
        <v>133.018</v>
      </c>
      <c r="M142" s="66">
        <f t="shared" si="103"/>
        <v>140.49100000000001</v>
      </c>
      <c r="N142" s="66">
        <f t="shared" si="103"/>
        <v>148.19999999999999</v>
      </c>
      <c r="O142" s="67">
        <f t="shared" ca="1" si="103"/>
        <v>153.88149067422458</v>
      </c>
      <c r="P142" s="67">
        <f t="shared" ca="1" si="103"/>
        <v>160.19866478741926</v>
      </c>
      <c r="Q142" s="67">
        <f t="shared" ca="1" si="103"/>
        <v>166.71066234719498</v>
      </c>
      <c r="R142" s="67">
        <f t="shared" ca="1" si="103"/>
        <v>173.24157065681794</v>
      </c>
      <c r="S142" s="67">
        <f t="shared" ca="1" si="103"/>
        <v>179.91490295536818</v>
      </c>
      <c r="T142" s="67">
        <f t="shared" ca="1" si="103"/>
        <v>186.7203810528901</v>
      </c>
      <c r="U142" s="67">
        <f t="shared" ca="1" si="103"/>
        <v>193.61723396003032</v>
      </c>
      <c r="V142" s="67">
        <f t="shared" ca="1" si="103"/>
        <v>200.61759739323577</v>
      </c>
      <c r="W142" s="67">
        <f t="shared" ca="1" si="103"/>
        <v>207.71951258698874</v>
      </c>
      <c r="X142" s="67">
        <f t="shared" ca="1" si="103"/>
        <v>214.97685642575129</v>
      </c>
    </row>
    <row r="143" spans="1:24" x14ac:dyDescent="0.25">
      <c r="A143" s="9"/>
      <c r="B143" s="9"/>
      <c r="C143" s="13"/>
      <c r="D143" s="68"/>
      <c r="E143" s="68"/>
      <c r="F143" s="68"/>
      <c r="G143" s="68"/>
      <c r="H143" s="68"/>
      <c r="I143" s="68"/>
      <c r="J143" s="69"/>
      <c r="K143" s="69"/>
      <c r="L143" s="69"/>
      <c r="M143" s="69"/>
      <c r="N143" s="69"/>
      <c r="O143" s="70"/>
      <c r="P143" s="70"/>
      <c r="Q143" s="70"/>
      <c r="R143" s="70"/>
      <c r="S143" s="70"/>
      <c r="T143" s="70"/>
      <c r="U143" s="70"/>
      <c r="V143" s="70"/>
      <c r="W143" s="70"/>
      <c r="X143" s="70"/>
    </row>
    <row r="144" spans="1:24" x14ac:dyDescent="0.25">
      <c r="A144" s="9" t="s">
        <v>702</v>
      </c>
      <c r="B144" s="9"/>
      <c r="C144" s="13"/>
      <c r="D144" s="68"/>
      <c r="E144" s="68"/>
      <c r="F144" s="68"/>
      <c r="G144" s="68"/>
      <c r="H144" s="68"/>
      <c r="I144" s="68"/>
      <c r="J144" s="69"/>
      <c r="K144" s="69"/>
      <c r="L144" s="69"/>
      <c r="M144" s="69"/>
      <c r="N144" s="69"/>
      <c r="O144" s="70"/>
      <c r="P144" s="70"/>
      <c r="Q144" s="70"/>
      <c r="R144" s="70"/>
      <c r="S144" s="70"/>
      <c r="T144" s="70"/>
      <c r="U144" s="70"/>
      <c r="V144" s="70"/>
      <c r="W144" s="70"/>
      <c r="X144" s="70"/>
    </row>
    <row r="145" spans="1:24" x14ac:dyDescent="0.25">
      <c r="A145" s="11" t="s">
        <v>857</v>
      </c>
      <c r="B145" s="10" t="str">
        <f>$B$38</f>
        <v>From Fiscal Forecasts</v>
      </c>
      <c r="C145" s="13"/>
      <c r="D145" s="35">
        <f>'Fiscal Forecasts'!D$229</f>
        <v>0.84599999999999997</v>
      </c>
      <c r="E145" s="35">
        <f>'Fiscal Forecasts'!E$229</f>
        <v>1.0429999999999999</v>
      </c>
      <c r="F145" s="35">
        <f>'Fiscal Forecasts'!F$229</f>
        <v>1.6339999999999999</v>
      </c>
      <c r="G145" s="35">
        <f>'Fiscal Forecasts'!G$229</f>
        <v>3.0059999999999998</v>
      </c>
      <c r="H145" s="35">
        <f>'Fiscal Forecasts'!H$229</f>
        <v>1.5820000000000001</v>
      </c>
      <c r="I145" s="35">
        <f>'Fiscal Forecasts'!I$229</f>
        <v>1.69</v>
      </c>
      <c r="J145" s="17">
        <f>'Fiscal Forecasts'!J$229</f>
        <v>2.4350000000000001</v>
      </c>
      <c r="K145" s="17">
        <f>'Fiscal Forecasts'!K$229</f>
        <v>2.2149999999999999</v>
      </c>
      <c r="L145" s="17">
        <f>'Fiscal Forecasts'!L$229</f>
        <v>2.1240000000000001</v>
      </c>
      <c r="M145" s="17">
        <f>'Fiscal Forecasts'!M$229</f>
        <v>2.073</v>
      </c>
      <c r="N145" s="17">
        <f>'Fiscal Forecasts'!N$229</f>
        <v>2.0630000000000002</v>
      </c>
      <c r="O145" s="16">
        <f t="shared" ref="O145:X145" si="104">N$145</f>
        <v>2.0630000000000002</v>
      </c>
      <c r="P145" s="16">
        <f t="shared" si="104"/>
        <v>2.0630000000000002</v>
      </c>
      <c r="Q145" s="16">
        <f t="shared" si="104"/>
        <v>2.0630000000000002</v>
      </c>
      <c r="R145" s="16">
        <f t="shared" si="104"/>
        <v>2.0630000000000002</v>
      </c>
      <c r="S145" s="16">
        <f t="shared" si="104"/>
        <v>2.0630000000000002</v>
      </c>
      <c r="T145" s="16">
        <f t="shared" si="104"/>
        <v>2.0630000000000002</v>
      </c>
      <c r="U145" s="16">
        <f t="shared" si="104"/>
        <v>2.0630000000000002</v>
      </c>
      <c r="V145" s="16">
        <f t="shared" si="104"/>
        <v>2.0630000000000002</v>
      </c>
      <c r="W145" s="16">
        <f t="shared" si="104"/>
        <v>2.0630000000000002</v>
      </c>
      <c r="X145" s="16">
        <f t="shared" si="104"/>
        <v>2.0630000000000002</v>
      </c>
    </row>
    <row r="146" spans="1:24" x14ac:dyDescent="0.25">
      <c r="A146" s="11" t="s">
        <v>858</v>
      </c>
      <c r="B146" s="10" t="str">
        <f>$B$38</f>
        <v>From Fiscal Forecasts</v>
      </c>
      <c r="C146" s="13"/>
      <c r="D146" s="35">
        <f>'Fiscal Forecasts'!D$164-D$145</f>
        <v>1.1310000000000002</v>
      </c>
      <c r="E146" s="35">
        <f>'Fiscal Forecasts'!E$164-E$145</f>
        <v>1.0770000000000002</v>
      </c>
      <c r="F146" s="35">
        <f>'Fiscal Forecasts'!F$164-F$145</f>
        <v>1.1110000000000002</v>
      </c>
      <c r="G146" s="35">
        <f>'Fiscal Forecasts'!G$164-G$145</f>
        <v>1.3210000000000002</v>
      </c>
      <c r="H146" s="35">
        <f>'Fiscal Forecasts'!H$164-H$145</f>
        <v>1.7099999999999997</v>
      </c>
      <c r="I146" s="35">
        <f>'Fiscal Forecasts'!I$164-I$145</f>
        <v>1.899</v>
      </c>
      <c r="J146" s="17">
        <f>'Fiscal Forecasts'!J$164-J$145</f>
        <v>1.871</v>
      </c>
      <c r="K146" s="17">
        <f>'Fiscal Forecasts'!K$164-K$145</f>
        <v>2.202</v>
      </c>
      <c r="L146" s="17">
        <f>'Fiscal Forecasts'!L$164-L$145</f>
        <v>2.3009999999999997</v>
      </c>
      <c r="M146" s="17">
        <f>'Fiscal Forecasts'!M$164-M$145</f>
        <v>2.347</v>
      </c>
      <c r="N146" s="17">
        <f>'Fiscal Forecasts'!N$164-N$145</f>
        <v>2.3879999999999995</v>
      </c>
      <c r="O146" s="16">
        <f t="shared" ref="O146:X146" ca="1" si="105">N$146*(1+O$19)*(1+O$29)</f>
        <v>2.4659340481804928</v>
      </c>
      <c r="P146" s="16">
        <f t="shared" ca="1" si="105"/>
        <v>2.5446053594266576</v>
      </c>
      <c r="Q146" s="16">
        <f t="shared" ca="1" si="105"/>
        <v>2.6242224425256846</v>
      </c>
      <c r="R146" s="16">
        <f t="shared" ca="1" si="105"/>
        <v>2.7040709463860235</v>
      </c>
      <c r="S146" s="16">
        <f t="shared" ca="1" si="105"/>
        <v>2.7845746880905122</v>
      </c>
      <c r="T146" s="16">
        <f t="shared" ca="1" si="105"/>
        <v>2.8655449995930327</v>
      </c>
      <c r="U146" s="16">
        <f t="shared" ca="1" si="105"/>
        <v>2.9480404675093674</v>
      </c>
      <c r="V146" s="16">
        <f t="shared" ca="1" si="105"/>
        <v>3.0316487064120867</v>
      </c>
      <c r="W146" s="16">
        <f t="shared" ca="1" si="105"/>
        <v>3.1151789269818311</v>
      </c>
      <c r="X146" s="16">
        <f t="shared" ca="1" si="105"/>
        <v>3.1995125193692844</v>
      </c>
    </row>
    <row r="147" spans="1:24" x14ac:dyDescent="0.25">
      <c r="A147" s="9" t="s">
        <v>859</v>
      </c>
      <c r="B147" s="9"/>
      <c r="C147" s="13"/>
      <c r="D147" s="65">
        <f t="shared" ref="D147:X147" si="106">SUM(D$145:D$146)</f>
        <v>1.9770000000000003</v>
      </c>
      <c r="E147" s="65">
        <f t="shared" si="106"/>
        <v>2.12</v>
      </c>
      <c r="F147" s="65">
        <f t="shared" si="106"/>
        <v>2.7450000000000001</v>
      </c>
      <c r="G147" s="65">
        <f t="shared" si="106"/>
        <v>4.327</v>
      </c>
      <c r="H147" s="65">
        <f t="shared" si="106"/>
        <v>3.2919999999999998</v>
      </c>
      <c r="I147" s="65">
        <f t="shared" si="106"/>
        <v>3.589</v>
      </c>
      <c r="J147" s="66">
        <f t="shared" si="106"/>
        <v>4.306</v>
      </c>
      <c r="K147" s="66">
        <f t="shared" si="106"/>
        <v>4.4169999999999998</v>
      </c>
      <c r="L147" s="66">
        <f t="shared" si="106"/>
        <v>4.4249999999999998</v>
      </c>
      <c r="M147" s="66">
        <f t="shared" si="106"/>
        <v>4.42</v>
      </c>
      <c r="N147" s="66">
        <f t="shared" si="106"/>
        <v>4.4509999999999996</v>
      </c>
      <c r="O147" s="67">
        <f t="shared" ca="1" si="106"/>
        <v>4.5289340481804929</v>
      </c>
      <c r="P147" s="67">
        <f t="shared" ca="1" si="106"/>
        <v>4.6076053594266577</v>
      </c>
      <c r="Q147" s="67">
        <f t="shared" ca="1" si="106"/>
        <v>4.6872224425256848</v>
      </c>
      <c r="R147" s="67">
        <f t="shared" ca="1" si="106"/>
        <v>4.7670709463860241</v>
      </c>
      <c r="S147" s="67">
        <f t="shared" ca="1" si="106"/>
        <v>4.8475746880905124</v>
      </c>
      <c r="T147" s="67">
        <f t="shared" ca="1" si="106"/>
        <v>4.9285449995930328</v>
      </c>
      <c r="U147" s="67">
        <f t="shared" ca="1" si="106"/>
        <v>5.0110404675093676</v>
      </c>
      <c r="V147" s="67">
        <f t="shared" ca="1" si="106"/>
        <v>5.0946487064120873</v>
      </c>
      <c r="W147" s="67">
        <f t="shared" ca="1" si="106"/>
        <v>5.1781789269818308</v>
      </c>
      <c r="X147" s="67">
        <f t="shared" ca="1" si="106"/>
        <v>5.2625125193692845</v>
      </c>
    </row>
    <row r="148" spans="1:24" x14ac:dyDescent="0.25">
      <c r="A148" s="11" t="s">
        <v>703</v>
      </c>
      <c r="B148" s="10" t="str">
        <f>$B$38</f>
        <v>From Fiscal Forecasts</v>
      </c>
      <c r="C148" s="13"/>
      <c r="D148" s="35">
        <f>'Fiscal Forecasts'!D$228</f>
        <v>3.0139999999999998</v>
      </c>
      <c r="E148" s="35">
        <f>'Fiscal Forecasts'!E$228</f>
        <v>3.032</v>
      </c>
      <c r="F148" s="35">
        <f>'Fiscal Forecasts'!F$228</f>
        <v>3.27</v>
      </c>
      <c r="G148" s="35">
        <f>'Fiscal Forecasts'!G$228</f>
        <v>3.4609999999999999</v>
      </c>
      <c r="H148" s="35">
        <f>'Fiscal Forecasts'!H$228</f>
        <v>3.855</v>
      </c>
      <c r="I148" s="35">
        <f>'Fiscal Forecasts'!I$228</f>
        <v>4.1449999999999996</v>
      </c>
      <c r="J148" s="17">
        <f>'Fiscal Forecasts'!J$228</f>
        <v>4.2649999999999997</v>
      </c>
      <c r="K148" s="17">
        <f>'Fiscal Forecasts'!K$228</f>
        <v>4.7149999999999999</v>
      </c>
      <c r="L148" s="17">
        <f>'Fiscal Forecasts'!L$228</f>
        <v>5.2039999999999997</v>
      </c>
      <c r="M148" s="17">
        <f>'Fiscal Forecasts'!M$228</f>
        <v>5.7030000000000003</v>
      </c>
      <c r="N148" s="17">
        <f>'Fiscal Forecasts'!N$228</f>
        <v>6.2389999999999999</v>
      </c>
      <c r="O148" s="16">
        <f>N$148*(Exogenous!Z$26-Exogenous!Z$27)/(Exogenous!Y$26-Exogenous!Y$27)</f>
        <v>6.7922214680442501</v>
      </c>
      <c r="P148" s="16">
        <f>O$148*(Exogenous!AA$26-Exogenous!AA$27)/(Exogenous!Z$26-Exogenous!Z$27)</f>
        <v>7.3773643877749224</v>
      </c>
      <c r="Q148" s="16">
        <f>P$148*(Exogenous!AB$26-Exogenous!AB$27)/(Exogenous!AA$26-Exogenous!AA$27)</f>
        <v>8.0450326288791469</v>
      </c>
      <c r="R148" s="16">
        <f>Q$148*(Exogenous!AC$26-Exogenous!AC$27)/(Exogenous!AB$26-Exogenous!AB$27)</f>
        <v>8.7507730414661591</v>
      </c>
      <c r="S148" s="16">
        <f>R$148*(Exogenous!AD$26-Exogenous!AD$27)/(Exogenous!AC$26-Exogenous!AC$27)</f>
        <v>9.5257663808887454</v>
      </c>
      <c r="T148" s="16">
        <f>S$148*(Exogenous!AE$26-Exogenous!AE$27)/(Exogenous!AD$26-Exogenous!AD$27)</f>
        <v>10.34282594471633</v>
      </c>
      <c r="U148" s="16">
        <f>T$148*(Exogenous!AF$26-Exogenous!AF$27)/(Exogenous!AE$26-Exogenous!AE$27)</f>
        <v>11.236500181765395</v>
      </c>
      <c r="V148" s="16">
        <f>U$148*(Exogenous!AG$26-Exogenous!AG$27)/(Exogenous!AF$26-Exogenous!AF$27)</f>
        <v>12.001795802679197</v>
      </c>
      <c r="W148" s="16">
        <f>V$148*(Exogenous!AH$26-Exogenous!AH$27)/(Exogenous!AG$26-Exogenous!AG$27)</f>
        <v>12.543476849089375</v>
      </c>
      <c r="X148" s="16">
        <f>W$148*(Exogenous!AI$26-Exogenous!AI$27)/(Exogenous!AH$26-Exogenous!AH$27)</f>
        <v>13.028010010466666</v>
      </c>
    </row>
    <row r="149" spans="1:24" x14ac:dyDescent="0.25">
      <c r="A149" s="11" t="s">
        <v>860</v>
      </c>
      <c r="B149" s="10" t="str">
        <f>$B$38</f>
        <v>From Fiscal Forecasts</v>
      </c>
      <c r="C149" s="13"/>
      <c r="D149" s="35">
        <f>'Fiscal Forecasts'!D$10-SUM(D$147:D$148)</f>
        <v>1.0369999999999999</v>
      </c>
      <c r="E149" s="35">
        <f>'Fiscal Forecasts'!E$10-SUM(E$147:E$148)</f>
        <v>1.117</v>
      </c>
      <c r="F149" s="35">
        <f>'Fiscal Forecasts'!F$10-SUM(F$147:F$148)</f>
        <v>1.0229999999999997</v>
      </c>
      <c r="G149" s="35">
        <f>'Fiscal Forecasts'!G$10-SUM(G$147:G$148)</f>
        <v>1.1059999999999999</v>
      </c>
      <c r="H149" s="35">
        <f>'Fiscal Forecasts'!H$10-SUM(H$147:H$148)</f>
        <v>1.2599999999999998</v>
      </c>
      <c r="I149" s="35">
        <f>'Fiscal Forecasts'!I$10-SUM(I$147:I$148)</f>
        <v>1.6920000000000002</v>
      </c>
      <c r="J149" s="17">
        <f>'Fiscal Forecasts'!J$10-SUM(J$147:J$148)</f>
        <v>1.8849999999999998</v>
      </c>
      <c r="K149" s="17">
        <f>'Fiscal Forecasts'!K$10-SUM(K$147:K$148)</f>
        <v>1.8740000000000006</v>
      </c>
      <c r="L149" s="17">
        <f>'Fiscal Forecasts'!L$10-SUM(L$147:L$148)</f>
        <v>1.9410000000000007</v>
      </c>
      <c r="M149" s="17">
        <f>'Fiscal Forecasts'!M$10-SUM(M$147:M$148)</f>
        <v>2.0509999999999984</v>
      </c>
      <c r="N149" s="17">
        <f>'Fiscal Forecasts'!N$10-SUM(N$147:N$148)</f>
        <v>2.120000000000001</v>
      </c>
      <c r="O149" s="16">
        <f t="shared" ref="O149:X149" ca="1" si="107">N$149*(1+O$19)*(1+O$29)</f>
        <v>2.1891876809642583</v>
      </c>
      <c r="P149" s="16">
        <f t="shared" ca="1" si="107"/>
        <v>2.2590298835781066</v>
      </c>
      <c r="Q149" s="16">
        <f t="shared" ca="1" si="107"/>
        <v>2.3297117161450824</v>
      </c>
      <c r="R149" s="16">
        <f t="shared" ca="1" si="107"/>
        <v>2.4005989976291358</v>
      </c>
      <c r="S149" s="16">
        <f t="shared" ca="1" si="107"/>
        <v>2.4720679810518811</v>
      </c>
      <c r="T149" s="16">
        <f t="shared" ca="1" si="107"/>
        <v>2.543951172168021</v>
      </c>
      <c r="U149" s="16">
        <f t="shared" ca="1" si="107"/>
        <v>2.6171883547403119</v>
      </c>
      <c r="V149" s="16">
        <f t="shared" ca="1" si="107"/>
        <v>2.6914134244529437</v>
      </c>
      <c r="W149" s="16">
        <f t="shared" ca="1" si="107"/>
        <v>2.7655692316589144</v>
      </c>
      <c r="X149" s="16">
        <f t="shared" ca="1" si="107"/>
        <v>2.840438250026335</v>
      </c>
    </row>
    <row r="150" spans="1:24" x14ac:dyDescent="0.25">
      <c r="A150" s="9" t="s">
        <v>909</v>
      </c>
      <c r="B150" s="9"/>
      <c r="C150" s="13"/>
      <c r="D150" s="65">
        <f t="shared" ref="D150:X150" si="108">SUM(D$147:D$149)</f>
        <v>6.0279999999999996</v>
      </c>
      <c r="E150" s="65">
        <f t="shared" si="108"/>
        <v>6.2690000000000001</v>
      </c>
      <c r="F150" s="65">
        <f t="shared" si="108"/>
        <v>7.0380000000000003</v>
      </c>
      <c r="G150" s="65">
        <f t="shared" si="108"/>
        <v>8.8940000000000001</v>
      </c>
      <c r="H150" s="65">
        <f t="shared" si="108"/>
        <v>8.407</v>
      </c>
      <c r="I150" s="65">
        <f t="shared" si="108"/>
        <v>9.4260000000000002</v>
      </c>
      <c r="J150" s="66">
        <f t="shared" si="108"/>
        <v>10.456</v>
      </c>
      <c r="K150" s="66">
        <f t="shared" si="108"/>
        <v>11.006</v>
      </c>
      <c r="L150" s="66">
        <f t="shared" si="108"/>
        <v>11.57</v>
      </c>
      <c r="M150" s="66">
        <f t="shared" si="108"/>
        <v>12.173999999999999</v>
      </c>
      <c r="N150" s="66">
        <f t="shared" si="108"/>
        <v>12.81</v>
      </c>
      <c r="O150" s="67">
        <f t="shared" ca="1" si="108"/>
        <v>13.510343197189</v>
      </c>
      <c r="P150" s="67">
        <f t="shared" ca="1" si="108"/>
        <v>14.243999630779687</v>
      </c>
      <c r="Q150" s="67">
        <f t="shared" ca="1" si="108"/>
        <v>15.061966787549915</v>
      </c>
      <c r="R150" s="67">
        <f t="shared" ca="1" si="108"/>
        <v>15.918442985481319</v>
      </c>
      <c r="S150" s="67">
        <f t="shared" ca="1" si="108"/>
        <v>16.84540905003114</v>
      </c>
      <c r="T150" s="67">
        <f t="shared" ca="1" si="108"/>
        <v>17.815322116477383</v>
      </c>
      <c r="U150" s="67">
        <f t="shared" ca="1" si="108"/>
        <v>18.864729004015071</v>
      </c>
      <c r="V150" s="67">
        <f t="shared" ca="1" si="108"/>
        <v>19.787857933544228</v>
      </c>
      <c r="W150" s="67">
        <f t="shared" ca="1" si="108"/>
        <v>20.487225007730121</v>
      </c>
      <c r="X150" s="67">
        <f t="shared" ca="1" si="108"/>
        <v>21.130960779862285</v>
      </c>
    </row>
    <row r="151" spans="1:24" x14ac:dyDescent="0.25">
      <c r="A151" s="11" t="s">
        <v>861</v>
      </c>
      <c r="B151" s="10" t="str">
        <f>$B$38</f>
        <v>From Fiscal Forecasts</v>
      </c>
      <c r="C151" s="13"/>
      <c r="D151" s="35">
        <f>'Fiscal Forecasts'!D$374</f>
        <v>0</v>
      </c>
      <c r="E151" s="35">
        <f>'Fiscal Forecasts'!E$374</f>
        <v>0</v>
      </c>
      <c r="F151" s="35">
        <f>'Fiscal Forecasts'!F$374</f>
        <v>0.33600000000000002</v>
      </c>
      <c r="G151" s="35">
        <f>'Fiscal Forecasts'!G$374</f>
        <v>2.0960000000000001</v>
      </c>
      <c r="H151" s="35">
        <f>'Fiscal Forecasts'!H$374</f>
        <v>0.83199999999999996</v>
      </c>
      <c r="I151" s="35">
        <f>'Fiscal Forecasts'!I$374</f>
        <v>0.21</v>
      </c>
      <c r="J151" s="17">
        <f>'Fiscal Forecasts'!J$374</f>
        <v>0.27900000000000003</v>
      </c>
      <c r="K151" s="17">
        <f>'Fiscal Forecasts'!K$374</f>
        <v>0.33</v>
      </c>
      <c r="L151" s="17">
        <f>'Fiscal Forecasts'!L$374</f>
        <v>0.28299999999999997</v>
      </c>
      <c r="M151" s="17">
        <f>'Fiscal Forecasts'!M$374</f>
        <v>0.23</v>
      </c>
      <c r="N151" s="17">
        <f>'Fiscal Forecasts'!N$374</f>
        <v>0.17699999999999999</v>
      </c>
      <c r="O151" s="16">
        <f t="shared" ref="O151:X151" si="109">N$151</f>
        <v>0.17699999999999999</v>
      </c>
      <c r="P151" s="16">
        <f t="shared" si="109"/>
        <v>0.17699999999999999</v>
      </c>
      <c r="Q151" s="16">
        <f t="shared" si="109"/>
        <v>0.17699999999999999</v>
      </c>
      <c r="R151" s="16">
        <f t="shared" si="109"/>
        <v>0.17699999999999999</v>
      </c>
      <c r="S151" s="16">
        <f t="shared" si="109"/>
        <v>0.17699999999999999</v>
      </c>
      <c r="T151" s="16">
        <f t="shared" si="109"/>
        <v>0.17699999999999999</v>
      </c>
      <c r="U151" s="16">
        <f t="shared" si="109"/>
        <v>0.17699999999999999</v>
      </c>
      <c r="V151" s="16">
        <f t="shared" si="109"/>
        <v>0.17699999999999999</v>
      </c>
      <c r="W151" s="16">
        <f t="shared" si="109"/>
        <v>0.17699999999999999</v>
      </c>
      <c r="X151" s="16">
        <f t="shared" si="109"/>
        <v>0.17699999999999999</v>
      </c>
    </row>
    <row r="152" spans="1:24" x14ac:dyDescent="0.25">
      <c r="A152" s="9"/>
      <c r="B152" s="9"/>
      <c r="C152" s="13"/>
      <c r="D152" s="68"/>
      <c r="E152" s="68"/>
      <c r="F152" s="68"/>
      <c r="G152" s="68"/>
      <c r="H152" s="68"/>
      <c r="I152" s="68"/>
      <c r="J152" s="69"/>
      <c r="K152" s="69"/>
      <c r="L152" s="69"/>
      <c r="M152" s="69"/>
      <c r="N152" s="69"/>
      <c r="O152" s="70"/>
      <c r="P152" s="70"/>
      <c r="Q152" s="70"/>
      <c r="R152" s="70"/>
      <c r="S152" s="70"/>
      <c r="T152" s="70"/>
      <c r="U152" s="70"/>
      <c r="V152" s="70"/>
      <c r="W152" s="70"/>
      <c r="X152" s="70"/>
    </row>
    <row r="153" spans="1:24" x14ac:dyDescent="0.25">
      <c r="A153" s="9" t="s">
        <v>530</v>
      </c>
      <c r="B153" s="9"/>
      <c r="C153" s="13"/>
      <c r="D153" s="68"/>
      <c r="E153" s="68"/>
      <c r="F153" s="68"/>
      <c r="G153" s="68"/>
      <c r="H153" s="68"/>
      <c r="I153" s="68"/>
      <c r="J153" s="69"/>
      <c r="K153" s="69"/>
      <c r="L153" s="69"/>
      <c r="M153" s="69"/>
      <c r="N153" s="69"/>
      <c r="O153" s="70"/>
      <c r="P153" s="70"/>
      <c r="Q153" s="70"/>
      <c r="R153" s="70"/>
      <c r="S153" s="70"/>
      <c r="T153" s="70"/>
      <c r="U153" s="70"/>
      <c r="V153" s="70"/>
      <c r="W153" s="70"/>
      <c r="X153" s="70"/>
    </row>
    <row r="154" spans="1:24" x14ac:dyDescent="0.25">
      <c r="A154" s="9" t="s">
        <v>862</v>
      </c>
      <c r="B154" s="10" t="str">
        <f>$B$38</f>
        <v>From Fiscal Forecasts</v>
      </c>
      <c r="C154" s="13"/>
      <c r="D154" s="68">
        <f>'Fiscal Forecasts'!D165</f>
        <v>1.583</v>
      </c>
      <c r="E154" s="68">
        <f>'Fiscal Forecasts'!E165</f>
        <v>1.5529999999999999</v>
      </c>
      <c r="F154" s="68">
        <f>'Fiscal Forecasts'!F165</f>
        <v>1.5429999999999999</v>
      </c>
      <c r="G154" s="68">
        <f>'Fiscal Forecasts'!G165</f>
        <v>1.3859999999999999</v>
      </c>
      <c r="H154" s="68">
        <f>'Fiscal Forecasts'!H165</f>
        <v>1.631</v>
      </c>
      <c r="I154" s="68">
        <f>'Fiscal Forecasts'!I165</f>
        <v>1.798</v>
      </c>
      <c r="J154" s="69">
        <f>'Fiscal Forecasts'!J165</f>
        <v>2.21</v>
      </c>
      <c r="K154" s="69">
        <f>'Fiscal Forecasts'!K165</f>
        <v>2.3940000000000001</v>
      </c>
      <c r="L154" s="69">
        <f>'Fiscal Forecasts'!L165</f>
        <v>2.3420000000000001</v>
      </c>
      <c r="M154" s="69">
        <f>'Fiscal Forecasts'!M165</f>
        <v>2.427</v>
      </c>
      <c r="N154" s="69">
        <f>'Fiscal Forecasts'!N165</f>
        <v>2.4420000000000002</v>
      </c>
      <c r="O154" s="47">
        <f t="shared" ref="O154:X154" ca="1" si="110">N$154*(1+O$19)*(1+O$29)</f>
        <v>2.5216963759031681</v>
      </c>
      <c r="P154" s="47">
        <f t="shared" ca="1" si="110"/>
        <v>2.6021466866498741</v>
      </c>
      <c r="Q154" s="47">
        <f t="shared" ca="1" si="110"/>
        <v>2.6835641560501355</v>
      </c>
      <c r="R154" s="47">
        <f t="shared" ca="1" si="110"/>
        <v>2.7652182793445026</v>
      </c>
      <c r="S154" s="47">
        <f t="shared" ca="1" si="110"/>
        <v>2.8475424574191939</v>
      </c>
      <c r="T154" s="47">
        <f t="shared" ca="1" si="110"/>
        <v>2.9303437558652385</v>
      </c>
      <c r="U154" s="47">
        <f t="shared" ca="1" si="110"/>
        <v>3.014704699186717</v>
      </c>
      <c r="V154" s="47">
        <f t="shared" ca="1" si="110"/>
        <v>3.1002035766575884</v>
      </c>
      <c r="W154" s="47">
        <f t="shared" ca="1" si="110"/>
        <v>3.1856226715618248</v>
      </c>
      <c r="X154" s="47">
        <f t="shared" ca="1" si="110"/>
        <v>3.2718633049831651</v>
      </c>
    </row>
    <row r="155" spans="1:24" x14ac:dyDescent="0.25">
      <c r="A155" s="9" t="s">
        <v>910</v>
      </c>
      <c r="B155" s="10" t="str">
        <f>$B$38</f>
        <v>From Fiscal Forecasts</v>
      </c>
      <c r="C155" s="13"/>
      <c r="D155" s="68">
        <f>'Fiscal Forecasts'!D11</f>
        <v>19.795999999999999</v>
      </c>
      <c r="E155" s="68">
        <f>'Fiscal Forecasts'!E11</f>
        <v>18.437000000000001</v>
      </c>
      <c r="F155" s="68">
        <f>'Fiscal Forecasts'!F11</f>
        <v>18.5</v>
      </c>
      <c r="G155" s="68">
        <f>'Fiscal Forecasts'!G11</f>
        <v>17.442</v>
      </c>
      <c r="H155" s="68">
        <f>'Fiscal Forecasts'!H11</f>
        <v>21.954000000000001</v>
      </c>
      <c r="I155" s="68">
        <f>'Fiscal Forecasts'!I11</f>
        <v>25.135000000000002</v>
      </c>
      <c r="J155" s="69">
        <f>'Fiscal Forecasts'!J11</f>
        <v>26.361999999999998</v>
      </c>
      <c r="K155" s="69">
        <f>'Fiscal Forecasts'!K11</f>
        <v>27.553999999999998</v>
      </c>
      <c r="L155" s="69">
        <f>'Fiscal Forecasts'!L11</f>
        <v>28.504000000000001</v>
      </c>
      <c r="M155" s="69">
        <f>'Fiscal Forecasts'!M11</f>
        <v>29.87</v>
      </c>
      <c r="N155" s="69">
        <f>'Fiscal Forecasts'!N11</f>
        <v>30.238</v>
      </c>
      <c r="O155" s="47">
        <f t="shared" ref="O155:X155" ca="1" si="111">O$154+(N$155-N$154)*(1+O$14)</f>
        <v>31.517025502224552</v>
      </c>
      <c r="P155" s="47">
        <f t="shared" ca="1" si="111"/>
        <v>32.834131196395788</v>
      </c>
      <c r="Q155" s="47">
        <f t="shared" ca="1" si="111"/>
        <v>34.154889165926434</v>
      </c>
      <c r="R155" s="47">
        <f t="shared" ca="1" si="111"/>
        <v>35.475773927409826</v>
      </c>
      <c r="S155" s="47">
        <f t="shared" ca="1" si="111"/>
        <v>36.824653359169588</v>
      </c>
      <c r="T155" s="47">
        <f t="shared" ca="1" si="111"/>
        <v>38.199401650237419</v>
      </c>
      <c r="U155" s="47">
        <f t="shared" ca="1" si="111"/>
        <v>39.59293518274719</v>
      </c>
      <c r="V155" s="47">
        <f t="shared" ca="1" si="111"/>
        <v>41.007289806661774</v>
      </c>
      <c r="W155" s="47">
        <f t="shared" ca="1" si="111"/>
        <v>42.441198296769436</v>
      </c>
      <c r="X155" s="47">
        <f t="shared" ca="1" si="111"/>
        <v>43.90572355563144</v>
      </c>
    </row>
    <row r="156" spans="1:24" x14ac:dyDescent="0.25">
      <c r="A156" s="9"/>
      <c r="B156" s="9"/>
      <c r="C156" s="13"/>
      <c r="D156" s="68"/>
      <c r="E156" s="68"/>
      <c r="F156" s="68"/>
      <c r="G156" s="68"/>
      <c r="H156" s="68"/>
      <c r="I156" s="68"/>
      <c r="J156" s="69"/>
      <c r="K156" s="69"/>
      <c r="L156" s="69"/>
      <c r="M156" s="69"/>
      <c r="N156" s="69"/>
      <c r="O156" s="70"/>
      <c r="P156" s="70"/>
      <c r="Q156" s="70"/>
      <c r="R156" s="70"/>
      <c r="S156" s="70"/>
      <c r="T156" s="70"/>
      <c r="U156" s="70"/>
      <c r="V156" s="70"/>
      <c r="W156" s="70"/>
      <c r="X156" s="70"/>
    </row>
    <row r="157" spans="1:24" x14ac:dyDescent="0.25">
      <c r="A157" s="9" t="s">
        <v>531</v>
      </c>
      <c r="B157" s="9"/>
      <c r="C157" s="13"/>
      <c r="D157" s="68"/>
      <c r="E157" s="68"/>
      <c r="F157" s="68"/>
      <c r="G157" s="68"/>
      <c r="H157" s="68"/>
      <c r="I157" s="68"/>
      <c r="J157" s="69"/>
      <c r="K157" s="69"/>
      <c r="L157" s="69"/>
      <c r="M157" s="69"/>
      <c r="N157" s="69"/>
      <c r="O157" s="70"/>
      <c r="P157" s="70"/>
      <c r="Q157" s="70"/>
      <c r="R157" s="70"/>
      <c r="S157" s="70"/>
      <c r="T157" s="70"/>
      <c r="U157" s="70"/>
      <c r="V157" s="70"/>
      <c r="W157" s="70"/>
      <c r="X157" s="70"/>
    </row>
    <row r="158" spans="1:24" x14ac:dyDescent="0.25">
      <c r="A158" s="11" t="s">
        <v>867</v>
      </c>
      <c r="B158" s="9"/>
      <c r="C158" s="13"/>
      <c r="D158" s="35">
        <f ca="1">OFFSET(Assumptions!$B$47,0,$C$1)*D$384</f>
        <v>0.43208000000000002</v>
      </c>
      <c r="E158" s="35">
        <f ca="1">OFFSET(Assumptions!$B$47,0,$C$1)*E$384</f>
        <v>0.35332000000000002</v>
      </c>
      <c r="F158" s="35">
        <f ca="1">OFFSET(Assumptions!$B$47,0,$C$1)*F$384</f>
        <v>0.32647999999999999</v>
      </c>
      <c r="G158" s="35">
        <f ca="1">OFFSET(Assumptions!$B$47,0,$C$1)*G$384</f>
        <v>0.47387999999999997</v>
      </c>
      <c r="H158" s="35">
        <f ca="1">OFFSET(Assumptions!$B$47,0,$C$1)*H$384</f>
        <v>0.58079999999999998</v>
      </c>
      <c r="I158" s="35">
        <f ca="1">OFFSET(Assumptions!$B$47,0,$C$1)*I$384</f>
        <v>0.72996000000000005</v>
      </c>
      <c r="J158" s="17">
        <f ca="1">OFFSET(Assumptions!$B$47,0,$C$1)*J$384</f>
        <v>0.75020000000000009</v>
      </c>
      <c r="K158" s="17">
        <f ca="1">OFFSET(Assumptions!$B$47,0,$C$1)*K$384</f>
        <v>0.78011999999999992</v>
      </c>
      <c r="L158" s="17">
        <f ca="1">OFFSET(Assumptions!$B$47,0,$C$1)*L$384</f>
        <v>0.82235999999999998</v>
      </c>
      <c r="M158" s="17">
        <f ca="1">OFFSET(Assumptions!$B$47,0,$C$1)*M$384</f>
        <v>0.87692000000000003</v>
      </c>
      <c r="N158" s="17">
        <f ca="1">OFFSET(Assumptions!$B$47,0,$C$1)*N$384</f>
        <v>0.93104000000000009</v>
      </c>
      <c r="O158" s="16">
        <f ca="1">OFFSET(Assumptions!$B$47,0,$C$1)*O$384</f>
        <v>0.98719612249771271</v>
      </c>
      <c r="P158" s="16">
        <f ca="1">OFFSET(Assumptions!$B$47,0,$C$1)*P$384</f>
        <v>1.0459652386232476</v>
      </c>
      <c r="Q158" s="16">
        <f ca="1">OFFSET(Assumptions!$B$47,0,$C$1)*Q$384</f>
        <v>1.106944082263164</v>
      </c>
      <c r="R158" s="16">
        <f ca="1">OFFSET(Assumptions!$B$47,0,$C$1)*R$384</f>
        <v>1.1698163808582145</v>
      </c>
      <c r="S158" s="16">
        <f ca="1">OFFSET(Assumptions!$B$47,0,$C$1)*S$384</f>
        <v>1.2342598212523019</v>
      </c>
      <c r="T158" s="16">
        <f ca="1">OFFSET(Assumptions!$B$47,0,$C$1)*T$384</f>
        <v>1.3002348226020972</v>
      </c>
      <c r="U158" s="16">
        <f ca="1">OFFSET(Assumptions!$B$47,0,$C$1)*U$384</f>
        <v>1.3676609893111076</v>
      </c>
      <c r="V158" s="16">
        <f ca="1">OFFSET(Assumptions!$B$47,0,$C$1)*V$384</f>
        <v>1.4364580783544572</v>
      </c>
      <c r="W158" s="16">
        <f ca="1">OFFSET(Assumptions!$B$47,0,$C$1)*W$384</f>
        <v>1.5071179028560633</v>
      </c>
      <c r="X158" s="16">
        <f ca="1">OFFSET(Assumptions!$B$47,0,$C$1)*X$384</f>
        <v>1.580445928207433</v>
      </c>
    </row>
    <row r="159" spans="1:24" x14ac:dyDescent="0.25">
      <c r="A159" s="11" t="s">
        <v>863</v>
      </c>
      <c r="B159" s="9"/>
      <c r="C159" s="13"/>
      <c r="D159" s="35">
        <f t="shared" ref="D159:X159" si="112">D$413</f>
        <v>0.39400000000000002</v>
      </c>
      <c r="E159" s="35">
        <f t="shared" si="112"/>
        <v>0.33100000000000002</v>
      </c>
      <c r="F159" s="35">
        <f t="shared" si="112"/>
        <v>0.23499999999999999</v>
      </c>
      <c r="G159" s="35">
        <f t="shared" si="112"/>
        <v>0.28000000000000003</v>
      </c>
      <c r="H159" s="35">
        <f t="shared" si="112"/>
        <v>0.57699999999999996</v>
      </c>
      <c r="I159" s="35">
        <f t="shared" si="112"/>
        <v>0.63400000000000001</v>
      </c>
      <c r="J159" s="17">
        <f t="shared" si="112"/>
        <v>0.502</v>
      </c>
      <c r="K159" s="17">
        <f t="shared" si="112"/>
        <v>0.41299999999999998</v>
      </c>
      <c r="L159" s="17">
        <f t="shared" si="112"/>
        <v>0.42899999999999999</v>
      </c>
      <c r="M159" s="17">
        <f t="shared" si="112"/>
        <v>0.46100000000000002</v>
      </c>
      <c r="N159" s="17">
        <f t="shared" si="112"/>
        <v>0.48599999999999999</v>
      </c>
      <c r="O159" s="16">
        <f t="shared" si="112"/>
        <v>0.50700000000000001</v>
      </c>
      <c r="P159" s="16">
        <f t="shared" si="112"/>
        <v>0.52800000000000002</v>
      </c>
      <c r="Q159" s="16">
        <f t="shared" si="112"/>
        <v>0.54300000000000004</v>
      </c>
      <c r="R159" s="16">
        <f t="shared" si="112"/>
        <v>0.55300000000000005</v>
      </c>
      <c r="S159" s="16">
        <f t="shared" si="112"/>
        <v>0.55800000000000005</v>
      </c>
      <c r="T159" s="16">
        <f t="shared" si="112"/>
        <v>0.55700000000000005</v>
      </c>
      <c r="U159" s="16">
        <f t="shared" si="112"/>
        <v>0.54800000000000004</v>
      </c>
      <c r="V159" s="16">
        <f t="shared" si="112"/>
        <v>0.53400000000000003</v>
      </c>
      <c r="W159" s="16">
        <f t="shared" si="112"/>
        <v>0.51800000000000002</v>
      </c>
      <c r="X159" s="16">
        <f t="shared" si="112"/>
        <v>0.498</v>
      </c>
    </row>
    <row r="160" spans="1:24" x14ac:dyDescent="0.25">
      <c r="A160" s="11" t="s">
        <v>864</v>
      </c>
      <c r="B160" s="10" t="str">
        <f>$B$38</f>
        <v>From Fiscal Forecasts</v>
      </c>
      <c r="C160" s="13"/>
      <c r="D160" s="35">
        <f ca="1">'Fiscal Forecasts'!D$166-SUM(D$158:D$159)</f>
        <v>0.23392000000000002</v>
      </c>
      <c r="E160" s="35">
        <f ca="1">'Fiscal Forecasts'!E$166-SUM(E$158:E$159)</f>
        <v>0.16567999999999994</v>
      </c>
      <c r="F160" s="35">
        <f ca="1">'Fiscal Forecasts'!F$166-SUM(F$158:F$159)</f>
        <v>0.15451999999999999</v>
      </c>
      <c r="G160" s="35">
        <f ca="1">'Fiscal Forecasts'!G$166-SUM(G$158:G$159)</f>
        <v>0.10411999999999999</v>
      </c>
      <c r="H160" s="35">
        <f ca="1">'Fiscal Forecasts'!H$166-SUM(H$158:H$159)</f>
        <v>1.7042000000000002</v>
      </c>
      <c r="I160" s="35">
        <f ca="1">'Fiscal Forecasts'!I$166-SUM(I$158:I$159)</f>
        <v>3.0770399999999998</v>
      </c>
      <c r="J160" s="17">
        <f ca="1">'Fiscal Forecasts'!J$166-SUM(J$158:J$159)</f>
        <v>2.8267999999999995</v>
      </c>
      <c r="K160" s="17">
        <f ca="1">'Fiscal Forecasts'!K$166-SUM(K$158:K$159)</f>
        <v>2.5228800000000002</v>
      </c>
      <c r="L160" s="17">
        <f ca="1">'Fiscal Forecasts'!L$166-SUM(L$158:L$159)</f>
        <v>2.5806399999999998</v>
      </c>
      <c r="M160" s="17">
        <f ca="1">'Fiscal Forecasts'!M$166-SUM(M$158:M$159)</f>
        <v>2.8080799999999999</v>
      </c>
      <c r="N160" s="17">
        <f ca="1">'Fiscal Forecasts'!N$166-SUM(N$158:N$159)</f>
        <v>2.9759599999999997</v>
      </c>
      <c r="O160" s="16">
        <f t="shared" ref="O160:X160" ca="1" si="113">N$160*AVERAGE(1+O$29,O$234/N$234)</f>
        <v>3.0109788121259271</v>
      </c>
      <c r="P160" s="16">
        <f t="shared" ca="1" si="113"/>
        <v>3.0463909577499391</v>
      </c>
      <c r="Q160" s="16">
        <f t="shared" ca="1" si="113"/>
        <v>3.0822007575886547</v>
      </c>
      <c r="R160" s="16">
        <f t="shared" ca="1" si="113"/>
        <v>3.1184125790569905</v>
      </c>
      <c r="S160" s="16">
        <f t="shared" ca="1" si="113"/>
        <v>3.1550308367678506</v>
      </c>
      <c r="T160" s="16">
        <f t="shared" ca="1" si="113"/>
        <v>3.1865811451355293</v>
      </c>
      <c r="U160" s="16">
        <f t="shared" ca="1" si="113"/>
        <v>3.2184469565868845</v>
      </c>
      <c r="V160" s="16">
        <f t="shared" ca="1" si="113"/>
        <v>3.2506314261527534</v>
      </c>
      <c r="W160" s="16">
        <f t="shared" ca="1" si="113"/>
        <v>3.283137740414281</v>
      </c>
      <c r="X160" s="16">
        <f t="shared" ca="1" si="113"/>
        <v>3.3159691178184239</v>
      </c>
    </row>
    <row r="161" spans="1:24" x14ac:dyDescent="0.25">
      <c r="A161" s="9" t="s">
        <v>865</v>
      </c>
      <c r="B161" s="9"/>
      <c r="C161" s="13"/>
      <c r="D161" s="65">
        <f t="shared" ref="D161:X161" ca="1" si="114">SUM(D$158:D$160)</f>
        <v>1.06</v>
      </c>
      <c r="E161" s="65">
        <f t="shared" ca="1" si="114"/>
        <v>0.85</v>
      </c>
      <c r="F161" s="65">
        <f t="shared" ca="1" si="114"/>
        <v>0.71599999999999997</v>
      </c>
      <c r="G161" s="65">
        <f t="shared" ca="1" si="114"/>
        <v>0.85799999999999998</v>
      </c>
      <c r="H161" s="65">
        <f t="shared" ca="1" si="114"/>
        <v>2.8620000000000001</v>
      </c>
      <c r="I161" s="65">
        <f t="shared" ca="1" si="114"/>
        <v>4.4409999999999998</v>
      </c>
      <c r="J161" s="66">
        <f t="shared" ca="1" si="114"/>
        <v>4.0789999999999997</v>
      </c>
      <c r="K161" s="66">
        <f t="shared" ca="1" si="114"/>
        <v>3.7160000000000002</v>
      </c>
      <c r="L161" s="66">
        <f t="shared" ca="1" si="114"/>
        <v>3.8319999999999999</v>
      </c>
      <c r="M161" s="66">
        <f t="shared" ca="1" si="114"/>
        <v>4.1459999999999999</v>
      </c>
      <c r="N161" s="66">
        <f t="shared" ca="1" si="114"/>
        <v>4.3929999999999998</v>
      </c>
      <c r="O161" s="67">
        <f t="shared" ca="1" si="114"/>
        <v>4.50517493462364</v>
      </c>
      <c r="P161" s="67">
        <f t="shared" ca="1" si="114"/>
        <v>4.6203561963731872</v>
      </c>
      <c r="Q161" s="67">
        <f t="shared" ca="1" si="114"/>
        <v>4.7321448398518182</v>
      </c>
      <c r="R161" s="67">
        <f t="shared" ca="1" si="114"/>
        <v>4.8412289599152052</v>
      </c>
      <c r="S161" s="67">
        <f t="shared" ca="1" si="114"/>
        <v>4.9472906580201528</v>
      </c>
      <c r="T161" s="67">
        <f t="shared" ca="1" si="114"/>
        <v>5.0438159677376264</v>
      </c>
      <c r="U161" s="67">
        <f t="shared" ca="1" si="114"/>
        <v>5.1341079458979921</v>
      </c>
      <c r="V161" s="67">
        <f t="shared" ca="1" si="114"/>
        <v>5.2210895045072103</v>
      </c>
      <c r="W161" s="67">
        <f t="shared" ca="1" si="114"/>
        <v>5.3082556432703445</v>
      </c>
      <c r="X161" s="67">
        <f t="shared" ca="1" si="114"/>
        <v>5.3944150460258573</v>
      </c>
    </row>
    <row r="162" spans="1:24" x14ac:dyDescent="0.25">
      <c r="A162" s="11" t="s">
        <v>707</v>
      </c>
      <c r="B162" s="10" t="str">
        <f>$B$38</f>
        <v>From Fiscal Forecasts</v>
      </c>
      <c r="C162" s="13"/>
      <c r="D162" s="35">
        <f>'Fiscal Forecasts'!D$233</f>
        <v>1.016</v>
      </c>
      <c r="E162" s="35">
        <f>'Fiscal Forecasts'!E$233</f>
        <v>0.94699999999999995</v>
      </c>
      <c r="F162" s="35">
        <f>'Fiscal Forecasts'!F$233</f>
        <v>0.78500000000000003</v>
      </c>
      <c r="G162" s="35">
        <f>'Fiscal Forecasts'!G$233</f>
        <v>0.82699999999999996</v>
      </c>
      <c r="H162" s="35">
        <f>'Fiscal Forecasts'!H$233</f>
        <v>2.097</v>
      </c>
      <c r="I162" s="35">
        <f>'Fiscal Forecasts'!I$233</f>
        <v>3.56</v>
      </c>
      <c r="J162" s="17">
        <f>'Fiscal Forecasts'!J$233</f>
        <v>4.0650000000000004</v>
      </c>
      <c r="K162" s="17">
        <f>'Fiscal Forecasts'!K$233</f>
        <v>4.1219999999999999</v>
      </c>
      <c r="L162" s="17">
        <f>'Fiscal Forecasts'!L$233</f>
        <v>4.16</v>
      </c>
      <c r="M162" s="17">
        <f>'Fiscal Forecasts'!M$233</f>
        <v>4.2519999999999998</v>
      </c>
      <c r="N162" s="17">
        <f>'Fiscal Forecasts'!N$233</f>
        <v>4.5149999999999997</v>
      </c>
      <c r="O162" s="16">
        <f t="shared" ref="O162:X162" ca="1" si="115">N$162*AVERAGE(1+O$29,O$234/N$234)</f>
        <v>4.5681290530613854</v>
      </c>
      <c r="P162" s="16">
        <f t="shared" ca="1" si="115"/>
        <v>4.6218548549849379</v>
      </c>
      <c r="Q162" s="16">
        <f t="shared" ca="1" si="115"/>
        <v>4.6761839609782312</v>
      </c>
      <c r="R162" s="16">
        <f t="shared" ca="1" si="115"/>
        <v>4.7311229970975122</v>
      </c>
      <c r="S162" s="16">
        <f t="shared" ca="1" si="115"/>
        <v>4.7866786610058085</v>
      </c>
      <c r="T162" s="16">
        <f t="shared" ca="1" si="115"/>
        <v>4.8345454476158665</v>
      </c>
      <c r="U162" s="16">
        <f t="shared" ca="1" si="115"/>
        <v>4.8828909020920248</v>
      </c>
      <c r="V162" s="16">
        <f t="shared" ca="1" si="115"/>
        <v>4.931719811112945</v>
      </c>
      <c r="W162" s="16">
        <f t="shared" ca="1" si="115"/>
        <v>4.9810370092240746</v>
      </c>
      <c r="X162" s="16">
        <f t="shared" ca="1" si="115"/>
        <v>5.0308473793163158</v>
      </c>
    </row>
    <row r="163" spans="1:24" x14ac:dyDescent="0.25">
      <c r="A163" s="11" t="s">
        <v>904</v>
      </c>
      <c r="B163" s="10" t="str">
        <f>$B$38</f>
        <v>From Fiscal Forecasts</v>
      </c>
      <c r="C163" s="13"/>
      <c r="D163" s="35">
        <f>'Fiscal Forecasts'!D$234</f>
        <v>1.014</v>
      </c>
      <c r="E163" s="35">
        <f>'Fiscal Forecasts'!E$234</f>
        <v>0.95299999999999996</v>
      </c>
      <c r="F163" s="35">
        <f>'Fiscal Forecasts'!F$234</f>
        <v>0.79100000000000004</v>
      </c>
      <c r="G163" s="35">
        <f>'Fiscal Forecasts'!G$234</f>
        <v>0.95699999999999996</v>
      </c>
      <c r="H163" s="35">
        <f>'Fiscal Forecasts'!H$234</f>
        <v>0.67500000000000004</v>
      </c>
      <c r="I163" s="35">
        <f>'Fiscal Forecasts'!I$234</f>
        <v>0.22800000000000001</v>
      </c>
      <c r="J163" s="17">
        <f>'Fiscal Forecasts'!J$234</f>
        <v>0.124</v>
      </c>
      <c r="K163" s="17">
        <f>'Fiscal Forecasts'!K$234</f>
        <v>8.4000000000000005E-2</v>
      </c>
      <c r="L163" s="17">
        <f>'Fiscal Forecasts'!L$234</f>
        <v>7.6999999999999999E-2</v>
      </c>
      <c r="M163" s="17">
        <f>'Fiscal Forecasts'!M$234</f>
        <v>8.8999999999999996E-2</v>
      </c>
      <c r="N163" s="17">
        <f>'Fiscal Forecasts'!N$234</f>
        <v>0.1</v>
      </c>
      <c r="O163" s="16">
        <f t="shared" ref="O163:X163" ca="1" si="116">N$163*AVERAGE(1+O$29,O$234/N$234)</f>
        <v>0.10117672321287677</v>
      </c>
      <c r="P163" s="16">
        <f t="shared" ca="1" si="116"/>
        <v>0.1023666634548159</v>
      </c>
      <c r="Q163" s="16">
        <f t="shared" ca="1" si="116"/>
        <v>0.10356996591313912</v>
      </c>
      <c r="R163" s="16">
        <f t="shared" ca="1" si="116"/>
        <v>0.10478677734435243</v>
      </c>
      <c r="S163" s="16">
        <f t="shared" ca="1" si="116"/>
        <v>0.10601724609093707</v>
      </c>
      <c r="T163" s="16">
        <f t="shared" ca="1" si="116"/>
        <v>0.10707741855184645</v>
      </c>
      <c r="U163" s="16">
        <f t="shared" ca="1" si="116"/>
        <v>0.10814819273736492</v>
      </c>
      <c r="V163" s="16">
        <f t="shared" ca="1" si="116"/>
        <v>0.10922967466473857</v>
      </c>
      <c r="W163" s="16">
        <f t="shared" ca="1" si="116"/>
        <v>0.11032197141138596</v>
      </c>
      <c r="X163" s="16">
        <f t="shared" ca="1" si="116"/>
        <v>0.11142519112549981</v>
      </c>
    </row>
    <row r="164" spans="1:24" x14ac:dyDescent="0.25">
      <c r="A164" s="11" t="s">
        <v>866</v>
      </c>
      <c r="B164" s="10" t="str">
        <f>$B$38</f>
        <v>From Fiscal Forecasts</v>
      </c>
      <c r="C164" s="13"/>
      <c r="D164" s="35">
        <f>'Fiscal Forecasts'!D$235</f>
        <v>-0.44400000000000001</v>
      </c>
      <c r="E164" s="35">
        <f>'Fiscal Forecasts'!E$235</f>
        <v>-0.45</v>
      </c>
      <c r="F164" s="35">
        <f>'Fiscal Forecasts'!F$235</f>
        <v>-0.34899999999999998</v>
      </c>
      <c r="G164" s="35">
        <f>'Fiscal Forecasts'!G$235</f>
        <v>-0.35</v>
      </c>
      <c r="H164" s="35">
        <f>'Fiscal Forecasts'!H$235</f>
        <v>-0.622</v>
      </c>
      <c r="I164" s="35">
        <f>'Fiscal Forecasts'!I$235</f>
        <v>-1.109</v>
      </c>
      <c r="J164" s="17">
        <f>'Fiscal Forecasts'!J$235</f>
        <v>-1.3979999999999999</v>
      </c>
      <c r="K164" s="17">
        <f>'Fiscal Forecasts'!K$235</f>
        <v>-1.514</v>
      </c>
      <c r="L164" s="17">
        <f>'Fiscal Forecasts'!L$235</f>
        <v>-1.61</v>
      </c>
      <c r="M164" s="17">
        <f>'Fiscal Forecasts'!M$235</f>
        <v>-1.732</v>
      </c>
      <c r="N164" s="17">
        <f>'Fiscal Forecasts'!N$235</f>
        <v>-1.8520000000000001</v>
      </c>
      <c r="O164" s="16">
        <f t="shared" ref="O164:X164" ca="1" si="117">N$164*O$162/N$162</f>
        <v>-1.8737929139024778</v>
      </c>
      <c r="P164" s="16">
        <f t="shared" ca="1" si="117"/>
        <v>-1.8958306071831907</v>
      </c>
      <c r="Q164" s="16">
        <f t="shared" ca="1" si="117"/>
        <v>-1.9181157687113368</v>
      </c>
      <c r="R164" s="16">
        <f t="shared" ca="1" si="117"/>
        <v>-1.9406511164174074</v>
      </c>
      <c r="S164" s="16">
        <f t="shared" ca="1" si="117"/>
        <v>-1.9634393976041549</v>
      </c>
      <c r="T164" s="16">
        <f t="shared" ca="1" si="117"/>
        <v>-1.9830737915801961</v>
      </c>
      <c r="U164" s="16">
        <f t="shared" ca="1" si="117"/>
        <v>-2.0029045294959982</v>
      </c>
      <c r="V164" s="16">
        <f t="shared" ca="1" si="117"/>
        <v>-2.0229335747909585</v>
      </c>
      <c r="W164" s="16">
        <f t="shared" ca="1" si="117"/>
        <v>-2.043162910538868</v>
      </c>
      <c r="X164" s="16">
        <f t="shared" ca="1" si="117"/>
        <v>-2.063594539644257</v>
      </c>
    </row>
    <row r="165" spans="1:24" x14ac:dyDescent="0.25">
      <c r="A165" s="9" t="s">
        <v>911</v>
      </c>
      <c r="B165" s="9"/>
      <c r="C165" s="13"/>
      <c r="D165" s="65">
        <f t="shared" ref="D165:X165" ca="1" si="118">SUM(D$161:D$164)</f>
        <v>2.6459999999999999</v>
      </c>
      <c r="E165" s="65">
        <f t="shared" ca="1" si="118"/>
        <v>2.2999999999999998</v>
      </c>
      <c r="F165" s="65">
        <f t="shared" ca="1" si="118"/>
        <v>1.9429999999999998</v>
      </c>
      <c r="G165" s="65">
        <f t="shared" ca="1" si="118"/>
        <v>2.2919999999999998</v>
      </c>
      <c r="H165" s="65">
        <f t="shared" ca="1" si="118"/>
        <v>5.0119999999999996</v>
      </c>
      <c r="I165" s="65">
        <f t="shared" ca="1" si="118"/>
        <v>7.1199999999999992</v>
      </c>
      <c r="J165" s="66">
        <f t="shared" ca="1" si="118"/>
        <v>6.870000000000001</v>
      </c>
      <c r="K165" s="66">
        <f t="shared" ca="1" si="118"/>
        <v>6.4079999999999995</v>
      </c>
      <c r="L165" s="66">
        <f t="shared" ca="1" si="118"/>
        <v>6.4590000000000005</v>
      </c>
      <c r="M165" s="66">
        <f t="shared" ca="1" si="118"/>
        <v>6.7549999999999999</v>
      </c>
      <c r="N165" s="66">
        <f t="shared" ca="1" si="118"/>
        <v>7.1559999999999988</v>
      </c>
      <c r="O165" s="67">
        <f t="shared" ca="1" si="118"/>
        <v>7.3006877969954251</v>
      </c>
      <c r="P165" s="67">
        <f t="shared" ca="1" si="118"/>
        <v>7.4487471076297513</v>
      </c>
      <c r="Q165" s="67">
        <f t="shared" ca="1" si="118"/>
        <v>7.5937829980318519</v>
      </c>
      <c r="R165" s="67">
        <f t="shared" ca="1" si="118"/>
        <v>7.7364876179396633</v>
      </c>
      <c r="S165" s="67">
        <f t="shared" ca="1" si="118"/>
        <v>7.8765471675127436</v>
      </c>
      <c r="T165" s="67">
        <f t="shared" ca="1" si="118"/>
        <v>8.0023650423251418</v>
      </c>
      <c r="U165" s="67">
        <f t="shared" ca="1" si="118"/>
        <v>8.1222425112313843</v>
      </c>
      <c r="V165" s="67">
        <f t="shared" ca="1" si="118"/>
        <v>8.2391054154939365</v>
      </c>
      <c r="W165" s="67">
        <f t="shared" ca="1" si="118"/>
        <v>8.3564517133669369</v>
      </c>
      <c r="X165" s="67">
        <f t="shared" ca="1" si="118"/>
        <v>8.4730930768234156</v>
      </c>
    </row>
    <row r="166" spans="1:24" x14ac:dyDescent="0.25">
      <c r="A166" s="9"/>
      <c r="B166" s="9"/>
      <c r="C166" s="13"/>
      <c r="D166" s="40"/>
      <c r="E166" s="40"/>
      <c r="F166" s="40"/>
      <c r="G166" s="40"/>
      <c r="H166" s="40"/>
      <c r="I166" s="40"/>
    </row>
    <row r="167" spans="1:24" x14ac:dyDescent="0.25">
      <c r="A167" s="9" t="s">
        <v>902</v>
      </c>
      <c r="B167" s="9"/>
      <c r="C167" s="13"/>
      <c r="D167" s="40"/>
      <c r="E167" s="40"/>
      <c r="F167" s="40"/>
      <c r="G167" s="40"/>
      <c r="H167" s="40"/>
      <c r="I167" s="40"/>
    </row>
    <row r="168" spans="1:24" x14ac:dyDescent="0.25">
      <c r="A168" s="11" t="s">
        <v>899</v>
      </c>
      <c r="B168" s="9"/>
      <c r="C168" s="13"/>
      <c r="D168" s="35">
        <f ca="1">OFFSET(Assumptions!$B$48,0,$C$1)*D$384</f>
        <v>0.54010000000000002</v>
      </c>
      <c r="E168" s="35">
        <f ca="1">OFFSET(Assumptions!$B$48,0,$C$1)*E$384</f>
        <v>0.44165000000000004</v>
      </c>
      <c r="F168" s="35">
        <f ca="1">OFFSET(Assumptions!$B$48,0,$C$1)*F$384</f>
        <v>0.40810000000000002</v>
      </c>
      <c r="G168" s="35">
        <f ca="1">OFFSET(Assumptions!$B$48,0,$C$1)*G$384</f>
        <v>0.59235000000000004</v>
      </c>
      <c r="H168" s="35">
        <f ca="1">OFFSET(Assumptions!$B$48,0,$C$1)*H$384</f>
        <v>0.72600000000000009</v>
      </c>
      <c r="I168" s="35">
        <f ca="1">OFFSET(Assumptions!$B$48,0,$C$1)*I$384</f>
        <v>0.91245000000000009</v>
      </c>
      <c r="J168" s="17">
        <f ca="1">OFFSET(Assumptions!$B$48,0,$C$1)*J$384</f>
        <v>0.93775000000000008</v>
      </c>
      <c r="K168" s="17">
        <f ca="1">OFFSET(Assumptions!$B$48,0,$C$1)*K$384</f>
        <v>0.97515000000000007</v>
      </c>
      <c r="L168" s="17">
        <f ca="1">OFFSET(Assumptions!$B$48,0,$C$1)*L$384</f>
        <v>1.0279500000000001</v>
      </c>
      <c r="M168" s="17">
        <f ca="1">OFFSET(Assumptions!$B$48,0,$C$1)*M$384</f>
        <v>1.0961500000000002</v>
      </c>
      <c r="N168" s="17">
        <f ca="1">OFFSET(Assumptions!$B$48,0,$C$1)*N$384</f>
        <v>1.1638000000000002</v>
      </c>
      <c r="O168" s="16">
        <f ca="1">OFFSET(Assumptions!$B$48,0,$C$1)*O$384</f>
        <v>1.2339951531221409</v>
      </c>
      <c r="P168" s="16">
        <f ca="1">OFFSET(Assumptions!$B$48,0,$C$1)*P$384</f>
        <v>1.3074565482790597</v>
      </c>
      <c r="Q168" s="16">
        <f ca="1">OFFSET(Assumptions!$B$48,0,$C$1)*Q$384</f>
        <v>1.3836801028289551</v>
      </c>
      <c r="R168" s="16">
        <f ca="1">OFFSET(Assumptions!$B$48,0,$C$1)*R$384</f>
        <v>1.4622704760727681</v>
      </c>
      <c r="S168" s="16">
        <f ca="1">OFFSET(Assumptions!$B$48,0,$C$1)*S$384</f>
        <v>1.5428247765653775</v>
      </c>
      <c r="T168" s="16">
        <f ca="1">OFFSET(Assumptions!$B$48,0,$C$1)*T$384</f>
        <v>1.6252935282526217</v>
      </c>
      <c r="U168" s="16">
        <f ca="1">OFFSET(Assumptions!$B$48,0,$C$1)*U$384</f>
        <v>1.7095762366388845</v>
      </c>
      <c r="V168" s="16">
        <f ca="1">OFFSET(Assumptions!$B$48,0,$C$1)*V$384</f>
        <v>1.7955725979430714</v>
      </c>
      <c r="W168" s="16">
        <f ca="1">OFFSET(Assumptions!$B$48,0,$C$1)*W$384</f>
        <v>1.8838973785700792</v>
      </c>
      <c r="X168" s="16">
        <f ca="1">OFFSET(Assumptions!$B$48,0,$C$1)*X$384</f>
        <v>1.9755574102592912</v>
      </c>
    </row>
    <row r="169" spans="1:24" x14ac:dyDescent="0.25">
      <c r="A169" s="11" t="s">
        <v>900</v>
      </c>
      <c r="B169" s="10" t="str">
        <f>$B$38</f>
        <v>From Fiscal Forecasts</v>
      </c>
      <c r="C169" s="13"/>
      <c r="D169" s="35">
        <f ca="1">'Fiscal Forecasts'!D$238-D$168</f>
        <v>0.92290000000000005</v>
      </c>
      <c r="E169" s="35">
        <f ca="1">'Fiscal Forecasts'!E$238-E$168</f>
        <v>0.89434999999999998</v>
      </c>
      <c r="F169" s="35">
        <f ca="1">'Fiscal Forecasts'!F$238-F$168</f>
        <v>0.68590000000000007</v>
      </c>
      <c r="G169" s="35">
        <f ca="1">'Fiscal Forecasts'!G$238-G$168</f>
        <v>0.79864999999999997</v>
      </c>
      <c r="H169" s="35">
        <f ca="1">'Fiscal Forecasts'!H$238-H$168</f>
        <v>1.3620000000000001</v>
      </c>
      <c r="I169" s="35">
        <f ca="1">'Fiscal Forecasts'!I$238-I$168</f>
        <v>0.79554999999999987</v>
      </c>
      <c r="J169" s="17">
        <f ca="1">'Fiscal Forecasts'!J$238-J$168</f>
        <v>0.59024999999999994</v>
      </c>
      <c r="K169" s="17">
        <f ca="1">'Fiscal Forecasts'!K$238-K$168</f>
        <v>0.60784999999999989</v>
      </c>
      <c r="L169" s="17">
        <f ca="1">'Fiscal Forecasts'!L$238-L$168</f>
        <v>0.61004999999999976</v>
      </c>
      <c r="M169" s="17">
        <f ca="1">'Fiscal Forecasts'!M$238-M$168</f>
        <v>0.64484999999999992</v>
      </c>
      <c r="N169" s="17">
        <f ca="1">'Fiscal Forecasts'!N$238-N$168</f>
        <v>0.72419999999999973</v>
      </c>
      <c r="O169" s="16">
        <f t="shared" ref="O169:X169" ca="1" si="119">N$169*(1+O$19)*(1+O$29)</f>
        <v>0.74783477290297851</v>
      </c>
      <c r="P169" s="16">
        <f t="shared" ca="1" si="119"/>
        <v>0.77169313287135066</v>
      </c>
      <c r="Q169" s="16">
        <f t="shared" ca="1" si="119"/>
        <v>0.79583831360012602</v>
      </c>
      <c r="R169" s="16">
        <f t="shared" ca="1" si="119"/>
        <v>0.82005367645425398</v>
      </c>
      <c r="S169" s="16">
        <f t="shared" ca="1" si="119"/>
        <v>0.84446775088574089</v>
      </c>
      <c r="T169" s="16">
        <f t="shared" ca="1" si="119"/>
        <v>0.86902332022833928</v>
      </c>
      <c r="U169" s="16">
        <f t="shared" ca="1" si="119"/>
        <v>0.89404141816176042</v>
      </c>
      <c r="V169" s="16">
        <f t="shared" ca="1" si="119"/>
        <v>0.91939698207019815</v>
      </c>
      <c r="W169" s="16">
        <f t="shared" ca="1" si="119"/>
        <v>0.94472888564499247</v>
      </c>
      <c r="X169" s="16">
        <f t="shared" ca="1" si="119"/>
        <v>0.970304424843901</v>
      </c>
    </row>
    <row r="170" spans="1:24" x14ac:dyDescent="0.25">
      <c r="A170" s="9" t="s">
        <v>901</v>
      </c>
      <c r="B170" s="10"/>
      <c r="C170" s="13"/>
      <c r="D170" s="65">
        <f t="shared" ref="D170:X170" ca="1" si="120">SUM(D$168:D$169)</f>
        <v>1.4630000000000001</v>
      </c>
      <c r="E170" s="65">
        <f t="shared" ca="1" si="120"/>
        <v>1.3360000000000001</v>
      </c>
      <c r="F170" s="65">
        <f t="shared" ca="1" si="120"/>
        <v>1.0940000000000001</v>
      </c>
      <c r="G170" s="65">
        <f t="shared" ca="1" si="120"/>
        <v>1.391</v>
      </c>
      <c r="H170" s="65">
        <f t="shared" ca="1" si="120"/>
        <v>2.0880000000000001</v>
      </c>
      <c r="I170" s="65">
        <f t="shared" ca="1" si="120"/>
        <v>1.708</v>
      </c>
      <c r="J170" s="66">
        <f t="shared" ca="1" si="120"/>
        <v>1.528</v>
      </c>
      <c r="K170" s="66">
        <f t="shared" ca="1" si="120"/>
        <v>1.583</v>
      </c>
      <c r="L170" s="66">
        <f t="shared" ca="1" si="120"/>
        <v>1.6379999999999999</v>
      </c>
      <c r="M170" s="66">
        <f t="shared" ca="1" si="120"/>
        <v>1.7410000000000001</v>
      </c>
      <c r="N170" s="66">
        <f t="shared" ca="1" si="120"/>
        <v>1.8879999999999999</v>
      </c>
      <c r="O170" s="67">
        <f t="shared" ca="1" si="120"/>
        <v>1.9818299260251195</v>
      </c>
      <c r="P170" s="67">
        <f t="shared" ca="1" si="120"/>
        <v>2.0791496811504104</v>
      </c>
      <c r="Q170" s="67">
        <f t="shared" ca="1" si="120"/>
        <v>2.1795184164290813</v>
      </c>
      <c r="R170" s="67">
        <f t="shared" ca="1" si="120"/>
        <v>2.2823241525270221</v>
      </c>
      <c r="S170" s="67">
        <f t="shared" ca="1" si="120"/>
        <v>2.3872925274511183</v>
      </c>
      <c r="T170" s="67">
        <f t="shared" ca="1" si="120"/>
        <v>2.494316848480961</v>
      </c>
      <c r="U170" s="67">
        <f t="shared" ca="1" si="120"/>
        <v>2.6036176548006447</v>
      </c>
      <c r="V170" s="67">
        <f t="shared" ca="1" si="120"/>
        <v>2.7149695800132694</v>
      </c>
      <c r="W170" s="67">
        <f t="shared" ca="1" si="120"/>
        <v>2.8286262642150719</v>
      </c>
      <c r="X170" s="67">
        <f t="shared" ca="1" si="120"/>
        <v>2.9458618351031922</v>
      </c>
    </row>
    <row r="171" spans="1:24" x14ac:dyDescent="0.25">
      <c r="A171" s="11" t="s">
        <v>707</v>
      </c>
      <c r="B171" s="9"/>
      <c r="C171" s="13"/>
      <c r="D171" s="35">
        <f>'Fiscal Forecasts'!D$239</f>
        <v>0.42399999999999999</v>
      </c>
      <c r="E171" s="35">
        <f>'Fiscal Forecasts'!E$239</f>
        <v>0.39500000000000002</v>
      </c>
      <c r="F171" s="35">
        <f>'Fiscal Forecasts'!F$239</f>
        <v>0.44700000000000001</v>
      </c>
      <c r="G171" s="35">
        <f>'Fiscal Forecasts'!G$239</f>
        <v>0.52200000000000002</v>
      </c>
      <c r="H171" s="35">
        <f>'Fiscal Forecasts'!H$239</f>
        <v>0.60499999999999998</v>
      </c>
      <c r="I171" s="35">
        <f>'Fiscal Forecasts'!I$239</f>
        <v>0.63</v>
      </c>
      <c r="J171" s="17">
        <f>'Fiscal Forecasts'!J$239</f>
        <v>0.67100000000000004</v>
      </c>
      <c r="K171" s="17">
        <f>'Fiscal Forecasts'!K$239</f>
        <v>0.50600000000000001</v>
      </c>
      <c r="L171" s="17">
        <f>'Fiscal Forecasts'!L$239</f>
        <v>0.50700000000000001</v>
      </c>
      <c r="M171" s="17">
        <f>'Fiscal Forecasts'!M$239</f>
        <v>0.51200000000000001</v>
      </c>
      <c r="N171" s="17">
        <f>'Fiscal Forecasts'!N$239</f>
        <v>0.52200000000000002</v>
      </c>
      <c r="O171" s="16">
        <f>N$171*Exogenous!Z$29/Exogenous!Y$29</f>
        <v>0.55993653052481185</v>
      </c>
      <c r="P171" s="16">
        <f>O$171*Exogenous!AA$29/Exogenous!Z$29</f>
        <v>0.59921687753195196</v>
      </c>
      <c r="Q171" s="16">
        <f>P$171*Exogenous!AB$29/Exogenous!AA$29</f>
        <v>0.6405431792135341</v>
      </c>
      <c r="R171" s="16">
        <f>Q$171*Exogenous!AC$29/Exogenous!AB$29</f>
        <v>0.68088904174981446</v>
      </c>
      <c r="S171" s="16">
        <f>R$171*Exogenous!AD$29/Exogenous!AC$29</f>
        <v>0.71901058242729976</v>
      </c>
      <c r="T171" s="16">
        <f>S$171*Exogenous!AE$29/Exogenous!AD$29</f>
        <v>0.76070892538747026</v>
      </c>
      <c r="U171" s="16">
        <f>T$171*Exogenous!AF$29/Exogenous!AE$29</f>
        <v>0.81012945848256734</v>
      </c>
      <c r="V171" s="16">
        <f>U$171*Exogenous!AG$29/Exogenous!AF$29</f>
        <v>0.86678899566931389</v>
      </c>
      <c r="W171" s="16">
        <f>V$171*Exogenous!AH$29/Exogenous!AG$29</f>
        <v>0.92792583455579747</v>
      </c>
      <c r="X171" s="16">
        <f>W$171*Exogenous!AI$29/Exogenous!AH$29</f>
        <v>0.99167656096189905</v>
      </c>
    </row>
    <row r="172" spans="1:24" x14ac:dyDescent="0.25">
      <c r="A172" s="11" t="s">
        <v>903</v>
      </c>
      <c r="B172" s="9"/>
      <c r="C172" s="13"/>
      <c r="D172" s="35">
        <f>'Fiscal Forecasts'!D$240</f>
        <v>-0.81699999999999995</v>
      </c>
      <c r="E172" s="35">
        <f>'Fiscal Forecasts'!E$240</f>
        <v>-0.82499999999999996</v>
      </c>
      <c r="F172" s="35">
        <f>'Fiscal Forecasts'!F$240</f>
        <v>-0.63800000000000001</v>
      </c>
      <c r="G172" s="35">
        <f>'Fiscal Forecasts'!G$240</f>
        <v>-0.66500000000000004</v>
      </c>
      <c r="H172" s="35">
        <f>'Fiscal Forecasts'!H$240</f>
        <v>-1.35</v>
      </c>
      <c r="I172" s="35">
        <f>'Fiscal Forecasts'!I$240</f>
        <v>-0.90800000000000003</v>
      </c>
      <c r="J172" s="17">
        <f>'Fiscal Forecasts'!J$240</f>
        <v>-0.69599999999999995</v>
      </c>
      <c r="K172" s="17">
        <f>'Fiscal Forecasts'!K$240</f>
        <v>-0.73499999999999999</v>
      </c>
      <c r="L172" s="17">
        <f>'Fiscal Forecasts'!L$240</f>
        <v>-0.75900000000000001</v>
      </c>
      <c r="M172" s="17">
        <f>'Fiscal Forecasts'!M$240</f>
        <v>-0.80900000000000005</v>
      </c>
      <c r="N172" s="17">
        <f>'Fiscal Forecasts'!N$240</f>
        <v>-0.91200000000000003</v>
      </c>
      <c r="O172" s="16">
        <f t="shared" ref="O172:X172" si="121">N$172*O$171/N$171</f>
        <v>-0.9782799153996713</v>
      </c>
      <c r="P172" s="16">
        <f t="shared" si="121"/>
        <v>-1.0469076481018011</v>
      </c>
      <c r="Q172" s="16">
        <f t="shared" si="121"/>
        <v>-1.1191099223041057</v>
      </c>
      <c r="R172" s="16">
        <f t="shared" si="121"/>
        <v>-1.1895992453559978</v>
      </c>
      <c r="S172" s="16">
        <f t="shared" si="121"/>
        <v>-1.256202396884478</v>
      </c>
      <c r="T172" s="16">
        <f t="shared" si="121"/>
        <v>-1.3290546742401783</v>
      </c>
      <c r="U172" s="16">
        <f t="shared" si="121"/>
        <v>-1.4153985941304628</v>
      </c>
      <c r="V172" s="16">
        <f t="shared" si="121"/>
        <v>-1.5143899694452383</v>
      </c>
      <c r="W172" s="16">
        <f t="shared" si="121"/>
        <v>-1.6212037569250717</v>
      </c>
      <c r="X172" s="16">
        <f t="shared" si="121"/>
        <v>-1.7325843363932032</v>
      </c>
    </row>
    <row r="173" spans="1:24" x14ac:dyDescent="0.25">
      <c r="A173" s="9" t="s">
        <v>912</v>
      </c>
      <c r="B173" s="9"/>
      <c r="C173" s="13"/>
      <c r="D173" s="65">
        <f t="shared" ref="D173:X173" ca="1" si="122">SUM(D$170:D$172)</f>
        <v>1.07</v>
      </c>
      <c r="E173" s="65">
        <f t="shared" ca="1" si="122"/>
        <v>0.90600000000000014</v>
      </c>
      <c r="F173" s="65">
        <f t="shared" ca="1" si="122"/>
        <v>0.90300000000000014</v>
      </c>
      <c r="G173" s="65">
        <f t="shared" ca="1" si="122"/>
        <v>1.248</v>
      </c>
      <c r="H173" s="65">
        <f t="shared" ca="1" si="122"/>
        <v>1.343</v>
      </c>
      <c r="I173" s="65">
        <f t="shared" ca="1" si="122"/>
        <v>1.4300000000000002</v>
      </c>
      <c r="J173" s="66">
        <f t="shared" ca="1" si="122"/>
        <v>1.5029999999999999</v>
      </c>
      <c r="K173" s="66">
        <f t="shared" ca="1" si="122"/>
        <v>1.3540000000000001</v>
      </c>
      <c r="L173" s="66">
        <f t="shared" ca="1" si="122"/>
        <v>1.3860000000000001</v>
      </c>
      <c r="M173" s="66">
        <f t="shared" ca="1" si="122"/>
        <v>1.444</v>
      </c>
      <c r="N173" s="66">
        <f t="shared" ca="1" si="122"/>
        <v>1.4980000000000002</v>
      </c>
      <c r="O173" s="67">
        <f t="shared" ca="1" si="122"/>
        <v>1.5634865411502599</v>
      </c>
      <c r="P173" s="67">
        <f t="shared" ca="1" si="122"/>
        <v>1.631458910580561</v>
      </c>
      <c r="Q173" s="67">
        <f t="shared" ca="1" si="122"/>
        <v>1.7009516733385095</v>
      </c>
      <c r="R173" s="67">
        <f t="shared" ca="1" si="122"/>
        <v>1.7736139489208387</v>
      </c>
      <c r="S173" s="67">
        <f t="shared" ca="1" si="122"/>
        <v>1.85010071299394</v>
      </c>
      <c r="T173" s="67">
        <f t="shared" ca="1" si="122"/>
        <v>1.9259710996282531</v>
      </c>
      <c r="U173" s="67">
        <f t="shared" ca="1" si="122"/>
        <v>1.9983485191527492</v>
      </c>
      <c r="V173" s="67">
        <f t="shared" ca="1" si="122"/>
        <v>2.0673686062373449</v>
      </c>
      <c r="W173" s="67">
        <f t="shared" ca="1" si="122"/>
        <v>2.1353483418457975</v>
      </c>
      <c r="X173" s="67">
        <f t="shared" ca="1" si="122"/>
        <v>2.2049540596718882</v>
      </c>
    </row>
    <row r="174" spans="1:24" x14ac:dyDescent="0.25">
      <c r="B174" s="9"/>
      <c r="C174" s="13"/>
      <c r="D174" s="40"/>
      <c r="E174" s="40"/>
      <c r="F174" s="40"/>
      <c r="G174" s="40"/>
      <c r="H174" s="40"/>
      <c r="I174" s="40"/>
    </row>
    <row r="175" spans="1:24" x14ac:dyDescent="0.25">
      <c r="A175" s="9" t="s">
        <v>532</v>
      </c>
      <c r="B175" s="9"/>
      <c r="C175" s="13"/>
      <c r="D175" s="40"/>
      <c r="E175" s="40"/>
      <c r="F175" s="40"/>
      <c r="G175" s="40"/>
      <c r="H175" s="40"/>
      <c r="I175" s="40"/>
    </row>
    <row r="176" spans="1:24" x14ac:dyDescent="0.25">
      <c r="A176" s="11" t="s">
        <v>905</v>
      </c>
      <c r="B176" s="9"/>
      <c r="C176" s="13"/>
      <c r="D176" s="35">
        <f t="shared" ref="D176:X176" ca="1" si="123">D$384-SUM(D$158,D$168)</f>
        <v>9.8199999999999399E-3</v>
      </c>
      <c r="E176" s="35">
        <f t="shared" ca="1" si="123"/>
        <v>8.0299999999999816E-3</v>
      </c>
      <c r="F176" s="35">
        <f t="shared" ca="1" si="123"/>
        <v>7.4199999999999822E-3</v>
      </c>
      <c r="G176" s="35">
        <f t="shared" ca="1" si="123"/>
        <v>1.0769999999999946E-2</v>
      </c>
      <c r="H176" s="35">
        <f t="shared" ca="1" si="123"/>
        <v>1.3200000000000101E-2</v>
      </c>
      <c r="I176" s="35">
        <f t="shared" ca="1" si="123"/>
        <v>1.6589999999999883E-2</v>
      </c>
      <c r="J176" s="17">
        <f t="shared" ca="1" si="123"/>
        <v>1.7049999999999788E-2</v>
      </c>
      <c r="K176" s="17">
        <f t="shared" ca="1" si="123"/>
        <v>1.7730000000000024E-2</v>
      </c>
      <c r="L176" s="17">
        <f t="shared" ca="1" si="123"/>
        <v>1.8689999999999873E-2</v>
      </c>
      <c r="M176" s="17">
        <f t="shared" ca="1" si="123"/>
        <v>1.9929999999999781E-2</v>
      </c>
      <c r="N176" s="17">
        <f t="shared" ca="1" si="123"/>
        <v>2.1159999999999624E-2</v>
      </c>
      <c r="O176" s="16">
        <f t="shared" ca="1" si="123"/>
        <v>2.2436275511311443E-2</v>
      </c>
      <c r="P176" s="16">
        <f t="shared" ca="1" si="123"/>
        <v>2.3771937241437335E-2</v>
      </c>
      <c r="Q176" s="16">
        <f t="shared" ca="1" si="123"/>
        <v>2.5157820051435742E-2</v>
      </c>
      <c r="R176" s="16">
        <f t="shared" ca="1" si="123"/>
        <v>2.6586735928595839E-2</v>
      </c>
      <c r="S176" s="16">
        <f t="shared" ca="1" si="123"/>
        <v>2.8051359573916024E-2</v>
      </c>
      <c r="T176" s="16">
        <f t="shared" ca="1" si="123"/>
        <v>2.9550791422774836E-2</v>
      </c>
      <c r="U176" s="16">
        <f t="shared" ca="1" si="123"/>
        <v>3.1083204302524869E-2</v>
      </c>
      <c r="V176" s="16">
        <f t="shared" ca="1" si="123"/>
        <v>3.2646774508055643E-2</v>
      </c>
      <c r="W176" s="16">
        <f t="shared" ca="1" si="123"/>
        <v>3.4252679610365266E-2</v>
      </c>
      <c r="X176" s="16">
        <f t="shared" ca="1" si="123"/>
        <v>3.5919225641077634E-2</v>
      </c>
    </row>
    <row r="177" spans="1:24" x14ac:dyDescent="0.25">
      <c r="A177" s="11" t="s">
        <v>906</v>
      </c>
      <c r="B177" s="10" t="str">
        <f>$B$38</f>
        <v>From Fiscal Forecasts</v>
      </c>
      <c r="C177" s="13"/>
      <c r="D177" s="35">
        <f ca="1">'Fiscal Forecasts'!D$167-SUM(D$170,D$176)</f>
        <v>0.9131800000000001</v>
      </c>
      <c r="E177" s="35">
        <f ca="1">'Fiscal Forecasts'!E$167-SUM(E$170,E$176)</f>
        <v>0.95396999999999998</v>
      </c>
      <c r="F177" s="35">
        <f ca="1">'Fiscal Forecasts'!F$167-SUM(F$170,F$176)</f>
        <v>0.87958000000000003</v>
      </c>
      <c r="G177" s="35">
        <f ca="1">'Fiscal Forecasts'!G$167-SUM(G$170,G$176)</f>
        <v>1.0842300000000002</v>
      </c>
      <c r="H177" s="35">
        <f ca="1">'Fiscal Forecasts'!H$167-SUM(H$170,H$176)</f>
        <v>1.1537999999999995</v>
      </c>
      <c r="I177" s="35">
        <f ca="1">'Fiscal Forecasts'!I$167-SUM(I$170,I$176)</f>
        <v>1.1014100000000002</v>
      </c>
      <c r="J177" s="17">
        <f ca="1">'Fiscal Forecasts'!J$167-SUM(J$170,J$176)</f>
        <v>1.15395</v>
      </c>
      <c r="K177" s="17">
        <f ca="1">'Fiscal Forecasts'!K$167-SUM(K$170,K$176)</f>
        <v>2.5542700000000003</v>
      </c>
      <c r="L177" s="17">
        <f ca="1">'Fiscal Forecasts'!L$167-SUM(L$170,L$176)</f>
        <v>1.1493100000000003</v>
      </c>
      <c r="M177" s="17">
        <f ca="1">'Fiscal Forecasts'!M$167-SUM(M$170,M$176)</f>
        <v>1.1260700000000001</v>
      </c>
      <c r="N177" s="17">
        <f ca="1">'Fiscal Forecasts'!N$167-SUM(N$170,N$176)</f>
        <v>1.1098400000000006</v>
      </c>
      <c r="O177" s="16">
        <f t="shared" ref="O177:X177" ca="1" si="124">N$177*(1+O$19)*(1+O$29)</f>
        <v>1.1460604036987607</v>
      </c>
      <c r="P177" s="16">
        <f t="shared" ca="1" si="124"/>
        <v>1.1826234556558142</v>
      </c>
      <c r="Q177" s="16">
        <f t="shared" ca="1" si="124"/>
        <v>1.2196260618143671</v>
      </c>
      <c r="R177" s="16">
        <f t="shared" ca="1" si="124"/>
        <v>1.2567362224192073</v>
      </c>
      <c r="S177" s="16">
        <f t="shared" ca="1" si="124"/>
        <v>1.2941509094767074</v>
      </c>
      <c r="T177" s="16">
        <f t="shared" ca="1" si="124"/>
        <v>1.3317824381693193</v>
      </c>
      <c r="U177" s="16">
        <f t="shared" ca="1" si="124"/>
        <v>1.3701227941627303</v>
      </c>
      <c r="V177" s="16">
        <f t="shared" ca="1" si="124"/>
        <v>1.4089803183937999</v>
      </c>
      <c r="W177" s="16">
        <f t="shared" ca="1" si="124"/>
        <v>1.4478015830492124</v>
      </c>
      <c r="X177" s="16">
        <f t="shared" ca="1" si="124"/>
        <v>1.4869962204760512</v>
      </c>
    </row>
    <row r="178" spans="1:24" x14ac:dyDescent="0.25">
      <c r="A178" s="9" t="s">
        <v>907</v>
      </c>
      <c r="B178" s="9"/>
      <c r="C178" s="13"/>
      <c r="D178" s="65">
        <f t="shared" ref="D178:X178" ca="1" si="125">SUM(D$176:D$177)</f>
        <v>0.92300000000000004</v>
      </c>
      <c r="E178" s="65">
        <f t="shared" ca="1" si="125"/>
        <v>0.96199999999999997</v>
      </c>
      <c r="F178" s="65">
        <f t="shared" ca="1" si="125"/>
        <v>0.88700000000000001</v>
      </c>
      <c r="G178" s="65">
        <f t="shared" ca="1" si="125"/>
        <v>1.0950000000000002</v>
      </c>
      <c r="H178" s="65">
        <f t="shared" ca="1" si="125"/>
        <v>1.1669999999999996</v>
      </c>
      <c r="I178" s="65">
        <f t="shared" ca="1" si="125"/>
        <v>1.1180000000000001</v>
      </c>
      <c r="J178" s="66">
        <f t="shared" ca="1" si="125"/>
        <v>1.1709999999999998</v>
      </c>
      <c r="K178" s="66">
        <f t="shared" ca="1" si="125"/>
        <v>2.5720000000000001</v>
      </c>
      <c r="L178" s="66">
        <f t="shared" ca="1" si="125"/>
        <v>1.1680000000000001</v>
      </c>
      <c r="M178" s="66">
        <f t="shared" ca="1" si="125"/>
        <v>1.1459999999999999</v>
      </c>
      <c r="N178" s="66">
        <f t="shared" ca="1" si="125"/>
        <v>1.1310000000000002</v>
      </c>
      <c r="O178" s="67">
        <f t="shared" ca="1" si="125"/>
        <v>1.1684966792100722</v>
      </c>
      <c r="P178" s="67">
        <f t="shared" ca="1" si="125"/>
        <v>1.2063953928972515</v>
      </c>
      <c r="Q178" s="67">
        <f t="shared" ca="1" si="125"/>
        <v>1.2447838818658028</v>
      </c>
      <c r="R178" s="67">
        <f t="shared" ca="1" si="125"/>
        <v>1.2833229583478032</v>
      </c>
      <c r="S178" s="67">
        <f t="shared" ca="1" si="125"/>
        <v>1.3222022690506234</v>
      </c>
      <c r="T178" s="67">
        <f t="shared" ca="1" si="125"/>
        <v>1.3613332295920941</v>
      </c>
      <c r="U178" s="67">
        <f t="shared" ca="1" si="125"/>
        <v>1.4012059984652552</v>
      </c>
      <c r="V178" s="67">
        <f t="shared" ca="1" si="125"/>
        <v>1.4416270929018555</v>
      </c>
      <c r="W178" s="67">
        <f t="shared" ca="1" si="125"/>
        <v>1.4820542626595776</v>
      </c>
      <c r="X178" s="67">
        <f t="shared" ca="1" si="125"/>
        <v>1.5229154461171288</v>
      </c>
    </row>
    <row r="179" spans="1:24" x14ac:dyDescent="0.25">
      <c r="A179" s="9" t="s">
        <v>913</v>
      </c>
      <c r="B179" s="10" t="str">
        <f>$B$38</f>
        <v>From Fiscal Forecasts</v>
      </c>
      <c r="C179" s="13"/>
      <c r="D179" s="68">
        <f ca="1">'Fiscal Forecasts'!D$13-D$173</f>
        <v>3.8789999999999996</v>
      </c>
      <c r="E179" s="68">
        <f ca="1">'Fiscal Forecasts'!E$13-E$173</f>
        <v>3.57</v>
      </c>
      <c r="F179" s="68">
        <f ca="1">'Fiscal Forecasts'!F$13-F$173</f>
        <v>3.589</v>
      </c>
      <c r="G179" s="68">
        <f ca="1">'Fiscal Forecasts'!G$13-G$173</f>
        <v>3.8780000000000001</v>
      </c>
      <c r="H179" s="68">
        <f ca="1">'Fiscal Forecasts'!H$13-H$173</f>
        <v>4.5830000000000002</v>
      </c>
      <c r="I179" s="68">
        <f ca="1">'Fiscal Forecasts'!I$13-I$173</f>
        <v>4.3360000000000003</v>
      </c>
      <c r="J179" s="69">
        <f ca="1">'Fiscal Forecasts'!J$13-J$173</f>
        <v>4.3</v>
      </c>
      <c r="K179" s="69">
        <f ca="1">'Fiscal Forecasts'!K$13-K$173</f>
        <v>5.3319999999999999</v>
      </c>
      <c r="L179" s="69">
        <f ca="1">'Fiscal Forecasts'!L$13-L$173</f>
        <v>4.0069999999999997</v>
      </c>
      <c r="M179" s="69">
        <f ca="1">'Fiscal Forecasts'!M$13-M$173</f>
        <v>4.0670000000000002</v>
      </c>
      <c r="N179" s="69">
        <f ca="1">'Fiscal Forecasts'!N$13-N$173</f>
        <v>4.2549999999999999</v>
      </c>
      <c r="O179" s="47">
        <f t="shared" ref="O179:X179" ca="1" si="126">O$178+(N$179-N$178)*(1+O$19)*(1+O$29)</f>
        <v>4.3944506015366471</v>
      </c>
      <c r="P179" s="47">
        <f t="shared" ca="1" si="126"/>
        <v>4.5352677307736666</v>
      </c>
      <c r="Q179" s="47">
        <f t="shared" ca="1" si="126"/>
        <v>4.6778119013173276</v>
      </c>
      <c r="R179" s="47">
        <f t="shared" ca="1" si="126"/>
        <v>4.8208094057975277</v>
      </c>
      <c r="S179" s="47">
        <f t="shared" ca="1" si="126"/>
        <v>4.9650043316949981</v>
      </c>
      <c r="T179" s="47">
        <f t="shared" ca="1" si="126"/>
        <v>5.1100612776359133</v>
      </c>
      <c r="U179" s="47">
        <f t="shared" ca="1" si="126"/>
        <v>5.2578552532806953</v>
      </c>
      <c r="V179" s="47">
        <f t="shared" ca="1" si="126"/>
        <v>5.4076532900674188</v>
      </c>
      <c r="W179" s="47">
        <f t="shared" ca="1" si="126"/>
        <v>5.55735533799092</v>
      </c>
      <c r="X179" s="47">
        <f t="shared" ca="1" si="126"/>
        <v>5.708542376816311</v>
      </c>
    </row>
    <row r="180" spans="1:24" x14ac:dyDescent="0.25">
      <c r="A180" s="9"/>
      <c r="B180" s="9"/>
      <c r="C180" s="13"/>
      <c r="D180" s="40"/>
      <c r="E180" s="40"/>
      <c r="F180" s="40"/>
      <c r="G180" s="40"/>
      <c r="H180" s="40"/>
      <c r="I180" s="40"/>
    </row>
    <row r="181" spans="1:24" x14ac:dyDescent="0.25">
      <c r="A181" s="9" t="s">
        <v>534</v>
      </c>
      <c r="B181" s="9"/>
      <c r="C181" s="13"/>
    </row>
    <row r="182" spans="1:24" x14ac:dyDescent="0.25">
      <c r="A182" s="11" t="s">
        <v>158</v>
      </c>
      <c r="B182" s="10" t="str">
        <f>$B$38</f>
        <v>From Fiscal Forecasts</v>
      </c>
      <c r="C182" s="13"/>
      <c r="D182" s="35">
        <f>'Fiscal Forecasts'!D$243</f>
        <v>14.561999999999999</v>
      </c>
      <c r="E182" s="35">
        <f>'Fiscal Forecasts'!E$243</f>
        <v>15.521000000000001</v>
      </c>
      <c r="F182" s="35">
        <f>'Fiscal Forecasts'!F$243</f>
        <v>16.568999999999999</v>
      </c>
      <c r="G182" s="35">
        <f>'Fiscal Forecasts'!G$243</f>
        <v>17.763999999999999</v>
      </c>
      <c r="H182" s="35">
        <f>'Fiscal Forecasts'!H$243</f>
        <v>19.516999999999999</v>
      </c>
      <c r="I182" s="35">
        <f>'Fiscal Forecasts'!I$243</f>
        <v>21.574000000000002</v>
      </c>
      <c r="J182" s="17">
        <f>'Fiscal Forecasts'!J$243</f>
        <v>23.18</v>
      </c>
      <c r="K182" s="17">
        <f>'Fiscal Forecasts'!K$243</f>
        <v>24.690999999999999</v>
      </c>
      <c r="L182" s="17">
        <f>'Fiscal Forecasts'!L$243</f>
        <v>26.116</v>
      </c>
      <c r="M182" s="17">
        <f>'Fiscal Forecasts'!M$243</f>
        <v>27.605</v>
      </c>
      <c r="N182" s="17">
        <f>'Fiscal Forecasts'!N$243</f>
        <v>28.957000000000001</v>
      </c>
      <c r="O182" s="16">
        <f ca="1">N$182*(1+'Population Treasury'!Z$305)*O$204/N$204</f>
        <v>30.37041879496639</v>
      </c>
      <c r="P182" s="16">
        <f ca="1">O$182*(1+'Population Treasury'!AA$305)*P$204/O$204</f>
        <v>31.999756351441523</v>
      </c>
      <c r="Q182" s="16">
        <f ca="1">P$182*(1+'Population Treasury'!AB$305)*Q$204/P$204</f>
        <v>33.696220128329777</v>
      </c>
      <c r="R182" s="16">
        <f ca="1">Q$182*(1+'Population Treasury'!AC$305)*R$204/Q$204</f>
        <v>35.480996174658827</v>
      </c>
      <c r="S182" s="16">
        <f ca="1">R$182*(1+'Population Treasury'!AD$305)*S$204/R$204</f>
        <v>37.354790331355304</v>
      </c>
      <c r="T182" s="16">
        <f ca="1">S$182*(1+'Population Treasury'!AE$305)*T$204/S$204</f>
        <v>39.268426072255281</v>
      </c>
      <c r="U182" s="16">
        <f ca="1">T$182*(1+'Population Treasury'!AF$305)*U$204/T$204</f>
        <v>41.282924805544866</v>
      </c>
      <c r="V182" s="16">
        <f ca="1">U$182*(1+'Population Treasury'!AG$305)*V$204/U$204</f>
        <v>43.317411388539483</v>
      </c>
      <c r="W182" s="16">
        <f ca="1">V$182*(1+'Population Treasury'!AH$305)*W$204/V$204</f>
        <v>45.312617527876625</v>
      </c>
      <c r="X182" s="16">
        <f ca="1">W$182*(1+'Population Treasury'!AI$305)*X$204/W$204</f>
        <v>47.272576696491754</v>
      </c>
    </row>
    <row r="183" spans="1:24" x14ac:dyDescent="0.25">
      <c r="A183" s="11" t="s">
        <v>923</v>
      </c>
      <c r="B183" s="10" t="str">
        <f>$B$38</f>
        <v>From Fiscal Forecasts</v>
      </c>
      <c r="C183" s="13"/>
      <c r="D183" s="35">
        <f>'Fiscal Forecasts'!D$244</f>
        <v>1.8540000000000001</v>
      </c>
      <c r="E183" s="35">
        <f>'Fiscal Forecasts'!E$244</f>
        <v>2.2850000000000001</v>
      </c>
      <c r="F183" s="35">
        <f>'Fiscal Forecasts'!F$244</f>
        <v>3.2240000000000002</v>
      </c>
      <c r="G183" s="35">
        <f>'Fiscal Forecasts'!G$244</f>
        <v>3.33</v>
      </c>
      <c r="H183" s="35">
        <f>'Fiscal Forecasts'!H$244</f>
        <v>3.4729999999999999</v>
      </c>
      <c r="I183" s="35">
        <f>'Fiscal Forecasts'!I$244</f>
        <v>4.0620000000000003</v>
      </c>
      <c r="J183" s="17">
        <f>'Fiscal Forecasts'!J$244</f>
        <v>4.6440000000000001</v>
      </c>
      <c r="K183" s="17">
        <f>'Fiscal Forecasts'!K$244</f>
        <v>4.8390000000000004</v>
      </c>
      <c r="L183" s="17">
        <f>'Fiscal Forecasts'!L$244</f>
        <v>4.7149999999999999</v>
      </c>
      <c r="M183" s="17">
        <f>'Fiscal Forecasts'!M$244</f>
        <v>4.4969999999999999</v>
      </c>
      <c r="N183" s="17">
        <f>'Fiscal Forecasts'!N$244</f>
        <v>4.42</v>
      </c>
      <c r="O183" s="16">
        <f ca="1">N$183*AVERAGE(1+SUMPRODUCT(Exogenous!$B$42:$B$52,'Population Treasury'!Z$242:Z$252)+SUMPRODUCT(Exogenous!$C$42:$C$52,'Population Treasury'!Z$287:Z$297),O$16*O$23/(N$16*N$23))*(1+O$29)</f>
        <v>4.517458326425472</v>
      </c>
      <c r="P183" s="16">
        <f ca="1">O$183*AVERAGE(1+SUMPRODUCT(Exogenous!$B$42:$B$52,'Population Treasury'!AA$242:AA$252)+SUMPRODUCT(Exogenous!$C$42:$C$52,'Population Treasury'!AA$287:AA$297),P$16*P$23/(O$16*O$23))*(1+P$29)</f>
        <v>4.6197764915196027</v>
      </c>
      <c r="Q183" s="16">
        <f ca="1">P$183*AVERAGE(1+SUMPRODUCT(Exogenous!$B$42:$B$52,'Population Treasury'!AB$242:AB$252)+SUMPRODUCT(Exogenous!$C$42:$C$52,'Population Treasury'!AB$287:AB$297),Q$16*Q$23/(P$16*P$23))*(1+Q$29)</f>
        <v>4.7543055181087901</v>
      </c>
      <c r="R183" s="16">
        <f ca="1">Q$183*AVERAGE(1+SUMPRODUCT(Exogenous!$B$42:$B$52,'Population Treasury'!AC$242:AC$252)+SUMPRODUCT(Exogenous!$C$42:$C$52,'Population Treasury'!AC$287:AC$297),R$16*R$23/(Q$16*Q$23))*(1+R$29)</f>
        <v>4.8890717460427382</v>
      </c>
      <c r="S183" s="16">
        <f ca="1">R$183*AVERAGE(1+SUMPRODUCT(Exogenous!$B$42:$B$52,'Population Treasury'!AD$242:AD$252)+SUMPRODUCT(Exogenous!$C$42:$C$52,'Population Treasury'!AD$287:AD$297),S$16*S$23/(R$16*R$23))*(1+S$29)</f>
        <v>5.0229020741017569</v>
      </c>
      <c r="T183" s="16">
        <f ca="1">S$183*AVERAGE(1+SUMPRODUCT(Exogenous!$B$42:$B$52,'Population Treasury'!AE$242:AE$252)+SUMPRODUCT(Exogenous!$C$42:$C$52,'Population Treasury'!AE$287:AE$297),T$16*T$23/(S$16*S$23))*(1+T$29)</f>
        <v>5.1571371934521171</v>
      </c>
      <c r="U183" s="16">
        <f ca="1">T$183*AVERAGE(1+SUMPRODUCT(Exogenous!$B$42:$B$52,'Population Treasury'!AF$242:AF$252)+SUMPRODUCT(Exogenous!$C$42:$C$52,'Population Treasury'!AF$287:AF$297),U$16*U$23/(T$16*T$23))*(1+U$29)</f>
        <v>5.290256742117438</v>
      </c>
      <c r="V183" s="16">
        <f ca="1">U$183*AVERAGE(1+SUMPRODUCT(Exogenous!$B$42:$B$52,'Population Treasury'!AG$242:AG$252)+SUMPRODUCT(Exogenous!$C$42:$C$52,'Population Treasury'!AG$287:AG$297),V$16*V$23/(U$16*U$23))*(1+V$29)</f>
        <v>5.4260694271538501</v>
      </c>
      <c r="W183" s="16">
        <f ca="1">V$183*AVERAGE(1+SUMPRODUCT(Exogenous!$B$42:$B$52,'Population Treasury'!AH$242:AH$252)+SUMPRODUCT(Exogenous!$C$42:$C$52,'Population Treasury'!AH$287:AH$297),W$16*W$23/(V$16*V$23))*(1+W$29)</f>
        <v>5.5647889941677873</v>
      </c>
      <c r="X183" s="16">
        <f ca="1">W$183*AVERAGE(1+SUMPRODUCT(Exogenous!$B$42:$B$52,'Population Treasury'!AI$242:AI$252)+SUMPRODUCT(Exogenous!$C$42:$C$52,'Population Treasury'!AI$287:AI$297),X$16*X$23/(W$16*W$23))*(1+X$29)</f>
        <v>5.7064120365369799</v>
      </c>
    </row>
    <row r="184" spans="1:24" x14ac:dyDescent="0.25">
      <c r="A184" s="11" t="s">
        <v>716</v>
      </c>
      <c r="B184" s="10" t="str">
        <f t="shared" ref="B184:B196" si="127">$B$38</f>
        <v>From Fiscal Forecasts</v>
      </c>
      <c r="C184" s="13"/>
      <c r="D184" s="35">
        <f>'Fiscal Forecasts'!D$245</f>
        <v>1.556</v>
      </c>
      <c r="E184" s="35">
        <f>'Fiscal Forecasts'!E$245</f>
        <v>1.65</v>
      </c>
      <c r="F184" s="35">
        <f>'Fiscal Forecasts'!F$245</f>
        <v>1.8260000000000001</v>
      </c>
      <c r="G184" s="35">
        <f>'Fiscal Forecasts'!G$245</f>
        <v>2.0470000000000002</v>
      </c>
      <c r="H184" s="35">
        <f>'Fiscal Forecasts'!H$245</f>
        <v>2.3109999999999999</v>
      </c>
      <c r="I184" s="35">
        <f>'Fiscal Forecasts'!I$245</f>
        <v>2.5299999999999998</v>
      </c>
      <c r="J184" s="17">
        <f>'Fiscal Forecasts'!J$245</f>
        <v>2.669</v>
      </c>
      <c r="K184" s="17">
        <f>'Fiscal Forecasts'!K$245</f>
        <v>2.782</v>
      </c>
      <c r="L184" s="17">
        <f>'Fiscal Forecasts'!L$245</f>
        <v>2.8809999999999998</v>
      </c>
      <c r="M184" s="17">
        <f>'Fiscal Forecasts'!M$245</f>
        <v>2.9750000000000001</v>
      </c>
      <c r="N184" s="17">
        <f>'Fiscal Forecasts'!N$245</f>
        <v>3.0230000000000001</v>
      </c>
      <c r="O184" s="16">
        <f ca="1">N$184*(1+SUMPRODUCT(Exogenous!$I$42:$I$52,'Population Treasury'!Z$242:Z$252)+SUMPRODUCT(Exogenous!$J$42:$J$52,'Population Treasury'!Z$287:Z$297))*(1+O$29)</f>
        <v>3.1043958345517408</v>
      </c>
      <c r="P184" s="16">
        <f ca="1">O$184*(1+SUMPRODUCT(Exogenous!$I$42:$I$52,'Population Treasury'!AA$242:AA$252)+SUMPRODUCT(Exogenous!$J$42:$J$52,'Population Treasury'!AA$287:AA$297))*(1+P$29)</f>
        <v>3.1904398795185078</v>
      </c>
      <c r="Q184" s="16">
        <f ca="1">P$184*(1+SUMPRODUCT(Exogenous!$I$42:$I$52,'Population Treasury'!AB$242:AB$252)+SUMPRODUCT(Exogenous!$J$42:$J$52,'Population Treasury'!AB$287:AB$297))*(1+Q$29)</f>
        <v>3.2770124490467345</v>
      </c>
      <c r="R184" s="16">
        <f ca="1">Q$184*(1+SUMPRODUCT(Exogenous!$I$42:$I$52,'Population Treasury'!AC$242:AC$252)+SUMPRODUCT(Exogenous!$J$42:$J$52,'Population Treasury'!AC$287:AC$297))*(1+R$29)</f>
        <v>3.3622673797612532</v>
      </c>
      <c r="S184" s="16">
        <f ca="1">R$184*(1+SUMPRODUCT(Exogenous!$I$42:$I$52,'Population Treasury'!AD$242:AD$252)+SUMPRODUCT(Exogenous!$J$42:$J$52,'Population Treasury'!AD$287:AD$297))*(1+S$29)</f>
        <v>3.4455498357148011</v>
      </c>
      <c r="T184" s="16">
        <f ca="1">S$184*(1+SUMPRODUCT(Exogenous!$I$42:$I$52,'Population Treasury'!AE$242:AE$252)+SUMPRODUCT(Exogenous!$J$42:$J$52,'Population Treasury'!AE$287:AE$297))*(1+T$29)</f>
        <v>3.5308588251900002</v>
      </c>
      <c r="U184" s="16">
        <f ca="1">T$184*(1+SUMPRODUCT(Exogenous!$I$42:$I$52,'Population Treasury'!AF$242:AF$252)+SUMPRODUCT(Exogenous!$J$42:$J$52,'Population Treasury'!AF$287:AF$297))*(1+U$29)</f>
        <v>3.612351609496407</v>
      </c>
      <c r="V184" s="16">
        <f ca="1">U$184*(1+SUMPRODUCT(Exogenous!$I$42:$I$52,'Population Treasury'!AG$242:AG$252)+SUMPRODUCT(Exogenous!$J$42:$J$52,'Population Treasury'!AG$287:AG$297))*(1+V$29)</f>
        <v>3.6984365486116544</v>
      </c>
      <c r="W184" s="16">
        <f ca="1">V$184*(1+SUMPRODUCT(Exogenous!$I$42:$I$52,'Population Treasury'!AH$242:AH$252)+SUMPRODUCT(Exogenous!$J$42:$J$52,'Population Treasury'!AH$287:AH$297))*(1+W$29)</f>
        <v>3.7926119873713398</v>
      </c>
      <c r="X184" s="16">
        <f ca="1">W$184*(1+SUMPRODUCT(Exogenous!$I$42:$I$52,'Population Treasury'!AI$242:AI$252)+SUMPRODUCT(Exogenous!$J$42:$J$52,'Population Treasury'!AI$287:AI$297))*(1+X$29)</f>
        <v>3.8944781235817163</v>
      </c>
    </row>
    <row r="185" spans="1:24" x14ac:dyDescent="0.25">
      <c r="A185" s="11" t="s">
        <v>717</v>
      </c>
      <c r="B185" s="10" t="str">
        <f t="shared" si="127"/>
        <v>From Fiscal Forecasts</v>
      </c>
      <c r="C185" s="13"/>
      <c r="D185" s="35">
        <f>'Fiscal Forecasts'!D$246</f>
        <v>1.115</v>
      </c>
      <c r="E185" s="35">
        <f>'Fiscal Forecasts'!E$246</f>
        <v>1.2310000000000001</v>
      </c>
      <c r="F185" s="35">
        <f>'Fiscal Forecasts'!F$246</f>
        <v>1.4550000000000001</v>
      </c>
      <c r="G185" s="35">
        <f>'Fiscal Forecasts'!G$246</f>
        <v>1.704</v>
      </c>
      <c r="H185" s="35">
        <f>'Fiscal Forecasts'!H$246</f>
        <v>1.917</v>
      </c>
      <c r="I185" s="35">
        <f>'Fiscal Forecasts'!I$246</f>
        <v>2.097</v>
      </c>
      <c r="J185" s="17">
        <f>'Fiscal Forecasts'!J$246</f>
        <v>2.2570000000000001</v>
      </c>
      <c r="K185" s="17">
        <f>'Fiscal Forecasts'!K$246</f>
        <v>2.331</v>
      </c>
      <c r="L185" s="17">
        <f>'Fiscal Forecasts'!L$246</f>
        <v>2.3029999999999999</v>
      </c>
      <c r="M185" s="17">
        <f>'Fiscal Forecasts'!M$246</f>
        <v>2.27</v>
      </c>
      <c r="N185" s="17">
        <f>'Fiscal Forecasts'!N$246</f>
        <v>2.169</v>
      </c>
      <c r="O185" s="16">
        <f ca="1">N$185*(1+SUMPRODUCT(Exogenous!$P$42:$P$52,'Population Treasury'!Z$242:Z$252)+SUMPRODUCT(Exogenous!$Q$42:$Q$52,'Population Treasury'!Z$287:Z$297))*(1+O$29)</f>
        <v>2.2342412185630129</v>
      </c>
      <c r="P185" s="16">
        <f ca="1">O$185*(1+SUMPRODUCT(Exogenous!$P$42:$P$52,'Population Treasury'!AA$242:AA$252)+SUMPRODUCT(Exogenous!$Q$42:$Q$52,'Population Treasury'!AA$287:AA$297))*(1+P$29)</f>
        <v>2.3001843848237082</v>
      </c>
      <c r="Q185" s="16">
        <f ca="1">P$185*(1+SUMPRODUCT(Exogenous!$P$42:$P$52,'Population Treasury'!AB$242:AB$252)+SUMPRODUCT(Exogenous!$Q$42:$Q$52,'Population Treasury'!AB$287:AB$297))*(1+Q$29)</f>
        <v>2.367548588826268</v>
      </c>
      <c r="R185" s="16">
        <f ca="1">Q$185*(1+SUMPRODUCT(Exogenous!$P$42:$P$52,'Population Treasury'!AC$242:AC$252)+SUMPRODUCT(Exogenous!$Q$42:$Q$52,'Population Treasury'!AC$287:AC$297))*(1+R$29)</f>
        <v>2.4358445983825128</v>
      </c>
      <c r="S185" s="16">
        <f ca="1">R$185*(1+SUMPRODUCT(Exogenous!$P$42:$P$52,'Population Treasury'!AD$242:AD$252)+SUMPRODUCT(Exogenous!$Q$42:$Q$52,'Population Treasury'!AD$287:AD$297))*(1+S$29)</f>
        <v>2.5027452563444292</v>
      </c>
      <c r="T185" s="16">
        <f ca="1">S$185*(1+SUMPRODUCT(Exogenous!$P$42:$P$52,'Population Treasury'!AE$242:AE$252)+SUMPRODUCT(Exogenous!$Q$42:$Q$52,'Population Treasury'!AE$287:AE$297))*(1+T$29)</f>
        <v>2.5691662890347424</v>
      </c>
      <c r="U185" s="16">
        <f ca="1">T$185*(1+SUMPRODUCT(Exogenous!$P$42:$P$52,'Population Treasury'!AF$242:AF$252)+SUMPRODUCT(Exogenous!$Q$42:$Q$52,'Population Treasury'!AF$287:AF$297))*(1+U$29)</f>
        <v>2.6345615238006572</v>
      </c>
      <c r="V185" s="16">
        <f ca="1">U$185*(1+SUMPRODUCT(Exogenous!$P$42:$P$52,'Population Treasury'!AG$242:AG$252)+SUMPRODUCT(Exogenous!$Q$42:$Q$52,'Population Treasury'!AG$287:AG$297))*(1+V$29)</f>
        <v>2.7015501793468539</v>
      </c>
      <c r="W185" s="16">
        <f ca="1">V$185*(1+SUMPRODUCT(Exogenous!$P$42:$P$52,'Population Treasury'!AH$242:AH$252)+SUMPRODUCT(Exogenous!$Q$42:$Q$52,'Population Treasury'!AH$287:AH$297))*(1+W$29)</f>
        <v>2.7669100585309674</v>
      </c>
      <c r="X185" s="16">
        <f ca="1">W$185*(1+SUMPRODUCT(Exogenous!$P$42:$P$52,'Population Treasury'!AI$242:AI$252)+SUMPRODUCT(Exogenous!$Q$42:$Q$52,'Population Treasury'!AI$287:AI$297))*(1+X$29)</f>
        <v>2.8307312888794827</v>
      </c>
    </row>
    <row r="186" spans="1:24" x14ac:dyDescent="0.25">
      <c r="A186" s="11" t="s">
        <v>718</v>
      </c>
      <c r="B186" s="10" t="str">
        <f t="shared" si="127"/>
        <v>From Fiscal Forecasts</v>
      </c>
      <c r="D186" s="35">
        <f>'Fiscal Forecasts'!D$247</f>
        <v>2.766</v>
      </c>
      <c r="E186" s="35">
        <f>'Fiscal Forecasts'!E$247</f>
        <v>2.83</v>
      </c>
      <c r="F186" s="35">
        <f>'Fiscal Forecasts'!F$247</f>
        <v>2.6880000000000002</v>
      </c>
      <c r="G186" s="35">
        <f>'Fiscal Forecasts'!G$247</f>
        <v>2.536</v>
      </c>
      <c r="H186" s="35">
        <f>'Fiscal Forecasts'!H$247</f>
        <v>2.6269999999999998</v>
      </c>
      <c r="I186" s="35">
        <f>'Fiscal Forecasts'!I$247</f>
        <v>2.7450000000000001</v>
      </c>
      <c r="J186" s="17">
        <f>'Fiscal Forecasts'!J$247</f>
        <v>2.9990000000000001</v>
      </c>
      <c r="K186" s="17">
        <f>'Fiscal Forecasts'!K$247</f>
        <v>2.97</v>
      </c>
      <c r="L186" s="17">
        <f>'Fiscal Forecasts'!L$247</f>
        <v>3.05</v>
      </c>
      <c r="M186" s="17">
        <f>'Fiscal Forecasts'!M$247</f>
        <v>3.2229999999999999</v>
      </c>
      <c r="N186" s="17">
        <f>'Fiscal Forecasts'!N$247</f>
        <v>3.141</v>
      </c>
      <c r="O186" s="16">
        <f ca="1">N$186*(1+O$19)*(1+O$29)</f>
        <v>3.2435087292022318</v>
      </c>
      <c r="P186" s="16">
        <f t="shared" ref="P186:X186" ca="1" si="128">O$186*(1+P$19)*(1+P$29)</f>
        <v>3.3469872001503909</v>
      </c>
      <c r="Q186" s="16">
        <f t="shared" ca="1" si="128"/>
        <v>3.4517096700055183</v>
      </c>
      <c r="R186" s="16">
        <f t="shared" ca="1" si="128"/>
        <v>3.5567365337514669</v>
      </c>
      <c r="S186" s="16">
        <f t="shared" ca="1" si="128"/>
        <v>3.6626252492848841</v>
      </c>
      <c r="T186" s="16">
        <f t="shared" ca="1" si="128"/>
        <v>3.7691276564998821</v>
      </c>
      <c r="U186" s="16">
        <f t="shared" ca="1" si="128"/>
        <v>3.8776361425657146</v>
      </c>
      <c r="V186" s="16">
        <f t="shared" ca="1" si="128"/>
        <v>3.9876082859465529</v>
      </c>
      <c r="W186" s="16">
        <f t="shared" ca="1" si="128"/>
        <v>4.0974778097361542</v>
      </c>
      <c r="X186" s="16">
        <f t="shared" ca="1" si="128"/>
        <v>4.2084040298739227</v>
      </c>
    </row>
    <row r="187" spans="1:24" x14ac:dyDescent="0.25">
      <c r="A187" s="11" t="s">
        <v>719</v>
      </c>
      <c r="B187" s="10" t="str">
        <f t="shared" si="127"/>
        <v>From Fiscal Forecasts</v>
      </c>
      <c r="D187" s="35">
        <f>'Fiscal Forecasts'!D$248</f>
        <v>1.64</v>
      </c>
      <c r="E187" s="35">
        <f>'Fiscal Forecasts'!E$248</f>
        <v>1.923</v>
      </c>
      <c r="F187" s="35">
        <f>'Fiscal Forecasts'!F$248</f>
        <v>2.302</v>
      </c>
      <c r="G187" s="35">
        <f>'Fiscal Forecasts'!G$248</f>
        <v>2.3860000000000001</v>
      </c>
      <c r="H187" s="35">
        <f>'Fiscal Forecasts'!H$248</f>
        <v>2.3490000000000002</v>
      </c>
      <c r="I187" s="35">
        <f>'Fiscal Forecasts'!I$248</f>
        <v>2.411</v>
      </c>
      <c r="J187" s="17">
        <f>'Fiscal Forecasts'!J$248</f>
        <v>2.3039999999999998</v>
      </c>
      <c r="K187" s="17">
        <f>'Fiscal Forecasts'!K$248</f>
        <v>2.35</v>
      </c>
      <c r="L187" s="17">
        <f>'Fiscal Forecasts'!L$248</f>
        <v>2.3180000000000001</v>
      </c>
      <c r="M187" s="17">
        <f>'Fiscal Forecasts'!M$248</f>
        <v>2.3109999999999999</v>
      </c>
      <c r="N187" s="17">
        <f>'Fiscal Forecasts'!N$248</f>
        <v>2.1859999999999999</v>
      </c>
      <c r="O187" s="16">
        <f ca="1">N$187*(1+O$19)*(1+O$29)</f>
        <v>2.2573416370697479</v>
      </c>
      <c r="P187" s="16">
        <f t="shared" ref="P187:X187" ca="1" si="129">O$187*(1+P$19)*(1+P$29)</f>
        <v>2.3293581724064798</v>
      </c>
      <c r="Q187" s="16">
        <f t="shared" ca="1" si="129"/>
        <v>2.4022404771194084</v>
      </c>
      <c r="R187" s="16">
        <f t="shared" ca="1" si="129"/>
        <v>2.4753346268006067</v>
      </c>
      <c r="S187" s="16">
        <f t="shared" ca="1" si="129"/>
        <v>2.5490285880091546</v>
      </c>
      <c r="T187" s="16">
        <f t="shared" ca="1" si="129"/>
        <v>2.6231496520562692</v>
      </c>
      <c r="U187" s="16">
        <f t="shared" ca="1" si="129"/>
        <v>2.6986668601237347</v>
      </c>
      <c r="V187" s="16">
        <f t="shared" ca="1" si="129"/>
        <v>2.7752027103085521</v>
      </c>
      <c r="W187" s="16">
        <f t="shared" ca="1" si="129"/>
        <v>2.8516671417011241</v>
      </c>
      <c r="X187" s="16">
        <f t="shared" ca="1" si="129"/>
        <v>2.9288669879988514</v>
      </c>
    </row>
    <row r="188" spans="1:24" x14ac:dyDescent="0.25">
      <c r="A188" s="11" t="s">
        <v>720</v>
      </c>
      <c r="B188" s="10" t="str">
        <f t="shared" si="127"/>
        <v>From Fiscal Forecasts</v>
      </c>
      <c r="C188" s="13"/>
      <c r="D188" s="35">
        <f>'Fiscal Forecasts'!D$249</f>
        <v>2.351</v>
      </c>
      <c r="E188" s="35">
        <f>'Fiscal Forecasts'!E$249</f>
        <v>14.971</v>
      </c>
      <c r="F188" s="35">
        <f>'Fiscal Forecasts'!F$249</f>
        <v>5.0529999999999999</v>
      </c>
      <c r="G188" s="35">
        <f>'Fiscal Forecasts'!G$249</f>
        <v>11.973000000000001</v>
      </c>
      <c r="H188" s="35">
        <f>'Fiscal Forecasts'!H$249</f>
        <v>4.1159999999999997</v>
      </c>
      <c r="I188" s="35">
        <f>'Fiscal Forecasts'!I$249</f>
        <v>3.7759999999999998</v>
      </c>
      <c r="J188" s="17">
        <f>'Fiscal Forecasts'!J$249</f>
        <v>4.0570000000000004</v>
      </c>
      <c r="K188" s="17">
        <f>'Fiscal Forecasts'!K$249</f>
        <v>4.3849999999999998</v>
      </c>
      <c r="L188" s="17">
        <f>'Fiscal Forecasts'!L$249</f>
        <v>4.4329999999999998</v>
      </c>
      <c r="M188" s="17">
        <f>'Fiscal Forecasts'!M$249</f>
        <v>4.5750000000000002</v>
      </c>
      <c r="N188" s="17">
        <f>'Fiscal Forecasts'!N$249</f>
        <v>4.6130000000000004</v>
      </c>
      <c r="O188" s="16">
        <f ca="1">N$188*(1+O$19)*(1+O$29)</f>
        <v>4.7635484774943953</v>
      </c>
      <c r="P188" s="16">
        <f t="shared" ref="P188:X188" ca="1" si="130">O$188*(1+P$19)*(1+P$29)</f>
        <v>4.9155211570499056</v>
      </c>
      <c r="Q188" s="16">
        <f t="shared" ca="1" si="130"/>
        <v>5.0693208238571978</v>
      </c>
      <c r="R188" s="16">
        <f t="shared" ca="1" si="130"/>
        <v>5.2235675358788667</v>
      </c>
      <c r="S188" s="16">
        <f t="shared" ca="1" si="130"/>
        <v>5.379079998392605</v>
      </c>
      <c r="T188" s="16">
        <f t="shared" ca="1" si="130"/>
        <v>5.5354937534014512</v>
      </c>
      <c r="U188" s="16">
        <f t="shared" ca="1" si="130"/>
        <v>5.694853717177855</v>
      </c>
      <c r="V188" s="16">
        <f t="shared" ca="1" si="130"/>
        <v>5.856363267453502</v>
      </c>
      <c r="W188" s="16">
        <f t="shared" ca="1" si="130"/>
        <v>6.0177221064351736</v>
      </c>
      <c r="X188" s="16">
        <f t="shared" ca="1" si="130"/>
        <v>6.1806328525337175</v>
      </c>
    </row>
    <row r="189" spans="1:24" x14ac:dyDescent="0.25">
      <c r="A189" s="9" t="s">
        <v>950</v>
      </c>
      <c r="B189" s="10"/>
      <c r="C189" s="13"/>
      <c r="D189" s="65">
        <f t="shared" ref="D189:O189" si="131">SUM(D$182:D$188)</f>
        <v>25.844000000000001</v>
      </c>
      <c r="E189" s="65">
        <f t="shared" si="131"/>
        <v>40.411000000000001</v>
      </c>
      <c r="F189" s="65">
        <f t="shared" si="131"/>
        <v>33.116999999999997</v>
      </c>
      <c r="G189" s="65">
        <f t="shared" si="131"/>
        <v>41.74</v>
      </c>
      <c r="H189" s="65">
        <f t="shared" si="131"/>
        <v>36.31</v>
      </c>
      <c r="I189" s="65">
        <f t="shared" si="131"/>
        <v>39.195000000000007</v>
      </c>
      <c r="J189" s="66">
        <f t="shared" si="131"/>
        <v>42.110000000000007</v>
      </c>
      <c r="K189" s="66">
        <f t="shared" si="131"/>
        <v>44.347999999999999</v>
      </c>
      <c r="L189" s="66">
        <f t="shared" si="131"/>
        <v>45.815999999999988</v>
      </c>
      <c r="M189" s="66">
        <f t="shared" si="131"/>
        <v>47.45600000000001</v>
      </c>
      <c r="N189" s="66">
        <f t="shared" si="131"/>
        <v>48.509</v>
      </c>
      <c r="O189" s="67">
        <f t="shared" ca="1" si="131"/>
        <v>50.490913018272991</v>
      </c>
      <c r="P189" s="67">
        <f t="shared" ref="P189:X189" ca="1" si="132">SUM(P$182:P$188)</f>
        <v>52.702023636910113</v>
      </c>
      <c r="Q189" s="67">
        <f t="shared" ca="1" si="132"/>
        <v>55.018357655293691</v>
      </c>
      <c r="R189" s="67">
        <f t="shared" ca="1" si="132"/>
        <v>57.423818595276281</v>
      </c>
      <c r="S189" s="67">
        <f t="shared" ca="1" si="132"/>
        <v>59.916721333202943</v>
      </c>
      <c r="T189" s="67">
        <f t="shared" ca="1" si="132"/>
        <v>62.453359441889745</v>
      </c>
      <c r="U189" s="67">
        <f t="shared" ca="1" si="132"/>
        <v>65.091251400826664</v>
      </c>
      <c r="V189" s="67">
        <f t="shared" ca="1" si="132"/>
        <v>67.762641807360438</v>
      </c>
      <c r="W189" s="67">
        <f t="shared" ca="1" si="132"/>
        <v>70.403795625819171</v>
      </c>
      <c r="X189" s="67">
        <f t="shared" ca="1" si="132"/>
        <v>73.022102015896422</v>
      </c>
    </row>
    <row r="190" spans="1:24" x14ac:dyDescent="0.25">
      <c r="A190" s="11" t="s">
        <v>721</v>
      </c>
      <c r="B190" s="10" t="str">
        <f t="shared" si="127"/>
        <v>From Fiscal Forecasts</v>
      </c>
      <c r="C190" s="13"/>
      <c r="D190" s="35">
        <f>'Fiscal Forecasts'!D$250</f>
        <v>0.58299999999999996</v>
      </c>
      <c r="E190" s="35">
        <f>'Fiscal Forecasts'!E$250</f>
        <v>0.56699999999999995</v>
      </c>
      <c r="F190" s="35">
        <f>'Fiscal Forecasts'!F$250</f>
        <v>0.59</v>
      </c>
      <c r="G190" s="35">
        <f>'Fiscal Forecasts'!G$250</f>
        <v>0.55600000000000005</v>
      </c>
      <c r="H190" s="35">
        <f>'Fiscal Forecasts'!H$250</f>
        <v>0.52500000000000002</v>
      </c>
      <c r="I190" s="35">
        <f>'Fiscal Forecasts'!I$250</f>
        <v>0.52600000000000002</v>
      </c>
      <c r="J190" s="17">
        <f>'Fiscal Forecasts'!J$250</f>
        <v>0.57799999999999996</v>
      </c>
      <c r="K190" s="17">
        <f>'Fiscal Forecasts'!K$250</f>
        <v>0.63500000000000001</v>
      </c>
      <c r="L190" s="17">
        <f>'Fiscal Forecasts'!L$250</f>
        <v>0.64</v>
      </c>
      <c r="M190" s="17">
        <f>'Fiscal Forecasts'!M$250</f>
        <v>0.63700000000000001</v>
      </c>
      <c r="N190" s="17">
        <f>'Fiscal Forecasts'!N$250</f>
        <v>0.628</v>
      </c>
      <c r="O190" s="16">
        <f ca="1">N$190*(1+'Population Treasury'!Z$304)*(1+O$29)</f>
        <v>0.64562485974176986</v>
      </c>
      <c r="P190" s="16">
        <f ca="1">O$190*(1+'Population Treasury'!AA$304)*(1+P$29)</f>
        <v>0.66194568964686296</v>
      </c>
      <c r="Q190" s="16">
        <f ca="1">P$190*(1+'Population Treasury'!AB$304)*(1+Q$29)</f>
        <v>0.67712377808722313</v>
      </c>
      <c r="R190" s="16">
        <f ca="1">Q$190*(1+'Population Treasury'!AC$304)*(1+R$29)</f>
        <v>0.69245219913184963</v>
      </c>
      <c r="S190" s="16">
        <f ca="1">R$190*(1+'Population Treasury'!AD$304)*(1+S$29)</f>
        <v>0.70825442012990725</v>
      </c>
      <c r="T190" s="16">
        <f ca="1">S$190*(1+'Population Treasury'!AE$304)*(1+T$29)</f>
        <v>0.72507180469317367</v>
      </c>
      <c r="U190" s="16">
        <f ca="1">T$190*(1+'Population Treasury'!AF$304)*(1+U$29)</f>
        <v>0.74154264390725988</v>
      </c>
      <c r="V190" s="16">
        <f ca="1">U$190*(1+'Population Treasury'!AG$304)*(1+V$29)</f>
        <v>0.75822655773090308</v>
      </c>
      <c r="W190" s="16">
        <f ca="1">V$190*(1+'Population Treasury'!AH$304)*(1+W$29)</f>
        <v>0.77527296537521928</v>
      </c>
      <c r="X190" s="16">
        <f ca="1">W$190*(1+'Population Treasury'!AI$304)*(1+X$29)</f>
        <v>0.79306000206523053</v>
      </c>
    </row>
    <row r="191" spans="1:24" x14ac:dyDescent="0.25">
      <c r="A191" s="9" t="s">
        <v>951</v>
      </c>
      <c r="B191" s="10"/>
      <c r="C191" s="13"/>
      <c r="D191" s="65">
        <f t="shared" ref="D191:O191" si="133">SUM(D$189:D$190)</f>
        <v>26.427</v>
      </c>
      <c r="E191" s="65">
        <f t="shared" si="133"/>
        <v>40.978000000000002</v>
      </c>
      <c r="F191" s="65">
        <f t="shared" si="133"/>
        <v>33.707000000000001</v>
      </c>
      <c r="G191" s="65">
        <f t="shared" si="133"/>
        <v>42.295999999999999</v>
      </c>
      <c r="H191" s="65">
        <f t="shared" si="133"/>
        <v>36.835000000000001</v>
      </c>
      <c r="I191" s="65">
        <f t="shared" si="133"/>
        <v>39.721000000000011</v>
      </c>
      <c r="J191" s="66">
        <f t="shared" si="133"/>
        <v>42.688000000000009</v>
      </c>
      <c r="K191" s="66">
        <f t="shared" si="133"/>
        <v>44.982999999999997</v>
      </c>
      <c r="L191" s="66">
        <f t="shared" si="133"/>
        <v>46.455999999999989</v>
      </c>
      <c r="M191" s="66">
        <f t="shared" si="133"/>
        <v>48.093000000000011</v>
      </c>
      <c r="N191" s="66">
        <f t="shared" si="133"/>
        <v>49.137</v>
      </c>
      <c r="O191" s="67">
        <f t="shared" ca="1" si="133"/>
        <v>51.136537878014764</v>
      </c>
      <c r="P191" s="67">
        <f t="shared" ref="P191:X191" ca="1" si="134">SUM(P$189:P$190)</f>
        <v>53.363969326556976</v>
      </c>
      <c r="Q191" s="67">
        <f t="shared" ca="1" si="134"/>
        <v>55.695481433380913</v>
      </c>
      <c r="R191" s="67">
        <f t="shared" ca="1" si="134"/>
        <v>58.11627079440813</v>
      </c>
      <c r="S191" s="67">
        <f t="shared" ca="1" si="134"/>
        <v>60.624975753332848</v>
      </c>
      <c r="T191" s="67">
        <f t="shared" ca="1" si="134"/>
        <v>63.178431246582917</v>
      </c>
      <c r="U191" s="67">
        <f t="shared" ca="1" si="134"/>
        <v>65.83279404473393</v>
      </c>
      <c r="V191" s="67">
        <f t="shared" ca="1" si="134"/>
        <v>68.520868365091346</v>
      </c>
      <c r="W191" s="67">
        <f t="shared" ca="1" si="134"/>
        <v>71.179068591194394</v>
      </c>
      <c r="X191" s="67">
        <f t="shared" ca="1" si="134"/>
        <v>73.815162017961654</v>
      </c>
    </row>
    <row r="192" spans="1:24" x14ac:dyDescent="0.25">
      <c r="A192" s="11" t="s">
        <v>952</v>
      </c>
      <c r="B192" s="10" t="str">
        <f t="shared" si="127"/>
        <v>From Fiscal Forecasts</v>
      </c>
      <c r="C192" s="13"/>
      <c r="D192" s="35">
        <f>'Fiscal Forecasts'!D$251</f>
        <v>0.95099999999999996</v>
      </c>
      <c r="E192" s="35">
        <f>'Fiscal Forecasts'!E$251</f>
        <v>0.89300000000000002</v>
      </c>
      <c r="F192" s="35">
        <f>'Fiscal Forecasts'!F$251</f>
        <v>0.91600000000000004</v>
      </c>
      <c r="G192" s="35">
        <f>'Fiscal Forecasts'!G$251</f>
        <v>0.96399999999999997</v>
      </c>
      <c r="H192" s="35">
        <f>'Fiscal Forecasts'!H$251</f>
        <v>0.997</v>
      </c>
      <c r="I192" s="35">
        <f>'Fiscal Forecasts'!I$251</f>
        <v>1.014</v>
      </c>
      <c r="J192" s="17">
        <f>'Fiscal Forecasts'!J$251</f>
        <v>1.06</v>
      </c>
      <c r="K192" s="17">
        <f>'Fiscal Forecasts'!K$251</f>
        <v>0.54500000000000004</v>
      </c>
      <c r="L192" s="17">
        <f>'Fiscal Forecasts'!L$251</f>
        <v>0.56499999999999995</v>
      </c>
      <c r="M192" s="17">
        <f>'Fiscal Forecasts'!M$251</f>
        <v>0.58799999999999997</v>
      </c>
      <c r="N192" s="17">
        <f>'Fiscal Forecasts'!N$251</f>
        <v>0.61299999999999999</v>
      </c>
      <c r="O192" s="16">
        <f>IF(ISBLANK(Exogenous!Z$37),N$192*(1+O$14),Exogenous!Z$37)</f>
        <v>0.63900000000000001</v>
      </c>
      <c r="P192" s="16">
        <f>IF(ISBLANK(Exogenous!AA$37),O$192*(1+P$14),Exogenous!AA$37)</f>
        <v>0.67</v>
      </c>
      <c r="Q192" s="16">
        <f>IF(ISBLANK(Exogenous!AB$37),P$192*(1+Q$14),Exogenous!AB$37)</f>
        <v>0.7</v>
      </c>
      <c r="R192" s="16">
        <f ca="1">IF(ISBLANK(Exogenous!AC$37),Q$192*(1+R$14),Exogenous!AC$37)</f>
        <v>0.72756355019879493</v>
      </c>
      <c r="S192" s="16">
        <f ca="1">IF(ISBLANK(Exogenous!AD$37),R$192*(1+S$14),Exogenous!AD$37)</f>
        <v>0.75573486733594508</v>
      </c>
      <c r="T192" s="16">
        <f ca="1">IF(ISBLANK(Exogenous!AE$37),S$192*(1+T$14),Exogenous!AE$37)</f>
        <v>0.78447095946271272</v>
      </c>
      <c r="U192" s="16">
        <f ca="1">IF(ISBLANK(Exogenous!AF$37),T$192*(1+U$14),Exogenous!AF$37)</f>
        <v>0.81359019140303346</v>
      </c>
      <c r="V192" s="16">
        <f ca="1">IF(ISBLANK(Exogenous!AG$37),U$192*(1+V$14),Exogenous!AG$37)</f>
        <v>0.84314722537661679</v>
      </c>
      <c r="W192" s="16">
        <f ca="1">IF(ISBLANK(Exogenous!AH$37),V$192*(1+W$14),Exogenous!AH$37)</f>
        <v>0.87314096019223619</v>
      </c>
      <c r="X192" s="16">
        <f ca="1">IF(ISBLANK(Exogenous!AI$37),W$192*(1+X$14),Exogenous!AI$37)</f>
        <v>0.90379741452028528</v>
      </c>
    </row>
    <row r="193" spans="1:24" x14ac:dyDescent="0.25">
      <c r="A193" s="11" t="s">
        <v>723</v>
      </c>
      <c r="B193" s="10" t="str">
        <f t="shared" si="127"/>
        <v>From Fiscal Forecasts</v>
      </c>
      <c r="C193" s="13"/>
      <c r="D193" s="35">
        <f>'Fiscal Forecasts'!D$252</f>
        <v>0.70799999999999996</v>
      </c>
      <c r="E193" s="35">
        <f>'Fiscal Forecasts'!E$252</f>
        <v>0.73599999999999999</v>
      </c>
      <c r="F193" s="35">
        <f>'Fiscal Forecasts'!F$252</f>
        <v>0.80400000000000005</v>
      </c>
      <c r="G193" s="35">
        <f>'Fiscal Forecasts'!G$252</f>
        <v>0.82699999999999996</v>
      </c>
      <c r="H193" s="35">
        <f>'Fiscal Forecasts'!H$252</f>
        <v>0.97099999999999997</v>
      </c>
      <c r="I193" s="35">
        <f>'Fiscal Forecasts'!I$252</f>
        <v>1.202</v>
      </c>
      <c r="J193" s="17">
        <f>'Fiscal Forecasts'!J$252</f>
        <v>1.1160000000000001</v>
      </c>
      <c r="K193" s="17">
        <f>'Fiscal Forecasts'!K$252</f>
        <v>0.995</v>
      </c>
      <c r="L193" s="17">
        <f>'Fiscal Forecasts'!L$252</f>
        <v>0.94099999999999995</v>
      </c>
      <c r="M193" s="17">
        <f>'Fiscal Forecasts'!M$252</f>
        <v>0.94099999999999995</v>
      </c>
      <c r="N193" s="17">
        <f>'Fiscal Forecasts'!N$252</f>
        <v>0.94099999999999995</v>
      </c>
      <c r="O193" s="16">
        <f t="shared" ref="O193:X193" si="135">N$193</f>
        <v>0.94099999999999995</v>
      </c>
      <c r="P193" s="16">
        <f t="shared" si="135"/>
        <v>0.94099999999999995</v>
      </c>
      <c r="Q193" s="16">
        <f t="shared" si="135"/>
        <v>0.94099999999999995</v>
      </c>
      <c r="R193" s="16">
        <f t="shared" si="135"/>
        <v>0.94099999999999995</v>
      </c>
      <c r="S193" s="16">
        <f t="shared" si="135"/>
        <v>0.94099999999999995</v>
      </c>
      <c r="T193" s="16">
        <f t="shared" si="135"/>
        <v>0.94099999999999995</v>
      </c>
      <c r="U193" s="16">
        <f t="shared" si="135"/>
        <v>0.94099999999999995</v>
      </c>
      <c r="V193" s="16">
        <f t="shared" si="135"/>
        <v>0.94099999999999995</v>
      </c>
      <c r="W193" s="16">
        <f t="shared" si="135"/>
        <v>0.94099999999999995</v>
      </c>
      <c r="X193" s="16">
        <f t="shared" si="135"/>
        <v>0.94099999999999995</v>
      </c>
    </row>
    <row r="194" spans="1:24" x14ac:dyDescent="0.25">
      <c r="A194" s="9" t="s">
        <v>957</v>
      </c>
      <c r="B194" s="10"/>
      <c r="C194" s="13"/>
      <c r="D194" s="65">
        <f t="shared" ref="D194:X194" si="136">SUM(D$191:D$193)</f>
        <v>28.085999999999999</v>
      </c>
      <c r="E194" s="65">
        <f t="shared" si="136"/>
        <v>42.606999999999999</v>
      </c>
      <c r="F194" s="65">
        <f t="shared" si="136"/>
        <v>35.427</v>
      </c>
      <c r="G194" s="65">
        <f t="shared" si="136"/>
        <v>44.086999999999996</v>
      </c>
      <c r="H194" s="65">
        <f t="shared" si="136"/>
        <v>38.802999999999997</v>
      </c>
      <c r="I194" s="65">
        <f t="shared" si="136"/>
        <v>41.937000000000012</v>
      </c>
      <c r="J194" s="66">
        <f t="shared" si="136"/>
        <v>44.864000000000011</v>
      </c>
      <c r="K194" s="66">
        <f t="shared" si="136"/>
        <v>46.522999999999996</v>
      </c>
      <c r="L194" s="66">
        <f t="shared" si="136"/>
        <v>47.961999999999989</v>
      </c>
      <c r="M194" s="66">
        <f t="shared" si="136"/>
        <v>49.622000000000014</v>
      </c>
      <c r="N194" s="66">
        <f t="shared" si="136"/>
        <v>50.691000000000003</v>
      </c>
      <c r="O194" s="67">
        <f t="shared" ca="1" si="136"/>
        <v>52.716537878014769</v>
      </c>
      <c r="P194" s="67">
        <f t="shared" ca="1" si="136"/>
        <v>54.97496932655698</v>
      </c>
      <c r="Q194" s="67">
        <f t="shared" ca="1" si="136"/>
        <v>57.336481433380918</v>
      </c>
      <c r="R194" s="67">
        <f t="shared" ca="1" si="136"/>
        <v>59.784834344606928</v>
      </c>
      <c r="S194" s="67">
        <f t="shared" ca="1" si="136"/>
        <v>62.321710620668796</v>
      </c>
      <c r="T194" s="67">
        <f t="shared" ca="1" si="136"/>
        <v>64.903902206045629</v>
      </c>
      <c r="U194" s="67">
        <f t="shared" ca="1" si="136"/>
        <v>67.58738423613697</v>
      </c>
      <c r="V194" s="67">
        <f t="shared" ca="1" si="136"/>
        <v>70.30501559046796</v>
      </c>
      <c r="W194" s="67">
        <f t="shared" ca="1" si="136"/>
        <v>72.993209551386627</v>
      </c>
      <c r="X194" s="67">
        <f t="shared" ca="1" si="136"/>
        <v>75.659959432481941</v>
      </c>
    </row>
    <row r="195" spans="1:24" x14ac:dyDescent="0.25">
      <c r="A195" s="9" t="s">
        <v>1098</v>
      </c>
      <c r="B195" s="10" t="str">
        <f t="shared" si="127"/>
        <v>From Fiscal Forecasts</v>
      </c>
      <c r="C195" s="13"/>
      <c r="D195" s="42">
        <f>'Fiscal Forecasts'!D$170</f>
        <v>29.015000000000001</v>
      </c>
      <c r="E195" s="42">
        <f>'Fiscal Forecasts'!E$170</f>
        <v>43.616</v>
      </c>
      <c r="F195" s="42">
        <f>'Fiscal Forecasts'!F$170</f>
        <v>36.521000000000001</v>
      </c>
      <c r="G195" s="42">
        <f>'Fiscal Forecasts'!G$170</f>
        <v>45.265999999999998</v>
      </c>
      <c r="H195" s="42">
        <f>'Fiscal Forecasts'!H$170</f>
        <v>40.003</v>
      </c>
      <c r="I195" s="42">
        <f>'Fiscal Forecasts'!I$170</f>
        <v>43.265000000000001</v>
      </c>
      <c r="J195" s="43">
        <f>'Fiscal Forecasts'!J$170</f>
        <v>46.338000000000001</v>
      </c>
      <c r="K195" s="43">
        <f>'Fiscal Forecasts'!K$170</f>
        <v>48.189</v>
      </c>
      <c r="L195" s="43">
        <f>'Fiscal Forecasts'!L$170</f>
        <v>49.661999999999999</v>
      </c>
      <c r="M195" s="43">
        <f>'Fiscal Forecasts'!M$170</f>
        <v>51.345999999999997</v>
      </c>
      <c r="N195" s="43">
        <f>'Fiscal Forecasts'!N$170</f>
        <v>52.415999999999997</v>
      </c>
      <c r="O195" s="47">
        <f t="shared" ref="O195:X195" ca="1" si="137">O$194</f>
        <v>52.716537878014769</v>
      </c>
      <c r="P195" s="47">
        <f t="shared" ca="1" si="137"/>
        <v>54.97496932655698</v>
      </c>
      <c r="Q195" s="47">
        <f t="shared" ca="1" si="137"/>
        <v>57.336481433380918</v>
      </c>
      <c r="R195" s="47">
        <f t="shared" ca="1" si="137"/>
        <v>59.784834344606928</v>
      </c>
      <c r="S195" s="47">
        <f t="shared" ca="1" si="137"/>
        <v>62.321710620668796</v>
      </c>
      <c r="T195" s="47">
        <f t="shared" ca="1" si="137"/>
        <v>64.903902206045629</v>
      </c>
      <c r="U195" s="47">
        <f t="shared" ca="1" si="137"/>
        <v>67.58738423613697</v>
      </c>
      <c r="V195" s="47">
        <f t="shared" ca="1" si="137"/>
        <v>70.30501559046796</v>
      </c>
      <c r="W195" s="47">
        <f t="shared" ca="1" si="137"/>
        <v>72.993209551386627</v>
      </c>
      <c r="X195" s="47">
        <f t="shared" ca="1" si="137"/>
        <v>75.659959432481941</v>
      </c>
    </row>
    <row r="196" spans="1:24" x14ac:dyDescent="0.25">
      <c r="A196" s="11" t="s">
        <v>953</v>
      </c>
      <c r="B196" s="10" t="str">
        <f t="shared" si="127"/>
        <v>From Fiscal Forecasts</v>
      </c>
      <c r="C196" s="64" cm="1">
        <f t="array" aca="1" ref="C196" ca="1">SUMPRODUCT(OFFSET($N$196,0,0,1,-OFFSET(Assumptions!$B$59,0,$C$1))/OFFSET($N$13,0,0,1,-OFFSET(Assumptions!$B$59,0,$C$1)))/OFFSET(Assumptions!$B$59,0,$C$1)</f>
        <v>1.1123663750879913E-2</v>
      </c>
      <c r="D196" s="35">
        <f>'Fiscal Forecasts'!D$57-D$189</f>
        <v>2.8959999999999972</v>
      </c>
      <c r="E196" s="35">
        <f>'Fiscal Forecasts'!E$57-E$189</f>
        <v>3.6169999999999973</v>
      </c>
      <c r="F196" s="35">
        <f>'Fiscal Forecasts'!F$57-F$189</f>
        <v>3.642000000000003</v>
      </c>
      <c r="G196" s="35">
        <f>'Fiscal Forecasts'!G$57-G$189</f>
        <v>1.1199999999999974</v>
      </c>
      <c r="H196" s="35">
        <f>'Fiscal Forecasts'!H$57-H$189</f>
        <v>5.2040000000000006</v>
      </c>
      <c r="I196" s="35">
        <f>'Fiscal Forecasts'!I$57-I$189</f>
        <v>5.3939999999999912</v>
      </c>
      <c r="J196" s="17">
        <f ca="1">'Fiscal Forecasts'!J$57-J$189+IF(OFFSET(Assumptions!$B$56,0,$C$1)="Yes",Allocation!C$14,0)</f>
        <v>5.5619999999999905</v>
      </c>
      <c r="K196" s="17">
        <f ca="1">'Fiscal Forecasts'!K$57-K$189+IF(OFFSET(Assumptions!$B$56,0,$C$1)="Yes",Allocation!D$14,0)</f>
        <v>5.8130000000000024</v>
      </c>
      <c r="L196" s="17">
        <f ca="1">'Fiscal Forecasts'!L$57-L$189+IF(OFFSET(Assumptions!$B$56,0,$C$1)="Yes",Allocation!E$14,0)</f>
        <v>5.8570000000000135</v>
      </c>
      <c r="M196" s="17">
        <f ca="1">'Fiscal Forecasts'!M$57-M$189+IF(OFFSET(Assumptions!$B$56,0,$C$1)="Yes",Allocation!F$14,0)</f>
        <v>5.7789999999999893</v>
      </c>
      <c r="N196" s="17">
        <f ca="1">'Fiscal Forecasts'!N$57-N$189+IF(OFFSET(Assumptions!$B$56,0,$C$1)="Yes",Allocation!G$14,0)</f>
        <v>5.8089999999999975</v>
      </c>
      <c r="O196" s="16">
        <f ca="1">IF(OFFSET(Assumptions!$B$57,0,$C$1)="Yes",$N$196+Allocation!$B$14*SUM($O$247:O$247),IF(OFFSET(Assumptions!$B$58,0,$C$1)="Yes",(N$196/N$13+MIN(ABS($C$196-N$196/N$13),OFFSET(Assumptions!$B$60,0,$C$1))*SIGN($C$196-N$196/N$13))*O$13,$N$196))</f>
        <v>5.8089999999999975</v>
      </c>
      <c r="P196" s="16">
        <f ca="1">IF(OFFSET(Assumptions!$B$57,0,$C$1)="Yes",$N$196+Allocation!$B$14*SUM($O$247:P$247),IF(OFFSET(Assumptions!$B$58,0,$C$1)="Yes",(O$196/O$13+MIN(ABS($C$196-O$196/O$13),OFFSET(Assumptions!$B$60,0,$C$1))*SIGN($C$196-O$196/O$13))*P$13,$N$196))</f>
        <v>5.8089999999999975</v>
      </c>
      <c r="Q196" s="16">
        <f ca="1">IF(OFFSET(Assumptions!$B$57,0,$C$1)="Yes",$N$196+Allocation!$B$14*SUM($O$247:Q$247),IF(OFFSET(Assumptions!$B$58,0,$C$1)="Yes",(P$196/P$13+MIN(ABS($C$196-P$196/P$13),OFFSET(Assumptions!$B$60,0,$C$1))*SIGN($C$196-P$196/P$13))*Q$13,$N$196))</f>
        <v>5.8089999999999975</v>
      </c>
      <c r="R196" s="16">
        <f ca="1">IF(OFFSET(Assumptions!$B$57,0,$C$1)="Yes",$N$196+Allocation!$B$14*SUM($O$247:R$247),IF(OFFSET(Assumptions!$B$58,0,$C$1)="Yes",(Q$196/Q$13+MIN(ABS($C$196-Q$196/Q$13),OFFSET(Assumptions!$B$60,0,$C$1))*SIGN($C$196-Q$196/Q$13))*R$13,$N$196))</f>
        <v>5.8089999999999975</v>
      </c>
      <c r="S196" s="16">
        <f ca="1">IF(OFFSET(Assumptions!$B$57,0,$C$1)="Yes",$N$196+Allocation!$B$14*SUM($O$247:S$247),IF(OFFSET(Assumptions!$B$58,0,$C$1)="Yes",(R$196/R$13+MIN(ABS($C$196-R$196/R$13),OFFSET(Assumptions!$B$60,0,$C$1))*SIGN($C$196-R$196/R$13))*S$13,$N$196))</f>
        <v>5.8089999999999975</v>
      </c>
      <c r="T196" s="16">
        <f ca="1">IF(OFFSET(Assumptions!$B$57,0,$C$1)="Yes",$N$196+Allocation!$B$14*SUM($O$247:T$247),IF(OFFSET(Assumptions!$B$58,0,$C$1)="Yes",(S$196/S$13+MIN(ABS($C$196-S$196/S$13),OFFSET(Assumptions!$B$60,0,$C$1))*SIGN($C$196-S$196/S$13))*T$13,$N$196))</f>
        <v>5.8089999999999975</v>
      </c>
      <c r="U196" s="16">
        <f ca="1">IF(OFFSET(Assumptions!$B$57,0,$C$1)="Yes",$N$196+Allocation!$B$14*SUM($O$247:U$247),IF(OFFSET(Assumptions!$B$58,0,$C$1)="Yes",(T$196/T$13+MIN(ABS($C$196-T$196/T$13),OFFSET(Assumptions!$B$60,0,$C$1))*SIGN($C$196-T$196/T$13))*U$13,$N$196))</f>
        <v>5.8089999999999975</v>
      </c>
      <c r="V196" s="16">
        <f ca="1">IF(OFFSET(Assumptions!$B$57,0,$C$1)="Yes",$N$196+Allocation!$B$14*SUM($O$247:V$247),IF(OFFSET(Assumptions!$B$58,0,$C$1)="Yes",(U$196/U$13+MIN(ABS($C$196-U$196/U$13),OFFSET(Assumptions!$B$60,0,$C$1))*SIGN($C$196-U$196/U$13))*V$13,$N$196))</f>
        <v>5.8089999999999975</v>
      </c>
      <c r="W196" s="16">
        <f ca="1">IF(OFFSET(Assumptions!$B$57,0,$C$1)="Yes",$N$196+Allocation!$B$14*SUM($O$247:W$247),IF(OFFSET(Assumptions!$B$58,0,$C$1)="Yes",(V$196/V$13+MIN(ABS($C$196-V$196/V$13),OFFSET(Assumptions!$B$60,0,$C$1))*SIGN($C$196-V$196/V$13))*W$13,$N$196))</f>
        <v>5.8089999999999975</v>
      </c>
      <c r="X196" s="16">
        <f ca="1">IF(OFFSET(Assumptions!$B$57,0,$C$1)="Yes",$N$196+Allocation!$B$14*SUM($O$247:X$247),IF(OFFSET(Assumptions!$B$58,0,$C$1)="Yes",(W$196/W$13+MIN(ABS($C$196-W$196/W$13),OFFSET(Assumptions!$B$60,0,$C$1))*SIGN($C$196-W$196/W$13))*X$13,$N$196))</f>
        <v>5.8089999999999975</v>
      </c>
    </row>
    <row r="197" spans="1:24" x14ac:dyDescent="0.25">
      <c r="A197" s="9" t="s">
        <v>954</v>
      </c>
      <c r="B197" s="10"/>
      <c r="C197" s="13"/>
      <c r="D197" s="42">
        <f t="shared" ref="D197:N197" si="138">SUM(D$189,D$196)</f>
        <v>28.74</v>
      </c>
      <c r="E197" s="42">
        <f t="shared" si="138"/>
        <v>44.027999999999999</v>
      </c>
      <c r="F197" s="42">
        <f t="shared" si="138"/>
        <v>36.759</v>
      </c>
      <c r="G197" s="42">
        <f t="shared" si="138"/>
        <v>42.86</v>
      </c>
      <c r="H197" s="42">
        <f t="shared" si="138"/>
        <v>41.514000000000003</v>
      </c>
      <c r="I197" s="42">
        <f t="shared" si="138"/>
        <v>44.588999999999999</v>
      </c>
      <c r="J197" s="43">
        <f t="shared" ca="1" si="138"/>
        <v>47.671999999999997</v>
      </c>
      <c r="K197" s="43">
        <f t="shared" ca="1" si="138"/>
        <v>50.161000000000001</v>
      </c>
      <c r="L197" s="43">
        <f t="shared" ca="1" si="138"/>
        <v>51.673000000000002</v>
      </c>
      <c r="M197" s="43">
        <f t="shared" ca="1" si="138"/>
        <v>53.234999999999999</v>
      </c>
      <c r="N197" s="43">
        <f t="shared" ca="1" si="138"/>
        <v>54.317999999999998</v>
      </c>
      <c r="O197" s="47">
        <f t="shared" ref="O197:X197" ca="1" si="139">SUM(O$189,O$196)</f>
        <v>56.299913018272989</v>
      </c>
      <c r="P197" s="47">
        <f t="shared" ca="1" si="139"/>
        <v>58.51102363691011</v>
      </c>
      <c r="Q197" s="47">
        <f t="shared" ca="1" si="139"/>
        <v>60.827357655293689</v>
      </c>
      <c r="R197" s="47">
        <f t="shared" ca="1" si="139"/>
        <v>63.232818595276278</v>
      </c>
      <c r="S197" s="47">
        <f t="shared" ca="1" si="139"/>
        <v>65.725721333202941</v>
      </c>
      <c r="T197" s="47">
        <f t="shared" ca="1" si="139"/>
        <v>68.262359441889743</v>
      </c>
      <c r="U197" s="47">
        <f t="shared" ca="1" si="139"/>
        <v>70.900251400826662</v>
      </c>
      <c r="V197" s="47">
        <f t="shared" ca="1" si="139"/>
        <v>73.571641807360436</v>
      </c>
      <c r="W197" s="47">
        <f t="shared" ca="1" si="139"/>
        <v>76.212795625819169</v>
      </c>
      <c r="X197" s="47">
        <f t="shared" ca="1" si="139"/>
        <v>78.83110201589642</v>
      </c>
    </row>
    <row r="198" spans="1:24" x14ac:dyDescent="0.25">
      <c r="A198" s="11" t="s">
        <v>955</v>
      </c>
      <c r="B198" s="10" t="str">
        <f t="shared" ref="B198:B199" si="140">$B$38</f>
        <v>From Fiscal Forecasts</v>
      </c>
      <c r="C198" s="13"/>
      <c r="D198" s="35">
        <f>'Fiscal Forecasts'!D$206</f>
        <v>6.6790000000000003</v>
      </c>
      <c r="E198" s="35">
        <f>'Fiscal Forecasts'!E$206</f>
        <v>7.6630000000000003</v>
      </c>
      <c r="F198" s="35">
        <f>'Fiscal Forecasts'!F$206</f>
        <v>7.968</v>
      </c>
      <c r="G198" s="35">
        <f>'Fiscal Forecasts'!G$206</f>
        <v>7.3879999999999999</v>
      </c>
      <c r="H198" s="35">
        <f>'Fiscal Forecasts'!H$206</f>
        <v>9.3290000000000006</v>
      </c>
      <c r="I198" s="35">
        <f>'Fiscal Forecasts'!I$206</f>
        <v>11.634</v>
      </c>
      <c r="J198" s="17">
        <f>'Fiscal Forecasts'!J$206</f>
        <v>12.664999999999999</v>
      </c>
      <c r="K198" s="17">
        <f>'Fiscal Forecasts'!K$206</f>
        <v>12.111000000000001</v>
      </c>
      <c r="L198" s="17">
        <f>'Fiscal Forecasts'!L$206</f>
        <v>12.856</v>
      </c>
      <c r="M198" s="17">
        <f>'Fiscal Forecasts'!M$206</f>
        <v>13.465</v>
      </c>
      <c r="N198" s="17">
        <f>'Fiscal Forecasts'!N$206</f>
        <v>13.920999999999999</v>
      </c>
      <c r="O198" s="16">
        <f>N$198*Exogenous!Z$28/Exogenous!Y$28</f>
        <v>14.741060183307349</v>
      </c>
      <c r="P198" s="16">
        <f>O$198*Exogenous!AA$28/Exogenous!Z$28</f>
        <v>15.609291136995271</v>
      </c>
      <c r="Q198" s="16">
        <f>P$198*Exogenous!AB$28/Exogenous!AA$28</f>
        <v>16.498221635934527</v>
      </c>
      <c r="R198" s="16">
        <f>Q$198*Exogenous!AC$28/Exogenous!AB$28</f>
        <v>17.390181269487861</v>
      </c>
      <c r="S198" s="16">
        <f>R$198*Exogenous!AD$28/Exogenous!AC$28</f>
        <v>18.295203937066184</v>
      </c>
      <c r="T198" s="16">
        <f>S$198*Exogenous!AE$28/Exogenous!AD$28</f>
        <v>19.182051122296574</v>
      </c>
      <c r="U198" s="16">
        <f>T$198*Exogenous!AF$28/Exogenous!AE$28</f>
        <v>20.126712029200899</v>
      </c>
      <c r="V198" s="16">
        <f>U$198*Exogenous!AG$28/Exogenous!AF$28</f>
        <v>21.078560641678465</v>
      </c>
      <c r="W198" s="16">
        <f>V$198*Exogenous!AH$28/Exogenous!AG$28</f>
        <v>22.065449450621678</v>
      </c>
      <c r="X198" s="16">
        <f>W$198*Exogenous!AI$28/Exogenous!AH$28</f>
        <v>23.098985950547377</v>
      </c>
    </row>
    <row r="199" spans="1:24" x14ac:dyDescent="0.25">
      <c r="A199" s="11" t="s">
        <v>956</v>
      </c>
      <c r="B199" s="10" t="str">
        <f t="shared" si="140"/>
        <v>From Fiscal Forecasts</v>
      </c>
      <c r="C199" s="13"/>
      <c r="D199" s="35">
        <f>'Fiscal Forecasts'!D$40-SUM(D$197:D$198)</f>
        <v>-1.5169999999999959</v>
      </c>
      <c r="E199" s="35">
        <f>'Fiscal Forecasts'!E$40-SUM(E$197:E$198)</f>
        <v>-1.7910000000000039</v>
      </c>
      <c r="F199" s="35">
        <f>'Fiscal Forecasts'!F$40-SUM(F$197:F$198)</f>
        <v>-1.8350000000000009</v>
      </c>
      <c r="G199" s="35">
        <f>'Fiscal Forecasts'!G$40-SUM(G$197:G$198)</f>
        <v>-1.9450000000000003</v>
      </c>
      <c r="H199" s="35">
        <f>'Fiscal Forecasts'!H$40-SUM(H$197:H$198)</f>
        <v>-1.9980000000000047</v>
      </c>
      <c r="I199" s="35">
        <f>'Fiscal Forecasts'!I$40-SUM(I$197:I$198)</f>
        <v>-2.2269999999999968</v>
      </c>
      <c r="J199" s="17">
        <f ca="1">'Fiscal Forecasts'!J$40-SUM(J$197:J$198)+IF(OFFSET(Assumptions!$B$56,0,$C$1)="Yes",Allocation!C$14,0)</f>
        <v>-2.4979999999999976</v>
      </c>
      <c r="K199" s="17">
        <f ca="1">'Fiscal Forecasts'!K$40-SUM(K$197:K$198)+IF(OFFSET(Assumptions!$B$56,0,$C$1)="Yes",Allocation!D$14,0)</f>
        <v>-2.7970000000000041</v>
      </c>
      <c r="L199" s="17">
        <f ca="1">'Fiscal Forecasts'!L$40-SUM(L$197:L$198)+IF(OFFSET(Assumptions!$B$56,0,$C$1)="Yes",Allocation!E$14,0)</f>
        <v>-2.9379999999999953</v>
      </c>
      <c r="M199" s="17">
        <f ca="1">'Fiscal Forecasts'!M$40-SUM(M$197:M$198)+IF(OFFSET(Assumptions!$B$56,0,$C$1)="Yes",Allocation!F$14,0)</f>
        <v>-3.027000000000001</v>
      </c>
      <c r="N199" s="17">
        <f ca="1">'Fiscal Forecasts'!N$40-SUM(N$197:N$198)+IF(OFFSET(Assumptions!$B$56,0,$C$1)="Yes",Allocation!G$14,0)</f>
        <v>-3.0949999999999989</v>
      </c>
      <c r="O199" s="16">
        <f ca="1">N$199*Exogenous!Z$27/Exogenous!Y$27</f>
        <v>-3.3271249999999983</v>
      </c>
      <c r="P199" s="16">
        <f ca="1">O$199*Exogenous!AA$27/Exogenous!Z$27</f>
        <v>-3.5766593749999975</v>
      </c>
      <c r="Q199" s="16">
        <f ca="1">P$199*Exogenous!AB$27/Exogenous!AA$27</f>
        <v>-3.8449088281249972</v>
      </c>
      <c r="R199" s="16">
        <f ca="1">Q$199*Exogenous!AC$27/Exogenous!AB$27</f>
        <v>-4.1332769902343722</v>
      </c>
      <c r="S199" s="16">
        <f ca="1">R$199*Exogenous!AD$27/Exogenous!AC$27</f>
        <v>-4.4432727645019501</v>
      </c>
      <c r="T199" s="16">
        <f ca="1">S$199*Exogenous!AE$27/Exogenous!AD$27</f>
        <v>-4.776518221839595</v>
      </c>
      <c r="U199" s="16">
        <f ca="1">T$199*Exogenous!AF$27/Exogenous!AE$27</f>
        <v>-5.1347570884775662</v>
      </c>
      <c r="V199" s="16">
        <f ca="1">U$199*Exogenous!AG$27/Exogenous!AF$27</f>
        <v>-5.3396158360370007</v>
      </c>
      <c r="W199" s="16">
        <f ca="1">V$199*Exogenous!AH$27/Exogenous!AG$27</f>
        <v>-5.4869186271160197</v>
      </c>
      <c r="X199" s="16">
        <f ca="1">W$199*Exogenous!AI$27/Exogenous!AH$27</f>
        <v>-5.6476138435834713</v>
      </c>
    </row>
    <row r="200" spans="1:24" x14ac:dyDescent="0.25">
      <c r="A200" s="9" t="s">
        <v>958</v>
      </c>
      <c r="C200" s="13"/>
      <c r="D200" s="65">
        <f t="shared" ref="D200:I200" si="141">SUM(D$197:D$199)</f>
        <v>33.902000000000001</v>
      </c>
      <c r="E200" s="65">
        <f t="shared" si="141"/>
        <v>49.9</v>
      </c>
      <c r="F200" s="65">
        <f t="shared" si="141"/>
        <v>42.892000000000003</v>
      </c>
      <c r="G200" s="65">
        <f t="shared" si="141"/>
        <v>48.302999999999997</v>
      </c>
      <c r="H200" s="65">
        <f t="shared" si="141"/>
        <v>48.844999999999999</v>
      </c>
      <c r="I200" s="65">
        <f t="shared" si="141"/>
        <v>53.996000000000002</v>
      </c>
      <c r="J200" s="66">
        <f t="shared" ref="J200:X200" ca="1" si="142">SUM(J$197:J$199)</f>
        <v>57.838999999999999</v>
      </c>
      <c r="K200" s="66">
        <f t="shared" ca="1" si="142"/>
        <v>59.475000000000001</v>
      </c>
      <c r="L200" s="66">
        <f t="shared" ca="1" si="142"/>
        <v>61.591000000000001</v>
      </c>
      <c r="M200" s="66">
        <f t="shared" ca="1" si="142"/>
        <v>63.673000000000002</v>
      </c>
      <c r="N200" s="66">
        <f t="shared" ca="1" si="142"/>
        <v>65.144000000000005</v>
      </c>
      <c r="O200" s="67">
        <f t="shared" ca="1" si="142"/>
        <v>67.713848201580348</v>
      </c>
      <c r="P200" s="67">
        <f t="shared" ca="1" si="142"/>
        <v>70.543655398905386</v>
      </c>
      <c r="Q200" s="67">
        <f t="shared" ca="1" si="142"/>
        <v>73.480670463103223</v>
      </c>
      <c r="R200" s="67">
        <f t="shared" ca="1" si="142"/>
        <v>76.489722874529761</v>
      </c>
      <c r="S200" s="67">
        <f t="shared" ca="1" si="142"/>
        <v>79.577652505767162</v>
      </c>
      <c r="T200" s="67">
        <f t="shared" ca="1" si="142"/>
        <v>82.667892342346718</v>
      </c>
      <c r="U200" s="67">
        <f t="shared" ca="1" si="142"/>
        <v>85.892206341549993</v>
      </c>
      <c r="V200" s="67">
        <f t="shared" ca="1" si="142"/>
        <v>89.310586613001902</v>
      </c>
      <c r="W200" s="67">
        <f t="shared" ca="1" si="142"/>
        <v>92.791326449324814</v>
      </c>
      <c r="X200" s="67">
        <f t="shared" ca="1" si="142"/>
        <v>96.282474122860322</v>
      </c>
    </row>
    <row r="201" spans="1:24" x14ac:dyDescent="0.25">
      <c r="A201" s="12" t="s">
        <v>159</v>
      </c>
      <c r="C201" s="13"/>
      <c r="D201" s="11"/>
      <c r="E201" s="11"/>
      <c r="F201" s="11"/>
      <c r="G201" s="11"/>
      <c r="H201" s="11"/>
      <c r="I201" s="11"/>
      <c r="J201" s="11"/>
      <c r="K201" s="11"/>
      <c r="L201" s="11"/>
      <c r="M201" s="11"/>
    </row>
    <row r="202" spans="1:24" x14ac:dyDescent="0.25">
      <c r="A202" s="11" t="s">
        <v>160</v>
      </c>
      <c r="C202" s="13"/>
      <c r="D202" s="39">
        <f>'Economic Forecasts'!Q$18</f>
        <v>1205.79</v>
      </c>
      <c r="E202" s="39">
        <f>'Economic Forecasts'!R$18</f>
        <v>1241.4100000000001</v>
      </c>
      <c r="F202" s="39">
        <f>'Economic Forecasts'!S$18</f>
        <v>1287.81</v>
      </c>
      <c r="G202" s="39">
        <f>'Economic Forecasts'!T$18</f>
        <v>1360.1</v>
      </c>
      <c r="H202" s="39">
        <f>'Economic Forecasts'!U$18</f>
        <v>1462.81</v>
      </c>
      <c r="I202" s="39">
        <f>'Economic Forecasts'!V$18</f>
        <v>1556.16</v>
      </c>
      <c r="J202" s="27">
        <f>'Economic Forecasts'!W$18</f>
        <v>1622.73</v>
      </c>
      <c r="K202" s="27">
        <f>'Economic Forecasts'!X$18</f>
        <v>1651.37</v>
      </c>
      <c r="L202" s="27">
        <f>'Economic Forecasts'!Y$18</f>
        <v>1688.46</v>
      </c>
      <c r="M202" s="27">
        <f>'Economic Forecasts'!Z$18</f>
        <v>1731.59</v>
      </c>
      <c r="N202" s="27">
        <f>'Economic Forecasts'!AA$18</f>
        <v>1778.16</v>
      </c>
      <c r="O202" s="26">
        <f t="shared" ref="O202:X202" ca="1" si="143">N$202*(1+O$26)</f>
        <v>1830.0467088</v>
      </c>
      <c r="P202" s="26">
        <f t="shared" ca="1" si="143"/>
        <v>1884.007466055677</v>
      </c>
      <c r="Q202" s="26">
        <f t="shared" ca="1" si="143"/>
        <v>1940.1358164844078</v>
      </c>
      <c r="R202" s="26">
        <f t="shared" ca="1" si="143"/>
        <v>1998.5300242889555</v>
      </c>
      <c r="S202" s="26">
        <f t="shared" ca="1" si="143"/>
        <v>2058.8856310224819</v>
      </c>
      <c r="T202" s="26">
        <f t="shared" ca="1" si="143"/>
        <v>2121.0639770793609</v>
      </c>
      <c r="U202" s="26">
        <f t="shared" ca="1" si="143"/>
        <v>2184.4710636101713</v>
      </c>
      <c r="V202" s="26">
        <f t="shared" ca="1" si="143"/>
        <v>2249.1051934402694</v>
      </c>
      <c r="W202" s="26">
        <f t="shared" ca="1" si="143"/>
        <v>2314.9634917145877</v>
      </c>
      <c r="X202" s="26">
        <f t="shared" ca="1" si="143"/>
        <v>2382.5141264028193</v>
      </c>
    </row>
    <row r="203" spans="1:24" x14ac:dyDescent="0.25">
      <c r="A203" s="11" t="s">
        <v>75</v>
      </c>
      <c r="C203" s="13"/>
      <c r="D203" s="39">
        <f>'Economic Forecasts'!Q$19</f>
        <v>958.37</v>
      </c>
      <c r="E203" s="39">
        <f>'Economic Forecasts'!R$19</f>
        <v>987.95</v>
      </c>
      <c r="F203" s="39">
        <f>'Economic Forecasts'!S$19</f>
        <v>1018.53</v>
      </c>
      <c r="G203" s="39">
        <f>'Economic Forecasts'!T$19</f>
        <v>1066.06</v>
      </c>
      <c r="H203" s="39">
        <f>'Economic Forecasts'!U$19</f>
        <v>1132.5999999999999</v>
      </c>
      <c r="I203" s="39">
        <f>'Economic Forecasts'!V$19</f>
        <v>1192.4000000000001</v>
      </c>
      <c r="J203" s="27">
        <f>'Economic Forecasts'!W$19</f>
        <v>1255.05</v>
      </c>
      <c r="K203" s="27">
        <f>'Economic Forecasts'!X$19</f>
        <v>1272.31</v>
      </c>
      <c r="L203" s="27">
        <f>'Economic Forecasts'!Y$19</f>
        <v>1295.19</v>
      </c>
      <c r="M203" s="27">
        <f>'Economic Forecasts'!Z$19</f>
        <v>1323.35</v>
      </c>
      <c r="N203" s="27">
        <f>'Economic Forecasts'!AA$19</f>
        <v>1353.55</v>
      </c>
      <c r="O203" s="26">
        <f ca="1">IF(O$6&lt;OFFSET(Assumptions!$B$8,0,$C$1)+OFFSET(Assumptions!$B$36,0,$C$1),O$202-ROUND(IF(ROUNDDOWN(52*O$202,0)&gt;Exogenous!$C$59,(ROUNDDOWN(52*O$202,0)-Exogenous!$C$59)*Exogenous!$B$60+Exogenous!$E$59,IF(ROUNDDOWN(52*O$202,0)&gt;Exogenous!$C$58,(ROUNDDOWN(52*O$202,0)-Exogenous!$C$58)*Exogenous!$B$59+Exogenous!$E$58,IF(ROUNDDOWN(52*O$202,0)&gt;Exogenous!$C$57,(ROUNDDOWN(52*O$202,0)-Exogenous!$C$57)*Exogenous!$B$58+Exogenous!$E$57,IF(ROUNDDOWN(52*O$202,0)&gt;Exogenous!$C$56,(ROUNDDOWN(52*O$202,0)-Exogenous!$C$56)*Exogenous!$B$57+Exogenous!$E$56,ROUNDDOWN(52*O$202,0)*Exogenous!$B$56))))/52+O$202*Exogenous!$B$61,2),ROUND(N$203*(1+O$26),2))</f>
        <v>1393.05</v>
      </c>
      <c r="P203" s="26">
        <f ca="1">IF(P$6&lt;OFFSET(Assumptions!$B$8,0,$C$1)+OFFSET(Assumptions!$B$36,0,$C$1),P$202-ROUND(IF(ROUNDDOWN(52*P$202,0)&gt;Exogenous!$C$59,(ROUNDDOWN(52*P$202,0)-Exogenous!$C$59)*Exogenous!$B$60+Exogenous!$E$59,IF(ROUNDDOWN(52*P$202,0)&gt;Exogenous!$C$58,(ROUNDDOWN(52*P$202,0)-Exogenous!$C$58)*Exogenous!$B$59+Exogenous!$E$58,IF(ROUNDDOWN(52*P$202,0)&gt;Exogenous!$C$57,(ROUNDDOWN(52*P$202,0)-Exogenous!$C$57)*Exogenous!$B$58+Exogenous!$E$57,IF(ROUNDDOWN(52*P$202,0)&gt;Exogenous!$C$56,(ROUNDDOWN(52*P$202,0)-Exogenous!$C$56)*Exogenous!$B$57+Exogenous!$E$56,ROUNDDOWN(52*P$202,0)*Exogenous!$B$56))))/52+P$202*Exogenous!$B$61,2),ROUND(O$203*(1+P$26),2))</f>
        <v>1434.13</v>
      </c>
      <c r="Q203" s="26">
        <f ca="1">IF(Q$6&lt;OFFSET(Assumptions!$B$8,0,$C$1)+OFFSET(Assumptions!$B$36,0,$C$1),Q$202-ROUND(IF(ROUNDDOWN(52*Q$202,0)&gt;Exogenous!$C$59,(ROUNDDOWN(52*Q$202,0)-Exogenous!$C$59)*Exogenous!$B$60+Exogenous!$E$59,IF(ROUNDDOWN(52*Q$202,0)&gt;Exogenous!$C$58,(ROUNDDOWN(52*Q$202,0)-Exogenous!$C$58)*Exogenous!$B$59+Exogenous!$E$58,IF(ROUNDDOWN(52*Q$202,0)&gt;Exogenous!$C$57,(ROUNDDOWN(52*Q$202,0)-Exogenous!$C$57)*Exogenous!$B$58+Exogenous!$E$57,IF(ROUNDDOWN(52*Q$202,0)&gt;Exogenous!$C$56,(ROUNDDOWN(52*Q$202,0)-Exogenous!$C$56)*Exogenous!$B$57+Exogenous!$E$56,ROUNDDOWN(52*Q$202,0)*Exogenous!$B$56))))/52+Q$202*Exogenous!$B$61,2),ROUND(P$203*(1+Q$26),2))</f>
        <v>1476.86</v>
      </c>
      <c r="R203" s="26">
        <f ca="1">IF(R$6&lt;OFFSET(Assumptions!$B$8,0,$C$1)+OFFSET(Assumptions!$B$36,0,$C$1),R$202-ROUND(IF(ROUNDDOWN(52*R$202,0)&gt;Exogenous!$C$59,(ROUNDDOWN(52*R$202,0)-Exogenous!$C$59)*Exogenous!$B$60+Exogenous!$E$59,IF(ROUNDDOWN(52*R$202,0)&gt;Exogenous!$C$58,(ROUNDDOWN(52*R$202,0)-Exogenous!$C$58)*Exogenous!$B$59+Exogenous!$E$58,IF(ROUNDDOWN(52*R$202,0)&gt;Exogenous!$C$57,(ROUNDDOWN(52*R$202,0)-Exogenous!$C$57)*Exogenous!$B$58+Exogenous!$E$57,IF(ROUNDDOWN(52*R$202,0)&gt;Exogenous!$C$56,(ROUNDDOWN(52*R$202,0)-Exogenous!$C$56)*Exogenous!$B$57+Exogenous!$E$56,ROUNDDOWN(52*R$202,0)*Exogenous!$B$56))))/52+R$202*Exogenous!$B$61,2),ROUND(Q$203*(1+R$26),2))</f>
        <v>1521.31</v>
      </c>
      <c r="S203" s="26">
        <f ca="1">IF(S$6&lt;OFFSET(Assumptions!$B$8,0,$C$1)+OFFSET(Assumptions!$B$36,0,$C$1),S$202-ROUND(IF(ROUNDDOWN(52*S$202,0)&gt;Exogenous!$C$59,(ROUNDDOWN(52*S$202,0)-Exogenous!$C$59)*Exogenous!$B$60+Exogenous!$E$59,IF(ROUNDDOWN(52*S$202,0)&gt;Exogenous!$C$58,(ROUNDDOWN(52*S$202,0)-Exogenous!$C$58)*Exogenous!$B$59+Exogenous!$E$58,IF(ROUNDDOWN(52*S$202,0)&gt;Exogenous!$C$57,(ROUNDDOWN(52*S$202,0)-Exogenous!$C$57)*Exogenous!$B$58+Exogenous!$E$57,IF(ROUNDDOWN(52*S$202,0)&gt;Exogenous!$C$56,(ROUNDDOWN(52*S$202,0)-Exogenous!$C$56)*Exogenous!$B$57+Exogenous!$E$56,ROUNDDOWN(52*S$202,0)*Exogenous!$B$56))))/52+S$202*Exogenous!$B$61,2),ROUND(R$203*(1+S$26),2))</f>
        <v>1567.25</v>
      </c>
      <c r="T203" s="26">
        <f ca="1">IF(T$6&lt;OFFSET(Assumptions!$B$8,0,$C$1)+OFFSET(Assumptions!$B$36,0,$C$1),T$202-ROUND(IF(ROUNDDOWN(52*T$202,0)&gt;Exogenous!$C$59,(ROUNDDOWN(52*T$202,0)-Exogenous!$C$59)*Exogenous!$B$60+Exogenous!$E$59,IF(ROUNDDOWN(52*T$202,0)&gt;Exogenous!$C$58,(ROUNDDOWN(52*T$202,0)-Exogenous!$C$58)*Exogenous!$B$59+Exogenous!$E$58,IF(ROUNDDOWN(52*T$202,0)&gt;Exogenous!$C$57,(ROUNDDOWN(52*T$202,0)-Exogenous!$C$57)*Exogenous!$B$58+Exogenous!$E$57,IF(ROUNDDOWN(52*T$202,0)&gt;Exogenous!$C$56,(ROUNDDOWN(52*T$202,0)-Exogenous!$C$56)*Exogenous!$B$57+Exogenous!$E$56,ROUNDDOWN(52*T$202,0)*Exogenous!$B$56))))/52+T$202*Exogenous!$B$61,2),ROUND(S$203*(1+T$26),2))</f>
        <v>1614.58</v>
      </c>
      <c r="U203" s="26">
        <f ca="1">IF(U$6&lt;OFFSET(Assumptions!$B$8,0,$C$1)+OFFSET(Assumptions!$B$36,0,$C$1),U$202-ROUND(IF(ROUNDDOWN(52*U$202,0)&gt;Exogenous!$C$59,(ROUNDDOWN(52*U$202,0)-Exogenous!$C$59)*Exogenous!$B$60+Exogenous!$E$59,IF(ROUNDDOWN(52*U$202,0)&gt;Exogenous!$C$58,(ROUNDDOWN(52*U$202,0)-Exogenous!$C$58)*Exogenous!$B$59+Exogenous!$E$58,IF(ROUNDDOWN(52*U$202,0)&gt;Exogenous!$C$57,(ROUNDDOWN(52*U$202,0)-Exogenous!$C$57)*Exogenous!$B$58+Exogenous!$E$57,IF(ROUNDDOWN(52*U$202,0)&gt;Exogenous!$C$56,(ROUNDDOWN(52*U$202,0)-Exogenous!$C$56)*Exogenous!$B$57+Exogenous!$E$56,ROUNDDOWN(52*U$202,0)*Exogenous!$B$56))))/52+U$202*Exogenous!$B$61,2),ROUND(T$203*(1+U$26),2))</f>
        <v>1662.85</v>
      </c>
      <c r="V203" s="26">
        <f ca="1">IF(V$6&lt;OFFSET(Assumptions!$B$8,0,$C$1)+OFFSET(Assumptions!$B$36,0,$C$1),V$202-ROUND(IF(ROUNDDOWN(52*V$202,0)&gt;Exogenous!$C$59,(ROUNDDOWN(52*V$202,0)-Exogenous!$C$59)*Exogenous!$B$60+Exogenous!$E$59,IF(ROUNDDOWN(52*V$202,0)&gt;Exogenous!$C$58,(ROUNDDOWN(52*V$202,0)-Exogenous!$C$58)*Exogenous!$B$59+Exogenous!$E$58,IF(ROUNDDOWN(52*V$202,0)&gt;Exogenous!$C$57,(ROUNDDOWN(52*V$202,0)-Exogenous!$C$57)*Exogenous!$B$58+Exogenous!$E$57,IF(ROUNDDOWN(52*V$202,0)&gt;Exogenous!$C$56,(ROUNDDOWN(52*V$202,0)-Exogenous!$C$56)*Exogenous!$B$57+Exogenous!$E$56,ROUNDDOWN(52*V$202,0)*Exogenous!$B$56))))/52+V$202*Exogenous!$B$61,2),ROUND(U$203*(1+V$26),2))</f>
        <v>1712.05</v>
      </c>
      <c r="W203" s="26">
        <f ca="1">IF(W$6&lt;OFFSET(Assumptions!$B$8,0,$C$1)+OFFSET(Assumptions!$B$36,0,$C$1),W$202-ROUND(IF(ROUNDDOWN(52*W$202,0)&gt;Exogenous!$C$59,(ROUNDDOWN(52*W$202,0)-Exogenous!$C$59)*Exogenous!$B$60+Exogenous!$E$59,IF(ROUNDDOWN(52*W$202,0)&gt;Exogenous!$C$58,(ROUNDDOWN(52*W$202,0)-Exogenous!$C$58)*Exogenous!$B$59+Exogenous!$E$58,IF(ROUNDDOWN(52*W$202,0)&gt;Exogenous!$C$57,(ROUNDDOWN(52*W$202,0)-Exogenous!$C$57)*Exogenous!$B$58+Exogenous!$E$57,IF(ROUNDDOWN(52*W$202,0)&gt;Exogenous!$C$56,(ROUNDDOWN(52*W$202,0)-Exogenous!$C$56)*Exogenous!$B$57+Exogenous!$E$56,ROUNDDOWN(52*W$202,0)*Exogenous!$B$56))))/52+W$202*Exogenous!$B$61,2),ROUND(V$203*(1+W$26),2))</f>
        <v>1762.18</v>
      </c>
      <c r="X203" s="26">
        <f ca="1">IF(X$6&lt;OFFSET(Assumptions!$B$8,0,$C$1)+OFFSET(Assumptions!$B$36,0,$C$1),X$202-ROUND(IF(ROUNDDOWN(52*X$202,0)&gt;Exogenous!$C$59,(ROUNDDOWN(52*X$202,0)-Exogenous!$C$59)*Exogenous!$B$60+Exogenous!$E$59,IF(ROUNDDOWN(52*X$202,0)&gt;Exogenous!$C$58,(ROUNDDOWN(52*X$202,0)-Exogenous!$C$58)*Exogenous!$B$59+Exogenous!$E$58,IF(ROUNDDOWN(52*X$202,0)&gt;Exogenous!$C$57,(ROUNDDOWN(52*X$202,0)-Exogenous!$C$57)*Exogenous!$B$58+Exogenous!$E$57,IF(ROUNDDOWN(52*X$202,0)&gt;Exogenous!$C$56,(ROUNDDOWN(52*X$202,0)-Exogenous!$C$56)*Exogenous!$B$57+Exogenous!$E$56,ROUNDDOWN(52*X$202,0)*Exogenous!$B$56))))/52+X$202*Exogenous!$B$61,2),ROUND(W$203*(1+X$26),2))</f>
        <v>1813.6</v>
      </c>
    </row>
    <row r="204" spans="1:24" x14ac:dyDescent="0.25">
      <c r="A204" s="11" t="s">
        <v>74</v>
      </c>
      <c r="C204" s="13"/>
      <c r="D204" s="39">
        <f>'Economic Forecasts'!Q$20</f>
        <v>360.42</v>
      </c>
      <c r="E204" s="39">
        <f>'Economic Forecasts'!R$20</f>
        <v>372.27</v>
      </c>
      <c r="F204" s="39">
        <f>'Economic Forecasts'!S$20</f>
        <v>384.46</v>
      </c>
      <c r="G204" s="39">
        <f>'Economic Forecasts'!T$20</f>
        <v>408.66</v>
      </c>
      <c r="H204" s="39">
        <f>'Economic Forecasts'!U$20</f>
        <v>439.79</v>
      </c>
      <c r="I204" s="39">
        <f>'Economic Forecasts'!V$20</f>
        <v>461.41</v>
      </c>
      <c r="J204" s="27">
        <f>'Economic Forecasts'!W$20</f>
        <v>476.47</v>
      </c>
      <c r="K204" s="27">
        <f>'Economic Forecasts'!X$20</f>
        <v>488.1</v>
      </c>
      <c r="L204" s="27">
        <f>'Economic Forecasts'!Y$20</f>
        <v>498.32</v>
      </c>
      <c r="M204" s="27">
        <f>'Economic Forecasts'!Z$20</f>
        <v>508.71</v>
      </c>
      <c r="N204" s="27">
        <f>'Economic Forecasts'!AA$20</f>
        <v>519.45000000000005</v>
      </c>
      <c r="O204" s="26">
        <f ca="1">IF(O$6&lt;OFFSET(Assumptions!$B$8,0,$C$1)+OFFSET(Assumptions!$B$36,0,$C$1),IF(52*O$205&gt;Exogenous!$D$59,(52*O$205-Exogenous!$C$59*Exogenous!$B$60+Exogenous!$E$59)/(1-Exogenous!$B$60),IF(52*O$205&gt;Exogenous!$D$58,(52*O$205-Exogenous!$C$58*Exogenous!$B$59+Exogenous!$E$58)/(1-Exogenous!$B$59),IF(52*O$205&gt;Exogenous!$D$57,(52*O$205-Exogenous!$C$57*Exogenous!$B$58+Exogenous!$E$57)/(1-Exogenous!$B$58),IF(52*O$205&gt;Exogenous!$D$56,(52*O$205-Exogenous!$C$56*Exogenous!$B$57+Exogenous!$E$56)/(1-Exogenous!$B$57),52*O$205/(1-Exogenous!$B$56)))))/52,N$204*O$205/N$205)</f>
        <v>531.09121149611906</v>
      </c>
      <c r="P204" s="26">
        <f ca="1">IF(P$6&lt;OFFSET(Assumptions!$B$8,0,$C$1)+OFFSET(Assumptions!$B$36,0,$C$1),IF(52*P$205&gt;Exogenous!$D$59,(52*P$205-Exogenous!$C$59*Exogenous!$B$60+Exogenous!$E$59)/(1-Exogenous!$B$60),IF(52*P$205&gt;Exogenous!$D$58,(52*P$205-Exogenous!$C$58*Exogenous!$B$59+Exogenous!$E$58)/(1-Exogenous!$B$59),IF(52*P$205&gt;Exogenous!$D$57,(52*P$205-Exogenous!$C$57*Exogenous!$B$58+Exogenous!$E$57)/(1-Exogenous!$B$58),IF(52*P$205&gt;Exogenous!$D$56,(52*P$205-Exogenous!$C$56*Exogenous!$B$57+Exogenous!$E$56)/(1-Exogenous!$B$57),52*P$205/(1-Exogenous!$B$56)))))/52,O$204*P$205/O$205)</f>
        <v>546.75269311433851</v>
      </c>
      <c r="Q204" s="26">
        <f ca="1">IF(Q$6&lt;OFFSET(Assumptions!$B$8,0,$C$1)+OFFSET(Assumptions!$B$36,0,$C$1),IF(52*Q$205&gt;Exogenous!$D$59,(52*Q$205-Exogenous!$C$59*Exogenous!$B$60+Exogenous!$E$59)/(1-Exogenous!$B$60),IF(52*Q$205&gt;Exogenous!$D$58,(52*Q$205-Exogenous!$C$58*Exogenous!$B$59+Exogenous!$E$58)/(1-Exogenous!$B$59),IF(52*Q$205&gt;Exogenous!$D$57,(52*Q$205-Exogenous!$C$57*Exogenous!$B$58+Exogenous!$E$57)/(1-Exogenous!$B$58),IF(52*Q$205&gt;Exogenous!$D$56,(52*Q$205-Exogenous!$C$56*Exogenous!$B$57+Exogenous!$E$56)/(1-Exogenous!$B$57),52*Q$205/(1-Exogenous!$B$56)))))/52,P$204*Q$205/P$205)</f>
        <v>563.04322645286118</v>
      </c>
      <c r="R204" s="26">
        <f ca="1">IF(R$6&lt;OFFSET(Assumptions!$B$8,0,$C$1)+OFFSET(Assumptions!$B$36,0,$C$1),IF(52*R$205&gt;Exogenous!$D$59,(52*R$205-Exogenous!$C$59*Exogenous!$B$60+Exogenous!$E$59)/(1-Exogenous!$B$60),IF(52*R$205&gt;Exogenous!$D$58,(52*R$205-Exogenous!$C$58*Exogenous!$B$59+Exogenous!$E$58)/(1-Exogenous!$B$59),IF(52*R$205&gt;Exogenous!$D$57,(52*R$205-Exogenous!$C$57*Exogenous!$B$58+Exogenous!$E$57)/(1-Exogenous!$B$58),IF(52*R$205&gt;Exogenous!$D$56,(52*R$205-Exogenous!$C$56*Exogenous!$B$57+Exogenous!$E$56)/(1-Exogenous!$B$57),52*R$205/(1-Exogenous!$B$56)))))/52,Q$204*R$205/Q$205)</f>
        <v>579.98949855436695</v>
      </c>
      <c r="S204" s="26">
        <f ca="1">IF(S$6&lt;OFFSET(Assumptions!$B$8,0,$C$1)+OFFSET(Assumptions!$B$36,0,$C$1),IF(52*S$205&gt;Exogenous!$D$59,(52*S$205-Exogenous!$C$59*Exogenous!$B$60+Exogenous!$E$59)/(1-Exogenous!$B$60),IF(52*S$205&gt;Exogenous!$D$58,(52*S$205-Exogenous!$C$58*Exogenous!$B$59+Exogenous!$E$58)/(1-Exogenous!$B$59),IF(52*S$205&gt;Exogenous!$D$57,(52*S$205-Exogenous!$C$57*Exogenous!$B$58+Exogenous!$E$57)/(1-Exogenous!$B$58),IF(52*S$205&gt;Exogenous!$D$56,(52*S$205-Exogenous!$C$56*Exogenous!$B$57+Exogenous!$E$56)/(1-Exogenous!$B$57),52*S$205/(1-Exogenous!$B$56)))))/52,R$204*S$205/R$205)</f>
        <v>597.50382342147986</v>
      </c>
      <c r="T204" s="26">
        <f ca="1">IF(T$6&lt;OFFSET(Assumptions!$B$8,0,$C$1)+OFFSET(Assumptions!$B$36,0,$C$1),IF(52*T$205&gt;Exogenous!$D$59,(52*T$205-Exogenous!$C$59*Exogenous!$B$60+Exogenous!$E$59)/(1-Exogenous!$B$60),IF(52*T$205&gt;Exogenous!$D$58,(52*T$205-Exogenous!$C$58*Exogenous!$B$59+Exogenous!$E$58)/(1-Exogenous!$B$59),IF(52*T$205&gt;Exogenous!$D$57,(52*T$205-Exogenous!$C$57*Exogenous!$B$58+Exogenous!$E$57)/(1-Exogenous!$B$58),IF(52*T$205&gt;Exogenous!$D$56,(52*T$205-Exogenous!$C$56*Exogenous!$B$57+Exogenous!$E$56)/(1-Exogenous!$B$57),52*T$205/(1-Exogenous!$B$56)))))/52,S$204*T$205/S$205)</f>
        <v>615.54807670751507</v>
      </c>
      <c r="U204" s="26">
        <f ca="1">IF(U$6&lt;OFFSET(Assumptions!$B$8,0,$C$1)+OFFSET(Assumptions!$B$36,0,$C$1),IF(52*U$205&gt;Exogenous!$D$59,(52*U$205-Exogenous!$C$59*Exogenous!$B$60+Exogenous!$E$59)/(1-Exogenous!$B$60),IF(52*U$205&gt;Exogenous!$D$58,(52*U$205-Exogenous!$C$58*Exogenous!$B$59+Exogenous!$E$58)/(1-Exogenous!$B$59),IF(52*U$205&gt;Exogenous!$D$57,(52*U$205-Exogenous!$C$57*Exogenous!$B$58+Exogenous!$E$57)/(1-Exogenous!$B$58),IF(52*U$205&gt;Exogenous!$D$56,(52*U$205-Exogenous!$C$56*Exogenous!$B$57+Exogenous!$E$56)/(1-Exogenous!$B$57),52*U$205/(1-Exogenous!$B$56)))))/52,T$204*U$205/T$205)</f>
        <v>633.95069885238968</v>
      </c>
      <c r="V204" s="26">
        <f ca="1">IF(V$6&lt;OFFSET(Assumptions!$B$8,0,$C$1)+OFFSET(Assumptions!$B$36,0,$C$1),IF(52*V$205&gt;Exogenous!$D$59,(52*V$205-Exogenous!$C$59*Exogenous!$B$60+Exogenous!$E$59)/(1-Exogenous!$B$60),IF(52*V$205&gt;Exogenous!$D$58,(52*V$205-Exogenous!$C$58*Exogenous!$B$59+Exogenous!$E$58)/(1-Exogenous!$B$59),IF(52*V$205&gt;Exogenous!$D$57,(52*V$205-Exogenous!$C$57*Exogenous!$B$58+Exogenous!$E$57)/(1-Exogenous!$B$58),IF(52*V$205&gt;Exogenous!$D$56,(52*V$205-Exogenous!$C$56*Exogenous!$B$57+Exogenous!$E$56)/(1-Exogenous!$B$57),52*V$205/(1-Exogenous!$B$56)))))/52,U$204*V$205/U$205)</f>
        <v>652.70787742143534</v>
      </c>
      <c r="W204" s="26">
        <f ca="1">IF(W$6&lt;OFFSET(Assumptions!$B$8,0,$C$1)+OFFSET(Assumptions!$B$36,0,$C$1),IF(52*W$205&gt;Exogenous!$D$59,(52*W$205-Exogenous!$C$59*Exogenous!$B$60+Exogenous!$E$59)/(1-Exogenous!$B$60),IF(52*W$205&gt;Exogenous!$D$58,(52*W$205-Exogenous!$C$58*Exogenous!$B$59+Exogenous!$E$58)/(1-Exogenous!$B$59),IF(52*W$205&gt;Exogenous!$D$57,(52*W$205-Exogenous!$C$57*Exogenous!$B$58+Exogenous!$E$57)/(1-Exogenous!$B$58),IF(52*W$205&gt;Exogenous!$D$56,(52*W$205-Exogenous!$C$56*Exogenous!$B$57+Exogenous!$E$56)/(1-Exogenous!$B$57),52*W$205/(1-Exogenous!$B$56)))))/52,V$204*W$205/V$205)</f>
        <v>671.81961241465194</v>
      </c>
      <c r="X204" s="26">
        <f ca="1">IF(X$6&lt;OFFSET(Assumptions!$B$8,0,$C$1)+OFFSET(Assumptions!$B$36,0,$C$1),IF(52*X$205&gt;Exogenous!$D$59,(52*X$205-Exogenous!$C$59*Exogenous!$B$60+Exogenous!$E$59)/(1-Exogenous!$B$60),IF(52*X$205&gt;Exogenous!$D$58,(52*X$205-Exogenous!$C$58*Exogenous!$B$59+Exogenous!$E$58)/(1-Exogenous!$B$59),IF(52*X$205&gt;Exogenous!$D$57,(52*X$205-Exogenous!$C$57*Exogenous!$B$58+Exogenous!$E$57)/(1-Exogenous!$B$58),IF(52*X$205&gt;Exogenous!$D$56,(52*X$205-Exogenous!$C$56*Exogenous!$B$57+Exogenous!$E$56)/(1-Exogenous!$B$57),52*X$205/(1-Exogenous!$B$56)))))/52,W$204*X$205/W$205)</f>
        <v>691.42315148010573</v>
      </c>
    </row>
    <row r="205" spans="1:24" x14ac:dyDescent="0.25">
      <c r="A205" s="11" t="s">
        <v>73</v>
      </c>
      <c r="C205" s="13"/>
      <c r="D205" s="39">
        <f>'Economic Forecasts'!Q$21</f>
        <v>316.27</v>
      </c>
      <c r="E205" s="39">
        <f>'Economic Forecasts'!R$21</f>
        <v>326.02</v>
      </c>
      <c r="F205" s="39">
        <f>'Economic Forecasts'!S$21</f>
        <v>336.11</v>
      </c>
      <c r="G205" s="39">
        <f>'Economic Forecasts'!T$21</f>
        <v>356.11</v>
      </c>
      <c r="H205" s="39">
        <f>'Economic Forecasts'!U$21</f>
        <v>381.82</v>
      </c>
      <c r="I205" s="39">
        <f>'Economic Forecasts'!V$21</f>
        <v>399.59</v>
      </c>
      <c r="J205" s="27">
        <f>'Economic Forecasts'!W$21</f>
        <v>414.17</v>
      </c>
      <c r="K205" s="27">
        <f>'Economic Forecasts'!X$21</f>
        <v>423.7</v>
      </c>
      <c r="L205" s="27">
        <f>'Economic Forecasts'!Y$21</f>
        <v>432.17</v>
      </c>
      <c r="M205" s="27">
        <f>'Economic Forecasts'!Z$21</f>
        <v>440.81</v>
      </c>
      <c r="N205" s="27">
        <f>'Economic Forecasts'!AA$21</f>
        <v>449.63</v>
      </c>
      <c r="O205" s="26">
        <f ca="1">IF(2*N$205*(1+O$29)&gt;OFFSET(Assumptions!$B$38,0,$C$1)*O$203,OFFSET(Assumptions!$B$38,0,$C$1)*O$203,IF(2*N$205*(1+O$29)&lt;OFFSET(Assumptions!$B$37,0,$C$1)*O$203,OFFSET(Assumptions!$B$37,0,$C$1)*O$203,2*N$205*(1+O$29)))/2</f>
        <v>459.70650000000001</v>
      </c>
      <c r="P205" s="26">
        <f ca="1">IF(2*O$205*(1+P$29)&gt;OFFSET(Assumptions!$B$38,0,$C$1)*P$203,OFFSET(Assumptions!$B$38,0,$C$1)*P$203,IF(2*O$205*(1+P$29)&lt;OFFSET(Assumptions!$B$37,0,$C$1)*P$203,OFFSET(Assumptions!$B$37,0,$C$1)*P$203,2*O$205*(1+P$29)))/2</f>
        <v>473.26290000000006</v>
      </c>
      <c r="Q205" s="26">
        <f ca="1">IF(2*P$205*(1+Q$29)&gt;OFFSET(Assumptions!$B$38,0,$C$1)*Q$203,OFFSET(Assumptions!$B$38,0,$C$1)*Q$203,IF(2*P$205*(1+Q$29)&lt;OFFSET(Assumptions!$B$37,0,$C$1)*Q$203,OFFSET(Assumptions!$B$37,0,$C$1)*Q$203,2*P$205*(1+Q$29)))/2</f>
        <v>487.36379999999997</v>
      </c>
      <c r="R205" s="26">
        <f ca="1">IF(2*Q$205*(1+R$29)&gt;OFFSET(Assumptions!$B$38,0,$C$1)*R$203,OFFSET(Assumptions!$B$38,0,$C$1)*R$203,IF(2*Q$205*(1+R$29)&lt;OFFSET(Assumptions!$B$37,0,$C$1)*R$203,OFFSET(Assumptions!$B$37,0,$C$1)*R$203,2*Q$205*(1+R$29)))/2</f>
        <v>502.03230000000002</v>
      </c>
      <c r="S205" s="26">
        <f ca="1">IF(2*R$205*(1+S$29)&gt;OFFSET(Assumptions!$B$38,0,$C$1)*S$203,OFFSET(Assumptions!$B$38,0,$C$1)*S$203,IF(2*R$205*(1+S$29)&lt;OFFSET(Assumptions!$B$37,0,$C$1)*S$203,OFFSET(Assumptions!$B$37,0,$C$1)*S$203,2*R$205*(1+S$29)))/2</f>
        <v>517.1925</v>
      </c>
      <c r="T205" s="26">
        <f ca="1">IF(2*S$205*(1+T$29)&gt;OFFSET(Assumptions!$B$38,0,$C$1)*T$203,OFFSET(Assumptions!$B$38,0,$C$1)*T$203,IF(2*S$205*(1+T$29)&lt;OFFSET(Assumptions!$B$37,0,$C$1)*T$203,OFFSET(Assumptions!$B$37,0,$C$1)*T$203,2*S$205*(1+T$29)))/2</f>
        <v>532.81140000000005</v>
      </c>
      <c r="U205" s="26">
        <f ca="1">IF(2*T$205*(1+U$29)&gt;OFFSET(Assumptions!$B$38,0,$C$1)*U$203,OFFSET(Assumptions!$B$38,0,$C$1)*U$203,IF(2*T$205*(1+U$29)&lt;OFFSET(Assumptions!$B$37,0,$C$1)*U$203,OFFSET(Assumptions!$B$37,0,$C$1)*U$203,2*T$205*(1+U$29)))/2</f>
        <v>548.7405</v>
      </c>
      <c r="V205" s="26">
        <f ca="1">IF(2*U$205*(1+V$29)&gt;OFFSET(Assumptions!$B$38,0,$C$1)*V$203,OFFSET(Assumptions!$B$38,0,$C$1)*V$203,IF(2*U$205*(1+V$29)&lt;OFFSET(Assumptions!$B$37,0,$C$1)*V$203,OFFSET(Assumptions!$B$37,0,$C$1)*V$203,2*U$205*(1+V$29)))/2</f>
        <v>564.97649999999999</v>
      </c>
      <c r="W205" s="26">
        <f ca="1">IF(2*V$205*(1+W$29)&gt;OFFSET(Assumptions!$B$38,0,$C$1)*W$203,OFFSET(Assumptions!$B$38,0,$C$1)*W$203,IF(2*V$205*(1+W$29)&lt;OFFSET(Assumptions!$B$37,0,$C$1)*W$203,OFFSET(Assumptions!$B$37,0,$C$1)*W$203,2*V$205*(1+W$29)))/2</f>
        <v>581.51940000000002</v>
      </c>
      <c r="X205" s="26">
        <f ca="1">IF(2*W$205*(1+X$29)&gt;OFFSET(Assumptions!$B$38,0,$C$1)*X$203,OFFSET(Assumptions!$B$38,0,$C$1)*X$203,IF(2*W$205*(1+X$29)&lt;OFFSET(Assumptions!$B$37,0,$C$1)*X$203,OFFSET(Assumptions!$B$37,0,$C$1)*X$203,2*W$205*(1+X$29)))/2</f>
        <v>598.48799999999994</v>
      </c>
    </row>
    <row r="207" spans="1:24" x14ac:dyDescent="0.25">
      <c r="A207" s="9" t="s">
        <v>535</v>
      </c>
    </row>
    <row r="208" spans="1:24" x14ac:dyDescent="0.25">
      <c r="A208" s="9" t="s">
        <v>1099</v>
      </c>
      <c r="B208" s="10" t="str">
        <f t="shared" ref="B208:B211" si="144">$B$38</f>
        <v>From Fiscal Forecasts</v>
      </c>
      <c r="C208" s="71"/>
      <c r="D208" s="42">
        <f>'Fiscal Forecasts'!D$171</f>
        <v>7.7939999999999996</v>
      </c>
      <c r="E208" s="42">
        <f>'Fiscal Forecasts'!E$171</f>
        <v>8.48</v>
      </c>
      <c r="F208" s="42">
        <f>'Fiscal Forecasts'!F$171</f>
        <v>9.3580000000000005</v>
      </c>
      <c r="G208" s="42">
        <f>'Fiscal Forecasts'!G$171</f>
        <v>9.9450000000000003</v>
      </c>
      <c r="H208" s="42">
        <f>'Fiscal Forecasts'!H$171</f>
        <v>10.449</v>
      </c>
      <c r="I208" s="42">
        <f>'Fiscal Forecasts'!I$171</f>
        <v>11.26</v>
      </c>
      <c r="J208" s="43">
        <f>'Fiscal Forecasts'!J$171</f>
        <v>11.407</v>
      </c>
      <c r="K208" s="43">
        <f>'Fiscal Forecasts'!K$171</f>
        <v>11.778</v>
      </c>
      <c r="L208" s="43">
        <f>'Fiscal Forecasts'!L$171</f>
        <v>11.878</v>
      </c>
      <c r="M208" s="43">
        <f>'Fiscal Forecasts'!M$171</f>
        <v>11.847</v>
      </c>
      <c r="N208" s="43">
        <f>'Fiscal Forecasts'!N$171</f>
        <v>11.896000000000001</v>
      </c>
      <c r="O208" s="47">
        <f ca="1">SUM(O$251,IF(O$6=OFFSET(Assumptions!$B$8,0,$C$1),AVERAGE((L$208-L$251)/SUM(L$208,L$215,L$222,-L$251,-L$333),(M$208-M$251)/SUM(M$208,M$215,M$222,-M$251,-M$333),(N$208-N$251)/SUM(N$208,N$215,N$222,-N$251,-N$333)),(N$208-N$251)/SUM(N$208,N$215,N$222,-N$251,-N$333))*(O$332-O$261-SUM(O$267:O$270,O$273)))</f>
        <v>12.441610972860351</v>
      </c>
      <c r="P208" s="47">
        <f ca="1">SUM(P$251,IF(P$6=OFFSET(Assumptions!$B$8,0,$C$1),AVERAGE((M$208-M$251)/SUM(M$208,M$215,M$222,-M$251,-M$333),(N$208-N$251)/SUM(N$208,N$215,N$222,-N$251,-N$333),(O$208-O$251)/SUM(O$208,O$215,O$222,-O$251,-O$333)),(O$208-O$251)/SUM(O$208,O$215,O$222,-O$251,-O$333))*(P$332-P$261-SUM(P$267:P$270,P$273)))</f>
        <v>12.452157149338831</v>
      </c>
      <c r="Q208" s="47">
        <f ca="1">SUM(Q$251,IF(Q$6=OFFSET(Assumptions!$B$8,0,$C$1),AVERAGE((N$208-N$251)/SUM(N$208,N$215,N$222,-N$251,-N$333),(O$208-O$251)/SUM(O$208,O$215,O$222,-O$251,-O$333),(P$208-P$251)/SUM(P$208,P$215,P$222,-P$251,-P$333)),(P$208-P$251)/SUM(P$208,P$215,P$222,-P$251,-P$333))*(Q$332-Q$261-SUM(Q$267:Q$270,Q$273)))</f>
        <v>12.462953180644588</v>
      </c>
      <c r="R208" s="47">
        <f ca="1">SUM(R$251,IF(R$6=OFFSET(Assumptions!$B$8,0,$C$1),AVERAGE((O$208-O$251)/SUM(O$208,O$215,O$222,-O$251,-O$333),(P$208-P$251)/SUM(P$208,P$215,P$222,-P$251,-P$333),(Q$208-Q$251)/SUM(Q$208,Q$215,Q$222,-Q$251,-Q$333)),(Q$208-Q$251)/SUM(Q$208,Q$215,Q$222,-Q$251,-Q$333))*(R$332-R$261-SUM(R$267:R$270,R$273)))</f>
        <v>12.47400406387418</v>
      </c>
      <c r="S208" s="47">
        <f ca="1">SUM(S$251,IF(S$6=OFFSET(Assumptions!$B$8,0,$C$1),AVERAGE((P$208-P$251)/SUM(P$208,P$215,P$222,-P$251,-P$333),(Q$208-Q$251)/SUM(Q$208,Q$215,Q$222,-Q$251,-Q$333),(R$208-R$251)/SUM(R$208,R$215,R$222,-R$251,-R$333)),(R$208-R$251)/SUM(R$208,R$215,R$222,-R$251,-R$333))*(S$332-S$261-SUM(S$267:S$270,S$273)))</f>
        <v>12.48531489606607</v>
      </c>
      <c r="T208" s="47">
        <f ca="1">SUM(T$251,IF(T$6=OFFSET(Assumptions!$B$8,0,$C$1),AVERAGE((Q$208-Q$251)/SUM(Q$208,Q$215,Q$222,-Q$251,-Q$333),(R$208-R$251)/SUM(R$208,R$215,R$222,-R$251,-R$333),(S$208-S$251)/SUM(S$208,S$215,S$222,-S$251,-S$333)),(S$208-S$251)/SUM(S$208,S$215,S$222,-S$251,-S$333))*(T$332-T$261-SUM(T$267:T$270,T$273)))</f>
        <v>12.496776372382714</v>
      </c>
      <c r="U208" s="47">
        <f ca="1">SUM(U$251,IF(U$6=OFFSET(Assumptions!$B$8,0,$C$1),AVERAGE((R$208-R$251)/SUM(R$208,R$215,R$222,-R$251,-R$333),(S$208-S$251)/SUM(S$208,S$215,S$222,-S$251,-S$333),(T$208-T$251)/SUM(T$208,T$215,T$222,-T$251,-T$333)),(T$208-T$251)/SUM(T$208,T$215,T$222,-T$251,-T$333))*(U$332-U$261-SUM(U$267:U$270,U$273)))</f>
        <v>12.50873730723332</v>
      </c>
      <c r="V208" s="47">
        <f ca="1">SUM(V$251,IF(V$6=OFFSET(Assumptions!$B$8,0,$C$1),AVERAGE((S$208-S$251)/SUM(S$208,S$215,S$222,-S$251,-S$333),(T$208-T$251)/SUM(T$208,T$215,T$222,-T$251,-T$333),(U$208-U$251)/SUM(U$208,U$215,U$222,-U$251,-U$333)),(U$208-U$251)/SUM(U$208,U$215,U$222,-U$251,-U$333))*(V$332-V$261-SUM(V$267:V$270,V$273)))</f>
        <v>12.520974102002315</v>
      </c>
      <c r="W208" s="47">
        <f ca="1">SUM(W$251,IF(W$6=OFFSET(Assumptions!$B$8,0,$C$1),AVERAGE((T$208-T$251)/SUM(T$208,T$215,T$222,-T$251,-T$333),(U$208-U$251)/SUM(U$208,U$215,U$222,-U$251,-U$333),(V$208-V$251)/SUM(V$208,V$215,V$222,-V$251,-V$333)),(V$208-V$251)/SUM(V$208,V$215,V$222,-V$251,-V$333))*(W$332-W$261-SUM(W$267:W$270,W$273)))</f>
        <v>12.533377770071265</v>
      </c>
      <c r="X208" s="47">
        <f ca="1">SUM(X$251,IF(X$6=OFFSET(Assumptions!$B$8,0,$C$1),AVERAGE((U$208-U$251)/SUM(U$208,U$215,U$222,-U$251,-U$333),(V$208-V$251)/SUM(V$208,V$215,V$222,-V$251,-V$333),(W$208-W$251)/SUM(W$208,W$215,W$222,-W$251,-W$333)),(W$208-W$251)/SUM(W$208,W$215,W$222,-W$251,-W$333))*(X$332-X$261-SUM(X$267:X$270,X$273)))</f>
        <v>12.546068442799321</v>
      </c>
    </row>
    <row r="209" spans="1:24" x14ac:dyDescent="0.25">
      <c r="A209" s="11" t="s">
        <v>707</v>
      </c>
      <c r="B209" s="10" t="str">
        <f t="shared" si="144"/>
        <v>From Fiscal Forecasts</v>
      </c>
      <c r="D209" s="35">
        <f>'Fiscal Forecasts'!D$255</f>
        <v>15.085000000000001</v>
      </c>
      <c r="E209" s="35">
        <f>'Fiscal Forecasts'!E$255</f>
        <v>16.317</v>
      </c>
      <c r="F209" s="35">
        <f>'Fiscal Forecasts'!F$255</f>
        <v>17.928999999999998</v>
      </c>
      <c r="G209" s="35">
        <f>'Fiscal Forecasts'!G$255</f>
        <v>19.896999999999998</v>
      </c>
      <c r="H209" s="35">
        <f>'Fiscal Forecasts'!H$255</f>
        <v>22.326000000000001</v>
      </c>
      <c r="I209" s="35">
        <f>'Fiscal Forecasts'!I$255</f>
        <v>24.337</v>
      </c>
      <c r="J209" s="17">
        <f>'Fiscal Forecasts'!J$255</f>
        <v>24.657</v>
      </c>
      <c r="K209" s="17">
        <f>'Fiscal Forecasts'!K$255</f>
        <v>25.32</v>
      </c>
      <c r="L209" s="17">
        <f>'Fiscal Forecasts'!L$255</f>
        <v>25.808</v>
      </c>
      <c r="M209" s="17">
        <f>'Fiscal Forecasts'!M$255</f>
        <v>26.111999999999998</v>
      </c>
      <c r="N209" s="17">
        <f>'Fiscal Forecasts'!N$255</f>
        <v>26.395</v>
      </c>
      <c r="O209" s="16">
        <f ca="1">SUM(O$252-O$251,IF(O$6=OFFSET(Assumptions!$B$8,0,$C$1),AVERAGE(SUM(L$209,-(L$252-L$251))/SUM(L$209,-(L$252-L$251),L$216,L$223),(M$209-(M$252-M$251))/SUM(M$209,-(M$252-M$251),M$216,M$223),(N$209-(N$252-N$251))/SUM(N$209,-(N$252-N$251),N$216,N$223)),(N$209-(N$252-N$251))/SUM(N$209,-(N$252-N$251),N$216,N$223))*SUM(O$198-O$238,O$262,O$275,O$293,O$335,-(O$252-O$251)))</f>
        <v>26.164334773757691</v>
      </c>
      <c r="P209" s="16">
        <f ca="1">SUM(P$252-P$251,IF(P$6=OFFSET(Assumptions!$B$8,0,$C$1),AVERAGE(SUM(M$209,-(M$252-M$251))/SUM(M$209,-(M$252-M$251),M$216,M$223),(N$209-(N$252-N$251))/SUM(N$209,-(N$252-N$251),N$216,N$223),(O$209-(O$252-O$251))/SUM(O$209,-(O$252-O$251),O$216,O$223)),(O$209-(O$252-O$251))/SUM(O$209,-(O$252-O$251),O$216,O$223))*SUM(P$198-P$238,P$262,P$275,P$293,P$335,-(P$252-P$251)))</f>
        <v>26.294054362324243</v>
      </c>
      <c r="Q209" s="16">
        <f ca="1">SUM(Q$252-Q$251,IF(Q$6=OFFSET(Assumptions!$B$8,0,$C$1),AVERAGE(SUM(N$209,-(N$252-N$251))/SUM(N$209,-(N$252-N$251),N$216,N$223),(O$209-(O$252-O$251))/SUM(O$209,-(O$252-O$251),O$216,O$223),(P$209-(P$252-P$251))/SUM(P$209,-(P$252-P$251),P$216,P$223)),(P$209-(P$252-P$251))/SUM(P$209,-(P$252-P$251),P$216,P$223))*SUM(Q$198-Q$238,Q$262,Q$275,Q$293,Q$335,-(Q$252-Q$251)))</f>
        <v>26.50401243318597</v>
      </c>
      <c r="R209" s="16">
        <f ca="1">SUM(R$252-R$251,IF(R$6=OFFSET(Assumptions!$B$8,0,$C$1),AVERAGE(SUM(O$209,-(O$252-O$251))/SUM(O$209,-(O$252-O$251),O$216,O$223),(P$209-(P$252-P$251))/SUM(P$209,-(P$252-P$251),P$216,P$223),(Q$209-(Q$252-Q$251))/SUM(Q$209,-(Q$252-Q$251),Q$216,Q$223)),(Q$209-(Q$252-Q$251))/SUM(Q$209,-(Q$252-Q$251),Q$216,Q$223))*SUM(R$198-R$238,R$262,R$275,R$293,R$335,-(R$252-R$251)))</f>
        <v>26.731696964360072</v>
      </c>
      <c r="S209" s="16">
        <f ca="1">SUM(S$252-S$251,IF(S$6=OFFSET(Assumptions!$B$8,0,$C$1),AVERAGE(SUM(P$209,-(P$252-P$251))/SUM(P$209,-(P$252-P$251),P$216,P$223),(Q$209-(Q$252-Q$251))/SUM(Q$209,-(Q$252-Q$251),Q$216,Q$223),(R$209-(R$252-R$251))/SUM(R$209,-(R$252-R$251),R$216,R$223)),(R$209-(R$252-R$251))/SUM(R$209,-(R$252-R$251),R$216,R$223))*SUM(S$198-S$238,S$262,S$275,S$293,S$335,-(S$252-S$251)))</f>
        <v>26.96377888119552</v>
      </c>
      <c r="T209" s="16">
        <f ca="1">SUM(T$252-T$251,IF(T$6=OFFSET(Assumptions!$B$8,0,$C$1),AVERAGE(SUM(Q$209,-(Q$252-Q$251))/SUM(Q$209,-(Q$252-Q$251),Q$216,Q$223),(R$209-(R$252-R$251))/SUM(R$209,-(R$252-R$251),R$216,R$223),(S$209-(S$252-S$251))/SUM(S$209,-(S$252-S$251),S$216,S$223)),(S$209-(S$252-S$251))/SUM(S$209,-(S$252-S$251),S$216,S$223))*SUM(T$198-T$238,T$262,T$275,T$293,T$335,-(T$252-T$251)))</f>
        <v>27.197804078884211</v>
      </c>
      <c r="U209" s="16">
        <f ca="1">SUM(U$252-U$251,IF(U$6=OFFSET(Assumptions!$B$8,0,$C$1),AVERAGE(SUM(R$209,-(R$252-R$251))/SUM(R$209,-(R$252-R$251),R$216,R$223),(S$209-(S$252-S$251))/SUM(S$209,-(S$252-S$251),S$216,S$223),(T$209-(T$252-T$251))/SUM(T$209,-(T$252-T$251),T$216,T$223)),(T$209-(T$252-T$251))/SUM(T$209,-(T$252-T$251),T$216,T$223))*SUM(U$198-U$238,U$262,U$275,U$293,U$335,-(U$252-U$251)))</f>
        <v>27.439192524104005</v>
      </c>
      <c r="V209" s="16">
        <f ca="1">SUM(V$252-V$251,IF(V$6=OFFSET(Assumptions!$B$8,0,$C$1),AVERAGE(SUM(S$209,-(S$252-S$251))/SUM(S$209,-(S$252-S$251),S$216,S$223),(T$209-(T$252-T$251))/SUM(T$209,-(T$252-T$251),T$216,T$223),(U$209-(U$252-U$251))/SUM(U$209,-(U$252-U$251),U$216,U$223)),(U$209-(U$252-U$251))/SUM(U$209,-(U$252-U$251),U$216,U$223))*SUM(V$198-V$238,V$262,V$275,V$293,V$335,-(V$252-V$251)))</f>
        <v>27.684224025400084</v>
      </c>
      <c r="W209" s="16">
        <f ca="1">SUM(W$252-W$251,IF(W$6=OFFSET(Assumptions!$B$8,0,$C$1),AVERAGE(SUM(T$209,-(T$252-T$251))/SUM(T$209,-(T$252-T$251),T$216,T$223),(U$209-(U$252-U$251))/SUM(U$209,-(U$252-U$251),U$216,U$223),(V$209-(V$252-V$251))/SUM(V$209,-(V$252-V$251),V$216,V$223)),(V$209-(V$252-V$251))/SUM(V$209,-(V$252-V$251),V$216,V$223))*SUM(W$198-W$238,W$262,W$275,W$293,W$335,-(W$252-W$251)))</f>
        <v>27.934826721815387</v>
      </c>
      <c r="X209" s="16">
        <f ca="1">SUM(X$252-X$251,IF(X$6=OFFSET(Assumptions!$B$8,0,$C$1),AVERAGE(SUM(U$209,-(U$252-U$251))/SUM(U$209,-(U$252-U$251),U$216,U$223),(V$209-(V$252-V$251))/SUM(V$209,-(V$252-V$251),V$216,V$223),(W$209-(W$252-W$251))/SUM(W$209,-(W$252-W$251),W$216,W$223)),(W$209-(W$252-W$251))/SUM(W$209,-(W$252-W$251),W$216,W$223))*SUM(X$198-X$238,X$262,X$275,X$293,X$335,-(X$252-X$251)))</f>
        <v>28.192591723477104</v>
      </c>
    </row>
    <row r="210" spans="1:24" x14ac:dyDescent="0.25">
      <c r="A210" s="11" t="s">
        <v>904</v>
      </c>
      <c r="B210" s="10" t="str">
        <f t="shared" si="144"/>
        <v>From Fiscal Forecasts</v>
      </c>
      <c r="D210" s="35">
        <f>'Fiscal Forecasts'!D$256</f>
        <v>3.0960000000000001</v>
      </c>
      <c r="E210" s="35">
        <f>'Fiscal Forecasts'!E$256</f>
        <v>3.0230000000000001</v>
      </c>
      <c r="F210" s="35">
        <f>'Fiscal Forecasts'!F$256</f>
        <v>2.5819999999999999</v>
      </c>
      <c r="G210" s="35">
        <f>'Fiscal Forecasts'!G$256</f>
        <v>2.8610000000000002</v>
      </c>
      <c r="H210" s="35">
        <f>'Fiscal Forecasts'!H$256</f>
        <v>3.33</v>
      </c>
      <c r="I210" s="35">
        <f>'Fiscal Forecasts'!I$256</f>
        <v>3.5459999999999998</v>
      </c>
      <c r="J210" s="17">
        <f>'Fiscal Forecasts'!J$256</f>
        <v>3.6120000000000001</v>
      </c>
      <c r="K210" s="17">
        <f>'Fiscal Forecasts'!K$256</f>
        <v>3.7280000000000002</v>
      </c>
      <c r="L210" s="17">
        <f>'Fiscal Forecasts'!L$256</f>
        <v>3.8580000000000001</v>
      </c>
      <c r="M210" s="17">
        <f>'Fiscal Forecasts'!M$256</f>
        <v>3.9929999999999999</v>
      </c>
      <c r="N210" s="17">
        <f>'Fiscal Forecasts'!N$256</f>
        <v>4.09</v>
      </c>
      <c r="O210" s="16">
        <f ca="1">IF(O$6=OFFSET(Assumptions!$B$8,0,$C$1),AVERAGE(L$210/SUM(L$210,L$217,L$224),M$210/SUM(M$210,M$217,M$224),N$210/SUM(N$210,N$217,N$224)),N$210/SUM(N$210,N$217,N$224))*SUM(O$294,O$336-O$239)</f>
        <v>4.1976490813182066</v>
      </c>
      <c r="P210" s="16">
        <f ca="1">IF(P$6=OFFSET(Assumptions!$B$8,0,$C$1),AVERAGE(M$210/SUM(M$210,M$217,M$224),N$210/SUM(N$210,N$217,N$224),O$210/SUM(O$210,O$217,O$224)),O$210/SUM(O$210,O$217,O$224))*SUM(P$294,P$336-P$239)</f>
        <v>4.3047935229228331</v>
      </c>
      <c r="Q210" s="16">
        <f ca="1">IF(Q$6=OFFSET(Assumptions!$B$8,0,$C$1),AVERAGE(N$210/SUM(N$210,N$217,N$224),O$210/SUM(O$210,O$217,O$224),P$210/SUM(P$210,P$217,P$224)),P$210/SUM(P$210,P$217,P$224))*SUM(Q$294,Q$336-Q$239)</f>
        <v>4.4135818586776345</v>
      </c>
      <c r="R210" s="16">
        <f ca="1">IF(R$6=OFFSET(Assumptions!$B$8,0,$C$1),AVERAGE(O$210/SUM(O$210,O$217,O$224),P$210/SUM(P$210,P$217,P$224),Q$210/SUM(Q$210,Q$217,Q$224)),Q$210/SUM(Q$210,Q$217,Q$224))*SUM(R$294,R$336-R$239)</f>
        <v>4.5234682697409809</v>
      </c>
      <c r="S210" s="16">
        <f ca="1">IF(S$6=OFFSET(Assumptions!$B$8,0,$C$1),AVERAGE(P$210/SUM(P$210,P$217,P$224),Q$210/SUM(Q$210,Q$217,Q$224),R$210/SUM(R$210,R$217,R$224)),R$210/SUM(R$210,R$217,R$224))*SUM(S$294,S$336-S$239)</f>
        <v>4.6348054209035725</v>
      </c>
      <c r="T210" s="16">
        <f ca="1">IF(T$6=OFFSET(Assumptions!$B$8,0,$C$1),AVERAGE(Q$210/SUM(Q$210,Q$217,Q$224),R$210/SUM(R$210,R$217,R$224),S$210/SUM(S$210,S$217,S$224)),S$210/SUM(S$210,S$217,S$224))*SUM(T$294,T$336-T$239)</f>
        <v>4.7474684514724323</v>
      </c>
      <c r="U210" s="16">
        <f ca="1">IF(U$6=OFFSET(Assumptions!$B$8,0,$C$1),AVERAGE(R$210/SUM(R$210,R$217,R$224),S$210/SUM(S$210,S$217,S$224),T$210/SUM(T$210,T$217,T$224)),T$210/SUM(T$210,T$217,T$224))*SUM(U$294,U$336-U$239)</f>
        <v>4.8623018677780134</v>
      </c>
      <c r="V210" s="16">
        <f ca="1">IF(V$6=OFFSET(Assumptions!$B$8,0,$C$1),AVERAGE(S$210/SUM(S$210,S$217,S$224),T$210/SUM(T$210,T$217,T$224),U$210/SUM(U$210,U$217,U$224)),U$210/SUM(U$210,U$217,U$224))*SUM(V$294,V$336-V$239)</f>
        <v>4.9790077631443097</v>
      </c>
      <c r="W210" s="16">
        <f ca="1">IF(W$6=OFFSET(Assumptions!$B$8,0,$C$1),AVERAGE(T$210/SUM(T$210,T$217,T$224),U$210/SUM(U$210,U$217,U$224),V$210/SUM(V$210,V$217,V$224)),V$210/SUM(V$210,V$217,V$224))*SUM(W$294,W$336-W$239)</f>
        <v>5.0966545884082466</v>
      </c>
      <c r="X210" s="16">
        <f ca="1">IF(X$6=OFFSET(Assumptions!$B$8,0,$C$1),AVERAGE(U$210/SUM(U$210,U$217,U$224),V$210/SUM(V$210,V$217,V$224),W$210/SUM(W$210,W$217,W$224)),W$210/SUM(W$210,W$217,W$224))*SUM(X$294,X$336-X$239)</f>
        <v>5.21596013506056</v>
      </c>
    </row>
    <row r="211" spans="1:24" x14ac:dyDescent="0.25">
      <c r="A211" s="11" t="s">
        <v>866</v>
      </c>
      <c r="B211" s="10" t="str">
        <f t="shared" si="144"/>
        <v>From Fiscal Forecasts</v>
      </c>
      <c r="D211" s="35">
        <f>'Fiscal Forecasts'!D$257</f>
        <v>-4.2000000000000003E-2</v>
      </c>
      <c r="E211" s="35">
        <f>'Fiscal Forecasts'!E$257</f>
        <v>-4.4999999999999998E-2</v>
      </c>
      <c r="F211" s="35">
        <f>'Fiscal Forecasts'!F$257</f>
        <v>-5.1999999999999998E-2</v>
      </c>
      <c r="G211" s="35">
        <f>'Fiscal Forecasts'!G$257</f>
        <v>-5.5E-2</v>
      </c>
      <c r="H211" s="35">
        <f>'Fiscal Forecasts'!H$257</f>
        <v>-5.2999999999999999E-2</v>
      </c>
      <c r="I211" s="35">
        <f>'Fiscal Forecasts'!I$257</f>
        <v>-0.06</v>
      </c>
      <c r="J211" s="17">
        <f>'Fiscal Forecasts'!J$257</f>
        <v>-6.6000000000000003E-2</v>
      </c>
      <c r="K211" s="17">
        <f>'Fiscal Forecasts'!K$257</f>
        <v>-6.8000000000000005E-2</v>
      </c>
      <c r="L211" s="17">
        <f>'Fiscal Forecasts'!L$257</f>
        <v>-6.9000000000000006E-2</v>
      </c>
      <c r="M211" s="17">
        <f>'Fiscal Forecasts'!M$257</f>
        <v>-6.8000000000000005E-2</v>
      </c>
      <c r="N211" s="17">
        <f>'Fiscal Forecasts'!N$257</f>
        <v>-7.0000000000000007E-2</v>
      </c>
      <c r="O211" s="16">
        <f ca="1">IF(O$6=OFFSET(Assumptions!$B$8,0,$C$1),AVERAGE(L$211/SUM(L$211,L$225),M$211/SUM(M$211,M$225),N$211/SUM(N$211,N$225)),N$211/SUM(N$211,N$225))*SUM(O$199,O$263,O$276,O$295,O$337)</f>
        <v>-7.1883462317298252E-2</v>
      </c>
      <c r="P211" s="16">
        <f ca="1">IF(P$6=OFFSET(Assumptions!$B$8,0,$C$1),AVERAGE(M$211/SUM(M$211,M$225),N$211/SUM(N$211,N$225),O$211/SUM(O$211,O$225)),O$211/SUM(O$211,O$225))*SUM(P$199,P$263,P$276,P$295,P$337)</f>
        <v>-7.2262335090459609E-2</v>
      </c>
      <c r="Q211" s="16">
        <f ca="1">IF(Q$6=OFFSET(Assumptions!$B$8,0,$C$1),AVERAGE(N$211/SUM(N$211,N$225),O$211/SUM(O$211,O$225),P$211/SUM(P$211,P$225)),P$211/SUM(P$211,P$225))*SUM(Q$199,Q$263,Q$276,Q$295,Q$337)</f>
        <v>-7.2894370387615162E-2</v>
      </c>
      <c r="R211" s="16">
        <f ca="1">IF(R$6=OFFSET(Assumptions!$B$8,0,$C$1),AVERAGE(O$211/SUM(O$211,O$225),P$211/SUM(P$211,P$225),Q$211/SUM(Q$211,Q$225)),Q$211/SUM(Q$211,Q$225))*SUM(R$199,R$263,R$276,R$295,R$337)</f>
        <v>-7.3599354913664913E-2</v>
      </c>
      <c r="S211" s="16">
        <f ca="1">IF(S$6=OFFSET(Assumptions!$B$8,0,$C$1),AVERAGE(P$211/SUM(P$211,P$225),Q$211/SUM(Q$211,Q$225),R$211/SUM(R$211,R$225)),R$211/SUM(R$211,R$225))*SUM(S$199,S$263,S$276,S$295,S$337)</f>
        <v>-7.4338111025831641E-2</v>
      </c>
      <c r="T211" s="16">
        <f ca="1">IF(T$6=OFFSET(Assumptions!$B$8,0,$C$1),AVERAGE(Q$211/SUM(Q$211,Q$225),R$211/SUM(R$211,R$225),S$211/SUM(S$211,S$225)),S$211/SUM(S$211,S$225))*SUM(T$199,T$263,T$276,T$295,T$337)</f>
        <v>-7.5112177285189236E-2</v>
      </c>
      <c r="U211" s="16">
        <f ca="1">IF(U$6=OFFSET(Assumptions!$B$8,0,$C$1),AVERAGE(R$211/SUM(R$211,R$225),S$211/SUM(S$211,S$225),T$211/SUM(T$211,T$225)),T$211/SUM(T$211,T$225))*SUM(U$199,U$263,U$276,U$295,U$337)</f>
        <v>-7.5922281429904509E-2</v>
      </c>
      <c r="V211" s="16">
        <f ca="1">IF(V$6=OFFSET(Assumptions!$B$8,0,$C$1),AVERAGE(S$211/SUM(S$211,S$225),T$211/SUM(T$211,T$225),U$211/SUM(U$211,U$225)),U$211/SUM(U$211,U$225))*SUM(V$199,V$263,V$276,V$295,V$337)</f>
        <v>-7.6553598542768886E-2</v>
      </c>
      <c r="W211" s="16">
        <f ca="1">IF(W$6=OFFSET(Assumptions!$B$8,0,$C$1),AVERAGE(T$211/SUM(T$211,T$225),U$211/SUM(U$211,U$225),V$211/SUM(V$211,V$225)),V$211/SUM(V$211,V$225))*SUM(W$199,W$263,W$276,W$295,W$337)</f>
        <v>-7.7121708283821477E-2</v>
      </c>
      <c r="X211" s="16">
        <f ca="1">IF(X$6=OFFSET(Assumptions!$B$8,0,$C$1),AVERAGE(U$211/SUM(U$211,U$225),V$211/SUM(V$211,V$225),W$211/SUM(W$211,W$225)),W$211/SUM(W$211,W$225))*SUM(X$199,X$263,X$276,X$295,X$337)</f>
        <v>-7.7714377366232434E-2</v>
      </c>
    </row>
    <row r="212" spans="1:24" x14ac:dyDescent="0.25">
      <c r="A212" s="9" t="s">
        <v>959</v>
      </c>
      <c r="D212" s="65">
        <f t="shared" ref="D212:X212" si="145">SUM(D$208:D$211)</f>
        <v>25.933</v>
      </c>
      <c r="E212" s="65">
        <f t="shared" si="145"/>
        <v>27.774999999999999</v>
      </c>
      <c r="F212" s="65">
        <f t="shared" si="145"/>
        <v>29.817</v>
      </c>
      <c r="G212" s="65">
        <f t="shared" si="145"/>
        <v>32.647999999999996</v>
      </c>
      <c r="H212" s="65">
        <f t="shared" si="145"/>
        <v>36.052</v>
      </c>
      <c r="I212" s="65">
        <f t="shared" si="145"/>
        <v>39.082999999999998</v>
      </c>
      <c r="J212" s="66">
        <f t="shared" si="145"/>
        <v>39.61</v>
      </c>
      <c r="K212" s="66">
        <f t="shared" si="145"/>
        <v>40.758000000000003</v>
      </c>
      <c r="L212" s="66">
        <f t="shared" si="145"/>
        <v>41.474999999999994</v>
      </c>
      <c r="M212" s="66">
        <f t="shared" si="145"/>
        <v>41.884</v>
      </c>
      <c r="N212" s="66">
        <f t="shared" si="145"/>
        <v>42.311</v>
      </c>
      <c r="O212" s="67">
        <f t="shared" ca="1" si="145"/>
        <v>42.731711365618949</v>
      </c>
      <c r="P212" s="67">
        <f t="shared" ca="1" si="145"/>
        <v>42.978742699495456</v>
      </c>
      <c r="Q212" s="67">
        <f t="shared" ca="1" si="145"/>
        <v>43.307653102120582</v>
      </c>
      <c r="R212" s="67">
        <f t="shared" ca="1" si="145"/>
        <v>43.655569943061565</v>
      </c>
      <c r="S212" s="67">
        <f t="shared" ca="1" si="145"/>
        <v>44.009561087139332</v>
      </c>
      <c r="T212" s="67">
        <f t="shared" ca="1" si="145"/>
        <v>44.366936725454167</v>
      </c>
      <c r="U212" s="67">
        <f t="shared" ca="1" si="145"/>
        <v>44.734309417685438</v>
      </c>
      <c r="V212" s="67">
        <f t="shared" ca="1" si="145"/>
        <v>45.107652292003941</v>
      </c>
      <c r="W212" s="67">
        <f t="shared" ca="1" si="145"/>
        <v>45.487737372011082</v>
      </c>
      <c r="X212" s="67">
        <f t="shared" ca="1" si="145"/>
        <v>45.876905923970753</v>
      </c>
    </row>
    <row r="214" spans="1:24" x14ac:dyDescent="0.25">
      <c r="A214" s="9" t="s">
        <v>536</v>
      </c>
    </row>
    <row r="215" spans="1:24" x14ac:dyDescent="0.25">
      <c r="A215" s="9" t="s">
        <v>1100</v>
      </c>
      <c r="B215" s="10" t="str">
        <f t="shared" ref="B215:B219" si="146">$B$38</f>
        <v>From Fiscal Forecasts</v>
      </c>
      <c r="D215" s="42">
        <f>'Fiscal Forecasts'!D$260</f>
        <v>1.5009999999999999</v>
      </c>
      <c r="E215" s="42">
        <f>'Fiscal Forecasts'!E$260</f>
        <v>1.675</v>
      </c>
      <c r="F215" s="42">
        <f>'Fiscal Forecasts'!F$260</f>
        <v>1.883</v>
      </c>
      <c r="G215" s="42">
        <f>'Fiscal Forecasts'!G$260</f>
        <v>2.0019999999999998</v>
      </c>
      <c r="H215" s="42">
        <f>'Fiscal Forecasts'!H$260</f>
        <v>2.4</v>
      </c>
      <c r="I215" s="42">
        <f>'Fiscal Forecasts'!I$260</f>
        <v>2.81</v>
      </c>
      <c r="J215" s="43">
        <f>'Fiscal Forecasts'!J$260</f>
        <v>2.7429999999999999</v>
      </c>
      <c r="K215" s="43">
        <f>'Fiscal Forecasts'!K$260</f>
        <v>2.9079999999999999</v>
      </c>
      <c r="L215" s="43">
        <f>'Fiscal Forecasts'!L$260</f>
        <v>2.9940000000000002</v>
      </c>
      <c r="M215" s="43">
        <f>'Fiscal Forecasts'!M$260</f>
        <v>3.069</v>
      </c>
      <c r="N215" s="43">
        <f>'Fiscal Forecasts'!N$260</f>
        <v>3.073</v>
      </c>
      <c r="O215" s="47">
        <f t="shared" ref="O215:X215" si="147">O$431</f>
        <v>3.073</v>
      </c>
      <c r="P215" s="47">
        <f t="shared" si="147"/>
        <v>3.073</v>
      </c>
      <c r="Q215" s="47">
        <f t="shared" si="147"/>
        <v>3.073</v>
      </c>
      <c r="R215" s="47">
        <f t="shared" si="147"/>
        <v>3.073</v>
      </c>
      <c r="S215" s="47">
        <f t="shared" si="147"/>
        <v>3.073</v>
      </c>
      <c r="T215" s="47">
        <f t="shared" si="147"/>
        <v>3.073</v>
      </c>
      <c r="U215" s="47">
        <f t="shared" si="147"/>
        <v>3.073</v>
      </c>
      <c r="V215" s="47">
        <f t="shared" si="147"/>
        <v>3.073</v>
      </c>
      <c r="W215" s="47">
        <f t="shared" si="147"/>
        <v>3.073</v>
      </c>
      <c r="X215" s="47">
        <f t="shared" si="147"/>
        <v>3.073</v>
      </c>
    </row>
    <row r="216" spans="1:24" x14ac:dyDescent="0.25">
      <c r="A216" s="11" t="s">
        <v>707</v>
      </c>
      <c r="B216" s="10" t="str">
        <f t="shared" si="146"/>
        <v>From Fiscal Forecasts</v>
      </c>
      <c r="D216" s="35">
        <f>'Fiscal Forecasts'!D$261</f>
        <v>1.587</v>
      </c>
      <c r="E216" s="35">
        <f>'Fiscal Forecasts'!E$261</f>
        <v>1.776</v>
      </c>
      <c r="F216" s="35">
        <f>'Fiscal Forecasts'!F$261</f>
        <v>1.9530000000000001</v>
      </c>
      <c r="G216" s="35">
        <f>'Fiscal Forecasts'!G$261</f>
        <v>2.2509999999999999</v>
      </c>
      <c r="H216" s="35">
        <f>'Fiscal Forecasts'!H$261</f>
        <v>2.5110000000000001</v>
      </c>
      <c r="I216" s="35">
        <f>'Fiscal Forecasts'!I$261</f>
        <v>2.9</v>
      </c>
      <c r="J216" s="17">
        <f>'Fiscal Forecasts'!J$261</f>
        <v>3.012</v>
      </c>
      <c r="K216" s="17">
        <f>'Fiscal Forecasts'!K$261</f>
        <v>3.129</v>
      </c>
      <c r="L216" s="17">
        <f>'Fiscal Forecasts'!L$261</f>
        <v>3.177</v>
      </c>
      <c r="M216" s="17">
        <f>'Fiscal Forecasts'!M$261</f>
        <v>3.226</v>
      </c>
      <c r="N216" s="17">
        <f>'Fiscal Forecasts'!N$261</f>
        <v>3.274</v>
      </c>
      <c r="O216" s="16">
        <f t="shared" ref="O216:X216" si="148">N$216</f>
        <v>3.274</v>
      </c>
      <c r="P216" s="16">
        <f t="shared" si="148"/>
        <v>3.274</v>
      </c>
      <c r="Q216" s="16">
        <f t="shared" si="148"/>
        <v>3.274</v>
      </c>
      <c r="R216" s="16">
        <f t="shared" si="148"/>
        <v>3.274</v>
      </c>
      <c r="S216" s="16">
        <f t="shared" si="148"/>
        <v>3.274</v>
      </c>
      <c r="T216" s="16">
        <f t="shared" si="148"/>
        <v>3.274</v>
      </c>
      <c r="U216" s="16">
        <f t="shared" si="148"/>
        <v>3.274</v>
      </c>
      <c r="V216" s="16">
        <f t="shared" si="148"/>
        <v>3.274</v>
      </c>
      <c r="W216" s="16">
        <f t="shared" si="148"/>
        <v>3.274</v>
      </c>
      <c r="X216" s="16">
        <f t="shared" si="148"/>
        <v>3.274</v>
      </c>
    </row>
    <row r="217" spans="1:24" x14ac:dyDescent="0.25">
      <c r="A217" s="11" t="s">
        <v>904</v>
      </c>
      <c r="B217" s="10" t="str">
        <f t="shared" si="146"/>
        <v>From Fiscal Forecasts</v>
      </c>
      <c r="D217" s="35">
        <f>'Fiscal Forecasts'!D$262</f>
        <v>1.466</v>
      </c>
      <c r="E217" s="35">
        <f>'Fiscal Forecasts'!E$262</f>
        <v>1.843</v>
      </c>
      <c r="F217" s="35">
        <f>'Fiscal Forecasts'!F$262</f>
        <v>1.73</v>
      </c>
      <c r="G217" s="35">
        <f>'Fiscal Forecasts'!G$262</f>
        <v>1.899</v>
      </c>
      <c r="H217" s="35">
        <f>'Fiscal Forecasts'!H$262</f>
        <v>1.69</v>
      </c>
      <c r="I217" s="35">
        <f>'Fiscal Forecasts'!I$262</f>
        <v>1.911</v>
      </c>
      <c r="J217" s="17">
        <f>'Fiscal Forecasts'!J$262</f>
        <v>2.3050000000000002</v>
      </c>
      <c r="K217" s="17">
        <f>'Fiscal Forecasts'!K$262</f>
        <v>2.387</v>
      </c>
      <c r="L217" s="17">
        <f>'Fiscal Forecasts'!L$262</f>
        <v>2.5459999999999998</v>
      </c>
      <c r="M217" s="17">
        <f>'Fiscal Forecasts'!M$262</f>
        <v>2.7690000000000001</v>
      </c>
      <c r="N217" s="17">
        <f>'Fiscal Forecasts'!N$262</f>
        <v>2.8580000000000001</v>
      </c>
      <c r="O217" s="16">
        <f t="shared" ref="O217:X217" ca="1" si="149">N$217*O$428/N$428</f>
        <v>2.8867767255345771</v>
      </c>
      <c r="P217" s="16">
        <f t="shared" ca="1" si="149"/>
        <v>2.9155053385363265</v>
      </c>
      <c r="Q217" s="16">
        <f t="shared" ca="1" si="149"/>
        <v>2.9446104230131529</v>
      </c>
      <c r="R217" s="16">
        <f t="shared" ca="1" si="149"/>
        <v>2.9741784522143893</v>
      </c>
      <c r="S217" s="16">
        <f t="shared" ca="1" si="149"/>
        <v>3.0042196339142793</v>
      </c>
      <c r="T217" s="16">
        <f t="shared" ca="1" si="149"/>
        <v>3.0347434538140505</v>
      </c>
      <c r="U217" s="16">
        <f t="shared" ca="1" si="149"/>
        <v>3.0657563469539673</v>
      </c>
      <c r="V217" s="16">
        <f t="shared" ca="1" si="149"/>
        <v>3.0972656664558227</v>
      </c>
      <c r="W217" s="16">
        <f t="shared" ca="1" si="149"/>
        <v>3.1292787469463068</v>
      </c>
      <c r="X217" s="16">
        <f t="shared" ca="1" si="149"/>
        <v>3.1618067191578474</v>
      </c>
    </row>
    <row r="218" spans="1:24" x14ac:dyDescent="0.25">
      <c r="A218" s="9" t="s">
        <v>964</v>
      </c>
      <c r="D218" s="65">
        <f t="shared" ref="D218:X218" si="150">SUM(D$215:D$217)</f>
        <v>4.5540000000000003</v>
      </c>
      <c r="E218" s="65">
        <f t="shared" si="150"/>
        <v>5.2940000000000005</v>
      </c>
      <c r="F218" s="65">
        <f t="shared" si="150"/>
        <v>5.5660000000000007</v>
      </c>
      <c r="G218" s="65">
        <f t="shared" si="150"/>
        <v>6.1520000000000001</v>
      </c>
      <c r="H218" s="65">
        <f t="shared" si="150"/>
        <v>6.6009999999999991</v>
      </c>
      <c r="I218" s="65">
        <f t="shared" si="150"/>
        <v>7.6210000000000004</v>
      </c>
      <c r="J218" s="66">
        <f t="shared" si="150"/>
        <v>8.06</v>
      </c>
      <c r="K218" s="66">
        <f t="shared" si="150"/>
        <v>8.4239999999999995</v>
      </c>
      <c r="L218" s="66">
        <f t="shared" si="150"/>
        <v>8.7170000000000005</v>
      </c>
      <c r="M218" s="66">
        <f t="shared" si="150"/>
        <v>9.0640000000000001</v>
      </c>
      <c r="N218" s="66">
        <f t="shared" si="150"/>
        <v>9.2050000000000001</v>
      </c>
      <c r="O218" s="67">
        <f t="shared" ca="1" si="150"/>
        <v>9.2337767255345771</v>
      </c>
      <c r="P218" s="67">
        <f t="shared" ca="1" si="150"/>
        <v>9.2625053385363252</v>
      </c>
      <c r="Q218" s="67">
        <f t="shared" ca="1" si="150"/>
        <v>9.291610423013152</v>
      </c>
      <c r="R218" s="67">
        <f t="shared" ca="1" si="150"/>
        <v>9.3211784522143883</v>
      </c>
      <c r="S218" s="67">
        <f t="shared" ca="1" si="150"/>
        <v>9.3512196339142797</v>
      </c>
      <c r="T218" s="67">
        <f t="shared" ca="1" si="150"/>
        <v>9.3817434538140496</v>
      </c>
      <c r="U218" s="67">
        <f t="shared" ca="1" si="150"/>
        <v>9.4127563469539659</v>
      </c>
      <c r="V218" s="67">
        <f t="shared" ca="1" si="150"/>
        <v>9.4442656664558218</v>
      </c>
      <c r="W218" s="67">
        <f t="shared" ca="1" si="150"/>
        <v>9.4762787469463063</v>
      </c>
      <c r="X218" s="67">
        <f t="shared" ca="1" si="150"/>
        <v>9.508806719157846</v>
      </c>
    </row>
    <row r="219" spans="1:24" x14ac:dyDescent="0.25">
      <c r="A219" s="9" t="s">
        <v>960</v>
      </c>
      <c r="B219" s="10" t="str">
        <f t="shared" si="146"/>
        <v>From Fiscal Forecasts</v>
      </c>
      <c r="D219" s="42">
        <f>'Fiscal Forecasts'!D$265</f>
        <v>0.29399999999999998</v>
      </c>
      <c r="E219" s="42">
        <f>'Fiscal Forecasts'!E$265</f>
        <v>0.57399999999999995</v>
      </c>
      <c r="F219" s="42">
        <f>'Fiscal Forecasts'!F$265</f>
        <v>0.37</v>
      </c>
      <c r="G219" s="42">
        <f>'Fiscal Forecasts'!G$265</f>
        <v>0.316</v>
      </c>
      <c r="H219" s="42">
        <f>'Fiscal Forecasts'!H$265</f>
        <v>0.29399999999999998</v>
      </c>
      <c r="I219" s="42">
        <f>'Fiscal Forecasts'!I$265</f>
        <v>0.33</v>
      </c>
      <c r="J219" s="43">
        <f>'Fiscal Forecasts'!J$265</f>
        <v>0.33600000000000002</v>
      </c>
      <c r="K219" s="43">
        <f>'Fiscal Forecasts'!K$265</f>
        <v>0.34399999999999997</v>
      </c>
      <c r="L219" s="43">
        <f>'Fiscal Forecasts'!L$265</f>
        <v>0.34300000000000003</v>
      </c>
      <c r="M219" s="43">
        <f>'Fiscal Forecasts'!M$265</f>
        <v>0.34200000000000003</v>
      </c>
      <c r="N219" s="43">
        <f>'Fiscal Forecasts'!N$265</f>
        <v>0.34200000000000003</v>
      </c>
      <c r="O219" s="47">
        <f ca="1">IF(O$6=OFFSET(Assumptions!$B$8,0,$C$1),AVERAGE(L$219/L$441,M$219/M$441,N$219/N$441),N$219/N$441)*O$441</f>
        <v>0.33085072805363508</v>
      </c>
      <c r="P219" s="47">
        <f ca="1">IF(P$6=OFFSET(Assumptions!$B$8,0,$C$1),AVERAGE(M$219/M$441,N$219/N$441,O$219/O$441),O$219/O$441)*P$441</f>
        <v>0.33085072805363508</v>
      </c>
      <c r="Q219" s="47">
        <f ca="1">IF(Q$6=OFFSET(Assumptions!$B$8,0,$C$1),AVERAGE(N$219/N$441,O$219/O$441,P$219/P$441),P$219/P$441)*Q$441</f>
        <v>0.33085072805363508</v>
      </c>
      <c r="R219" s="47">
        <f ca="1">IF(R$6=OFFSET(Assumptions!$B$8,0,$C$1),AVERAGE(O$219/O$441,P$219/P$441,Q$219/Q$441),Q$219/Q$441)*R$441</f>
        <v>0.33085072805363508</v>
      </c>
      <c r="S219" s="47">
        <f ca="1">IF(S$6=OFFSET(Assumptions!$B$8,0,$C$1),AVERAGE(P$219/P$441,Q$219/Q$441,R$219/R$441),R$219/R$441)*S$441</f>
        <v>0.33085072805363508</v>
      </c>
      <c r="T219" s="47">
        <f ca="1">IF(T$6=OFFSET(Assumptions!$B$8,0,$C$1),AVERAGE(Q$219/Q$441,R$219/R$441,S$219/S$441),S$219/S$441)*T$441</f>
        <v>0.33085072805363508</v>
      </c>
      <c r="U219" s="47">
        <f ca="1">IF(U$6=OFFSET(Assumptions!$B$8,0,$C$1),AVERAGE(R$219/R$441,S$219/S$441,T$219/T$441),T$219/T$441)*U$441</f>
        <v>0.33085072805363508</v>
      </c>
      <c r="V219" s="47">
        <f ca="1">IF(V$6=OFFSET(Assumptions!$B$8,0,$C$1),AVERAGE(S$219/S$441,T$219/T$441,U$219/U$441),U$219/U$441)*V$441</f>
        <v>0.33085072805363508</v>
      </c>
      <c r="W219" s="47">
        <f ca="1">IF(W$6=OFFSET(Assumptions!$B$8,0,$C$1),AVERAGE(T$219/T$441,U$219/U$441,V$219/V$441),V$219/V$441)*W$441</f>
        <v>0.33085072805363508</v>
      </c>
      <c r="X219" s="47">
        <f ca="1">IF(X$6=OFFSET(Assumptions!$B$8,0,$C$1),AVERAGE(U$219/U$441,V$219/V$441,W$219/W$441),W$219/W$441)*X$441</f>
        <v>0.33085072805363508</v>
      </c>
    </row>
    <row r="220" spans="1:24" x14ac:dyDescent="0.25">
      <c r="A220" s="9"/>
    </row>
    <row r="221" spans="1:24" x14ac:dyDescent="0.25">
      <c r="A221" s="9" t="s">
        <v>537</v>
      </c>
    </row>
    <row r="222" spans="1:24" x14ac:dyDescent="0.25">
      <c r="A222" s="9" t="s">
        <v>1101</v>
      </c>
      <c r="B222" s="10" t="str">
        <f t="shared" ref="B222:B225" si="151">$B$38</f>
        <v>From Fiscal Forecasts</v>
      </c>
      <c r="D222" s="42">
        <f>'Fiscal Forecasts'!D$270</f>
        <v>44.959000000000003</v>
      </c>
      <c r="E222" s="42">
        <f>'Fiscal Forecasts'!E$270</f>
        <v>51.832999999999998</v>
      </c>
      <c r="F222" s="42">
        <f>'Fiscal Forecasts'!F$270</f>
        <v>58.084000000000003</v>
      </c>
      <c r="G222" s="42">
        <f>'Fiscal Forecasts'!G$270</f>
        <v>65.543000000000006</v>
      </c>
      <c r="H222" s="42">
        <f>'Fiscal Forecasts'!H$270</f>
        <v>68.150000000000006</v>
      </c>
      <c r="I222" s="42">
        <f>'Fiscal Forecasts'!I$270</f>
        <v>72.72</v>
      </c>
      <c r="J222" s="43">
        <f ca="1">'Fiscal Forecasts'!J$270+IF(OFFSET(Assumptions!$B$56,0,$C$1)="Yes",SUM(Allocation!C$14:C$24),0)</f>
        <v>75.578000000000003</v>
      </c>
      <c r="K222" s="43">
        <f ca="1">'Fiscal Forecasts'!K$270+IF(OFFSET(Assumptions!$B$56,0,$C$1)="Yes",SUM(Allocation!D$14:D$24),0)</f>
        <v>77.138000000000005</v>
      </c>
      <c r="L222" s="43">
        <f ca="1">'Fiscal Forecasts'!L$270+IF(OFFSET(Assumptions!$B$56,0,$C$1)="Yes",SUM(Allocation!E$14:E$24),0)</f>
        <v>75.927000000000007</v>
      </c>
      <c r="M222" s="43">
        <f ca="1">'Fiscal Forecasts'!M$270+IF(OFFSET(Assumptions!$B$56,0,$C$1)="Yes",SUM(Allocation!F$14:F$24),0)</f>
        <v>74.025000000000006</v>
      </c>
      <c r="N222" s="43">
        <f ca="1">'Fiscal Forecasts'!N$270+IF(OFFSET(Assumptions!$B$56,0,$C$1)="Yes",SUM(Allocation!G$14:G$24),0)</f>
        <v>74.593999999999994</v>
      </c>
      <c r="O222" s="47">
        <f ca="1">SUM(-O$215,O$333,IF(O$6=OFFSET(Assumptions!$B$8,0,$C$1),AVERAGE((L$222+L$215-L$333)/SUM(L$208,L$215,L$222,-L$251,-L$333),(M$222+M$215-M$333)/SUM(M$208,M$215,M$222,-M$251,-M$333),(N$222+N$215-N$333)/SUM(N$208,N$215,N$222,-N$251,-N$333)),(N$222+N$215-N$333)/SUM(N$208,N$215,N$222,-N$251,-N$333))*(O$332-O$261-SUM(O$267:O$270,O$273)))</f>
        <v>75.544304929571609</v>
      </c>
      <c r="P222" s="47">
        <f ca="1">SUM(-P$215,P$333,IF(P$6=OFFSET(Assumptions!$B$8,0,$C$1),AVERAGE((M$222+M$215-M$333)/SUM(M$208,M$215,M$222,-M$251,-M$333),(N$222+N$215-N$333)/SUM(N$208,N$215,N$222,-N$251,-N$333),(O$222+O$215-O$333)/SUM(O$208,O$215,O$222,-O$251,-O$333)),(O$222+O$215-O$333)/SUM(O$208,O$215,O$222,-O$251,-O$333))*(P$332-P$261-SUM(P$267:P$270,P$273)))</f>
        <v>75.634773165008056</v>
      </c>
      <c r="Q222" s="47">
        <f ca="1">SUM(-Q$215,Q$333,IF(Q$6=OFFSET(Assumptions!$B$8,0,$C$1),AVERAGE((N$222+N$215-N$333)/SUM(N$208,N$215,N$222,-N$251,-N$333),(O$222+O$215-O$333)/SUM(O$208,O$215,O$222,-O$251,-O$333),(P$222+P$215-P$333)/SUM(P$208,P$215,P$222,-P$251,-P$333)),(P$222+P$215-P$333)/SUM(P$208,P$215,P$222,-P$251,-P$333))*(Q$332-Q$261-SUM(Q$267:Q$270,Q$273)))</f>
        <v>75.918484729373802</v>
      </c>
      <c r="R222" s="47">
        <f ca="1">SUM(-R$215,R$333,IF(R$6=OFFSET(Assumptions!$B$8,0,$C$1),AVERAGE((O$222+O$215-O$333)/SUM(O$208,O$215,O$222,-O$251,-O$333),(P$222+P$215-P$333)/SUM(P$208,P$215,P$222,-P$251,-P$333),(Q$222+Q$215-Q$333)/SUM(Q$208,Q$215,Q$222,-Q$251,-Q$333)),(Q$222+Q$215-Q$333)/SUM(Q$208,Q$215,Q$222,-Q$251,-Q$333))*(R$332-R$261-SUM(R$267:R$270,R$273)))</f>
        <v>76.241046656111394</v>
      </c>
      <c r="S222" s="47">
        <f ca="1">SUM(-S$215,S$333,IF(S$6=OFFSET(Assumptions!$B$8,0,$C$1),AVERAGE((P$222+P$215-P$333)/SUM(P$208,P$215,P$222,-P$251,-P$333),(Q$222+Q$215-Q$333)/SUM(Q$208,Q$215,Q$222,-Q$251,-Q$333),(R$222+R$215-R$333)/SUM(R$208,R$215,R$222,-R$251,-R$333)),(R$222+R$215-R$333)/SUM(R$208,R$215,R$222,-R$251,-R$333))*(S$332-S$261-SUM(S$267:S$270,S$273)))</f>
        <v>76.568350341849225</v>
      </c>
      <c r="T222" s="47">
        <f ca="1">SUM(-T$215,T$333,IF(T$6=OFFSET(Assumptions!$B$8,0,$C$1),AVERAGE((Q$222+Q$215-Q$333)/SUM(Q$208,Q$215,Q$222,-Q$251,-Q$333),(R$222+R$215-R$333)/SUM(R$208,R$215,R$222,-R$251,-R$333),(S$222+S$215-S$333)/SUM(S$208,S$215,S$222,-S$251,-S$333)),(S$222+S$215-S$333)/SUM(S$208,S$215,S$222,-S$251,-S$333))*(T$332-T$261-SUM(T$267:T$270,T$273)))</f>
        <v>76.900978732099702</v>
      </c>
      <c r="U222" s="47">
        <f ca="1">SUM(-U$215,U$333,IF(U$6=OFFSET(Assumptions!$B$8,0,$C$1),AVERAGE((R$222+R$215-R$333)/SUM(R$208,R$215,R$222,-R$251,-R$333),(S$222+S$215-S$333)/SUM(S$208,S$215,S$222,-S$251,-S$333),(T$222+T$215-T$333)/SUM(T$208,T$215,T$222,-T$251,-T$333)),(T$222+T$215-T$333)/SUM(T$208,T$215,T$222,-T$251,-T$333))*(U$332-U$261-SUM(U$267:U$270,U$273)))</f>
        <v>77.237204874662012</v>
      </c>
      <c r="V222" s="47">
        <f ca="1">SUM(-V$215,V$333,IF(V$6=OFFSET(Assumptions!$B$8,0,$C$1),AVERAGE((S$222+S$215-S$333)/SUM(S$208,S$215,S$222,-S$251,-S$333),(T$222+T$215-T$333)/SUM(T$208,T$215,T$222,-T$251,-T$333),(U$222+U$215-U$333)/SUM(U$208,U$215,U$222,-U$251,-U$333)),(U$222+U$215-U$333)/SUM(U$208,U$215,U$222,-U$251,-U$333))*(V$332-V$261-SUM(V$267:V$270,V$273)))</f>
        <v>77.577514080842661</v>
      </c>
      <c r="W222" s="47">
        <f ca="1">SUM(-W$215,W$333,IF(W$6=OFFSET(Assumptions!$B$8,0,$C$1),AVERAGE((T$222+T$215-T$333)/SUM(T$208,T$215,T$222,-T$251,-T$333),(U$222+U$215-U$333)/SUM(U$208,U$215,U$222,-U$251,-U$333),(V$222+V$215-V$333)/SUM(V$208,V$215,V$222,-V$251,-V$333)),(V$222+V$215-V$333)/SUM(V$208,V$215,V$222,-V$251,-V$333))*(W$332-W$261-SUM(W$267:W$270,W$273)))</f>
        <v>77.924091028433836</v>
      </c>
      <c r="X222" s="47">
        <f ca="1">SUM(-X$215,X$333,IF(X$6=OFFSET(Assumptions!$B$8,0,$C$1),AVERAGE((U$222+U$215-U$333)/SUM(U$208,U$215,U$222,-U$251,-U$333),(V$222+V$215-V$333)/SUM(V$208,V$215,V$222,-V$251,-V$333),(W$222+W$215-W$333)/SUM(W$208,W$215,W$222,-W$251,-W$333)),(W$222+W$215-W$333)/SUM(W$208,W$215,W$222,-W$251,-W$333))*(X$332-X$261-SUM(X$267:X$270,X$273)))</f>
        <v>78.278416993118242</v>
      </c>
    </row>
    <row r="223" spans="1:24" x14ac:dyDescent="0.25">
      <c r="A223" s="11" t="s">
        <v>707</v>
      </c>
      <c r="B223" s="10" t="str">
        <f t="shared" si="151"/>
        <v>From Fiscal Forecasts</v>
      </c>
      <c r="D223" s="35">
        <f>'Fiscal Forecasts'!D$271</f>
        <v>22.132999999999999</v>
      </c>
      <c r="E223" s="35">
        <f>'Fiscal Forecasts'!E$271</f>
        <v>25.504999999999999</v>
      </c>
      <c r="F223" s="35">
        <f>'Fiscal Forecasts'!F$271</f>
        <v>25.257000000000001</v>
      </c>
      <c r="G223" s="35">
        <f>'Fiscal Forecasts'!G$271</f>
        <v>27.652000000000001</v>
      </c>
      <c r="H223" s="35">
        <f>'Fiscal Forecasts'!H$271</f>
        <v>33.918999999999997</v>
      </c>
      <c r="I223" s="35">
        <f>'Fiscal Forecasts'!I$271</f>
        <v>34.594999999999999</v>
      </c>
      <c r="J223" s="17">
        <f>'Fiscal Forecasts'!J$271</f>
        <v>35.579000000000001</v>
      </c>
      <c r="K223" s="17">
        <f>'Fiscal Forecasts'!K$271</f>
        <v>34.938000000000002</v>
      </c>
      <c r="L223" s="17">
        <f>'Fiscal Forecasts'!L$271</f>
        <v>36.030999999999999</v>
      </c>
      <c r="M223" s="17">
        <f>'Fiscal Forecasts'!M$271</f>
        <v>34.314</v>
      </c>
      <c r="N223" s="17">
        <f>'Fiscal Forecasts'!N$271</f>
        <v>34.192999999999998</v>
      </c>
      <c r="O223" s="16">
        <f ca="1">SUM(-O$216,IF(O$6=OFFSET(Assumptions!$B$8,0,$C$1),AVERAGE(SUM(L$216,L$223)/SUM(L$209,-(L$252-L$251),L$216,L$223),SUM(M$216,M$223)/SUM(M$209,-(M$252-M$251),M$216,M$223),SUM(N$216,N$223)/SUM(N$209,-(N$252-N$251),N$216,N$223)),SUM(N$216,N$223)/SUM(N$209,-(N$252-N$251),N$216,N$223))*SUM(O$198-O$238,O$262,O$275,O$293,O$335,-(O$252-O$251)))</f>
        <v>34.875994127349635</v>
      </c>
      <c r="P223" s="16">
        <f ca="1">SUM(-P$216,IF(P$6=OFFSET(Assumptions!$B$8,0,$C$1),AVERAGE(SUM(M$216,M$223)/SUM(M$209,-(M$252-M$251),M$216,M$223),SUM(N$216,N$223)/SUM(N$209,-(N$252-N$251),N$216,N$223),SUM(O$216,O$223)/SUM(O$209,-(O$252-O$251),O$216,O$223)),SUM(O$216,O$223)/SUM(O$209,-(O$252-O$251),O$216,O$223))*SUM(P$198-P$238,P$262,P$275,P$293,P$335,-(P$252-P$251)))</f>
        <v>35.067801858918152</v>
      </c>
      <c r="Q223" s="16">
        <f ca="1">SUM(-Q$216,IF(Q$6=OFFSET(Assumptions!$B$8,0,$C$1),AVERAGE(SUM(N$216,N$223)/SUM(N$209,-(N$252-N$251),N$216,N$223),SUM(O$216,O$223)/SUM(O$209,-(O$252-O$251),O$216,O$223),SUM(P$216,P$223)/SUM(P$209,-(P$252-P$251),P$216,P$223)),SUM(P$216,P$223)/SUM(P$209,-(P$252-P$251),P$216,P$223))*SUM(Q$198-Q$238,Q$262,Q$275,Q$293,Q$335,-(Q$252-Q$251)))</f>
        <v>35.376768301419787</v>
      </c>
      <c r="R223" s="16">
        <f ca="1">SUM(-R$216,IF(R$6=OFFSET(Assumptions!$B$8,0,$C$1),AVERAGE(SUM(O$216,O$223)/SUM(O$209,-(O$252-O$251),O$216,O$223),SUM(P$216,P$223)/SUM(P$209,-(P$252-P$251),P$216,P$223),SUM(Q$216,Q$223)/SUM(Q$209,-(Q$252-Q$251),Q$216,Q$223)),SUM(Q$216,Q$223)/SUM(Q$209,-(Q$252-Q$251),Q$216,Q$223))*SUM(R$198-R$238,R$262,R$275,R$293,R$335,-(R$252-R$251)))</f>
        <v>35.71161770157714</v>
      </c>
      <c r="S223" s="16">
        <f ca="1">SUM(-S$216,IF(S$6=OFFSET(Assumptions!$B$8,0,$C$1),AVERAGE(SUM(P$216,P$223)/SUM(P$209,-(P$252-P$251),P$216,P$223),SUM(Q$216,Q$223)/SUM(Q$209,-(Q$252-Q$251),Q$216,Q$223),SUM(R$216,R$223)/SUM(R$209,-(R$252-R$251),R$216,R$223)),SUM(R$216,R$223)/SUM(R$209,-(R$252-R$251),R$216,R$223))*SUM(S$198-S$238,S$262,S$275,S$293,S$335,-(S$252-S$251)))</f>
        <v>36.052887861709287</v>
      </c>
      <c r="T223" s="16">
        <f ca="1">SUM(-T$216,IF(T$6=OFFSET(Assumptions!$B$8,0,$C$1),AVERAGE(SUM(Q$216,Q$223)/SUM(Q$209,-(Q$252-Q$251),Q$216,Q$223),SUM(R$216,R$223)/SUM(R$209,-(R$252-R$251),R$216,R$223),SUM(S$216,S$223)/SUM(S$209,-(S$252-S$251),S$216,S$223)),SUM(S$216,S$223)/SUM(S$209,-(S$252-S$251),S$216,S$223))*SUM(T$198-T$238,T$262,T$275,T$293,T$335,-(T$252-T$251)))</f>
        <v>36.397136650002203</v>
      </c>
      <c r="U223" s="16">
        <f ca="1">SUM(-U$216,IF(U$6=OFFSET(Assumptions!$B$8,0,$C$1),AVERAGE(SUM(R$216,R$223)/SUM(R$209,-(R$252-R$251),R$216,R$223),SUM(S$216,S$223)/SUM(S$209,-(S$252-S$251),S$216,S$223),SUM(T$216,T$223)/SUM(T$209,-(T$252-T$251),T$216,T$223)),SUM(T$216,T$223)/SUM(T$209,-(T$252-T$251),T$216,T$223))*SUM(U$198-U$238,U$262,U$275,U$293,U$335,-(U$252-U$251)))</f>
        <v>36.751854379364389</v>
      </c>
      <c r="V223" s="16">
        <f ca="1">SUM(-V$216,IF(V$6=OFFSET(Assumptions!$B$8,0,$C$1),AVERAGE(SUM(S$216,S$223)/SUM(S$209,-(S$252-S$251),S$216,S$223),SUM(T$216,T$223)/SUM(T$209,-(T$252-T$251),T$216,T$223),SUM(U$216,U$223)/SUM(U$209,-(U$252-U$251),U$216,U$223)),SUM(U$216,U$223)/SUM(U$209,-(U$252-U$251),U$216,U$223))*SUM(V$198-V$238,V$262,V$275,V$293,V$335,-(V$252-V$251)))</f>
        <v>37.111891448543901</v>
      </c>
      <c r="W223" s="16">
        <f ca="1">SUM(-W$216,IF(W$6=OFFSET(Assumptions!$B$8,0,$C$1),AVERAGE(SUM(T$216,T$223)/SUM(T$209,-(T$252-T$251),T$216,T$223),SUM(U$216,U$223)/SUM(U$209,-(U$252-U$251),U$216,U$223),SUM(V$216,V$223)/SUM(V$209,-(V$252-V$251),V$216,V$223)),SUM(V$216,V$223)/SUM(V$209,-(V$252-V$251),V$216,V$223))*SUM(W$198-W$238,W$262,W$275,W$293,W$335,-(W$252-W$251)))</f>
        <v>37.480204376671963</v>
      </c>
      <c r="X223" s="16">
        <f ca="1">SUM(-X$216,IF(X$6=OFFSET(Assumptions!$B$8,0,$C$1),AVERAGE(SUM(U$216,U$223)/SUM(U$209,-(U$252-U$251),U$216,U$223),SUM(V$216,V$223)/SUM(V$209,-(V$252-V$251),V$216,V$223),SUM(W$216,W$223)/SUM(W$209,-(W$252-W$251),W$216,W$223)),SUM(W$216,W$223)/SUM(W$209,-(W$252-W$251),W$216,W$223))*SUM(X$198-X$238,X$262,X$275,X$293,X$335,-(X$252-X$251)))</f>
        <v>37.858975210108994</v>
      </c>
    </row>
    <row r="224" spans="1:24" x14ac:dyDescent="0.25">
      <c r="A224" s="11" t="s">
        <v>904</v>
      </c>
      <c r="B224" s="10" t="str">
        <f t="shared" si="151"/>
        <v>From Fiscal Forecasts</v>
      </c>
      <c r="D224" s="35">
        <f>'Fiscal Forecasts'!D$272</f>
        <v>9.4740000000000002</v>
      </c>
      <c r="E224" s="35">
        <f>'Fiscal Forecasts'!E$272</f>
        <v>12.164999999999999</v>
      </c>
      <c r="F224" s="35">
        <f>'Fiscal Forecasts'!F$272</f>
        <v>11.702999999999999</v>
      </c>
      <c r="G224" s="35">
        <f>'Fiscal Forecasts'!G$272</f>
        <v>9.8040000000000003</v>
      </c>
      <c r="H224" s="35">
        <f>'Fiscal Forecasts'!H$272</f>
        <v>12.132</v>
      </c>
      <c r="I224" s="35">
        <f>'Fiscal Forecasts'!I$272</f>
        <v>16.550999999999998</v>
      </c>
      <c r="J224" s="17">
        <f>'Fiscal Forecasts'!J$272</f>
        <v>16.504000000000001</v>
      </c>
      <c r="K224" s="17">
        <f>'Fiscal Forecasts'!K$272</f>
        <v>16.885999999999999</v>
      </c>
      <c r="L224" s="17">
        <f>'Fiscal Forecasts'!L$272</f>
        <v>16.931999999999999</v>
      </c>
      <c r="M224" s="17">
        <f>'Fiscal Forecasts'!M$272</f>
        <v>17.684000000000001</v>
      </c>
      <c r="N224" s="17">
        <f>'Fiscal Forecasts'!N$272</f>
        <v>17.927</v>
      </c>
      <c r="O224" s="16">
        <f ca="1">SUM(-O$217,IF(O$6=OFFSET(Assumptions!$B$8,0,$C$1),AVERAGE(SUM(L$217,L$224)/SUM(L$210,L$217,L$224),SUM(M$217,M$224)/SUM(M$210,M$217,M$224),SUM(N$217,N$224)/SUM(N$210,N$217,N$224)),SUM(N$217,N$224)/SUM(N$210,N$217,N$224))*SUM(O$294,O$336-O$239))</f>
        <v>18.454639259170396</v>
      </c>
      <c r="P224" s="16">
        <f ca="1">SUM(-P$217,IF(P$6=OFFSET(Assumptions!$B$8,0,$C$1),AVERAGE(SUM(M$217,M$224)/SUM(M$210,M$217,M$224),SUM(N$217,N$224)/SUM(N$210,N$217,N$224),SUM(O$217,O$224)/SUM(O$210,O$217,O$224)),SUM(O$217,O$224)/SUM(O$210,O$217,O$224))*SUM(P$294,P$336-P$239))</f>
        <v>18.970647486823079</v>
      </c>
      <c r="Q224" s="16">
        <f ca="1">SUM(-Q$217,IF(Q$6=OFFSET(Assumptions!$B$8,0,$C$1),AVERAGE(SUM(N$217,N$224)/SUM(N$210,N$217,N$224),SUM(O$217,O$224)/SUM(O$210,O$217,O$224),SUM(P$217,P$224)/SUM(P$210,P$217,P$224)),SUM(P$217,P$224)/SUM(P$210,P$217,P$224))*SUM(Q$294,Q$336-Q$239))</f>
        <v>19.494637023323449</v>
      </c>
      <c r="R224" s="16">
        <f ca="1">SUM(-R$217,IF(R$6=OFFSET(Assumptions!$B$8,0,$C$1),AVERAGE(SUM(O$217,O$224)/SUM(O$210,O$217,O$224),SUM(P$217,P$224)/SUM(P$210,P$217,P$224),SUM(Q$217,Q$224)/SUM(Q$210,Q$217,Q$224)),SUM(Q$217,Q$224)/SUM(Q$210,Q$217,Q$224))*SUM(R$294,R$336-R$239))</f>
        <v>20.023746378567296</v>
      </c>
      <c r="S224" s="16">
        <f ca="1">SUM(-S$217,IF(S$6=OFFSET(Assumptions!$B$8,0,$C$1),AVERAGE(SUM(P$217,P$224)/SUM(P$210,P$217,P$224),SUM(Q$217,Q$224)/SUM(Q$210,Q$217,Q$224),SUM(R$217,R$224)/SUM(R$210,R$217,R$224)),SUM(R$217,R$224)/SUM(R$210,R$217,R$224))*SUM(S$294,S$336-S$239))</f>
        <v>20.559758340301368</v>
      </c>
      <c r="T224" s="16">
        <f ca="1">SUM(-T$217,IF(T$6=OFFSET(Assumptions!$B$8,0,$C$1),AVERAGE(SUM(Q$217,Q$224)/SUM(Q$210,Q$217,Q$224),SUM(R$217,R$224)/SUM(R$210,R$217,R$224),SUM(S$217,S$224)/SUM(S$210,S$217,S$224)),SUM(S$217,S$224)/SUM(S$210,S$217,S$224))*SUM(T$294,T$336-T$239))</f>
        <v>21.102028614164311</v>
      </c>
      <c r="U224" s="16">
        <f ca="1">SUM(-U$217,IF(U$6=OFFSET(Assumptions!$B$8,0,$C$1),AVERAGE(SUM(R$217,R$224)/SUM(R$210,R$217,R$224),SUM(S$217,S$224)/SUM(S$210,S$217,S$224),SUM(T$217,T$224)/SUM(T$210,T$217,T$224)),SUM(T$217,T$224)/SUM(T$210,T$217,T$224))*SUM(U$294,U$336-U$239))</f>
        <v>21.654844349584405</v>
      </c>
      <c r="V224" s="16">
        <f ca="1">SUM(-V$217,IF(V$6=OFFSET(Assumptions!$B$8,0,$C$1),AVERAGE(SUM(S$217,S$224)/SUM(S$210,S$217,S$224),SUM(T$217,T$224)/SUM(T$210,T$217,T$224),SUM(U$217,U$224)/SUM(U$210,U$217,U$224)),SUM(U$217,U$224)/SUM(U$210,U$217,U$224))*SUM(V$294,V$336-V$239))</f>
        <v>22.216683595584229</v>
      </c>
      <c r="W224" s="16">
        <f ca="1">SUM(-W$217,IF(W$6=OFFSET(Assumptions!$B$8,0,$C$1),AVERAGE(SUM(T$217,T$224)/SUM(T$210,T$217,T$224),SUM(U$217,U$224)/SUM(U$210,U$217,U$224),SUM(V$217,V$224)/SUM(V$210,V$217,V$224)),SUM(V$217,V$224)/SUM(V$210,V$217,V$224))*SUM(W$294,W$336-W$239))</f>
        <v>22.782802895528249</v>
      </c>
      <c r="X224" s="16">
        <f ca="1">SUM(-X$217,IF(X$6=OFFSET(Assumptions!$B$8,0,$C$1),AVERAGE(SUM(U$217,U$224)/SUM(U$210,U$217,U$224),SUM(V$217,V$224)/SUM(V$210,V$217,V$224),SUM(W$217,W$224)/SUM(W$210,W$217,W$224)),SUM(W$217,W$224)/SUM(W$210,W$217,W$224))*SUM(X$294,X$336-X$239))</f>
        <v>23.356840467759515</v>
      </c>
    </row>
    <row r="225" spans="1:24" x14ac:dyDescent="0.25">
      <c r="A225" s="11" t="s">
        <v>866</v>
      </c>
      <c r="B225" s="10" t="str">
        <f t="shared" si="151"/>
        <v>From Fiscal Forecasts</v>
      </c>
      <c r="D225" s="35">
        <f>'Fiscal Forecasts'!D$273</f>
        <v>-33.872999999999998</v>
      </c>
      <c r="E225" s="35">
        <f>'Fiscal Forecasts'!E$273</f>
        <v>-36.92</v>
      </c>
      <c r="F225" s="35">
        <f>'Fiscal Forecasts'!F$273</f>
        <v>-41.241999999999997</v>
      </c>
      <c r="G225" s="35">
        <f>'Fiscal Forecasts'!G$273</f>
        <v>-44.725999999999999</v>
      </c>
      <c r="H225" s="35">
        <f>'Fiscal Forecasts'!H$273</f>
        <v>-50.067</v>
      </c>
      <c r="I225" s="35">
        <f>'Fiscal Forecasts'!I$273</f>
        <v>-53.246000000000002</v>
      </c>
      <c r="J225" s="17">
        <f>'Fiscal Forecasts'!J$273</f>
        <v>-54.987000000000002</v>
      </c>
      <c r="K225" s="17">
        <f>'Fiscal Forecasts'!K$273</f>
        <v>-56.061</v>
      </c>
      <c r="L225" s="17">
        <f>'Fiscal Forecasts'!L$273</f>
        <v>-57.274999999999999</v>
      </c>
      <c r="M225" s="17">
        <f>'Fiscal Forecasts'!M$273</f>
        <v>-56.704999999999998</v>
      </c>
      <c r="N225" s="17">
        <f>'Fiscal Forecasts'!N$273</f>
        <v>-57.371000000000002</v>
      </c>
      <c r="O225" s="16">
        <f ca="1">IF(O$6=OFFSET(Assumptions!$B$8,0,$C$1),AVERAGE(L$225/SUM(L$211,L$225),M$225/SUM(M$211,M$225),N$225/SUM(N$211,N$225)),N$225/SUM(N$211,N$225))*SUM(O$199,O$263,O$276,O$295,O$337)</f>
        <v>-59.505663737415176</v>
      </c>
      <c r="P225" s="16">
        <f ca="1">IF(P$6=OFFSET(Assumptions!$B$8,0,$C$1),AVERAGE(M$225/SUM(M$211,M$225),N$225/SUM(N$211,N$225),O$225/SUM(O$211,O$225)),O$225/SUM(O$211,O$225))*SUM(P$199,P$263,P$276,P$295,P$337)</f>
        <v>-59.819297431622701</v>
      </c>
      <c r="Q225" s="16">
        <f ca="1">IF(Q$6=OFFSET(Assumptions!$B$8,0,$C$1),AVERAGE(N$225/SUM(N$211,N$225),O$225/SUM(O$211,O$225),P$225/SUM(P$211,P$225)),P$225/SUM(P$211,P$225))*SUM(Q$199,Q$263,Q$276,Q$295,Q$337)</f>
        <v>-60.342500942559667</v>
      </c>
      <c r="R225" s="16">
        <f ca="1">IF(R$6=OFFSET(Assumptions!$B$8,0,$C$1),AVERAGE(O$225/SUM(O$211,O$225),P$225/SUM(P$211,P$225),Q$225/SUM(Q$211,Q$225)),Q$225/SUM(Q$211,Q$225))*SUM(R$199,R$263,R$276,R$295,R$337)</f>
        <v>-60.926092366718187</v>
      </c>
      <c r="S225" s="16">
        <f ca="1">IF(S$6=OFFSET(Assumptions!$B$8,0,$C$1),AVERAGE(P$225/SUM(P$211,P$225),Q$225/SUM(Q$211,Q$225),R$225/SUM(R$211,R$225)),R$225/SUM(R$211,R$225))*SUM(S$199,S$263,S$276,S$295,S$337)</f>
        <v>-61.537640160569723</v>
      </c>
      <c r="T225" s="16">
        <f ca="1">IF(T$6=OFFSET(Assumptions!$B$8,0,$C$1),AVERAGE(Q$225/SUM(Q$211,Q$225),R$225/SUM(R$211,R$225),S$225/SUM(S$211,S$225)),S$225/SUM(S$211,S$225))*SUM(T$199,T$263,T$276,T$295,T$337)</f>
        <v>-62.178417956392835</v>
      </c>
      <c r="U225" s="16">
        <f ca="1">IF(U$6=OFFSET(Assumptions!$B$8,0,$C$1),AVERAGE(R$225/SUM(R$211,R$225),S$225/SUM(S$211,S$225),T$225/SUM(T$211,T$225)),T$225/SUM(T$211,T$225))*SUM(U$199,U$263,U$276,U$295,U$337)</f>
        <v>-62.849028181244414</v>
      </c>
      <c r="V225" s="16">
        <f ca="1">IF(V$6=OFFSET(Assumptions!$B$8,0,$C$1),AVERAGE(S$225/SUM(S$211,S$225),T$225/SUM(T$211,T$225),U$225/SUM(U$211,U$225)),U$225/SUM(U$211,U$225))*SUM(V$199,V$263,V$276,V$295,V$337)</f>
        <v>-63.37163717389366</v>
      </c>
      <c r="W225" s="16">
        <f ca="1">IF(W$6=OFFSET(Assumptions!$B$8,0,$C$1),AVERAGE(T$225/SUM(T$211,T$225),U$225/SUM(U$211,U$225),V$225/SUM(V$211,V$225)),V$225/SUM(V$211,V$225))*SUM(W$199,W$263,W$276,W$295,W$337)</f>
        <v>-63.841922634933439</v>
      </c>
      <c r="X225" s="16">
        <f ca="1">IF(X$6=OFFSET(Assumptions!$B$8,0,$C$1),AVERAGE(U$225/SUM(U$211,U$225),V$225/SUM(V$211,V$225),W$225/SUM(W$211,W$225)),W$225/SUM(W$211,W$225))*SUM(X$199,X$263,X$276,X$295,X$337)</f>
        <v>-64.33253850106739</v>
      </c>
    </row>
    <row r="226" spans="1:24" x14ac:dyDescent="0.25">
      <c r="A226" s="9" t="s">
        <v>965</v>
      </c>
      <c r="D226" s="65">
        <f t="shared" ref="D226:X226" si="152">SUM(D$222:D$225)</f>
        <v>42.693000000000005</v>
      </c>
      <c r="E226" s="65">
        <f t="shared" si="152"/>
        <v>52.582999999999984</v>
      </c>
      <c r="F226" s="65">
        <f t="shared" si="152"/>
        <v>53.802000000000014</v>
      </c>
      <c r="G226" s="65">
        <f t="shared" si="152"/>
        <v>58.27300000000001</v>
      </c>
      <c r="H226" s="65">
        <f t="shared" si="152"/>
        <v>64.134000000000015</v>
      </c>
      <c r="I226" s="65">
        <f t="shared" si="152"/>
        <v>70.62</v>
      </c>
      <c r="J226" s="66">
        <f t="shared" ca="1" si="152"/>
        <v>72.674000000000007</v>
      </c>
      <c r="K226" s="66">
        <f t="shared" ca="1" si="152"/>
        <v>72.90100000000001</v>
      </c>
      <c r="L226" s="66">
        <f t="shared" ca="1" si="152"/>
        <v>71.614999999999981</v>
      </c>
      <c r="M226" s="66">
        <f t="shared" ca="1" si="152"/>
        <v>69.317999999999998</v>
      </c>
      <c r="N226" s="66">
        <f t="shared" ca="1" si="152"/>
        <v>69.342999999999989</v>
      </c>
      <c r="O226" s="67">
        <f t="shared" ca="1" si="152"/>
        <v>69.369274578676453</v>
      </c>
      <c r="P226" s="67">
        <f t="shared" ca="1" si="152"/>
        <v>69.853925079126597</v>
      </c>
      <c r="Q226" s="67">
        <f t="shared" ca="1" si="152"/>
        <v>70.447389111557385</v>
      </c>
      <c r="R226" s="67">
        <f t="shared" ca="1" si="152"/>
        <v>71.050318369537649</v>
      </c>
      <c r="S226" s="67">
        <f t="shared" ca="1" si="152"/>
        <v>71.64335638329014</v>
      </c>
      <c r="T226" s="67">
        <f t="shared" ca="1" si="152"/>
        <v>72.221726039873388</v>
      </c>
      <c r="U226" s="67">
        <f t="shared" ca="1" si="152"/>
        <v>72.794875422366374</v>
      </c>
      <c r="V226" s="67">
        <f t="shared" ca="1" si="152"/>
        <v>73.534451951077116</v>
      </c>
      <c r="W226" s="67">
        <f t="shared" ca="1" si="152"/>
        <v>74.345175665700594</v>
      </c>
      <c r="X226" s="67">
        <f t="shared" ca="1" si="152"/>
        <v>75.161694169919357</v>
      </c>
    </row>
    <row r="227" spans="1:24" x14ac:dyDescent="0.25">
      <c r="A227" s="9"/>
    </row>
    <row r="228" spans="1:24" x14ac:dyDescent="0.25">
      <c r="A228" s="9" t="s">
        <v>893</v>
      </c>
    </row>
    <row r="229" spans="1:24" x14ac:dyDescent="0.25">
      <c r="A229" s="9" t="s">
        <v>1102</v>
      </c>
      <c r="B229" s="10" t="str">
        <f>$B$38</f>
        <v>From Fiscal Forecasts</v>
      </c>
      <c r="D229" s="42">
        <f>'Fiscal Forecasts'!D$173</f>
        <v>3.69</v>
      </c>
      <c r="E229" s="42">
        <f>'Fiscal Forecasts'!E$173</f>
        <v>3.2280000000000002</v>
      </c>
      <c r="F229" s="42">
        <f>'Fiscal Forecasts'!F$173</f>
        <v>1.9179999999999999</v>
      </c>
      <c r="G229" s="42">
        <f>'Fiscal Forecasts'!G$173</f>
        <v>2.8839999999999999</v>
      </c>
      <c r="H229" s="42">
        <f>'Fiscal Forecasts'!H$173</f>
        <v>6.569</v>
      </c>
      <c r="I229" s="42">
        <f>'Fiscal Forecasts'!I$173</f>
        <v>8.9429999999999996</v>
      </c>
      <c r="J229" s="43">
        <f>'Fiscal Forecasts'!J$173</f>
        <v>8.8390000000000004</v>
      </c>
      <c r="K229" s="43">
        <f>'Fiscal Forecasts'!K$173</f>
        <v>9.5129999999999999</v>
      </c>
      <c r="L229" s="43">
        <f>'Fiscal Forecasts'!L$173</f>
        <v>10.558999999999999</v>
      </c>
      <c r="M229" s="43">
        <f>'Fiscal Forecasts'!M$173</f>
        <v>11.769</v>
      </c>
      <c r="N229" s="43">
        <f>'Fiscal Forecasts'!N$173</f>
        <v>12.673999999999999</v>
      </c>
      <c r="O229" s="47">
        <f t="shared" ref="O229:X229" ca="1" si="153">O$495</f>
        <v>13.07827289201907</v>
      </c>
      <c r="P229" s="47">
        <f t="shared" ca="1" si="153"/>
        <v>13.415408920573645</v>
      </c>
      <c r="Q229" s="47">
        <f t="shared" ca="1" si="153"/>
        <v>13.815336765548881</v>
      </c>
      <c r="R229" s="47">
        <f t="shared" ca="1" si="153"/>
        <v>14.218133813975781</v>
      </c>
      <c r="S229" s="47">
        <f t="shared" ca="1" si="153"/>
        <v>14.628378609417544</v>
      </c>
      <c r="T229" s="47">
        <f t="shared" ca="1" si="153"/>
        <v>14.995231795141924</v>
      </c>
      <c r="U229" s="47">
        <f t="shared" ca="1" si="153"/>
        <v>15.370317814691747</v>
      </c>
      <c r="V229" s="47">
        <f t="shared" ca="1" si="153"/>
        <v>15.757699111683474</v>
      </c>
      <c r="W229" s="47">
        <f t="shared" ca="1" si="153"/>
        <v>16.161637085191455</v>
      </c>
      <c r="X229" s="47">
        <f t="shared" ca="1" si="153"/>
        <v>16.585850314505411</v>
      </c>
    </row>
    <row r="230" spans="1:24" x14ac:dyDescent="0.25">
      <c r="A230" s="11" t="s">
        <v>707</v>
      </c>
      <c r="B230" s="10" t="str">
        <f>$B$38</f>
        <v>From Fiscal Forecasts</v>
      </c>
      <c r="D230" s="35">
        <f>'Fiscal Forecasts'!D$276</f>
        <v>0.11700000000000001</v>
      </c>
      <c r="E230" s="35">
        <f>'Fiscal Forecasts'!E$276</f>
        <v>0.16400000000000001</v>
      </c>
      <c r="F230" s="35">
        <f>'Fiscal Forecasts'!F$276</f>
        <v>0.218</v>
      </c>
      <c r="G230" s="35">
        <f>'Fiscal Forecasts'!G$276</f>
        <v>0.30099999999999999</v>
      </c>
      <c r="H230" s="35">
        <f>'Fiscal Forecasts'!H$276</f>
        <v>0.872</v>
      </c>
      <c r="I230" s="35">
        <f>'Fiscal Forecasts'!I$276</f>
        <v>1.9690000000000001</v>
      </c>
      <c r="J230" s="17">
        <f>'Fiscal Forecasts'!J$276</f>
        <v>2.3170000000000002</v>
      </c>
      <c r="K230" s="17">
        <f>'Fiscal Forecasts'!K$276</f>
        <v>2.4119999999999999</v>
      </c>
      <c r="L230" s="17">
        <f>'Fiscal Forecasts'!L$276</f>
        <v>2.4159999999999999</v>
      </c>
      <c r="M230" s="17">
        <f>'Fiscal Forecasts'!M$276</f>
        <v>2.431</v>
      </c>
      <c r="N230" s="17">
        <f>'Fiscal Forecasts'!N$276</f>
        <v>2.6080000000000001</v>
      </c>
      <c r="O230" s="16">
        <f ca="1">IF(O$6=OFFSET(Assumptions!$B$8,0,$C$1),AVERAGE(L$230/SUM(L$230:L$232),M$230/SUM(M$230:M$232),N$230/SUM(N$230:N$232)),N$230/SUM(N$230:N$232))*(O$96-O$495)</f>
        <v>3.3086925930142201</v>
      </c>
      <c r="P230" s="16">
        <f ca="1">IF(P$6=OFFSET(Assumptions!$B$8,0,$C$1),AVERAGE(M$230/SUM(M$230:M$232),N$230/SUM(N$230:N$232),O$230/SUM(O$230:O$232)),O$230/SUM(O$230:O$232))*(P$96-P$495)</f>
        <v>3.5309038453210326</v>
      </c>
      <c r="Q230" s="16">
        <f ca="1">IF(Q$6=OFFSET(Assumptions!$B$8,0,$C$1),AVERAGE(N$230/SUM(N$230:N$232),O$230/SUM(O$230:O$232),P$230/SUM(P$230:P$232)),P$230/SUM(P$230:P$232))*(Q$96-Q$495)</f>
        <v>3.6588916938265115</v>
      </c>
      <c r="R230" s="16">
        <f ca="1">IF(R$6=OFFSET(Assumptions!$B$8,0,$C$1),AVERAGE(O$230/SUM(O$230:O$232),P$230/SUM(P$230:P$232),Q$230/SUM(Q$230:Q$232)),Q$230/SUM(Q$230:Q$232))*(R$96-R$495)</f>
        <v>3.7389403302135662</v>
      </c>
      <c r="S230" s="16">
        <f ca="1">IF(S$6=OFFSET(Assumptions!$B$8,0,$C$1),AVERAGE(P$230/SUM(P$230:P$232),Q$230/SUM(Q$230:Q$232),R$230/SUM(R$230:R$232)),R$230/SUM(R$230:R$232))*(S$96-S$495)</f>
        <v>3.7672148082924743</v>
      </c>
      <c r="T230" s="16">
        <f ca="1">IF(T$6=OFFSET(Assumptions!$B$8,0,$C$1),AVERAGE(Q$230/SUM(Q$230:Q$232),R$230/SUM(R$230:R$232),S$230/SUM(S$230:S$232)),S$230/SUM(S$230:S$232))*(T$96-T$495)</f>
        <v>3.7232924973893113</v>
      </c>
      <c r="U230" s="16">
        <f ca="1">IF(U$6=OFFSET(Assumptions!$B$8,0,$C$1),AVERAGE(R$230/SUM(R$230:R$232),S$230/SUM(S$230:S$232),T$230/SUM(T$230:T$232)),T$230/SUM(T$230:T$232))*(U$96-U$495)</f>
        <v>3.6136877276722483</v>
      </c>
      <c r="V230" s="16">
        <f ca="1">IF(V$6=OFFSET(Assumptions!$B$8,0,$C$1),AVERAGE(S$230/SUM(S$230:S$232),T$230/SUM(T$230:T$232),U$230/SUM(U$230:U$232)),U$230/SUM(U$230:U$232))*(V$96-V$495)</f>
        <v>3.4428835247010023</v>
      </c>
      <c r="W230" s="16">
        <f ca="1">IF(W$6=OFFSET(Assumptions!$B$8,0,$C$1),AVERAGE(T$230/SUM(T$230:T$232),U$230/SUM(U$230:U$232),V$230/SUM(V$230:V$232)),V$230/SUM(V$230:V$232))*(W$96-W$495)</f>
        <v>3.2225236816442191</v>
      </c>
      <c r="X230" s="16">
        <f ca="1">IF(X$6=OFFSET(Assumptions!$B$8,0,$C$1),AVERAGE(U$230/SUM(U$230:U$232),V$230/SUM(V$230:V$232),W$230/SUM(W$230:W$232)),W$230/SUM(W$230:W$232))*(X$96-X$495)</f>
        <v>2.9596139972264881</v>
      </c>
    </row>
    <row r="231" spans="1:24" x14ac:dyDescent="0.25">
      <c r="A231" s="11" t="s">
        <v>904</v>
      </c>
      <c r="B231" s="10" t="str">
        <f>$B$38</f>
        <v>From Fiscal Forecasts</v>
      </c>
      <c r="D231" s="35">
        <f>'Fiscal Forecasts'!D$277</f>
        <v>1.0449999999999999</v>
      </c>
      <c r="E231" s="35">
        <f>'Fiscal Forecasts'!E$277</f>
        <v>0.90100000000000002</v>
      </c>
      <c r="F231" s="35">
        <f>'Fiscal Forecasts'!F$277</f>
        <v>0.59199999999999997</v>
      </c>
      <c r="G231" s="35">
        <f>'Fiscal Forecasts'!G$277</f>
        <v>0.66</v>
      </c>
      <c r="H231" s="35">
        <f>'Fiscal Forecasts'!H$277</f>
        <v>0.68200000000000005</v>
      </c>
      <c r="I231" s="35">
        <f>'Fiscal Forecasts'!I$277</f>
        <v>0.57999999999999996</v>
      </c>
      <c r="J231" s="17">
        <f>'Fiscal Forecasts'!J$277</f>
        <v>0.59499999999999997</v>
      </c>
      <c r="K231" s="17">
        <f>'Fiscal Forecasts'!K$277</f>
        <v>0.68700000000000006</v>
      </c>
      <c r="L231" s="17">
        <f>'Fiscal Forecasts'!L$277</f>
        <v>0.78</v>
      </c>
      <c r="M231" s="17">
        <f>'Fiscal Forecasts'!M$277</f>
        <v>0.89900000000000002</v>
      </c>
      <c r="N231" s="17">
        <f>'Fiscal Forecasts'!N$277</f>
        <v>0.99299999999999999</v>
      </c>
      <c r="O231" s="16">
        <f ca="1">IF(O$6=OFFSET(Assumptions!$B$8,0,$C$1),AVERAGE(L$231/SUM(L$230:L$232),M$231/SUM(M$230:M$232),N$231/SUM(N$230:N$232)),N$231/SUM(N$230:N$232))*(O$96-O$495)</f>
        <v>1.1832956045755458</v>
      </c>
      <c r="P231" s="16">
        <f ca="1">IF(P$6=OFFSET(Assumptions!$B$8,0,$C$1),AVERAGE(M$231/SUM(M$230:M$232),N$231/SUM(N$230:N$232),O$231/SUM(O$230:O$232)),O$231/SUM(O$230:O$232))*(P$96-P$495)</f>
        <v>1.2627655434562501</v>
      </c>
      <c r="Q231" s="16">
        <f ca="1">IF(Q$6=OFFSET(Assumptions!$B$8,0,$C$1),AVERAGE(N$231/SUM(N$230:N$232),O$231/SUM(O$230:O$232),P$231/SUM(P$230:P$232)),P$231/SUM(P$230:P$232))*(Q$96-Q$495)</f>
        <v>1.3085381422450801</v>
      </c>
      <c r="R231" s="16">
        <f ca="1">IF(R$6=OFFSET(Assumptions!$B$8,0,$C$1),AVERAGE(O$231/SUM(O$230:O$232),P$231/SUM(P$230:P$232),Q$231/SUM(Q$230:Q$232)),Q$231/SUM(Q$230:Q$232))*(R$96-R$495)</f>
        <v>1.3371661265398607</v>
      </c>
      <c r="S231" s="16">
        <f ca="1">IF(S$6=OFFSET(Assumptions!$B$8,0,$C$1),AVERAGE(P$231/SUM(P$230:P$232),Q$231/SUM(Q$230:Q$232),R$231/SUM(R$230:R$232)),R$231/SUM(R$230:R$232))*(S$96-S$495)</f>
        <v>1.3472779954100842</v>
      </c>
      <c r="T231" s="16">
        <f ca="1">IF(T$6=OFFSET(Assumptions!$B$8,0,$C$1),AVERAGE(Q$231/SUM(Q$230:Q$232),R$231/SUM(R$230:R$232),S$231/SUM(S$230:S$232)),S$231/SUM(S$230:S$232))*(T$96-T$495)</f>
        <v>1.33156995485526</v>
      </c>
      <c r="U231" s="16">
        <f ca="1">IF(U$6=OFFSET(Assumptions!$B$8,0,$C$1),AVERAGE(R$231/SUM(R$230:R$232),S$231/SUM(S$230:S$232),T$231/SUM(T$230:T$232)),T$231/SUM(T$230:T$232))*(U$96-U$495)</f>
        <v>1.2923717402732993</v>
      </c>
      <c r="V231" s="16">
        <f ca="1">IF(V$6=OFFSET(Assumptions!$B$8,0,$C$1),AVERAGE(S$231/SUM(S$230:S$232),T$231/SUM(T$230:T$232),U$231/SUM(U$230:U$232)),U$231/SUM(U$230:U$232))*(V$96-V$495)</f>
        <v>1.2312866267618079</v>
      </c>
      <c r="W231" s="16">
        <f ca="1">IF(W$6=OFFSET(Assumptions!$B$8,0,$C$1),AVERAGE(T$231/SUM(T$230:T$232),U$231/SUM(U$230:U$232),V$231/SUM(V$230:V$232)),V$231/SUM(V$230:V$232))*(W$96-W$495)</f>
        <v>1.1524788117763411</v>
      </c>
      <c r="X231" s="16">
        <f ca="1">IF(X$6=OFFSET(Assumptions!$B$8,0,$C$1),AVERAGE(U$231/SUM(U$230:U$232),V$231/SUM(V$230:V$232),W$231/SUM(W$230:W$232)),W$231/SUM(W$230:W$232))*(X$96-X$495)</f>
        <v>1.0584537957840174</v>
      </c>
    </row>
    <row r="232" spans="1:24" x14ac:dyDescent="0.25">
      <c r="A232" s="11" t="s">
        <v>866</v>
      </c>
      <c r="B232" s="10" t="str">
        <f>$B$38</f>
        <v>From Fiscal Forecasts</v>
      </c>
      <c r="D232" s="35">
        <f>'Fiscal Forecasts'!D$278</f>
        <v>-0.55400000000000005</v>
      </c>
      <c r="E232" s="35">
        <f>'Fiscal Forecasts'!E$278</f>
        <v>-0.53900000000000003</v>
      </c>
      <c r="F232" s="35">
        <f>'Fiscal Forecasts'!F$278</f>
        <v>-0.45600000000000002</v>
      </c>
      <c r="G232" s="35">
        <f>'Fiscal Forecasts'!G$278</f>
        <v>-0.496</v>
      </c>
      <c r="H232" s="35">
        <f>'Fiscal Forecasts'!H$278</f>
        <v>-0.67500000000000004</v>
      </c>
      <c r="I232" s="35">
        <f>'Fiscal Forecasts'!I$278</f>
        <v>-1.1179999999999999</v>
      </c>
      <c r="J232" s="17">
        <f>'Fiscal Forecasts'!J$278</f>
        <v>-1.4390000000000001</v>
      </c>
      <c r="K232" s="17">
        <f>'Fiscal Forecasts'!K$278</f>
        <v>-1.5389999999999999</v>
      </c>
      <c r="L232" s="17">
        <f>'Fiscal Forecasts'!L$278</f>
        <v>-1.633</v>
      </c>
      <c r="M232" s="17">
        <f>'Fiscal Forecasts'!M$278</f>
        <v>-1.7569999999999999</v>
      </c>
      <c r="N232" s="17">
        <f>'Fiscal Forecasts'!N$278</f>
        <v>-1.8759999999999999</v>
      </c>
      <c r="O232" s="16">
        <f ca="1">IF(O$6=OFFSET(Assumptions!$B$8,0,$C$1),AVERAGE(L$232/SUM(L$230:L$232),M$232/SUM(M$230:M$232),N$232/SUM(N$230:N$232)),N$232/SUM(N$230:N$232))*(O$96-O$495)</f>
        <v>-2.3355909094431908</v>
      </c>
      <c r="P232" s="16">
        <f ca="1">IF(P$6=OFFSET(Assumptions!$B$8,0,$C$1),AVERAGE(M$232/SUM(M$230:M$232),N$232/SUM(N$230:N$232),O$232/SUM(O$230:O$232)),O$232/SUM(O$230:O$232))*(P$96-P$495)</f>
        <v>-2.492448812156653</v>
      </c>
      <c r="Q232" s="16">
        <f ca="1">IF(Q$6=OFFSET(Assumptions!$B$8,0,$C$1),AVERAGE(N$232/SUM(N$230:N$232),O$232/SUM(O$230:O$232),P$232/SUM(P$230:P$232)),P$232/SUM(P$230:P$232))*(Q$96-Q$495)</f>
        <v>-2.5827948467564603</v>
      </c>
      <c r="R232" s="16">
        <f ca="1">IF(R$6=OFFSET(Assumptions!$B$8,0,$C$1),AVERAGE(O$232/SUM(O$230:O$232),P$232/SUM(P$230:P$232),Q$232/SUM(Q$230:Q$232)),Q$232/SUM(Q$230:Q$232))*(R$96-R$495)</f>
        <v>-2.639300811636264</v>
      </c>
      <c r="S232" s="16">
        <f ca="1">IF(S$6=OFFSET(Assumptions!$B$8,0,$C$1),AVERAGE(P$232/SUM(P$230:P$232),Q$232/SUM(Q$230:Q$232),R$232/SUM(R$230:R$232)),R$232/SUM(R$230:R$232))*(S$96-S$495)</f>
        <v>-2.6592596358890144</v>
      </c>
      <c r="T232" s="16">
        <f ca="1">IF(T$6=OFFSET(Assumptions!$B$8,0,$C$1),AVERAGE(Q$232/SUM(Q$230:Q$232),R$232/SUM(R$230:R$232),S$232/SUM(S$230:S$232)),S$232/SUM(S$230:S$232))*(T$96-T$495)</f>
        <v>-2.6282550782931362</v>
      </c>
      <c r="U232" s="16">
        <f ca="1">IF(U$6=OFFSET(Assumptions!$B$8,0,$C$1),AVERAGE(R$232/SUM(R$230:R$232),S$232/SUM(S$230:S$232),T$232/SUM(T$230:T$232)),T$232/SUM(T$230:T$232))*(U$96-U$495)</f>
        <v>-2.5508855746035906</v>
      </c>
      <c r="V232" s="16">
        <f ca="1">IF(V$6=OFFSET(Assumptions!$B$8,0,$C$1),AVERAGE(S$232/SUM(S$230:S$232),T$232/SUM(T$230:T$232),U$232/SUM(U$230:U$232)),U$232/SUM(U$230:U$232))*(V$96-V$495)</f>
        <v>-2.4303156719790291</v>
      </c>
      <c r="W232" s="16">
        <f ca="1">IF(W$6=OFFSET(Assumptions!$B$8,0,$C$1),AVERAGE(T$232/SUM(T$230:T$232),U$232/SUM(U$230:U$232),V$232/SUM(V$230:V$232)),V$232/SUM(V$230:V$232))*(W$96-W$495)</f>
        <v>-2.2747646705543589</v>
      </c>
      <c r="X232" s="16">
        <f ca="1">IF(X$6=OFFSET(Assumptions!$B$8,0,$C$1),AVERAGE(U$232/SUM(U$230:U$232),V$232/SUM(V$230:V$232),W$232/SUM(W$230:W$232)),W$232/SUM(W$230:W$232))*(X$96-X$495)</f>
        <v>-2.089177931481923</v>
      </c>
    </row>
    <row r="233" spans="1:24" x14ac:dyDescent="0.25">
      <c r="A233" s="9" t="s">
        <v>1103</v>
      </c>
      <c r="D233" s="65">
        <f t="shared" ref="D233:X233" si="154">SUM(D$229:D$232)</f>
        <v>4.298</v>
      </c>
      <c r="E233" s="65">
        <f t="shared" si="154"/>
        <v>3.754</v>
      </c>
      <c r="F233" s="65">
        <f t="shared" si="154"/>
        <v>2.2720000000000002</v>
      </c>
      <c r="G233" s="65">
        <f t="shared" si="154"/>
        <v>3.3490000000000002</v>
      </c>
      <c r="H233" s="65">
        <f t="shared" si="154"/>
        <v>7.4479999999999995</v>
      </c>
      <c r="I233" s="65">
        <f t="shared" si="154"/>
        <v>10.373999999999999</v>
      </c>
      <c r="J233" s="66">
        <f t="shared" si="154"/>
        <v>10.312000000000001</v>
      </c>
      <c r="K233" s="66">
        <f t="shared" si="154"/>
        <v>11.073</v>
      </c>
      <c r="L233" s="66">
        <f t="shared" si="154"/>
        <v>12.122</v>
      </c>
      <c r="M233" s="66">
        <f t="shared" si="154"/>
        <v>13.342000000000001</v>
      </c>
      <c r="N233" s="66">
        <f t="shared" si="154"/>
        <v>14.398999999999999</v>
      </c>
      <c r="O233" s="67">
        <f t="shared" ca="1" si="154"/>
        <v>15.234670180165644</v>
      </c>
      <c r="P233" s="67">
        <f t="shared" ca="1" si="154"/>
        <v>15.716629497194276</v>
      </c>
      <c r="Q233" s="67">
        <f t="shared" ca="1" si="154"/>
        <v>16.199971754864013</v>
      </c>
      <c r="R233" s="67">
        <f t="shared" ca="1" si="154"/>
        <v>16.654939459092944</v>
      </c>
      <c r="S233" s="67">
        <f t="shared" ca="1" si="154"/>
        <v>17.083611777231088</v>
      </c>
      <c r="T233" s="67">
        <f t="shared" ca="1" si="154"/>
        <v>17.42183916909336</v>
      </c>
      <c r="U233" s="67">
        <f t="shared" ca="1" si="154"/>
        <v>17.725491708033704</v>
      </c>
      <c r="V233" s="67">
        <f t="shared" ca="1" si="154"/>
        <v>18.001553591167252</v>
      </c>
      <c r="W233" s="67">
        <f t="shared" ca="1" si="154"/>
        <v>18.261874908057656</v>
      </c>
      <c r="X233" s="67">
        <f t="shared" ca="1" si="154"/>
        <v>18.514740176033992</v>
      </c>
    </row>
    <row r="234" spans="1:24" x14ac:dyDescent="0.25">
      <c r="A234" s="10" t="s">
        <v>892</v>
      </c>
      <c r="E234" s="36">
        <f t="shared" ref="E234:N234" si="155">E$229/AVERAGE(D$71,E$71)</f>
        <v>2.9634933968629935E-2</v>
      </c>
      <c r="F234" s="36">
        <f t="shared" si="155"/>
        <v>1.4817447196427743E-2</v>
      </c>
      <c r="G234" s="36">
        <f t="shared" si="155"/>
        <v>1.9129171655131016E-2</v>
      </c>
      <c r="H234" s="36">
        <f t="shared" si="155"/>
        <v>3.6492923905948361E-2</v>
      </c>
      <c r="I234" s="36">
        <f t="shared" si="155"/>
        <v>4.3905169154937182E-2</v>
      </c>
      <c r="J234" s="19">
        <f t="shared" si="155"/>
        <v>3.8343495075296663E-2</v>
      </c>
      <c r="K234" s="19">
        <f t="shared" si="155"/>
        <v>3.7205209433298136E-2</v>
      </c>
      <c r="L234" s="19">
        <f t="shared" si="155"/>
        <v>3.8369992986638277E-2</v>
      </c>
      <c r="M234" s="19">
        <f t="shared" si="155"/>
        <v>4.062969292113304E-2</v>
      </c>
      <c r="N234" s="19">
        <f t="shared" si="155"/>
        <v>4.2253286348194551E-2</v>
      </c>
      <c r="O234" s="78">
        <f ca="1">IF(O$6&lt;OFFSET(Assumptions!$B$8,0,$C$1)+OFFSET(Assumptions!$B$23,0,$C$1),N$234+(OFFSET(N$30,0,OFFSET(Assumptions!$B$8,0,$C$1)+OFFSET(Assumptions!$B$23,0,$C$1)-O$6)-N$234)/(OFFSET(Assumptions!$B$8,0,$C$1)+OFFSET(Assumptions!$B$23,0,$C$1)-O$6),O$30)</f>
        <v>4.2402629078555638E-2</v>
      </c>
      <c r="P234" s="78">
        <f ca="1">IF(P$6&lt;OFFSET(Assumptions!$B$8,0,$C$1)+OFFSET(Assumptions!$B$23,0,$C$1),O$234+(OFFSET(O$30,0,OFFSET(Assumptions!$B$8,0,$C$1)+OFFSET(Assumptions!$B$23,0,$C$1)-P$6)-O$234)/(OFFSET(Assumptions!$B$8,0,$C$1)+OFFSET(Assumptions!$B$23,0,$C$1)-P$6),P$30)</f>
        <v>4.2551971808916726E-2</v>
      </c>
      <c r="Q234" s="78">
        <f ca="1">IF(Q$6&lt;OFFSET(Assumptions!$B$8,0,$C$1)+OFFSET(Assumptions!$B$23,0,$C$1),P$234+(OFFSET(P$30,0,OFFSET(Assumptions!$B$8,0,$C$1)+OFFSET(Assumptions!$B$23,0,$C$1)-Q$6)-P$234)/(OFFSET(Assumptions!$B$8,0,$C$1)+OFFSET(Assumptions!$B$23,0,$C$1)-Q$6),Q$30)</f>
        <v>4.2701314539277814E-2</v>
      </c>
      <c r="R234" s="78">
        <f ca="1">IF(R$6&lt;OFFSET(Assumptions!$B$8,0,$C$1)+OFFSET(Assumptions!$B$23,0,$C$1),Q$234+(OFFSET(Q$30,0,OFFSET(Assumptions!$B$8,0,$C$1)+OFFSET(Assumptions!$B$23,0,$C$1)-R$6)-Q$234)/(OFFSET(Assumptions!$B$8,0,$C$1)+OFFSET(Assumptions!$B$23,0,$C$1)-R$6),R$30)</f>
        <v>4.2850657269638909E-2</v>
      </c>
      <c r="S234" s="78">
        <f ca="1">IF(S$6&lt;OFFSET(Assumptions!$B$8,0,$C$1)+OFFSET(Assumptions!$B$23,0,$C$1),R$234+(OFFSET(R$30,0,OFFSET(Assumptions!$B$8,0,$C$1)+OFFSET(Assumptions!$B$23,0,$C$1)-S$6)-R$234)/(OFFSET(Assumptions!$B$8,0,$C$1)+OFFSET(Assumptions!$B$23,0,$C$1)-S$6),S$30)</f>
        <v>4.2999999999999997E-2</v>
      </c>
      <c r="T234" s="78">
        <f ca="1">IF(T$6&lt;OFFSET(Assumptions!$B$8,0,$C$1)+OFFSET(Assumptions!$B$23,0,$C$1),S$234+(OFFSET(S$30,0,OFFSET(Assumptions!$B$8,0,$C$1)+OFFSET(Assumptions!$B$23,0,$C$1)-T$6)-S$234)/(OFFSET(Assumptions!$B$8,0,$C$1)+OFFSET(Assumptions!$B$23,0,$C$1)-T$6),T$30)</f>
        <v>4.2999999999999997E-2</v>
      </c>
      <c r="U234" s="78">
        <f ca="1">IF(U$6&lt;OFFSET(Assumptions!$B$8,0,$C$1)+OFFSET(Assumptions!$B$23,0,$C$1),T$234+(OFFSET(T$30,0,OFFSET(Assumptions!$B$8,0,$C$1)+OFFSET(Assumptions!$B$23,0,$C$1)-U$6)-T$234)/(OFFSET(Assumptions!$B$8,0,$C$1)+OFFSET(Assumptions!$B$23,0,$C$1)-U$6),U$30)</f>
        <v>4.2999999999999997E-2</v>
      </c>
      <c r="V234" s="78">
        <f ca="1">IF(V$6&lt;OFFSET(Assumptions!$B$8,0,$C$1)+OFFSET(Assumptions!$B$23,0,$C$1),U$234+(OFFSET(U$30,0,OFFSET(Assumptions!$B$8,0,$C$1)+OFFSET(Assumptions!$B$23,0,$C$1)-V$6)-U$234)/(OFFSET(Assumptions!$B$8,0,$C$1)+OFFSET(Assumptions!$B$23,0,$C$1)-V$6),V$30)</f>
        <v>4.2999999999999997E-2</v>
      </c>
      <c r="W234" s="78">
        <f ca="1">IF(W$6&lt;OFFSET(Assumptions!$B$8,0,$C$1)+OFFSET(Assumptions!$B$23,0,$C$1),V$234+(OFFSET(V$30,0,OFFSET(Assumptions!$B$8,0,$C$1)+OFFSET(Assumptions!$B$23,0,$C$1)-W$6)-V$234)/(OFFSET(Assumptions!$B$8,0,$C$1)+OFFSET(Assumptions!$B$23,0,$C$1)-W$6),W$30)</f>
        <v>4.2999999999999997E-2</v>
      </c>
      <c r="X234" s="78">
        <f ca="1">IF(X$6&lt;OFFSET(Assumptions!$B$8,0,$C$1)+OFFSET(Assumptions!$B$23,0,$C$1),W$234+(OFFSET(W$30,0,OFFSET(Assumptions!$B$8,0,$C$1)+OFFSET(Assumptions!$B$23,0,$C$1)-X$6)-W$234)/(OFFSET(Assumptions!$B$8,0,$C$1)+OFFSET(Assumptions!$B$23,0,$C$1)-X$6),X$30)</f>
        <v>4.2999999999999997E-2</v>
      </c>
    </row>
    <row r="235" spans="1:24" x14ac:dyDescent="0.25">
      <c r="A235" s="10"/>
    </row>
    <row r="236" spans="1:24" x14ac:dyDescent="0.25">
      <c r="A236" s="9" t="s">
        <v>539</v>
      </c>
    </row>
    <row r="237" spans="1:24" x14ac:dyDescent="0.25">
      <c r="A237" s="9" t="s">
        <v>996</v>
      </c>
      <c r="B237" s="10" t="str">
        <f>$B$38</f>
        <v>From Fiscal Forecasts</v>
      </c>
      <c r="D237" s="42">
        <f>'Fiscal Forecasts'!D$174</f>
        <v>0</v>
      </c>
      <c r="E237" s="42">
        <f>'Fiscal Forecasts'!E$174</f>
        <v>0</v>
      </c>
      <c r="F237" s="42">
        <f>'Fiscal Forecasts'!F$174</f>
        <v>1E-3</v>
      </c>
      <c r="G237" s="42">
        <f>'Fiscal Forecasts'!G$174</f>
        <v>1E-3</v>
      </c>
      <c r="H237" s="42">
        <f>'Fiscal Forecasts'!H$174</f>
        <v>3.0000000000000001E-3</v>
      </c>
      <c r="I237" s="42">
        <f>'Fiscal Forecasts'!I$174</f>
        <v>2E-3</v>
      </c>
      <c r="J237" s="43">
        <f>'Fiscal Forecasts'!J$174</f>
        <v>3.0000000000000001E-3</v>
      </c>
      <c r="K237" s="43">
        <f>'Fiscal Forecasts'!K$174</f>
        <v>3.0000000000000001E-3</v>
      </c>
      <c r="L237" s="43">
        <f>'Fiscal Forecasts'!L$174</f>
        <v>3.0000000000000001E-3</v>
      </c>
      <c r="M237" s="43">
        <f>'Fiscal Forecasts'!M$174</f>
        <v>2E-3</v>
      </c>
      <c r="N237" s="43">
        <f>'Fiscal Forecasts'!N$174</f>
        <v>3.0000000000000001E-3</v>
      </c>
      <c r="O237" s="47">
        <f ca="1">IF(O$6=OFFSET(Assumptions!$B$8,0,$C$1),OFFSET(Assumptions!$B$9,0,$C$1),N$237)</f>
        <v>0</v>
      </c>
      <c r="P237" s="47">
        <f ca="1">IF(P$6=OFFSET(Assumptions!$B$8,0,$C$1),OFFSET(Assumptions!$B$9,0,$C$1),O$237)</f>
        <v>0</v>
      </c>
      <c r="Q237" s="47">
        <f ca="1">IF(Q$6=OFFSET(Assumptions!$B$8,0,$C$1),OFFSET(Assumptions!$B$9,0,$C$1),P$237)</f>
        <v>0</v>
      </c>
      <c r="R237" s="47">
        <f ca="1">IF(R$6=OFFSET(Assumptions!$B$8,0,$C$1),OFFSET(Assumptions!$B$9,0,$C$1),Q$237)</f>
        <v>0</v>
      </c>
      <c r="S237" s="47">
        <f ca="1">IF(S$6=OFFSET(Assumptions!$B$8,0,$C$1),OFFSET(Assumptions!$B$9,0,$C$1),R$237)</f>
        <v>0</v>
      </c>
      <c r="T237" s="47">
        <f ca="1">IF(T$6=OFFSET(Assumptions!$B$8,0,$C$1),OFFSET(Assumptions!$B$9,0,$C$1),S$237)</f>
        <v>0</v>
      </c>
      <c r="U237" s="47">
        <f ca="1">IF(U$6=OFFSET(Assumptions!$B$8,0,$C$1),OFFSET(Assumptions!$B$9,0,$C$1),T$237)</f>
        <v>0</v>
      </c>
      <c r="V237" s="47">
        <f ca="1">IF(V$6=OFFSET(Assumptions!$B$8,0,$C$1),OFFSET(Assumptions!$B$9,0,$C$1),U$237)</f>
        <v>0</v>
      </c>
      <c r="W237" s="47">
        <f ca="1">IF(W$6=OFFSET(Assumptions!$B$8,0,$C$1),OFFSET(Assumptions!$B$9,0,$C$1),V$237)</f>
        <v>0</v>
      </c>
      <c r="X237" s="47">
        <f ca="1">IF(X$6=OFFSET(Assumptions!$B$8,0,$C$1),OFFSET(Assumptions!$B$9,0,$C$1),W$237)</f>
        <v>0</v>
      </c>
    </row>
    <row r="238" spans="1:24" x14ac:dyDescent="0.25">
      <c r="A238" s="11" t="s">
        <v>707</v>
      </c>
      <c r="B238" s="10" t="str">
        <f>$B$38</f>
        <v>From Fiscal Forecasts</v>
      </c>
      <c r="D238" s="35">
        <f>'Fiscal Forecasts'!D$203</f>
        <v>5.8070000000000004</v>
      </c>
      <c r="E238" s="35">
        <f>'Fiscal Forecasts'!E$203</f>
        <v>6.8959999999999999</v>
      </c>
      <c r="F238" s="35">
        <f>'Fiscal Forecasts'!F$203</f>
        <v>6.8310000000000004</v>
      </c>
      <c r="G238" s="35">
        <f>'Fiscal Forecasts'!G$203</f>
        <v>6.44</v>
      </c>
      <c r="H238" s="35">
        <f>'Fiscal Forecasts'!H$203</f>
        <v>8.7729999999999997</v>
      </c>
      <c r="I238" s="35">
        <f>'Fiscal Forecasts'!I$203</f>
        <v>10.413</v>
      </c>
      <c r="J238" s="17">
        <f>'Fiscal Forecasts'!J$203</f>
        <v>11.276999999999999</v>
      </c>
      <c r="K238" s="17">
        <f>'Fiscal Forecasts'!K$203</f>
        <v>10.643000000000001</v>
      </c>
      <c r="L238" s="17">
        <f>'Fiscal Forecasts'!L$203</f>
        <v>11.305999999999999</v>
      </c>
      <c r="M238" s="17">
        <f>'Fiscal Forecasts'!M$203</f>
        <v>11.878</v>
      </c>
      <c r="N238" s="17">
        <f>'Fiscal Forecasts'!N$203</f>
        <v>12.304</v>
      </c>
      <c r="O238" s="16">
        <f ca="1">IF(O$6=OFFSET(Assumptions!$B$8,0,$C$1),AVERAGE(L$238/SUM(L$241:L$242),M$238/SUM(M$241:M$242),N$238/SUM(N$241:N$242)),N$238/SUM(N$241:N$242))*SUM(O$241:O$242)</f>
        <v>13.015937854480983</v>
      </c>
      <c r="P238" s="16">
        <f ca="1">IF(P$6=OFFSET(Assumptions!$B$8,0,$C$1),AVERAGE(M$238/SUM(M$241:M$242),N$238/SUM(N$241:N$242),O$238/SUM(O$241:O$242)),O$238/SUM(O$241:O$242))*SUM(P$241:P$242)</f>
        <v>13.76800610063982</v>
      </c>
      <c r="Q238" s="16">
        <f ca="1">IF(Q$6=OFFSET(Assumptions!$B$8,0,$C$1),AVERAGE(N$238/SUM(N$241:N$242),O$238/SUM(O$241:O$242),P$238/SUM(P$241:P$242)),P$238/SUM(P$241:P$242))*SUM(Q$241:Q$242)</f>
        <v>14.537176562214606</v>
      </c>
      <c r="R238" s="16">
        <f ca="1">IF(R$6=OFFSET(Assumptions!$B$8,0,$C$1),AVERAGE(O$238/SUM(O$241:O$242),P$238/SUM(P$241:P$242),Q$238/SUM(Q$241:Q$242)),Q$238/SUM(Q$241:Q$242))*SUM(R$241:R$242)</f>
        <v>15.308834198354187</v>
      </c>
      <c r="S238" s="16">
        <f ca="1">IF(S$6=OFFSET(Assumptions!$B$8,0,$C$1),AVERAGE(P$238/SUM(P$241:P$242),Q$238/SUM(Q$241:Q$242),R$238/SUM(R$241:R$242)),R$238/SUM(R$241:R$242))*SUM(S$241:S$242)</f>
        <v>16.092076477099056</v>
      </c>
      <c r="T238" s="16">
        <f ca="1">IF(T$6=OFFSET(Assumptions!$B$8,0,$C$1),AVERAGE(Q$238/SUM(Q$241:Q$242),R$238/SUM(R$241:R$242),S$238/SUM(S$241:S$242)),S$238/SUM(S$241:S$242))*SUM(T$241:T$242)</f>
        <v>16.861159231263176</v>
      </c>
      <c r="U238" s="16">
        <f ca="1">IF(U$6=OFFSET(Assumptions!$B$8,0,$C$1),AVERAGE(R$238/SUM(R$241:R$242),S$238/SUM(S$241:S$242),T$238/SUM(T$241:T$242)),T$238/SUM(T$241:T$242))*SUM(U$241:U$242)</f>
        <v>17.678308857086208</v>
      </c>
      <c r="V238" s="16">
        <f ca="1">IF(V$6=OFFSET(Assumptions!$B$8,0,$C$1),AVERAGE(S$238/SUM(S$241:S$242),T$238/SUM(T$241:T$242),U$238/SUM(U$241:U$242)),U$238/SUM(U$241:U$242))*SUM(V$241:V$242)</f>
        <v>18.501976331093335</v>
      </c>
      <c r="W238" s="16">
        <f ca="1">IF(W$6=OFFSET(Assumptions!$B$8,0,$C$1),AVERAGE(T$238/SUM(T$241:T$242),U$238/SUM(U$241:U$242),V$238/SUM(V$241:V$242)),V$238/SUM(V$241:V$242))*SUM(W$241:W$242)</f>
        <v>19.355060571574853</v>
      </c>
      <c r="X238" s="16">
        <f ca="1">IF(X$6=OFFSET(Assumptions!$B$8,0,$C$1),AVERAGE(U$238/SUM(U$241:U$242),V$238/SUM(V$241:V$242),W$238/SUM(W$241:W$242)),W$238/SUM(W$241:W$242))*SUM(X$241:X$242)</f>
        <v>20.247419242224677</v>
      </c>
    </row>
    <row r="239" spans="1:24" x14ac:dyDescent="0.25">
      <c r="A239" s="11" t="s">
        <v>1076</v>
      </c>
      <c r="B239" s="10" t="str">
        <f>$B$38</f>
        <v>From Fiscal Forecasts</v>
      </c>
      <c r="D239" s="35">
        <f>'Fiscal Forecasts'!D$204</f>
        <v>5.0000000000000001E-3</v>
      </c>
      <c r="E239" s="35">
        <f>'Fiscal Forecasts'!E$204</f>
        <v>7.0000000000000001E-3</v>
      </c>
      <c r="F239" s="35">
        <f>'Fiscal Forecasts'!F$204</f>
        <v>6.0000000000000001E-3</v>
      </c>
      <c r="G239" s="35">
        <f>'Fiscal Forecasts'!G$204</f>
        <v>6.0000000000000001E-3</v>
      </c>
      <c r="H239" s="35">
        <f>'Fiscal Forecasts'!H$204</f>
        <v>8.0000000000000002E-3</v>
      </c>
      <c r="I239" s="35">
        <f>'Fiscal Forecasts'!I$204</f>
        <v>1.0999999999999999E-2</v>
      </c>
      <c r="J239" s="17">
        <f>'Fiscal Forecasts'!J$204</f>
        <v>1.2E-2</v>
      </c>
      <c r="K239" s="17">
        <f>'Fiscal Forecasts'!K$204</f>
        <v>1.2999999999999999E-2</v>
      </c>
      <c r="L239" s="17">
        <f>'Fiscal Forecasts'!L$204</f>
        <v>1.4E-2</v>
      </c>
      <c r="M239" s="17">
        <f>'Fiscal Forecasts'!M$204</f>
        <v>1.4999999999999999E-2</v>
      </c>
      <c r="N239" s="17">
        <f>'Fiscal Forecasts'!N$204</f>
        <v>1.6E-2</v>
      </c>
      <c r="O239" s="16">
        <f t="shared" ref="O239:X239" ca="1" si="156">SUM(O$241:O$242,-O$238)</f>
        <v>1.9433014277430161E-2</v>
      </c>
      <c r="P239" s="16">
        <f t="shared" ca="1" si="156"/>
        <v>2.0555864826395265E-2</v>
      </c>
      <c r="Q239" s="16">
        <f t="shared" ca="1" si="156"/>
        <v>2.1704249270811715E-2</v>
      </c>
      <c r="R239" s="16">
        <f t="shared" ca="1" si="156"/>
        <v>2.2856347108710651E-2</v>
      </c>
      <c r="S239" s="16">
        <f t="shared" ca="1" si="156"/>
        <v>2.4025741012991375E-2</v>
      </c>
      <c r="T239" s="16">
        <f t="shared" ca="1" si="156"/>
        <v>2.5173994508765674E-2</v>
      </c>
      <c r="U239" s="16">
        <f t="shared" ca="1" si="156"/>
        <v>2.6394012652900756E-2</v>
      </c>
      <c r="V239" s="16">
        <f t="shared" ca="1" si="156"/>
        <v>2.7623762054073353E-2</v>
      </c>
      <c r="W239" s="16">
        <f t="shared" ca="1" si="156"/>
        <v>2.8897431182681288E-2</v>
      </c>
      <c r="X239" s="16">
        <f t="shared" ca="1" si="156"/>
        <v>3.0229737696526371E-2</v>
      </c>
    </row>
    <row r="240" spans="1:24" x14ac:dyDescent="0.25">
      <c r="A240" s="9" t="s">
        <v>1104</v>
      </c>
      <c r="D240" s="65">
        <f t="shared" ref="D240:X240" si="157">SUM(D$237:D$239)</f>
        <v>5.8120000000000003</v>
      </c>
      <c r="E240" s="65">
        <f t="shared" si="157"/>
        <v>6.9029999999999996</v>
      </c>
      <c r="F240" s="65">
        <f t="shared" si="157"/>
        <v>6.838000000000001</v>
      </c>
      <c r="G240" s="65">
        <f t="shared" si="157"/>
        <v>6.447000000000001</v>
      </c>
      <c r="H240" s="65">
        <f t="shared" si="157"/>
        <v>8.7839999999999989</v>
      </c>
      <c r="I240" s="65">
        <f t="shared" si="157"/>
        <v>10.426</v>
      </c>
      <c r="J240" s="66">
        <f t="shared" si="157"/>
        <v>11.292</v>
      </c>
      <c r="K240" s="66">
        <f t="shared" si="157"/>
        <v>10.659000000000001</v>
      </c>
      <c r="L240" s="66">
        <f t="shared" si="157"/>
        <v>11.322999999999999</v>
      </c>
      <c r="M240" s="66">
        <f t="shared" si="157"/>
        <v>11.895000000000001</v>
      </c>
      <c r="N240" s="66">
        <f t="shared" si="157"/>
        <v>12.323</v>
      </c>
      <c r="O240" s="67">
        <f t="shared" ca="1" si="157"/>
        <v>13.035370868758413</v>
      </c>
      <c r="P240" s="67">
        <f t="shared" ca="1" si="157"/>
        <v>13.788561965466215</v>
      </c>
      <c r="Q240" s="67">
        <f t="shared" ca="1" si="157"/>
        <v>14.558880811485418</v>
      </c>
      <c r="R240" s="67">
        <f t="shared" ca="1" si="157"/>
        <v>15.331690545462898</v>
      </c>
      <c r="S240" s="67">
        <f t="shared" ca="1" si="157"/>
        <v>16.116102218112047</v>
      </c>
      <c r="T240" s="67">
        <f t="shared" ca="1" si="157"/>
        <v>16.886333225771942</v>
      </c>
      <c r="U240" s="67">
        <f t="shared" ca="1" si="157"/>
        <v>17.704702869739108</v>
      </c>
      <c r="V240" s="67">
        <f t="shared" ca="1" si="157"/>
        <v>18.529600093147408</v>
      </c>
      <c r="W240" s="67">
        <f t="shared" ca="1" si="157"/>
        <v>19.383958002757534</v>
      </c>
      <c r="X240" s="67">
        <f t="shared" ca="1" si="157"/>
        <v>20.277648979921203</v>
      </c>
    </row>
    <row r="241" spans="1:24" x14ac:dyDescent="0.25">
      <c r="A241" s="11" t="s">
        <v>961</v>
      </c>
      <c r="B241" s="10" t="str">
        <f>$B$38</f>
        <v>From Fiscal Forecasts</v>
      </c>
      <c r="D241" s="35">
        <f>'Fiscal Forecasts'!D$281</f>
        <v>5.3620000000000001</v>
      </c>
      <c r="E241" s="35">
        <f>'Fiscal Forecasts'!E$281</f>
        <v>6.2460000000000004</v>
      </c>
      <c r="F241" s="35">
        <f>'Fiscal Forecasts'!F$281</f>
        <v>6.5389999999999997</v>
      </c>
      <c r="G241" s="35">
        <f>'Fiscal Forecasts'!G$281</f>
        <v>5.8330000000000002</v>
      </c>
      <c r="H241" s="35">
        <f>'Fiscal Forecasts'!H$281</f>
        <v>7.6189999999999998</v>
      </c>
      <c r="I241" s="35">
        <f>'Fiscal Forecasts'!I$281</f>
        <v>9.7720000000000002</v>
      </c>
      <c r="J241" s="17">
        <f>'Fiscal Forecasts'!J$281</f>
        <v>10.670999999999999</v>
      </c>
      <c r="K241" s="17">
        <f>'Fiscal Forecasts'!K$281</f>
        <v>9.9830000000000005</v>
      </c>
      <c r="L241" s="17">
        <f>'Fiscal Forecasts'!L$281</f>
        <v>10.589</v>
      </c>
      <c r="M241" s="17">
        <f>'Fiscal Forecasts'!M$281</f>
        <v>11.101000000000001</v>
      </c>
      <c r="N241" s="17">
        <f>'Fiscal Forecasts'!N$281</f>
        <v>11.462999999999999</v>
      </c>
      <c r="O241" s="16">
        <f>N$241*Exogenous!Z$28/Exogenous!Y$28</f>
        <v>12.138263981125791</v>
      </c>
      <c r="P241" s="16">
        <f>O$241*Exogenous!AA$28/Exogenous!Z$28</f>
        <v>12.8531933268714</v>
      </c>
      <c r="Q241" s="16">
        <f>P$241*Exogenous!AB$28/Exogenous!AA$28</f>
        <v>13.585167345213522</v>
      </c>
      <c r="R241" s="16">
        <f>Q$241*Exogenous!AC$28/Exogenous!AB$28</f>
        <v>14.31963565060982</v>
      </c>
      <c r="S241" s="16">
        <f>R$241*Exogenous!AD$28/Exogenous!AC$28</f>
        <v>15.0648604791746</v>
      </c>
      <c r="T241" s="16">
        <f>S$241*Exogenous!AE$28/Exogenous!AD$28</f>
        <v>15.795119029874687</v>
      </c>
      <c r="U241" s="16">
        <f>T$241*Exogenous!AF$28/Exogenous!AE$28</f>
        <v>16.572983262030732</v>
      </c>
      <c r="V241" s="16">
        <f>U$241*Exogenous!AG$28/Exogenous!AF$28</f>
        <v>17.356766082577412</v>
      </c>
      <c r="W241" s="16">
        <f>V$241*Exogenous!AH$28/Exogenous!AG$28</f>
        <v>18.169402130053601</v>
      </c>
      <c r="X241" s="16">
        <f>W$241*Exogenous!AI$28/Exogenous!AH$28</f>
        <v>19.020449389492455</v>
      </c>
    </row>
    <row r="242" spans="1:24" x14ac:dyDescent="0.25">
      <c r="A242" s="11" t="s">
        <v>966</v>
      </c>
      <c r="B242" s="10" t="str">
        <f>$B$38</f>
        <v>From Fiscal Forecasts</v>
      </c>
      <c r="D242" s="35">
        <f>SUM('Fiscal Forecasts'!D$282:D$283)</f>
        <v>0.44999999999999996</v>
      </c>
      <c r="E242" s="35">
        <f>SUM('Fiscal Forecasts'!E$282:E$283)</f>
        <v>0.65700000000000003</v>
      </c>
      <c r="F242" s="35">
        <f>SUM('Fiscal Forecasts'!F$282:F$283)</f>
        <v>0.29900000000000004</v>
      </c>
      <c r="G242" s="35">
        <f>SUM('Fiscal Forecasts'!G$282:G$283)</f>
        <v>0.61399999999999999</v>
      </c>
      <c r="H242" s="35">
        <f>SUM('Fiscal Forecasts'!H$282:H$283)</f>
        <v>1.1649999999999998</v>
      </c>
      <c r="I242" s="35">
        <f>SUM('Fiscal Forecasts'!I$282:I$283)</f>
        <v>0.65399999999999991</v>
      </c>
      <c r="J242" s="17">
        <f>SUM('Fiscal Forecasts'!J$282:J$283)</f>
        <v>0.621</v>
      </c>
      <c r="K242" s="17">
        <f>SUM('Fiscal Forecasts'!K$282:K$283)</f>
        <v>0.67599999999999993</v>
      </c>
      <c r="L242" s="17">
        <f>SUM('Fiscal Forecasts'!L$282:L$283)</f>
        <v>0.73399999999999999</v>
      </c>
      <c r="M242" s="17">
        <f>SUM('Fiscal Forecasts'!M$282:M$283)</f>
        <v>0.79400000000000004</v>
      </c>
      <c r="N242" s="17">
        <f>SUM('Fiscal Forecasts'!N$282:N$283)</f>
        <v>0.86</v>
      </c>
      <c r="O242" s="16">
        <f t="shared" ref="O242:X242" ca="1" si="158">N$242*(1+O$14)</f>
        <v>0.89710688763262303</v>
      </c>
      <c r="P242" s="16">
        <f t="shared" ca="1" si="158"/>
        <v>0.93536863859481512</v>
      </c>
      <c r="Q242" s="16">
        <f t="shared" ca="1" si="158"/>
        <v>0.97371346627189559</v>
      </c>
      <c r="R242" s="16">
        <f t="shared" ca="1" si="158"/>
        <v>1.0120548948530785</v>
      </c>
      <c r="S242" s="16">
        <f t="shared" ca="1" si="158"/>
        <v>1.0512417389374489</v>
      </c>
      <c r="T242" s="16">
        <f t="shared" ca="1" si="158"/>
        <v>1.0912141958972539</v>
      </c>
      <c r="U242" s="16">
        <f t="shared" ca="1" si="158"/>
        <v>1.1317196077083753</v>
      </c>
      <c r="V242" s="16">
        <f t="shared" ca="1" si="158"/>
        <v>1.1728340105699953</v>
      </c>
      <c r="W242" s="16">
        <f t="shared" ca="1" si="158"/>
        <v>1.2145558727039336</v>
      </c>
      <c r="X242" s="16">
        <f t="shared" ca="1" si="158"/>
        <v>1.257199590428749</v>
      </c>
    </row>
    <row r="243" spans="1:24" x14ac:dyDescent="0.25">
      <c r="A243" s="11"/>
    </row>
    <row r="244" spans="1:24" x14ac:dyDescent="0.25">
      <c r="A244" s="9" t="s">
        <v>962</v>
      </c>
    </row>
    <row r="245" spans="1:24" x14ac:dyDescent="0.25">
      <c r="A245" s="9" t="s">
        <v>963</v>
      </c>
      <c r="D245" s="42">
        <f>SUM($D$246:D$247)</f>
        <v>0</v>
      </c>
      <c r="E245" s="42">
        <f>SUM($D$246:E$247)</f>
        <v>0</v>
      </c>
      <c r="F245" s="42">
        <f>SUM($D$246:F$247)</f>
        <v>0</v>
      </c>
      <c r="G245" s="42">
        <f>SUM($D$246:G$247)</f>
        <v>0</v>
      </c>
      <c r="H245" s="42">
        <f>SUM($D$246:H$247)</f>
        <v>0</v>
      </c>
      <c r="I245" s="42">
        <f>SUM($D$246:I$247)</f>
        <v>0</v>
      </c>
      <c r="J245" s="43">
        <f ca="1">IF(OFFSET(Assumptions!$B$56,0,$C$1)="Yes",0,SUM($D$246:J$247))</f>
        <v>0</v>
      </c>
      <c r="K245" s="43">
        <f ca="1">IF(OFFSET(Assumptions!$B$56,0,$C$1)="Yes",0,SUM($D$246:K$247))</f>
        <v>1.72</v>
      </c>
      <c r="L245" s="43">
        <f ca="1">IF(OFFSET(Assumptions!$B$56,0,$C$1)="Yes",0,SUM($D$246:L$247))</f>
        <v>2.7190000000000003</v>
      </c>
      <c r="M245" s="43">
        <f ca="1">IF(OFFSET(Assumptions!$B$56,0,$C$1)="Yes",0,SUM($D$246:M$247))</f>
        <v>5.3689999999999998</v>
      </c>
      <c r="N245" s="43">
        <f ca="1">IF(OFFSET(Assumptions!$B$56,0,$C$1)="Yes",0,SUM($D$246:N$247))</f>
        <v>7.9029999999999996</v>
      </c>
      <c r="O245" s="47">
        <f ca="1">IF(OFFSET(Assumptions!$B$56,0,$C$1)="Yes",0,SUM($D$246:O$247))</f>
        <v>11.427999999999999</v>
      </c>
      <c r="P245" s="47">
        <f ca="1">IF(OFFSET(Assumptions!$B$56,0,$C$1)="Yes",0,SUM($D$246:P$247))</f>
        <v>15.05875</v>
      </c>
      <c r="Q245" s="47">
        <f ca="1">IF(OFFSET(Assumptions!$B$56,0,$C$1)="Yes",0,SUM($D$246:Q$247))</f>
        <v>18.798422500000001</v>
      </c>
      <c r="R245" s="47">
        <f ca="1">IF(OFFSET(Assumptions!$B$56,0,$C$1)="Yes",0,SUM($D$246:R$247))</f>
        <v>22.650285175</v>
      </c>
      <c r="S245" s="47">
        <f ca="1">IF(OFFSET(Assumptions!$B$56,0,$C$1)="Yes",0,SUM($D$246:S$247))</f>
        <v>26.61770373025</v>
      </c>
      <c r="T245" s="47">
        <f ca="1">IF(OFFSET(Assumptions!$B$56,0,$C$1)="Yes",0,SUM($D$246:T$247))</f>
        <v>30.704144842157501</v>
      </c>
      <c r="U245" s="47">
        <f ca="1">IF(OFFSET(Assumptions!$B$56,0,$C$1)="Yes",0,SUM($D$246:U$247))</f>
        <v>34.91317918742223</v>
      </c>
      <c r="V245" s="47">
        <f ca="1">IF(OFFSET(Assumptions!$B$56,0,$C$1)="Yes",0,SUM($D$246:V$247))</f>
        <v>39.248484563044897</v>
      </c>
      <c r="W245" s="47">
        <f ca="1">IF(OFFSET(Assumptions!$B$56,0,$C$1)="Yes",0,SUM($D$246:W$247))</f>
        <v>43.713849099936247</v>
      </c>
      <c r="X245" s="47">
        <f ca="1">IF(OFFSET(Assumptions!$B$56,0,$C$1)="Yes",0,SUM($D$246:X$247))</f>
        <v>48.313174572934336</v>
      </c>
    </row>
    <row r="246" spans="1:24" x14ac:dyDescent="0.25">
      <c r="A246" s="11" t="s">
        <v>742</v>
      </c>
      <c r="B246" s="10" t="str">
        <f>$B$38</f>
        <v>From Fiscal Forecasts</v>
      </c>
      <c r="D246" s="35">
        <f>'Fiscal Forecasts'!D$286-'Fiscal Forecasts'!C$286</f>
        <v>0</v>
      </c>
      <c r="E246" s="35">
        <f>'Fiscal Forecasts'!E$286-'Fiscal Forecasts'!D$286</f>
        <v>0</v>
      </c>
      <c r="F246" s="35">
        <f>'Fiscal Forecasts'!F$286-'Fiscal Forecasts'!E$286</f>
        <v>0</v>
      </c>
      <c r="G246" s="35">
        <f>'Fiscal Forecasts'!G$286-'Fiscal Forecasts'!F$286</f>
        <v>0</v>
      </c>
      <c r="H246" s="35">
        <f>'Fiscal Forecasts'!H$286-'Fiscal Forecasts'!G$286</f>
        <v>0</v>
      </c>
      <c r="I246" s="35">
        <f>'Fiscal Forecasts'!I$286-'Fiscal Forecasts'!H$286</f>
        <v>0</v>
      </c>
      <c r="J246" s="17">
        <f>'Fiscal Forecasts'!J$286-'Fiscal Forecasts'!I$286</f>
        <v>0</v>
      </c>
      <c r="K246" s="17">
        <f>'Fiscal Forecasts'!K$286-'Fiscal Forecasts'!J$286</f>
        <v>1.72</v>
      </c>
      <c r="L246" s="17">
        <f>'Fiscal Forecasts'!L$286-'Fiscal Forecasts'!K$286</f>
        <v>-2.6999999999999913E-2</v>
      </c>
      <c r="M246" s="17">
        <f>'Fiscal Forecasts'!M$286-'Fiscal Forecasts'!L$286</f>
        <v>0.26400000000000001</v>
      </c>
      <c r="N246" s="17">
        <f>'Fiscal Forecasts'!N$286-'Fiscal Forecasts'!M$286</f>
        <v>0.14399999999999991</v>
      </c>
      <c r="O246" s="16">
        <f ca="1">IF(O$6=OFFSET(Assumptions!$B$8,0,$C$1),OFFSET(Assumptions!$B$9,0,$C$1),N$246)</f>
        <v>0</v>
      </c>
      <c r="P246" s="16">
        <f ca="1">IF(P$6=OFFSET(Assumptions!$B$8,0,$C$1),OFFSET(Assumptions!$B$9,0,$C$1),O$246)</f>
        <v>0</v>
      </c>
      <c r="Q246" s="16">
        <f ca="1">IF(Q$6=OFFSET(Assumptions!$B$8,0,$C$1),OFFSET(Assumptions!$B$9,0,$C$1),P$246)</f>
        <v>0</v>
      </c>
      <c r="R246" s="16">
        <f ca="1">IF(R$6=OFFSET(Assumptions!$B$8,0,$C$1),OFFSET(Assumptions!$B$9,0,$C$1),Q$246)</f>
        <v>0</v>
      </c>
      <c r="S246" s="16">
        <f ca="1">IF(S$6=OFFSET(Assumptions!$B$8,0,$C$1),OFFSET(Assumptions!$B$9,0,$C$1),R$246)</f>
        <v>0</v>
      </c>
      <c r="T246" s="16">
        <f ca="1">IF(T$6=OFFSET(Assumptions!$B$8,0,$C$1),OFFSET(Assumptions!$B$9,0,$C$1),S$246)</f>
        <v>0</v>
      </c>
      <c r="U246" s="16">
        <f ca="1">IF(U$6=OFFSET(Assumptions!$B$8,0,$C$1),OFFSET(Assumptions!$B$9,0,$C$1),T$246)</f>
        <v>0</v>
      </c>
      <c r="V246" s="16">
        <f ca="1">IF(V$6=OFFSET(Assumptions!$B$8,0,$C$1),OFFSET(Assumptions!$B$9,0,$C$1),U$246)</f>
        <v>0</v>
      </c>
      <c r="W246" s="16">
        <f ca="1">IF(W$6=OFFSET(Assumptions!$B$8,0,$C$1),OFFSET(Assumptions!$B$9,0,$C$1),V$246)</f>
        <v>0</v>
      </c>
      <c r="X246" s="16">
        <f ca="1">IF(X$6=OFFSET(Assumptions!$B$8,0,$C$1),OFFSET(Assumptions!$B$9,0,$C$1),W$246)</f>
        <v>0</v>
      </c>
    </row>
    <row r="247" spans="1:24" x14ac:dyDescent="0.25">
      <c r="A247" s="11" t="s">
        <v>967</v>
      </c>
      <c r="B247" s="10" t="str">
        <f>$B$38</f>
        <v>From Fiscal Forecasts</v>
      </c>
      <c r="D247" s="35">
        <f>SUM('Fiscal Forecasts'!D$287:D$290)-SUM('Fiscal Forecasts'!C$287:C$290)</f>
        <v>0</v>
      </c>
      <c r="E247" s="35">
        <f>SUM('Fiscal Forecasts'!E$287:E$290)-SUM('Fiscal Forecasts'!D$287:D$290)</f>
        <v>0</v>
      </c>
      <c r="F247" s="35">
        <f>SUM('Fiscal Forecasts'!F$287:F$290)-SUM('Fiscal Forecasts'!E$287:E$290)</f>
        <v>0</v>
      </c>
      <c r="G247" s="35">
        <f>SUM('Fiscal Forecasts'!G$287:G$290)-SUM('Fiscal Forecasts'!F$287:F$290)</f>
        <v>0</v>
      </c>
      <c r="H247" s="35">
        <f>SUM('Fiscal Forecasts'!H$287:H$290)-SUM('Fiscal Forecasts'!G$287:G$290)</f>
        <v>0</v>
      </c>
      <c r="I247" s="35">
        <f>SUM('Fiscal Forecasts'!I$287:I$290)-SUM('Fiscal Forecasts'!H$287:H$290)</f>
        <v>0</v>
      </c>
      <c r="J247" s="17">
        <f>SUM('Fiscal Forecasts'!J$287:J$290)-SUM('Fiscal Forecasts'!I$287:I$290)</f>
        <v>0</v>
      </c>
      <c r="K247" s="17">
        <f>SUM('Fiscal Forecasts'!K$287:K$290)-SUM('Fiscal Forecasts'!J$287:J$290)</f>
        <v>0</v>
      </c>
      <c r="L247" s="17">
        <f>SUM('Fiscal Forecasts'!L$287:L$290)-SUM('Fiscal Forecasts'!K$287:K$290)</f>
        <v>1.026</v>
      </c>
      <c r="M247" s="17">
        <f>SUM('Fiscal Forecasts'!M$287:M$290)-SUM('Fiscal Forecasts'!L$287:L$290)</f>
        <v>2.3860000000000001</v>
      </c>
      <c r="N247" s="17">
        <f>SUM('Fiscal Forecasts'!N$287:N$290)-SUM('Fiscal Forecasts'!M$287:M$290)</f>
        <v>2.3899999999999997</v>
      </c>
      <c r="O247" s="16">
        <f ca="1">IF(O$6=OFFSET(Assumptions!$B$8,0,$C$1),OFFSET(Assumptions!$B$41,0,$C$1)-IF(OFFSET(Assumptions!$B$57,0,$C$1)="Yes",Allocation!$G$7,0),(N$247+IF(AND(N$6=OFFSET(Assumptions!$B$8,0,$C$1),OFFSET(Assumptions!$B$57,0,$C$1)="Yes"),Allocation!$G$7,0))*(1+OFFSET(Assumptions!$B$42,0,$C$1)))</f>
        <v>3.5249999999999999</v>
      </c>
      <c r="P247" s="16">
        <f ca="1">IF(P$6=OFFSET(Assumptions!$B$8,0,$C$1),OFFSET(Assumptions!$B$41,0,$C$1)-IF(OFFSET(Assumptions!$B$57,0,$C$1)="Yes",Allocation!$G$7,0),(O$247+IF(AND(O$6=OFFSET(Assumptions!$B$8,0,$C$1),OFFSET(Assumptions!$B$57,0,$C$1)="Yes"),Allocation!$G$7,0))*(1+OFFSET(Assumptions!$B$42,0,$C$1)))</f>
        <v>3.6307499999999999</v>
      </c>
      <c r="Q247" s="16">
        <f ca="1">IF(Q$6=OFFSET(Assumptions!$B$8,0,$C$1),OFFSET(Assumptions!$B$41,0,$C$1)-IF(OFFSET(Assumptions!$B$57,0,$C$1)="Yes",Allocation!$G$7,0),(P$247+IF(AND(P$6=OFFSET(Assumptions!$B$8,0,$C$1),OFFSET(Assumptions!$B$57,0,$C$1)="Yes"),Allocation!$G$7,0))*(1+OFFSET(Assumptions!$B$42,0,$C$1)))</f>
        <v>3.7396725000000002</v>
      </c>
      <c r="R247" s="16">
        <f ca="1">IF(R$6=OFFSET(Assumptions!$B$8,0,$C$1),OFFSET(Assumptions!$B$41,0,$C$1)-IF(OFFSET(Assumptions!$B$57,0,$C$1)="Yes",Allocation!$G$7,0),(Q$247+IF(AND(Q$6=OFFSET(Assumptions!$B$8,0,$C$1),OFFSET(Assumptions!$B$57,0,$C$1)="Yes"),Allocation!$G$7,0))*(1+OFFSET(Assumptions!$B$42,0,$C$1)))</f>
        <v>3.8518626750000005</v>
      </c>
      <c r="S247" s="16">
        <f ca="1">IF(S$6=OFFSET(Assumptions!$B$8,0,$C$1),OFFSET(Assumptions!$B$41,0,$C$1)-IF(OFFSET(Assumptions!$B$57,0,$C$1)="Yes",Allocation!$G$7,0),(R$247+IF(AND(R$6=OFFSET(Assumptions!$B$8,0,$C$1),OFFSET(Assumptions!$B$57,0,$C$1)="Yes"),Allocation!$G$7,0))*(1+OFFSET(Assumptions!$B$42,0,$C$1)))</f>
        <v>3.9674185552500005</v>
      </c>
      <c r="T247" s="16">
        <f ca="1">IF(T$6=OFFSET(Assumptions!$B$8,0,$C$1),OFFSET(Assumptions!$B$41,0,$C$1)-IF(OFFSET(Assumptions!$B$57,0,$C$1)="Yes",Allocation!$G$7,0),(S$247+IF(AND(S$6=OFFSET(Assumptions!$B$8,0,$C$1),OFFSET(Assumptions!$B$57,0,$C$1)="Yes"),Allocation!$G$7,0))*(1+OFFSET(Assumptions!$B$42,0,$C$1)))</f>
        <v>4.0864411119075008</v>
      </c>
      <c r="U247" s="16">
        <f ca="1">IF(U$6=OFFSET(Assumptions!$B$8,0,$C$1),OFFSET(Assumptions!$B$41,0,$C$1)-IF(OFFSET(Assumptions!$B$57,0,$C$1)="Yes",Allocation!$G$7,0),(T$247+IF(AND(T$6=OFFSET(Assumptions!$B$8,0,$C$1),OFFSET(Assumptions!$B$57,0,$C$1)="Yes"),Allocation!$G$7,0))*(1+OFFSET(Assumptions!$B$42,0,$C$1)))</f>
        <v>4.2090343452647261</v>
      </c>
      <c r="V247" s="16">
        <f ca="1">IF(V$6=OFFSET(Assumptions!$B$8,0,$C$1),OFFSET(Assumptions!$B$41,0,$C$1)-IF(OFFSET(Assumptions!$B$57,0,$C$1)="Yes",Allocation!$G$7,0),(U$247+IF(AND(U$6=OFFSET(Assumptions!$B$8,0,$C$1),OFFSET(Assumptions!$B$57,0,$C$1)="Yes"),Allocation!$G$7,0))*(1+OFFSET(Assumptions!$B$42,0,$C$1)))</f>
        <v>4.335305375622668</v>
      </c>
      <c r="W247" s="16">
        <f ca="1">IF(W$6=OFFSET(Assumptions!$B$8,0,$C$1),OFFSET(Assumptions!$B$41,0,$C$1)-IF(OFFSET(Assumptions!$B$57,0,$C$1)="Yes",Allocation!$G$7,0),(V$247+IF(AND(V$6=OFFSET(Assumptions!$B$8,0,$C$1),OFFSET(Assumptions!$B$57,0,$C$1)="Yes"),Allocation!$G$7,0))*(1+OFFSET(Assumptions!$B$42,0,$C$1)))</f>
        <v>4.4653645368913484</v>
      </c>
      <c r="X247" s="16">
        <f ca="1">IF(X$6=OFFSET(Assumptions!$B$8,0,$C$1),OFFSET(Assumptions!$B$41,0,$C$1)-IF(OFFSET(Assumptions!$B$57,0,$C$1)="Yes",Allocation!$G$7,0),(W$247+IF(AND(W$6=OFFSET(Assumptions!$B$8,0,$C$1),OFFSET(Assumptions!$B$57,0,$C$1)="Yes"),Allocation!$G$7,0))*(1+OFFSET(Assumptions!$B$42,0,$C$1)))</f>
        <v>4.599325472998089</v>
      </c>
    </row>
    <row r="248" spans="1:24" x14ac:dyDescent="0.25">
      <c r="A248" s="9" t="s">
        <v>541</v>
      </c>
      <c r="B248" s="10" t="str">
        <f>$B$38</f>
        <v>From Fiscal Forecasts</v>
      </c>
      <c r="D248" s="42">
        <f>'Fiscal Forecasts'!D$22</f>
        <v>0</v>
      </c>
      <c r="E248" s="42">
        <f>'Fiscal Forecasts'!E$22</f>
        <v>0</v>
      </c>
      <c r="F248" s="42">
        <f>'Fiscal Forecasts'!F$22</f>
        <v>0</v>
      </c>
      <c r="G248" s="42">
        <f>'Fiscal Forecasts'!G$22</f>
        <v>0</v>
      </c>
      <c r="H248" s="42">
        <f>'Fiscal Forecasts'!H$22</f>
        <v>0</v>
      </c>
      <c r="I248" s="42">
        <f>'Fiscal Forecasts'!I$22</f>
        <v>0</v>
      </c>
      <c r="J248" s="43">
        <f ca="1">IF(OFFSET(Assumptions!$B$56,0,$C$1)="Yes",0,'Fiscal Forecasts'!J$22)</f>
        <v>-2.7</v>
      </c>
      <c r="K248" s="43">
        <f ca="1">IF(OFFSET(Assumptions!$B$56,0,$C$1)="Yes",0,'Fiscal Forecasts'!K$22)</f>
        <v>-0.9</v>
      </c>
      <c r="L248" s="43">
        <f ca="1">IF(OFFSET(Assumptions!$B$56,0,$C$1)="Yes",0,'Fiscal Forecasts'!L$22)</f>
        <v>-0.6</v>
      </c>
      <c r="M248" s="43">
        <f ca="1">IF(OFFSET(Assumptions!$B$56,0,$C$1)="Yes",0,'Fiscal Forecasts'!M$22)</f>
        <v>-0.6</v>
      </c>
      <c r="N248" s="43">
        <f ca="1">IF(OFFSET(Assumptions!$B$56,0,$C$1)="Yes",0,'Fiscal Forecasts'!N$22)</f>
        <v>-0.6</v>
      </c>
      <c r="O248" s="47">
        <f ca="1">IF(O$6=OFFSET(Assumptions!$B$8,0,$C$1),OFFSET(Assumptions!$B$9,0,$C$1),N$248)</f>
        <v>0</v>
      </c>
      <c r="P248" s="47">
        <f ca="1">IF(P$6=OFFSET(Assumptions!$B$8,0,$C$1),OFFSET(Assumptions!$B$9,0,$C$1),O$248)</f>
        <v>0</v>
      </c>
      <c r="Q248" s="47">
        <f ca="1">IF(Q$6=OFFSET(Assumptions!$B$8,0,$C$1),OFFSET(Assumptions!$B$9,0,$C$1),P$248)</f>
        <v>0</v>
      </c>
      <c r="R248" s="47">
        <f ca="1">IF(R$6=OFFSET(Assumptions!$B$8,0,$C$1),OFFSET(Assumptions!$B$9,0,$C$1),Q$248)</f>
        <v>0</v>
      </c>
      <c r="S248" s="47">
        <f ca="1">IF(S$6=OFFSET(Assumptions!$B$8,0,$C$1),OFFSET(Assumptions!$B$9,0,$C$1),R$248)</f>
        <v>0</v>
      </c>
      <c r="T248" s="47">
        <f ca="1">IF(T$6=OFFSET(Assumptions!$B$8,0,$C$1),OFFSET(Assumptions!$B$9,0,$C$1),S$248)</f>
        <v>0</v>
      </c>
      <c r="U248" s="47">
        <f ca="1">IF(U$6=OFFSET(Assumptions!$B$8,0,$C$1),OFFSET(Assumptions!$B$9,0,$C$1),T$248)</f>
        <v>0</v>
      </c>
      <c r="V248" s="47">
        <f ca="1">IF(V$6=OFFSET(Assumptions!$B$8,0,$C$1),OFFSET(Assumptions!$B$9,0,$C$1),U$248)</f>
        <v>0</v>
      </c>
      <c r="W248" s="47">
        <f ca="1">IF(W$6=OFFSET(Assumptions!$B$8,0,$C$1),OFFSET(Assumptions!$B$9,0,$C$1),V$248)</f>
        <v>0</v>
      </c>
      <c r="X248" s="47">
        <f ca="1">IF(X$6=OFFSET(Assumptions!$B$8,0,$C$1),OFFSET(Assumptions!$B$9,0,$C$1),W$248)</f>
        <v>0</v>
      </c>
    </row>
    <row r="250" spans="1:24" x14ac:dyDescent="0.25">
      <c r="A250" s="9" t="s">
        <v>974</v>
      </c>
    </row>
    <row r="251" spans="1:24" x14ac:dyDescent="0.25">
      <c r="A251" s="9" t="s">
        <v>975</v>
      </c>
      <c r="B251" s="10" t="str">
        <f>$B$38</f>
        <v>From Fiscal Forecasts</v>
      </c>
      <c r="D251" s="42">
        <f>'Fiscal Forecasts'!D$69</f>
        <v>6.6000000000000003E-2</v>
      </c>
      <c r="E251" s="42">
        <f>'Fiscal Forecasts'!E$69</f>
        <v>7.2999999999999995E-2</v>
      </c>
      <c r="F251" s="42">
        <f>'Fiscal Forecasts'!F$69</f>
        <v>9.9000000000000005E-2</v>
      </c>
      <c r="G251" s="42">
        <f>'Fiscal Forecasts'!G$69</f>
        <v>9.4E-2</v>
      </c>
      <c r="H251" s="42">
        <f>'Fiscal Forecasts'!H$69</f>
        <v>6.0999999999999999E-2</v>
      </c>
      <c r="I251" s="42">
        <f>'Fiscal Forecasts'!I$69</f>
        <v>6.9000000000000006E-2</v>
      </c>
      <c r="J251" s="43">
        <f>'Fiscal Forecasts'!J$69</f>
        <v>0.05</v>
      </c>
      <c r="K251" s="43">
        <f>'Fiscal Forecasts'!K$69</f>
        <v>4.9000000000000002E-2</v>
      </c>
      <c r="L251" s="43">
        <f>'Fiscal Forecasts'!L$69</f>
        <v>4.8000000000000001E-2</v>
      </c>
      <c r="M251" s="43">
        <f>'Fiscal Forecasts'!M$69</f>
        <v>4.5999999999999999E-2</v>
      </c>
      <c r="N251" s="43">
        <f>'Fiscal Forecasts'!N$69</f>
        <v>4.4999999999999998E-2</v>
      </c>
      <c r="O251" s="47">
        <f>N$251*Exogenous!Z$34/Exogenous!Y$34</f>
        <v>4.32824427480916E-2</v>
      </c>
      <c r="P251" s="47">
        <f>O$251*Exogenous!AA$34/Exogenous!Z$34</f>
        <v>4.1335877862595419E-2</v>
      </c>
      <c r="Q251" s="47">
        <f>P$251*Exogenous!AB$34/Exogenous!AA$34</f>
        <v>3.9389312977099238E-2</v>
      </c>
      <c r="R251" s="47">
        <f>Q$251*Exogenous!AC$34/Exogenous!AB$34</f>
        <v>3.7442748091603063E-2</v>
      </c>
      <c r="S251" s="47">
        <f>R$251*Exogenous!AD$34/Exogenous!AC$34</f>
        <v>3.5496183206106882E-2</v>
      </c>
      <c r="T251" s="47">
        <f>S$251*Exogenous!AE$34/Exogenous!AD$34</f>
        <v>3.3435114503816803E-2</v>
      </c>
      <c r="U251" s="47">
        <f>T$251*Exogenous!AF$34/Exogenous!AE$34</f>
        <v>3.1603053435114513E-2</v>
      </c>
      <c r="V251" s="47">
        <f>U$251*Exogenous!AG$34/Exogenous!AF$34</f>
        <v>2.977099236641222E-2</v>
      </c>
      <c r="W251" s="47">
        <f>V$251*Exogenous!AH$34/Exogenous!AG$34</f>
        <v>2.7824427480916035E-2</v>
      </c>
      <c r="X251" s="47">
        <f>W$251*Exogenous!AI$34/Exogenous!AH$34</f>
        <v>2.5877862595419854E-2</v>
      </c>
    </row>
    <row r="252" spans="1:24" x14ac:dyDescent="0.25">
      <c r="A252" s="9" t="s">
        <v>976</v>
      </c>
      <c r="B252" s="10" t="str">
        <f>$B$38</f>
        <v>From Fiscal Forecasts</v>
      </c>
      <c r="D252" s="42">
        <f>'Fiscal Forecasts'!D$52</f>
        <v>0.08</v>
      </c>
      <c r="E252" s="42">
        <f>'Fiscal Forecasts'!E$52</f>
        <v>8.6999999999999994E-2</v>
      </c>
      <c r="F252" s="42">
        <f>'Fiscal Forecasts'!F$52</f>
        <v>0.114</v>
      </c>
      <c r="G252" s="42">
        <f>'Fiscal Forecasts'!G$52</f>
        <v>0.11</v>
      </c>
      <c r="H252" s="42">
        <f>'Fiscal Forecasts'!H$52</f>
        <v>7.8E-2</v>
      </c>
      <c r="I252" s="42">
        <f>'Fiscal Forecasts'!I$52</f>
        <v>9.4E-2</v>
      </c>
      <c r="J252" s="43">
        <f>'Fiscal Forecasts'!J$52</f>
        <v>8.5999999999999993E-2</v>
      </c>
      <c r="K252" s="43">
        <f>'Fiscal Forecasts'!K$52</f>
        <v>8.5999999999999993E-2</v>
      </c>
      <c r="L252" s="43">
        <f>'Fiscal Forecasts'!L$52</f>
        <v>8.5000000000000006E-2</v>
      </c>
      <c r="M252" s="43">
        <f>'Fiscal Forecasts'!M$52</f>
        <v>8.4000000000000005E-2</v>
      </c>
      <c r="N252" s="43">
        <f>'Fiscal Forecasts'!N$52</f>
        <v>8.3000000000000004E-2</v>
      </c>
      <c r="O252" s="47">
        <f>N$252*Exogenous!Z$34/Exogenous!Y$34</f>
        <v>7.983206106870229E-2</v>
      </c>
      <c r="P252" s="47">
        <f>O$252*Exogenous!AA$34/Exogenous!Z$34</f>
        <v>7.6241730279898209E-2</v>
      </c>
      <c r="Q252" s="47">
        <f>P$252*Exogenous!AB$34/Exogenous!AA$34</f>
        <v>7.2651399491094129E-2</v>
      </c>
      <c r="R252" s="47">
        <f>Q$252*Exogenous!AC$34/Exogenous!AB$34</f>
        <v>6.9061068702290063E-2</v>
      </c>
      <c r="S252" s="47">
        <f>R$252*Exogenous!AD$34/Exogenous!AC$34</f>
        <v>6.5470737913485982E-2</v>
      </c>
      <c r="T252" s="47">
        <f>S$252*Exogenous!AE$34/Exogenous!AD$34</f>
        <v>6.1669211195928726E-2</v>
      </c>
      <c r="U252" s="47">
        <f>T$252*Exogenous!AF$34/Exogenous!AE$34</f>
        <v>5.8290076335877843E-2</v>
      </c>
      <c r="V252" s="47">
        <f>U$252*Exogenous!AG$34/Exogenous!AF$34</f>
        <v>5.4910941475826952E-2</v>
      </c>
      <c r="W252" s="47">
        <f>V$252*Exogenous!AH$34/Exogenous!AG$34</f>
        <v>5.1320610687022879E-2</v>
      </c>
      <c r="X252" s="47">
        <f>W$252*Exogenous!AI$34/Exogenous!AH$34</f>
        <v>4.7730279898218805E-2</v>
      </c>
    </row>
    <row r="254" spans="1:24" x14ac:dyDescent="0.25">
      <c r="A254" s="9" t="s">
        <v>977</v>
      </c>
      <c r="D254" s="2"/>
      <c r="E254" s="2"/>
      <c r="F254" s="2"/>
      <c r="G254" s="2"/>
      <c r="H254" s="2"/>
      <c r="I254" s="2"/>
      <c r="J254" s="2"/>
      <c r="K254" s="2"/>
      <c r="L254" s="2"/>
    </row>
    <row r="255" spans="1:24" x14ac:dyDescent="0.25">
      <c r="A255" s="11" t="s">
        <v>1389</v>
      </c>
      <c r="B255" s="10" t="str">
        <f>$B$38</f>
        <v>From Fiscal Forecasts</v>
      </c>
      <c r="D255" s="35">
        <f>Exogenous!$B$79*'Fiscal Forecasts'!D$58</f>
        <v>3.7266719999999998</v>
      </c>
      <c r="E255" s="35">
        <f>Exogenous!$B$79*'Fiscal Forecasts'!E$58</f>
        <v>4.0577639999999997</v>
      </c>
      <c r="F255" s="35">
        <f>Exogenous!$B$79*'Fiscal Forecasts'!F$58</f>
        <v>4.6479359999999996</v>
      </c>
      <c r="G255" s="35">
        <f>Exogenous!$B$79*'Fiscal Forecasts'!G$58</f>
        <v>5.6673239999999998</v>
      </c>
      <c r="H255" s="35">
        <f>Exogenous!$B$79*'Fiscal Forecasts'!H$58</f>
        <v>5.8117559999999999</v>
      </c>
      <c r="I255" s="35">
        <f>Exogenous!$B$79*'Fiscal Forecasts'!I$58</f>
        <v>6.1197959999999991</v>
      </c>
      <c r="J255" s="17">
        <f ca="1">Exogenous!$B$79*('Fiscal Forecasts'!J$58+IF(OFFSET(Assumptions!$B$56,0,$C$1)="Yes",Allocation!C$15,0))</f>
        <v>6.3107399999999991</v>
      </c>
      <c r="K255" s="17">
        <f ca="1">Exogenous!$B$79*('Fiscal Forecasts'!K$58+IF(OFFSET(Assumptions!$B$56,0,$C$1)="Yes",Allocation!D$15,0))</f>
        <v>6.6726359999999998</v>
      </c>
      <c r="L255" s="17">
        <f ca="1">Exogenous!$B$79*('Fiscal Forecasts'!L$58+IF(OFFSET(Assumptions!$B$56,0,$C$1)="Yes",Allocation!E$15,0))</f>
        <v>6.9472199999999997</v>
      </c>
      <c r="M255" s="17">
        <f ca="1">Exogenous!$B$79*('Fiscal Forecasts'!M$58+IF(OFFSET(Assumptions!$B$56,0,$C$1)="Yes",Allocation!F$15,0))</f>
        <v>6.9755760000000002</v>
      </c>
      <c r="N255" s="17">
        <f ca="1">Exogenous!$B$79*('Fiscal Forecasts'!N$58+IF(OFFSET(Assumptions!$B$56,0,$C$1)="Yes",Allocation!G$15,0))</f>
        <v>7.0053600000000005</v>
      </c>
      <c r="O255" s="16">
        <f ca="1">N$255+IF(OFFSET(Assumptions!$B$57,0,$C$1)="Yes",Exogenous!$B$79*Allocation!$B$15*O$247,IF(OFFSET(Assumptions!$B$58,0,$C$1)="Yes",N$255*(1+(SUMPRODUCT(Exogenous!$B$82:$B$85,'Population Treasury'!Z$238:Z$241)+SUMPRODUCT(Exogenous!$B$86:$B$94,'Population Treasury'!Z$243:Z$251)+SUMPRODUCT(Exogenous!$B$95:$B$100,'Population Treasury'!Z$253:Z$258))/('Population Treasury'!Z$307/'Population Treasury'!Y$307)+(SUMPRODUCT(Exogenous!$C$82:$C$85,'Population Treasury'!Z$283:Z$286)+SUMPRODUCT(Exogenous!$C$86:$C$94,'Population Treasury'!Z$288:Z$296)+SUMPRODUCT(Exogenous!$C$95:$C$100,'Population Treasury'!Z$298:Z$303))/('Population Treasury'!Z$309/'Population Treasury'!Y$309))*(1+O$25)*(1+O$29)*(1+OFFSET(Assumptions!$B$63,0,$C$1))/(1+OFFSET(Assumptions!$B$64,0,$C$1))-N$255,0))</f>
        <v>7.0053600000000005</v>
      </c>
      <c r="P255" s="16">
        <f ca="1">O$255+IF(OFFSET(Assumptions!$B$57,0,$C$1)="Yes",Exogenous!$B$79*Allocation!$B$15*P$247,IF(OFFSET(Assumptions!$B$58,0,$C$1)="Yes",O$255*(1+(SUMPRODUCT(Exogenous!$B$82:$B$85,'Population Treasury'!AA$238:AA$241)+SUMPRODUCT(Exogenous!$B$86:$B$94,'Population Treasury'!AA$243:AA$251)+SUMPRODUCT(Exogenous!$B$95:$B$100,'Population Treasury'!AA$253:AA$258))/('Population Treasury'!AA$307/'Population Treasury'!Z$307)+(SUMPRODUCT(Exogenous!$C$82:$C$85,'Population Treasury'!AA$283:AA$286)+SUMPRODUCT(Exogenous!$C$86:$C$94,'Population Treasury'!AA$288:AA$296)+SUMPRODUCT(Exogenous!$C$95:$C$100,'Population Treasury'!AA$298:AA$303))/('Population Treasury'!AA$309/'Population Treasury'!Z$309))*(1+P$25)*(1+P$29)*(1+OFFSET(Assumptions!$B$63,0,$C$1))/(1+OFFSET(Assumptions!$B$64,0,$C$1))-O$255,0))</f>
        <v>7.0053600000000005</v>
      </c>
      <c r="Q255" s="16">
        <f ca="1">P$255+IF(OFFSET(Assumptions!$B$57,0,$C$1)="Yes",Exogenous!$B$79*Allocation!$B$15*Q$247,IF(OFFSET(Assumptions!$B$58,0,$C$1)="Yes",P$255*(1+(SUMPRODUCT(Exogenous!$B$82:$B$85,'Population Treasury'!AB$238:AB$241)+SUMPRODUCT(Exogenous!$B$86:$B$94,'Population Treasury'!AB$243:AB$251)+SUMPRODUCT(Exogenous!$B$95:$B$100,'Population Treasury'!AB$253:AB$258))/('Population Treasury'!AB$307/'Population Treasury'!AA$307)+(SUMPRODUCT(Exogenous!$C$82:$C$85,'Population Treasury'!AB$283:AB$286)+SUMPRODUCT(Exogenous!$C$86:$C$94,'Population Treasury'!AB$288:AB$296)+SUMPRODUCT(Exogenous!$C$95:$C$100,'Population Treasury'!AB$298:AB$303))/('Population Treasury'!AB$309/'Population Treasury'!AA$309))*(1+Q$25)*(1+Q$29)*(1+OFFSET(Assumptions!$B$63,0,$C$1))/(1+OFFSET(Assumptions!$B$64,0,$C$1))-P$255,0))</f>
        <v>7.0053600000000005</v>
      </c>
      <c r="R255" s="16">
        <f ca="1">Q$255+IF(OFFSET(Assumptions!$B$57,0,$C$1)="Yes",Exogenous!$B$79*Allocation!$B$15*R$247,IF(OFFSET(Assumptions!$B$58,0,$C$1)="Yes",Q$255*(1+(SUMPRODUCT(Exogenous!$B$82:$B$85,'Population Treasury'!AC$238:AC$241)+SUMPRODUCT(Exogenous!$B$86:$B$94,'Population Treasury'!AC$243:AC$251)+SUMPRODUCT(Exogenous!$B$95:$B$100,'Population Treasury'!AC$253:AC$258))/('Population Treasury'!AC$307/'Population Treasury'!AB$307)+(SUMPRODUCT(Exogenous!$C$82:$C$85,'Population Treasury'!AC$283:AC$286)+SUMPRODUCT(Exogenous!$C$86:$C$94,'Population Treasury'!AC$288:AC$296)+SUMPRODUCT(Exogenous!$C$95:$C$100,'Population Treasury'!AC$298:AC$303))/('Population Treasury'!AC$309/'Population Treasury'!AB$309))*(1+R$25)*(1+R$29)*(1+OFFSET(Assumptions!$B$63,0,$C$1))/(1+OFFSET(Assumptions!$B$64,0,$C$1))-Q$255,0))</f>
        <v>7.0053600000000005</v>
      </c>
      <c r="S255" s="16">
        <f ca="1">R$255+IF(OFFSET(Assumptions!$B$57,0,$C$1)="Yes",Exogenous!$B$79*Allocation!$B$15*S$247,IF(OFFSET(Assumptions!$B$58,0,$C$1)="Yes",R$255*(1+(SUMPRODUCT(Exogenous!$B$82:$B$85,'Population Treasury'!AD$238:AD$241)+SUMPRODUCT(Exogenous!$B$86:$B$94,'Population Treasury'!AD$243:AD$251)+SUMPRODUCT(Exogenous!$B$95:$B$100,'Population Treasury'!AD$253:AD$258))/('Population Treasury'!AD$307/'Population Treasury'!AC$307)+(SUMPRODUCT(Exogenous!$C$82:$C$85,'Population Treasury'!AD$283:AD$286)+SUMPRODUCT(Exogenous!$C$86:$C$94,'Population Treasury'!AD$288:AD$296)+SUMPRODUCT(Exogenous!$C$95:$C$100,'Population Treasury'!AD$298:AD$303))/('Population Treasury'!AD$309/'Population Treasury'!AC$309))*(1+S$25)*(1+S$29)*(1+OFFSET(Assumptions!$B$63,0,$C$1))/(1+OFFSET(Assumptions!$B$64,0,$C$1))-R$255,0))</f>
        <v>7.0053600000000005</v>
      </c>
      <c r="T255" s="16">
        <f ca="1">S$255+IF(OFFSET(Assumptions!$B$57,0,$C$1)="Yes",Exogenous!$B$79*Allocation!$B$15*T$247,IF(OFFSET(Assumptions!$B$58,0,$C$1)="Yes",S$255*(1+(SUMPRODUCT(Exogenous!$B$82:$B$85,'Population Treasury'!AE$238:AE$241)+SUMPRODUCT(Exogenous!$B$86:$B$94,'Population Treasury'!AE$243:AE$251)+SUMPRODUCT(Exogenous!$B$95:$B$100,'Population Treasury'!AE$253:AE$258))/('Population Treasury'!AE$307/'Population Treasury'!AD$307)+(SUMPRODUCT(Exogenous!$C$82:$C$85,'Population Treasury'!AE$283:AE$286)+SUMPRODUCT(Exogenous!$C$86:$C$94,'Population Treasury'!AE$288:AE$296)+SUMPRODUCT(Exogenous!$C$95:$C$100,'Population Treasury'!AE$298:AE$303))/('Population Treasury'!AE$309/'Population Treasury'!AD$309))*(1+T$25)*(1+T$29)*(1+OFFSET(Assumptions!$B$63,0,$C$1))/(1+OFFSET(Assumptions!$B$64,0,$C$1))-S$255,0))</f>
        <v>7.0053600000000005</v>
      </c>
      <c r="U255" s="16">
        <f ca="1">T$255+IF(OFFSET(Assumptions!$B$57,0,$C$1)="Yes",Exogenous!$B$79*Allocation!$B$15*U$247,IF(OFFSET(Assumptions!$B$58,0,$C$1)="Yes",T$255*(1+(SUMPRODUCT(Exogenous!$B$82:$B$85,'Population Treasury'!AF$238:AF$241)+SUMPRODUCT(Exogenous!$B$86:$B$94,'Population Treasury'!AF$243:AF$251)+SUMPRODUCT(Exogenous!$B$95:$B$100,'Population Treasury'!AF$253:AF$258))/('Population Treasury'!AF$307/'Population Treasury'!AE$307)+(SUMPRODUCT(Exogenous!$C$82:$C$85,'Population Treasury'!AF$283:AF$286)+SUMPRODUCT(Exogenous!$C$86:$C$94,'Population Treasury'!AF$288:AF$296)+SUMPRODUCT(Exogenous!$C$95:$C$100,'Population Treasury'!AF$298:AF$303))/('Population Treasury'!AF$309/'Population Treasury'!AE$309))*(1+U$25)*(1+U$29)*(1+OFFSET(Assumptions!$B$63,0,$C$1))/(1+OFFSET(Assumptions!$B$64,0,$C$1))-T$255,0))</f>
        <v>7.0053600000000005</v>
      </c>
      <c r="V255" s="16">
        <f ca="1">U$255+IF(OFFSET(Assumptions!$B$57,0,$C$1)="Yes",Exogenous!$B$79*Allocation!$B$15*V$247,IF(OFFSET(Assumptions!$B$58,0,$C$1)="Yes",U$255*(1+(SUMPRODUCT(Exogenous!$B$82:$B$85,'Population Treasury'!AG$238:AG$241)+SUMPRODUCT(Exogenous!$B$86:$B$94,'Population Treasury'!AG$243:AG$251)+SUMPRODUCT(Exogenous!$B$95:$B$100,'Population Treasury'!AG$253:AG$258))/('Population Treasury'!AG$307/'Population Treasury'!AF$307)+(SUMPRODUCT(Exogenous!$C$82:$C$85,'Population Treasury'!AG$283:AG$286)+SUMPRODUCT(Exogenous!$C$86:$C$94,'Population Treasury'!AG$288:AG$296)+SUMPRODUCT(Exogenous!$C$95:$C$100,'Population Treasury'!AG$298:AG$303))/('Population Treasury'!AG$309/'Population Treasury'!AF$309))*(1+V$25)*(1+V$29)*(1+OFFSET(Assumptions!$B$63,0,$C$1))/(1+OFFSET(Assumptions!$B$64,0,$C$1))-U$255,0))</f>
        <v>7.0053600000000005</v>
      </c>
      <c r="W255" s="16">
        <f ca="1">V$255+IF(OFFSET(Assumptions!$B$57,0,$C$1)="Yes",Exogenous!$B$79*Allocation!$B$15*W$247,IF(OFFSET(Assumptions!$B$58,0,$C$1)="Yes",V$255*(1+(SUMPRODUCT(Exogenous!$B$82:$B$85,'Population Treasury'!AH$238:AH$241)+SUMPRODUCT(Exogenous!$B$86:$B$94,'Population Treasury'!AH$243:AH$251)+SUMPRODUCT(Exogenous!$B$95:$B$100,'Population Treasury'!AH$253:AH$258))/('Population Treasury'!AH$307/'Population Treasury'!AG$307)+(SUMPRODUCT(Exogenous!$C$82:$C$85,'Population Treasury'!AH$283:AH$286)+SUMPRODUCT(Exogenous!$C$86:$C$94,'Population Treasury'!AH$288:AH$296)+SUMPRODUCT(Exogenous!$C$95:$C$100,'Population Treasury'!AH$298:AH$303))/('Population Treasury'!AH$309/'Population Treasury'!AG$309))*(1+W$25)*(1+W$29)*(1+OFFSET(Assumptions!$B$63,0,$C$1))/(1+OFFSET(Assumptions!$B$64,0,$C$1))-V$255,0))</f>
        <v>7.0053600000000005</v>
      </c>
      <c r="X255" s="16">
        <f ca="1">W$255+IF(OFFSET(Assumptions!$B$57,0,$C$1)="Yes",Exogenous!$B$79*Allocation!$B$15*X$247,IF(OFFSET(Assumptions!$B$58,0,$C$1)="Yes",W$255*(1+(SUMPRODUCT(Exogenous!$B$82:$B$85,'Population Treasury'!AI$238:AI$241)+SUMPRODUCT(Exogenous!$B$86:$B$94,'Population Treasury'!AI$243:AI$251)+SUMPRODUCT(Exogenous!$B$95:$B$100,'Population Treasury'!AI$253:AI$258))/('Population Treasury'!AI$307/'Population Treasury'!AH$307)+(SUMPRODUCT(Exogenous!$C$82:$C$85,'Population Treasury'!AI$283:AI$286)+SUMPRODUCT(Exogenous!$C$86:$C$94,'Population Treasury'!AI$288:AI$296)+SUMPRODUCT(Exogenous!$C$95:$C$100,'Population Treasury'!AI$298:AI$303))/('Population Treasury'!AI$309/'Population Treasury'!AH$309))*(1+X$25)*(1+X$29)*(1+OFFSET(Assumptions!$B$63,0,$C$1))/(1+OFFSET(Assumptions!$B$64,0,$C$1))-W$255,0))</f>
        <v>7.0053600000000005</v>
      </c>
    </row>
    <row r="256" spans="1:24" x14ac:dyDescent="0.25">
      <c r="A256" s="11" t="s">
        <v>1390</v>
      </c>
      <c r="B256" s="10" t="str">
        <f t="shared" ref="B256:B260" si="159">$B$38</f>
        <v>From Fiscal Forecasts</v>
      </c>
      <c r="D256" s="35">
        <f>Exogenous!$E$79*'Fiscal Forecasts'!D$58</f>
        <v>9.882988000000001</v>
      </c>
      <c r="E256" s="35">
        <f>Exogenous!$E$79*'Fiscal Forecasts'!E$58</f>
        <v>10.761030999999999</v>
      </c>
      <c r="F256" s="35">
        <f>Exogenous!$E$79*'Fiscal Forecasts'!F$58</f>
        <v>12.326144000000001</v>
      </c>
      <c r="G256" s="35">
        <f>Exogenous!$E$79*'Fiscal Forecasts'!G$58</f>
        <v>15.029521000000001</v>
      </c>
      <c r="H256" s="35">
        <f>Exogenous!$E$79*'Fiscal Forecasts'!H$58</f>
        <v>15.412549000000002</v>
      </c>
      <c r="I256" s="35">
        <f>Exogenous!$E$79*'Fiscal Forecasts'!I$58</f>
        <v>16.229459000000002</v>
      </c>
      <c r="J256" s="17">
        <f ca="1">Exogenous!$E$79*('Fiscal Forecasts'!J$58+IF(OFFSET(Assumptions!$B$56,0,$C$1)="Yes",Allocation!C$15,0))</f>
        <v>16.735835000000002</v>
      </c>
      <c r="K256" s="17">
        <f ca="1">Exogenous!$E$79*('Fiscal Forecasts'!K$58+IF(OFFSET(Assumptions!$B$56,0,$C$1)="Yes",Allocation!D$15,0))</f>
        <v>17.695569000000003</v>
      </c>
      <c r="L256" s="17">
        <f ca="1">Exogenous!$E$79*('Fiscal Forecasts'!L$58+IF(OFFSET(Assumptions!$B$56,0,$C$1)="Yes",Allocation!E$15,0))</f>
        <v>18.423755</v>
      </c>
      <c r="M256" s="17">
        <f ca="1">Exogenous!$E$79*('Fiscal Forecasts'!M$58+IF(OFFSET(Assumptions!$B$56,0,$C$1)="Yes",Allocation!F$15,0))</f>
        <v>18.498954000000001</v>
      </c>
      <c r="N256" s="17">
        <f ca="1">Exogenous!$E$79*('Fiscal Forecasts'!N$58+IF(OFFSET(Assumptions!$B$56,0,$C$1)="Yes",Allocation!G$15,0))</f>
        <v>18.577940000000002</v>
      </c>
      <c r="O256" s="16">
        <f ca="1">N$256+IF(OFFSET(Assumptions!$B$57,0,$C$1)="Yes",Exogenous!$E$79*Allocation!$B$15*O$247,IF(OFFSET(Assumptions!$B$58,0,$C$1)="Yes",N$256*(1+(SUMPRODUCT(Exogenous!$E$82:$E$85,'Population Treasury'!Z$238:Z$241)+SUMPRODUCT(Exogenous!$E$86:$E$94,'Population Treasury'!Z$243:Z$251)+SUMPRODUCT(Exogenous!$E$95:$E$100,'Population Treasury'!Z$253:Z$258))/('Population Treasury'!Z$307/'Population Treasury'!Y$307)+(SUMPRODUCT(Exogenous!$F$82:$F$85,'Population Treasury'!Z$283:Z$286)+SUMPRODUCT(Exogenous!$F$86:$F$94,'Population Treasury'!Z$288:Z$296)+SUMPRODUCT(Exogenous!$F$95:$F$100,'Population Treasury'!Z$298:Z$303))/('Population Treasury'!Z$309/'Population Treasury'!Y$309))*(1+O$25)*(1+O$29)*(1+OFFSET(Assumptions!$B$63,0,$C$1))/(1+OFFSET(Assumptions!$B$64,0,$C$1))-N$256,0))</f>
        <v>18.577940000000002</v>
      </c>
      <c r="P256" s="16">
        <f ca="1">O$256+IF(OFFSET(Assumptions!$B$57,0,$C$1)="Yes",Exogenous!$E$79*Allocation!$B$15*P$247,IF(OFFSET(Assumptions!$B$58,0,$C$1)="Yes",O$256*(1+(SUMPRODUCT(Exogenous!$E$82:$E$85,'Population Treasury'!AA$238:AA$241)+SUMPRODUCT(Exogenous!$E$86:$E$94,'Population Treasury'!AA$243:AA$251)+SUMPRODUCT(Exogenous!$E$95:$E$100,'Population Treasury'!AA$253:AA$258))/('Population Treasury'!AA$307/'Population Treasury'!Z$307)+(SUMPRODUCT(Exogenous!$F$82:$F$85,'Population Treasury'!AA$283:AA$286)+SUMPRODUCT(Exogenous!$F$86:$F$94,'Population Treasury'!AA$288:AA$296)+SUMPRODUCT(Exogenous!$F$95:$F$100,'Population Treasury'!AA$298:AA$303))/('Population Treasury'!AA$309/'Population Treasury'!Z$309))*(1+P$25)*(1+P$29)*(1+OFFSET(Assumptions!$B$63,0,$C$1))/(1+OFFSET(Assumptions!$B$64,0,$C$1))-O$256,0))</f>
        <v>18.577940000000002</v>
      </c>
      <c r="Q256" s="16">
        <f ca="1">P$256+IF(OFFSET(Assumptions!$B$57,0,$C$1)="Yes",Exogenous!$E$79*Allocation!$B$15*Q$247,IF(OFFSET(Assumptions!$B$58,0,$C$1)="Yes",P$256*(1+(SUMPRODUCT(Exogenous!$E$82:$E$85,'Population Treasury'!AB$238:AB$241)+SUMPRODUCT(Exogenous!$E$86:$E$94,'Population Treasury'!AB$243:AB$251)+SUMPRODUCT(Exogenous!$E$95:$E$100,'Population Treasury'!AB$253:AB$258))/('Population Treasury'!AB$307/'Population Treasury'!AA$307)+(SUMPRODUCT(Exogenous!$F$82:$F$85,'Population Treasury'!AB$283:AB$286)+SUMPRODUCT(Exogenous!$F$86:$F$94,'Population Treasury'!AB$288:AB$296)+SUMPRODUCT(Exogenous!$F$95:$F$100,'Population Treasury'!AB$298:AB$303))/('Population Treasury'!AB$309/'Population Treasury'!AA$309))*(1+Q$25)*(1+Q$29)*(1+OFFSET(Assumptions!$B$63,0,$C$1))/(1+OFFSET(Assumptions!$B$64,0,$C$1))-P$256,0))</f>
        <v>18.577940000000002</v>
      </c>
      <c r="R256" s="16">
        <f ca="1">Q$256+IF(OFFSET(Assumptions!$B$57,0,$C$1)="Yes",Exogenous!$E$79*Allocation!$B$15*R$247,IF(OFFSET(Assumptions!$B$58,0,$C$1)="Yes",Q$256*(1+(SUMPRODUCT(Exogenous!$E$82:$E$85,'Population Treasury'!AC$238:AC$241)+SUMPRODUCT(Exogenous!$E$86:$E$94,'Population Treasury'!AC$243:AC$251)+SUMPRODUCT(Exogenous!$E$95:$E$100,'Population Treasury'!AC$253:AC$258))/('Population Treasury'!AC$307/'Population Treasury'!AB$307)+(SUMPRODUCT(Exogenous!$F$82:$F$85,'Population Treasury'!AC$283:AC$286)+SUMPRODUCT(Exogenous!$F$86:$F$94,'Population Treasury'!AC$288:AC$296)+SUMPRODUCT(Exogenous!$F$95:$F$100,'Population Treasury'!AC$298:AC$303))/('Population Treasury'!AC$309/'Population Treasury'!AB$309))*(1+R$25)*(1+R$29)*(1+OFFSET(Assumptions!$B$63,0,$C$1))/(1+OFFSET(Assumptions!$B$64,0,$C$1))-Q$256,0))</f>
        <v>18.577940000000002</v>
      </c>
      <c r="S256" s="16">
        <f ca="1">R$256+IF(OFFSET(Assumptions!$B$57,0,$C$1)="Yes",Exogenous!$E$79*Allocation!$B$15*S$247,IF(OFFSET(Assumptions!$B$58,0,$C$1)="Yes",R$256*(1+(SUMPRODUCT(Exogenous!$E$82:$E$85,'Population Treasury'!AD$238:AD$241)+SUMPRODUCT(Exogenous!$E$86:$E$94,'Population Treasury'!AD$243:AD$251)+SUMPRODUCT(Exogenous!$E$95:$E$100,'Population Treasury'!AD$253:AD$258))/('Population Treasury'!AD$307/'Population Treasury'!AC$307)+(SUMPRODUCT(Exogenous!$F$82:$F$85,'Population Treasury'!AD$283:AD$286)+SUMPRODUCT(Exogenous!$F$86:$F$94,'Population Treasury'!AD$288:AD$296)+SUMPRODUCT(Exogenous!$F$95:$F$100,'Population Treasury'!AD$298:AD$303))/('Population Treasury'!AD$309/'Population Treasury'!AC$309))*(1+S$25)*(1+S$29)*(1+OFFSET(Assumptions!$B$63,0,$C$1))/(1+OFFSET(Assumptions!$B$64,0,$C$1))-R$256,0))</f>
        <v>18.577940000000002</v>
      </c>
      <c r="T256" s="16">
        <f ca="1">S$256+IF(OFFSET(Assumptions!$B$57,0,$C$1)="Yes",Exogenous!$E$79*Allocation!$B$15*T$247,IF(OFFSET(Assumptions!$B$58,0,$C$1)="Yes",S$256*(1+(SUMPRODUCT(Exogenous!$E$82:$E$85,'Population Treasury'!AE$238:AE$241)+SUMPRODUCT(Exogenous!$E$86:$E$94,'Population Treasury'!AE$243:AE$251)+SUMPRODUCT(Exogenous!$E$95:$E$100,'Population Treasury'!AE$253:AE$258))/('Population Treasury'!AE$307/'Population Treasury'!AD$307)+(SUMPRODUCT(Exogenous!$F$82:$F$85,'Population Treasury'!AE$283:AE$286)+SUMPRODUCT(Exogenous!$F$86:$F$94,'Population Treasury'!AE$288:AE$296)+SUMPRODUCT(Exogenous!$F$95:$F$100,'Population Treasury'!AE$298:AE$303))/('Population Treasury'!AE$309/'Population Treasury'!AD$309))*(1+T$25)*(1+T$29)*(1+OFFSET(Assumptions!$B$63,0,$C$1))/(1+OFFSET(Assumptions!$B$64,0,$C$1))-S$256,0))</f>
        <v>18.577940000000002</v>
      </c>
      <c r="U256" s="16">
        <f ca="1">T$256+IF(OFFSET(Assumptions!$B$57,0,$C$1)="Yes",Exogenous!$E$79*Allocation!$B$15*U$247,IF(OFFSET(Assumptions!$B$58,0,$C$1)="Yes",T$256*(1+(SUMPRODUCT(Exogenous!$E$82:$E$85,'Population Treasury'!AF$238:AF$241)+SUMPRODUCT(Exogenous!$E$86:$E$94,'Population Treasury'!AF$243:AF$251)+SUMPRODUCT(Exogenous!$E$95:$E$100,'Population Treasury'!AF$253:AF$258))/('Population Treasury'!AF$307/'Population Treasury'!AE$307)+(SUMPRODUCT(Exogenous!$F$82:$F$85,'Population Treasury'!AF$283:AF$286)+SUMPRODUCT(Exogenous!$F$86:$F$94,'Population Treasury'!AF$288:AF$296)+SUMPRODUCT(Exogenous!$F$95:$F$100,'Population Treasury'!AF$298:AF$303))/('Population Treasury'!AF$309/'Population Treasury'!AE$309))*(1+U$25)*(1+U$29)*(1+OFFSET(Assumptions!$B$63,0,$C$1))/(1+OFFSET(Assumptions!$B$64,0,$C$1))-T$256,0))</f>
        <v>18.577940000000002</v>
      </c>
      <c r="V256" s="16">
        <f ca="1">U$256+IF(OFFSET(Assumptions!$B$57,0,$C$1)="Yes",Exogenous!$E$79*Allocation!$B$15*V$247,IF(OFFSET(Assumptions!$B$58,0,$C$1)="Yes",U$256*(1+(SUMPRODUCT(Exogenous!$E$82:$E$85,'Population Treasury'!AG$238:AG$241)+SUMPRODUCT(Exogenous!$E$86:$E$94,'Population Treasury'!AG$243:AG$251)+SUMPRODUCT(Exogenous!$E$95:$E$100,'Population Treasury'!AG$253:AG$258))/('Population Treasury'!AG$307/'Population Treasury'!AF$307)+(SUMPRODUCT(Exogenous!$F$82:$F$85,'Population Treasury'!AG$283:AG$286)+SUMPRODUCT(Exogenous!$F$86:$F$94,'Population Treasury'!AG$288:AG$296)+SUMPRODUCT(Exogenous!$F$95:$F$100,'Population Treasury'!AG$298:AG$303))/('Population Treasury'!AG$309/'Population Treasury'!AF$309))*(1+V$25)*(1+V$29)*(1+OFFSET(Assumptions!$B$63,0,$C$1))/(1+OFFSET(Assumptions!$B$64,0,$C$1))-U$256,0))</f>
        <v>18.577940000000002</v>
      </c>
      <c r="W256" s="16">
        <f ca="1">V$256+IF(OFFSET(Assumptions!$B$57,0,$C$1)="Yes",Exogenous!$E$79*Allocation!$B$15*W$247,IF(OFFSET(Assumptions!$B$58,0,$C$1)="Yes",V$256*(1+(SUMPRODUCT(Exogenous!$E$82:$E$85,'Population Treasury'!AH$238:AH$241)+SUMPRODUCT(Exogenous!$E$86:$E$94,'Population Treasury'!AH$243:AH$251)+SUMPRODUCT(Exogenous!$E$95:$E$100,'Population Treasury'!AH$253:AH$258))/('Population Treasury'!AH$307/'Population Treasury'!AG$307)+(SUMPRODUCT(Exogenous!$F$82:$F$85,'Population Treasury'!AH$283:AH$286)+SUMPRODUCT(Exogenous!$F$86:$F$94,'Population Treasury'!AH$288:AH$296)+SUMPRODUCT(Exogenous!$F$95:$F$100,'Population Treasury'!AH$298:AH$303))/('Population Treasury'!AH$309/'Population Treasury'!AG$309))*(1+W$25)*(1+W$29)*(1+OFFSET(Assumptions!$B$63,0,$C$1))/(1+OFFSET(Assumptions!$B$64,0,$C$1))-V$256,0))</f>
        <v>18.577940000000002</v>
      </c>
      <c r="X256" s="16">
        <f ca="1">W$256+IF(OFFSET(Assumptions!$B$57,0,$C$1)="Yes",Exogenous!$E$79*Allocation!$B$15*X$247,IF(OFFSET(Assumptions!$B$58,0,$C$1)="Yes",W$256*(1+(SUMPRODUCT(Exogenous!$E$82:$E$85,'Population Treasury'!AI$238:AI$241)+SUMPRODUCT(Exogenous!$E$86:$E$94,'Population Treasury'!AI$243:AI$251)+SUMPRODUCT(Exogenous!$E$95:$E$100,'Population Treasury'!AI$253:AI$258))/('Population Treasury'!AI$307/'Population Treasury'!AH$307)+(SUMPRODUCT(Exogenous!$F$82:$F$85,'Population Treasury'!AI$283:AI$286)+SUMPRODUCT(Exogenous!$F$86:$F$94,'Population Treasury'!AI$288:AI$296)+SUMPRODUCT(Exogenous!$F$95:$F$100,'Population Treasury'!AI$298:AI$303))/('Population Treasury'!AI$309/'Population Treasury'!AH$309))*(1+X$25)*(1+X$29)*(1+OFFSET(Assumptions!$B$63,0,$C$1))/(1+OFFSET(Assumptions!$B$64,0,$C$1))-W$256,0))</f>
        <v>18.577940000000002</v>
      </c>
    </row>
    <row r="257" spans="1:24" x14ac:dyDescent="0.25">
      <c r="A257" s="11" t="s">
        <v>1391</v>
      </c>
      <c r="B257" s="10" t="str">
        <f t="shared" si="159"/>
        <v>From Fiscal Forecasts</v>
      </c>
      <c r="D257" s="35">
        <f>Exogenous!$H$79*'Fiscal Forecasts'!D$58</f>
        <v>1.91814</v>
      </c>
      <c r="E257" s="35">
        <f>Exogenous!$H$79*'Fiscal Forecasts'!E$58</f>
        <v>2.0885549999999999</v>
      </c>
      <c r="F257" s="35">
        <f>Exogenous!$H$79*'Fiscal Forecasts'!F$58</f>
        <v>2.3923199999999998</v>
      </c>
      <c r="G257" s="35">
        <f>Exogenous!$H$79*'Fiscal Forecasts'!G$58</f>
        <v>2.9170049999999996</v>
      </c>
      <c r="H257" s="35">
        <f>Exogenous!$H$79*'Fiscal Forecasts'!H$58</f>
        <v>2.9913449999999999</v>
      </c>
      <c r="I257" s="35">
        <f>Exogenous!$H$79*'Fiscal Forecasts'!I$58</f>
        <v>3.1498949999999999</v>
      </c>
      <c r="J257" s="17">
        <f ca="1">Exogenous!$H$79*('Fiscal Forecasts'!J$58+IF(OFFSET(Assumptions!$B$56,0,$C$1)="Yes",Allocation!C$15,0))</f>
        <v>3.2481749999999998</v>
      </c>
      <c r="K257" s="17">
        <f ca="1">Exogenous!$H$79*('Fiscal Forecasts'!K$58+IF(OFFSET(Assumptions!$B$56,0,$C$1)="Yes",Allocation!D$15,0))</f>
        <v>3.4344450000000002</v>
      </c>
      <c r="L257" s="17">
        <f ca="1">Exogenous!$H$79*('Fiscal Forecasts'!L$58+IF(OFFSET(Assumptions!$B$56,0,$C$1)="Yes",Allocation!E$15,0))</f>
        <v>3.5757749999999997</v>
      </c>
      <c r="M257" s="17">
        <f ca="1">Exogenous!$H$79*('Fiscal Forecasts'!M$58+IF(OFFSET(Assumptions!$B$56,0,$C$1)="Yes",Allocation!F$15,0))</f>
        <v>3.5903700000000001</v>
      </c>
      <c r="N257" s="17">
        <f ca="1">Exogenous!$H$79*('Fiscal Forecasts'!N$58+IF(OFFSET(Assumptions!$B$56,0,$C$1)="Yes",Allocation!G$15,0))</f>
        <v>3.6057000000000001</v>
      </c>
      <c r="O257" s="16">
        <f ca="1">N$257+IF(OFFSET(Assumptions!$B$57,0,$C$1)="Yes",Exogenous!$H$79*Allocation!$B$15*O$247,IF(OFFSET(Assumptions!$B$58,0,$C$1)="Yes",N$257*(1+(SUMPRODUCT(Exogenous!$H$82:$H$85,'Population Treasury'!Z$238:Z$241)+SUMPRODUCT(Exogenous!$H$86:$H$94,'Population Treasury'!Z$243:Z$251)+SUMPRODUCT(Exogenous!$H$95:$H$100,'Population Treasury'!Z$253:Z$258))/('Population Treasury'!Z$307/'Population Treasury'!Y$307)+(SUMPRODUCT(Exogenous!$I$82:$I$85,'Population Treasury'!Z$283:Z$286)+SUMPRODUCT(Exogenous!$I$86:$I$94,'Population Treasury'!Z$288:Z$296)+SUMPRODUCT(Exogenous!$I$95:$I$100,'Population Treasury'!Z$298:Z$303))/('Population Treasury'!Z$309/'Population Treasury'!Y$309))*(1+O$25)*(1+O$29)*(1+OFFSET(Assumptions!$B$63,0,$C$1))/(1+OFFSET(Assumptions!$B$64,0,$C$1))-N$257,0))</f>
        <v>3.6057000000000001</v>
      </c>
      <c r="P257" s="16">
        <f ca="1">O$257+IF(OFFSET(Assumptions!$B$57,0,$C$1)="Yes",Exogenous!$H$79*Allocation!$B$15*P$247,IF(OFFSET(Assumptions!$B$58,0,$C$1)="Yes",O$257*(1+(SUMPRODUCT(Exogenous!$H$82:$H$85,'Population Treasury'!AA$238:AA$241)+SUMPRODUCT(Exogenous!$H$86:$H$94,'Population Treasury'!AA$243:AA$251)+SUMPRODUCT(Exogenous!$H$95:$H$100,'Population Treasury'!AA$253:AA$258))/('Population Treasury'!AA$307/'Population Treasury'!Z$307)+(SUMPRODUCT(Exogenous!$I$82:$I$85,'Population Treasury'!AA$283:AA$286)+SUMPRODUCT(Exogenous!$I$86:$I$94,'Population Treasury'!AA$288:AA$296)+SUMPRODUCT(Exogenous!$I$95:$I$100,'Population Treasury'!AA$298:AA$303))/('Population Treasury'!AA$309/'Population Treasury'!Z$309))*(1+P$25)*(1+P$29)*(1+OFFSET(Assumptions!$B$63,0,$C$1))/(1+OFFSET(Assumptions!$B$64,0,$C$1))-O$257,0))</f>
        <v>3.6057000000000001</v>
      </c>
      <c r="Q257" s="16">
        <f ca="1">P$257+IF(OFFSET(Assumptions!$B$57,0,$C$1)="Yes",Exogenous!$H$79*Allocation!$B$15*Q$247,IF(OFFSET(Assumptions!$B$58,0,$C$1)="Yes",P$257*(1+(SUMPRODUCT(Exogenous!$H$82:$H$85,'Population Treasury'!AB$238:AB$241)+SUMPRODUCT(Exogenous!$H$86:$H$94,'Population Treasury'!AB$243:AB$251)+SUMPRODUCT(Exogenous!$H$95:$H$100,'Population Treasury'!AB$253:AB$258))/('Population Treasury'!AB$307/'Population Treasury'!AA$307)+(SUMPRODUCT(Exogenous!$I$82:$I$85,'Population Treasury'!AB$283:AB$286)+SUMPRODUCT(Exogenous!$I$86:$I$94,'Population Treasury'!AB$288:AB$296)+SUMPRODUCT(Exogenous!$I$95:$I$100,'Population Treasury'!AB$298:AB$303))/('Population Treasury'!AB$309/'Population Treasury'!AA$309))*(1+Q$25)*(1+Q$29)*(1+OFFSET(Assumptions!$B$63,0,$C$1))/(1+OFFSET(Assumptions!$B$64,0,$C$1))-P$257,0))</f>
        <v>3.6057000000000001</v>
      </c>
      <c r="R257" s="16">
        <f ca="1">Q$257+IF(OFFSET(Assumptions!$B$57,0,$C$1)="Yes",Exogenous!$H$79*Allocation!$B$15*R$247,IF(OFFSET(Assumptions!$B$58,0,$C$1)="Yes",Q$257*(1+(SUMPRODUCT(Exogenous!$H$82:$H$85,'Population Treasury'!AC$238:AC$241)+SUMPRODUCT(Exogenous!$H$86:$H$94,'Population Treasury'!AC$243:AC$251)+SUMPRODUCT(Exogenous!$H$95:$H$100,'Population Treasury'!AC$253:AC$258))/('Population Treasury'!AC$307/'Population Treasury'!AB$307)+(SUMPRODUCT(Exogenous!$I$82:$I$85,'Population Treasury'!AC$283:AC$286)+SUMPRODUCT(Exogenous!$I$86:$I$94,'Population Treasury'!AC$288:AC$296)+SUMPRODUCT(Exogenous!$I$95:$I$100,'Population Treasury'!AC$298:AC$303))/('Population Treasury'!AC$309/'Population Treasury'!AB$309))*(1+R$25)*(1+R$29)*(1+OFFSET(Assumptions!$B$63,0,$C$1))/(1+OFFSET(Assumptions!$B$64,0,$C$1))-Q$257,0))</f>
        <v>3.6057000000000001</v>
      </c>
      <c r="S257" s="16">
        <f ca="1">R$257+IF(OFFSET(Assumptions!$B$57,0,$C$1)="Yes",Exogenous!$H$79*Allocation!$B$15*S$247,IF(OFFSET(Assumptions!$B$58,0,$C$1)="Yes",R$257*(1+(SUMPRODUCT(Exogenous!$H$82:$H$85,'Population Treasury'!AD$238:AD$241)+SUMPRODUCT(Exogenous!$H$86:$H$94,'Population Treasury'!AD$243:AD$251)+SUMPRODUCT(Exogenous!$H$95:$H$100,'Population Treasury'!AD$253:AD$258))/('Population Treasury'!AD$307/'Population Treasury'!AC$307)+(SUMPRODUCT(Exogenous!$I$82:$I$85,'Population Treasury'!AD$283:AD$286)+SUMPRODUCT(Exogenous!$I$86:$I$94,'Population Treasury'!AD$288:AD$296)+SUMPRODUCT(Exogenous!$I$95:$I$100,'Population Treasury'!AD$298:AD$303))/('Population Treasury'!AD$309/'Population Treasury'!AC$309))*(1+S$25)*(1+S$29)*(1+OFFSET(Assumptions!$B$63,0,$C$1))/(1+OFFSET(Assumptions!$B$64,0,$C$1))-R$257,0))</f>
        <v>3.6057000000000001</v>
      </c>
      <c r="T257" s="16">
        <f ca="1">S$257+IF(OFFSET(Assumptions!$B$57,0,$C$1)="Yes",Exogenous!$H$79*Allocation!$B$15*T$247,IF(OFFSET(Assumptions!$B$58,0,$C$1)="Yes",S$257*(1+(SUMPRODUCT(Exogenous!$H$82:$H$85,'Population Treasury'!AE$238:AE$241)+SUMPRODUCT(Exogenous!$H$86:$H$94,'Population Treasury'!AE$243:AE$251)+SUMPRODUCT(Exogenous!$H$95:$H$100,'Population Treasury'!AE$253:AE$258))/('Population Treasury'!AE$307/'Population Treasury'!AD$307)+(SUMPRODUCT(Exogenous!$I$82:$I$85,'Population Treasury'!AE$283:AE$286)+SUMPRODUCT(Exogenous!$I$86:$I$94,'Population Treasury'!AE$288:AE$296)+SUMPRODUCT(Exogenous!$I$95:$I$100,'Population Treasury'!AE$298:AE$303))/('Population Treasury'!AE$309/'Population Treasury'!AD$309))*(1+T$25)*(1+T$29)*(1+OFFSET(Assumptions!$B$63,0,$C$1))/(1+OFFSET(Assumptions!$B$64,0,$C$1))-S$257,0))</f>
        <v>3.6057000000000001</v>
      </c>
      <c r="U257" s="16">
        <f ca="1">T$257+IF(OFFSET(Assumptions!$B$57,0,$C$1)="Yes",Exogenous!$H$79*Allocation!$B$15*U$247,IF(OFFSET(Assumptions!$B$58,0,$C$1)="Yes",T$257*(1+(SUMPRODUCT(Exogenous!$H$82:$H$85,'Population Treasury'!AF$238:AF$241)+SUMPRODUCT(Exogenous!$H$86:$H$94,'Population Treasury'!AF$243:AF$251)+SUMPRODUCT(Exogenous!$H$95:$H$100,'Population Treasury'!AF$253:AF$258))/('Population Treasury'!AF$307/'Population Treasury'!AE$307)+(SUMPRODUCT(Exogenous!$I$82:$I$85,'Population Treasury'!AF$283:AF$286)+SUMPRODUCT(Exogenous!$I$86:$I$94,'Population Treasury'!AF$288:AF$296)+SUMPRODUCT(Exogenous!$I$95:$I$100,'Population Treasury'!AF$298:AF$303))/('Population Treasury'!AF$309/'Population Treasury'!AE$309))*(1+U$25)*(1+U$29)*(1+OFFSET(Assumptions!$B$63,0,$C$1))/(1+OFFSET(Assumptions!$B$64,0,$C$1))-T$257,0))</f>
        <v>3.6057000000000001</v>
      </c>
      <c r="V257" s="16">
        <f ca="1">U$257+IF(OFFSET(Assumptions!$B$57,0,$C$1)="Yes",Exogenous!$H$79*Allocation!$B$15*V$247,IF(OFFSET(Assumptions!$B$58,0,$C$1)="Yes",U$257*(1+(SUMPRODUCT(Exogenous!$H$82:$H$85,'Population Treasury'!AG$238:AG$241)+SUMPRODUCT(Exogenous!$H$86:$H$94,'Population Treasury'!AG$243:AG$251)+SUMPRODUCT(Exogenous!$H$95:$H$100,'Population Treasury'!AG$253:AG$258))/('Population Treasury'!AG$307/'Population Treasury'!AF$307)+(SUMPRODUCT(Exogenous!$I$82:$I$85,'Population Treasury'!AG$283:AG$286)+SUMPRODUCT(Exogenous!$I$86:$I$94,'Population Treasury'!AG$288:AG$296)+SUMPRODUCT(Exogenous!$I$95:$I$100,'Population Treasury'!AG$298:AG$303))/('Population Treasury'!AG$309/'Population Treasury'!AF$309))*(1+V$25)*(1+V$29)*(1+OFFSET(Assumptions!$B$63,0,$C$1))/(1+OFFSET(Assumptions!$B$64,0,$C$1))-U$257,0))</f>
        <v>3.6057000000000001</v>
      </c>
      <c r="W257" s="16">
        <f ca="1">V$257+IF(OFFSET(Assumptions!$B$57,0,$C$1)="Yes",Exogenous!$H$79*Allocation!$B$15*W$247,IF(OFFSET(Assumptions!$B$58,0,$C$1)="Yes",V$257*(1+(SUMPRODUCT(Exogenous!$H$82:$H$85,'Population Treasury'!AH$238:AH$241)+SUMPRODUCT(Exogenous!$H$86:$H$94,'Population Treasury'!AH$243:AH$251)+SUMPRODUCT(Exogenous!$H$95:$H$100,'Population Treasury'!AH$253:AH$258))/('Population Treasury'!AH$307/'Population Treasury'!AG$307)+(SUMPRODUCT(Exogenous!$I$82:$I$85,'Population Treasury'!AH$283:AH$286)+SUMPRODUCT(Exogenous!$I$86:$I$94,'Population Treasury'!AH$288:AH$296)+SUMPRODUCT(Exogenous!$I$95:$I$100,'Population Treasury'!AH$298:AH$303))/('Population Treasury'!AH$309/'Population Treasury'!AG$309))*(1+W$25)*(1+W$29)*(1+OFFSET(Assumptions!$B$63,0,$C$1))/(1+OFFSET(Assumptions!$B$64,0,$C$1))-V$257,0))</f>
        <v>3.6057000000000001</v>
      </c>
      <c r="X257" s="16">
        <f ca="1">W$257+IF(OFFSET(Assumptions!$B$57,0,$C$1)="Yes",Exogenous!$H$79*Allocation!$B$15*X$247,IF(OFFSET(Assumptions!$B$58,0,$C$1)="Yes",W$257*(1+(SUMPRODUCT(Exogenous!$H$82:$H$85,'Population Treasury'!AI$238:AI$241)+SUMPRODUCT(Exogenous!$H$86:$H$94,'Population Treasury'!AI$243:AI$251)+SUMPRODUCT(Exogenous!$H$95:$H$100,'Population Treasury'!AI$253:AI$258))/('Population Treasury'!AI$307/'Population Treasury'!AH$307)+(SUMPRODUCT(Exogenous!$I$82:$I$85,'Population Treasury'!AI$283:AI$286)+SUMPRODUCT(Exogenous!$I$86:$I$94,'Population Treasury'!AI$288:AI$296)+SUMPRODUCT(Exogenous!$I$95:$I$100,'Population Treasury'!AI$298:AI$303))/('Population Treasury'!AI$309/'Population Treasury'!AH$309))*(1+X$25)*(1+X$29)*(1+OFFSET(Assumptions!$B$63,0,$C$1))/(1+OFFSET(Assumptions!$B$64,0,$C$1))-W$257,0))</f>
        <v>3.6057000000000001</v>
      </c>
    </row>
    <row r="258" spans="1:24" x14ac:dyDescent="0.25">
      <c r="A258" s="11" t="s">
        <v>1392</v>
      </c>
      <c r="B258" s="10" t="str">
        <f t="shared" si="159"/>
        <v>From Fiscal Forecasts</v>
      </c>
      <c r="D258" s="35">
        <f>Exogenous!$K$79*'Fiscal Forecasts'!D$58</f>
        <v>1.6258520000000001</v>
      </c>
      <c r="E258" s="35">
        <f>Exogenous!$K$79*'Fiscal Forecasts'!E$58</f>
        <v>1.7702989999999998</v>
      </c>
      <c r="F258" s="35">
        <f>Exogenous!$K$79*'Fiscal Forecasts'!F$58</f>
        <v>2.0277759999999998</v>
      </c>
      <c r="G258" s="35">
        <f>Exogenous!$K$79*'Fiscal Forecasts'!G$58</f>
        <v>2.4725089999999996</v>
      </c>
      <c r="H258" s="35">
        <f>Exogenous!$K$79*'Fiscal Forecasts'!H$58</f>
        <v>2.5355210000000001</v>
      </c>
      <c r="I258" s="35">
        <f>Exogenous!$K$79*'Fiscal Forecasts'!I$58</f>
        <v>2.6699109999999999</v>
      </c>
      <c r="J258" s="17">
        <f ca="1">Exogenous!$K$79*('Fiscal Forecasts'!J$58+IF(OFFSET(Assumptions!$B$56,0,$C$1)="Yes",Allocation!C$15,0))</f>
        <v>2.753215</v>
      </c>
      <c r="K258" s="17">
        <f ca="1">Exogenous!$K$79*('Fiscal Forecasts'!K$58+IF(OFFSET(Assumptions!$B$56,0,$C$1)="Yes",Allocation!D$15,0))</f>
        <v>2.9111009999999999</v>
      </c>
      <c r="L258" s="17">
        <f ca="1">Exogenous!$K$79*('Fiscal Forecasts'!L$58+IF(OFFSET(Assumptions!$B$56,0,$C$1)="Yes",Allocation!E$15,0))</f>
        <v>3.0308949999999997</v>
      </c>
      <c r="M258" s="17">
        <f ca="1">Exogenous!$K$79*('Fiscal Forecasts'!M$58+IF(OFFSET(Assumptions!$B$56,0,$C$1)="Yes",Allocation!F$15,0))</f>
        <v>3.043266</v>
      </c>
      <c r="N258" s="17">
        <f ca="1">Exogenous!$K$79*('Fiscal Forecasts'!N$58+IF(OFFSET(Assumptions!$B$56,0,$C$1)="Yes",Allocation!G$15,0))</f>
        <v>3.05626</v>
      </c>
      <c r="O258" s="16">
        <f ca="1">N$258+IF(OFFSET(Assumptions!$B$57,0,$C$1)="Yes",Exogenous!$K$79*Allocation!$B$15*O$247,IF(OFFSET(Assumptions!$B$58,0,$C$1)="Yes",N$258*(1+(SUMPRODUCT(Exogenous!$K$82:$K$85,'Population Treasury'!Z$238:Z$241)+SUMPRODUCT(Exogenous!$K$86:$K$94,'Population Treasury'!Z$243:Z$251)+SUMPRODUCT(Exogenous!$K$95:$K$100,'Population Treasury'!Z$253:Z$258))/('Population Treasury'!Z$308/'Population Treasury'!Y$308)+(SUMPRODUCT(Exogenous!$L$82:$L$85,'Population Treasury'!Z$283:Z$286)+SUMPRODUCT(Exogenous!$L$86:$L$94,'Population Treasury'!Z$288:Z$296)+SUMPRODUCT(Exogenous!$L$95:$L$100,'Population Treasury'!Z$298:Z$303))/('Population Treasury'!Z$310/'Population Treasury'!Y$310))*(1+O$25)*(1+O$29)*(1+OFFSET(Assumptions!$B$63,0,$C$1))/(1+OFFSET(Assumptions!$B$64,0,$C$1))-N$258,0))</f>
        <v>3.05626</v>
      </c>
      <c r="P258" s="16">
        <f ca="1">O$258+IF(OFFSET(Assumptions!$B$57,0,$C$1)="Yes",Exogenous!$K$79*Allocation!$B$15*P$247,IF(OFFSET(Assumptions!$B$58,0,$C$1)="Yes",O$258*(1+(SUMPRODUCT(Exogenous!$K$82:$K$85,'Population Treasury'!AA$238:AA$241)+SUMPRODUCT(Exogenous!$K$86:$K$94,'Population Treasury'!AA$243:AA$251)+SUMPRODUCT(Exogenous!$K$95:$K$100,'Population Treasury'!AA$253:AA$258))/('Population Treasury'!AA$308/'Population Treasury'!Z$308)+(SUMPRODUCT(Exogenous!$L$82:$L$85,'Population Treasury'!AA$283:AA$286)+SUMPRODUCT(Exogenous!$L$86:$L$94,'Population Treasury'!AA$288:AA$296)+SUMPRODUCT(Exogenous!$L$95:$L$100,'Population Treasury'!AA$298:AA$303))/('Population Treasury'!AA$310/'Population Treasury'!Z$310))*(1+P$25)*(1+P$29)*(1+OFFSET(Assumptions!$B$63,0,$C$1))/(1+OFFSET(Assumptions!$B$64,0,$C$1))-O$258,0))</f>
        <v>3.05626</v>
      </c>
      <c r="Q258" s="16">
        <f ca="1">P$258+IF(OFFSET(Assumptions!$B$57,0,$C$1)="Yes",Exogenous!$K$79*Allocation!$B$15*Q$247,IF(OFFSET(Assumptions!$B$58,0,$C$1)="Yes",P$258*(1+(SUMPRODUCT(Exogenous!$K$82:$K$85,'Population Treasury'!AB$238:AB$241)+SUMPRODUCT(Exogenous!$K$86:$K$94,'Population Treasury'!AB$243:AB$251)+SUMPRODUCT(Exogenous!$K$95:$K$100,'Population Treasury'!AB$253:AB$258))/('Population Treasury'!AB$308/'Population Treasury'!AA$308)+(SUMPRODUCT(Exogenous!$L$82:$L$85,'Population Treasury'!AB$283:AB$286)+SUMPRODUCT(Exogenous!$L$86:$L$94,'Population Treasury'!AB$288:AB$296)+SUMPRODUCT(Exogenous!$L$95:$L$100,'Population Treasury'!AB$298:AB$303))/('Population Treasury'!AB$310/'Population Treasury'!AA$310))*(1+Q$25)*(1+Q$29)*(1+OFFSET(Assumptions!$B$63,0,$C$1))/(1+OFFSET(Assumptions!$B$64,0,$C$1))-P$258,0))</f>
        <v>3.05626</v>
      </c>
      <c r="R258" s="16">
        <f ca="1">Q$258+IF(OFFSET(Assumptions!$B$57,0,$C$1)="Yes",Exogenous!$K$79*Allocation!$B$15*R$247,IF(OFFSET(Assumptions!$B$58,0,$C$1)="Yes",Q$258*(1+(SUMPRODUCT(Exogenous!$K$82:$K$85,'Population Treasury'!AC$238:AC$241)+SUMPRODUCT(Exogenous!$K$86:$K$94,'Population Treasury'!AC$243:AC$251)+SUMPRODUCT(Exogenous!$K$95:$K$100,'Population Treasury'!AC$253:AC$258))/('Population Treasury'!AC$308/'Population Treasury'!AB$308)+(SUMPRODUCT(Exogenous!$L$82:$L$85,'Population Treasury'!AC$283:AC$286)+SUMPRODUCT(Exogenous!$L$86:$L$94,'Population Treasury'!AC$288:AC$296)+SUMPRODUCT(Exogenous!$L$95:$L$100,'Population Treasury'!AC$298:AC$303))/('Population Treasury'!AC$310/'Population Treasury'!AB$310))*(1+R$25)*(1+R$29)*(1+OFFSET(Assumptions!$B$63,0,$C$1))/(1+OFFSET(Assumptions!$B$64,0,$C$1))-Q$258,0))</f>
        <v>3.05626</v>
      </c>
      <c r="S258" s="16">
        <f ca="1">R$258+IF(OFFSET(Assumptions!$B$57,0,$C$1)="Yes",Exogenous!$K$79*Allocation!$B$15*S$247,IF(OFFSET(Assumptions!$B$58,0,$C$1)="Yes",R$258*(1+(SUMPRODUCT(Exogenous!$K$82:$K$85,'Population Treasury'!AD$238:AD$241)+SUMPRODUCT(Exogenous!$K$86:$K$94,'Population Treasury'!AD$243:AD$251)+SUMPRODUCT(Exogenous!$K$95:$K$100,'Population Treasury'!AD$253:AD$258))/('Population Treasury'!AD$308/'Population Treasury'!AC$308)+(SUMPRODUCT(Exogenous!$L$82:$L$85,'Population Treasury'!AD$283:AD$286)+SUMPRODUCT(Exogenous!$L$86:$L$94,'Population Treasury'!AD$288:AD$296)+SUMPRODUCT(Exogenous!$L$95:$L$100,'Population Treasury'!AD$298:AD$303))/('Population Treasury'!AD$310/'Population Treasury'!AC$310))*(1+S$25)*(1+S$29)*(1+OFFSET(Assumptions!$B$63,0,$C$1))/(1+OFFSET(Assumptions!$B$64,0,$C$1))-R$258,0))</f>
        <v>3.05626</v>
      </c>
      <c r="T258" s="16">
        <f ca="1">S$258+IF(OFFSET(Assumptions!$B$57,0,$C$1)="Yes",Exogenous!$K$79*Allocation!$B$15*T$247,IF(OFFSET(Assumptions!$B$58,0,$C$1)="Yes",S$258*(1+(SUMPRODUCT(Exogenous!$K$82:$K$85,'Population Treasury'!AE$238:AE$241)+SUMPRODUCT(Exogenous!$K$86:$K$94,'Population Treasury'!AE$243:AE$251)+SUMPRODUCT(Exogenous!$K$95:$K$100,'Population Treasury'!AE$253:AE$258))/('Population Treasury'!AE$308/'Population Treasury'!AD$308)+(SUMPRODUCT(Exogenous!$L$82:$L$85,'Population Treasury'!AE$283:AE$286)+SUMPRODUCT(Exogenous!$L$86:$L$94,'Population Treasury'!AE$288:AE$296)+SUMPRODUCT(Exogenous!$L$95:$L$100,'Population Treasury'!AE$298:AE$303))/('Population Treasury'!AE$310/'Population Treasury'!AD$310))*(1+T$25)*(1+T$29)*(1+OFFSET(Assumptions!$B$63,0,$C$1))/(1+OFFSET(Assumptions!$B$64,0,$C$1))-S$258,0))</f>
        <v>3.05626</v>
      </c>
      <c r="U258" s="16">
        <f ca="1">T$258+IF(OFFSET(Assumptions!$B$57,0,$C$1)="Yes",Exogenous!$K$79*Allocation!$B$15*U$247,IF(OFFSET(Assumptions!$B$58,0,$C$1)="Yes",T$258*(1+(SUMPRODUCT(Exogenous!$K$82:$K$85,'Population Treasury'!AF$238:AF$241)+SUMPRODUCT(Exogenous!$K$86:$K$94,'Population Treasury'!AF$243:AF$251)+SUMPRODUCT(Exogenous!$K$95:$K$100,'Population Treasury'!AF$253:AF$258))/('Population Treasury'!AF$308/'Population Treasury'!AE$308)+(SUMPRODUCT(Exogenous!$L$82:$L$85,'Population Treasury'!AF$283:AF$286)+SUMPRODUCT(Exogenous!$L$86:$L$94,'Population Treasury'!AF$288:AF$296)+SUMPRODUCT(Exogenous!$L$95:$L$100,'Population Treasury'!AF$298:AF$303))/('Population Treasury'!AF$310/'Population Treasury'!AE$310))*(1+U$25)*(1+U$29)*(1+OFFSET(Assumptions!$B$63,0,$C$1))/(1+OFFSET(Assumptions!$B$64,0,$C$1))-T$258,0))</f>
        <v>3.05626</v>
      </c>
      <c r="V258" s="16">
        <f ca="1">U$258+IF(OFFSET(Assumptions!$B$57,0,$C$1)="Yes",Exogenous!$K$79*Allocation!$B$15*V$247,IF(OFFSET(Assumptions!$B$58,0,$C$1)="Yes",U$258*(1+(SUMPRODUCT(Exogenous!$K$82:$K$85,'Population Treasury'!AG$238:AG$241)+SUMPRODUCT(Exogenous!$K$86:$K$94,'Population Treasury'!AG$243:AG$251)+SUMPRODUCT(Exogenous!$K$95:$K$100,'Population Treasury'!AG$253:AG$258))/('Population Treasury'!AG$308/'Population Treasury'!AF$308)+(SUMPRODUCT(Exogenous!$L$82:$L$85,'Population Treasury'!AG$283:AG$286)+SUMPRODUCT(Exogenous!$L$86:$L$94,'Population Treasury'!AG$288:AG$296)+SUMPRODUCT(Exogenous!$L$95:$L$100,'Population Treasury'!AG$298:AG$303))/('Population Treasury'!AG$310/'Population Treasury'!AF$310))*(1+V$25)*(1+V$29)*(1+OFFSET(Assumptions!$B$63,0,$C$1))/(1+OFFSET(Assumptions!$B$64,0,$C$1))-U$258,0))</f>
        <v>3.05626</v>
      </c>
      <c r="W258" s="16">
        <f ca="1">V$258+IF(OFFSET(Assumptions!$B$57,0,$C$1)="Yes",Exogenous!$K$79*Allocation!$B$15*W$247,IF(OFFSET(Assumptions!$B$58,0,$C$1)="Yes",V$258*(1+(SUMPRODUCT(Exogenous!$K$82:$K$85,'Population Treasury'!AH$238:AH$241)+SUMPRODUCT(Exogenous!$K$86:$K$94,'Population Treasury'!AH$243:AH$251)+SUMPRODUCT(Exogenous!$K$95:$K$100,'Population Treasury'!AH$253:AH$258))/('Population Treasury'!AH$308/'Population Treasury'!AG$308)+(SUMPRODUCT(Exogenous!$L$82:$L$85,'Population Treasury'!AH$283:AH$286)+SUMPRODUCT(Exogenous!$L$86:$L$94,'Population Treasury'!AH$288:AH$296)+SUMPRODUCT(Exogenous!$L$95:$L$100,'Population Treasury'!AH$298:AH$303))/('Population Treasury'!AH$310/'Population Treasury'!AG$310))*(1+W$25)*(1+W$29)*(1+OFFSET(Assumptions!$B$63,0,$C$1))/(1+OFFSET(Assumptions!$B$64,0,$C$1))-V$258,0))</f>
        <v>3.05626</v>
      </c>
      <c r="X258" s="16">
        <f ca="1">W$258+IF(OFFSET(Assumptions!$B$57,0,$C$1)="Yes",Exogenous!$K$79*Allocation!$B$15*X$247,IF(OFFSET(Assumptions!$B$58,0,$C$1)="Yes",W$258*(1+(SUMPRODUCT(Exogenous!$K$82:$K$85,'Population Treasury'!AI$238:AI$241)+SUMPRODUCT(Exogenous!$K$86:$K$94,'Population Treasury'!AI$243:AI$251)+SUMPRODUCT(Exogenous!$K$95:$K$100,'Population Treasury'!AI$253:AI$258))/('Population Treasury'!AI$308/'Population Treasury'!AH$308)+(SUMPRODUCT(Exogenous!$L$82:$L$85,'Population Treasury'!AI$283:AI$286)+SUMPRODUCT(Exogenous!$L$86:$L$94,'Population Treasury'!AI$288:AI$296)+SUMPRODUCT(Exogenous!$L$95:$L$100,'Population Treasury'!AI$298:AI$303))/('Population Treasury'!AI$310/'Population Treasury'!AH$310))*(1+X$25)*(1+X$29)*(1+OFFSET(Assumptions!$B$63,0,$C$1))/(1+OFFSET(Assumptions!$B$64,0,$C$1))-W$258,0))</f>
        <v>3.05626</v>
      </c>
    </row>
    <row r="259" spans="1:24" x14ac:dyDescent="0.25">
      <c r="A259" s="11" t="s">
        <v>1393</v>
      </c>
      <c r="B259" s="10" t="str">
        <f t="shared" si="159"/>
        <v>From Fiscal Forecasts</v>
      </c>
      <c r="D259" s="35">
        <f>Exogenous!$N$79*'Fiscal Forecasts'!D$58</f>
        <v>0.84032799999999996</v>
      </c>
      <c r="E259" s="35">
        <f>Exogenous!$N$79*'Fiscal Forecasts'!E$58</f>
        <v>0.91498599999999985</v>
      </c>
      <c r="F259" s="35">
        <f>Exogenous!$N$79*'Fiscal Forecasts'!F$58</f>
        <v>1.0480639999999999</v>
      </c>
      <c r="G259" s="35">
        <f>Exogenous!$N$79*'Fiscal Forecasts'!G$58</f>
        <v>1.2779259999999999</v>
      </c>
      <c r="H259" s="35">
        <f>Exogenous!$N$79*'Fiscal Forecasts'!H$58</f>
        <v>1.310494</v>
      </c>
      <c r="I259" s="35">
        <f>Exogenous!$N$79*'Fiscal Forecasts'!I$58</f>
        <v>1.3799539999999999</v>
      </c>
      <c r="J259" s="17">
        <f ca="1">Exogenous!$N$79*('Fiscal Forecasts'!J$58+IF(OFFSET(Assumptions!$B$56,0,$C$1)="Yes",Allocation!C$15,0))</f>
        <v>1.4230099999999999</v>
      </c>
      <c r="K259" s="17">
        <f ca="1">Exogenous!$N$79*('Fiscal Forecasts'!K$58+IF(OFFSET(Assumptions!$B$56,0,$C$1)="Yes",Allocation!D$15,0))</f>
        <v>1.5046140000000001</v>
      </c>
      <c r="L259" s="17">
        <f ca="1">Exogenous!$N$79*('Fiscal Forecasts'!L$58+IF(OFFSET(Assumptions!$B$56,0,$C$1)="Yes",Allocation!E$15,0))</f>
        <v>1.56653</v>
      </c>
      <c r="M259" s="17">
        <f ca="1">Exogenous!$N$79*('Fiscal Forecasts'!M$58+IF(OFFSET(Assumptions!$B$56,0,$C$1)="Yes",Allocation!F$15,0))</f>
        <v>1.572924</v>
      </c>
      <c r="N259" s="17">
        <f ca="1">Exogenous!$N$79*('Fiscal Forecasts'!N$58+IF(OFFSET(Assumptions!$B$56,0,$C$1)="Yes",Allocation!G$15,0))</f>
        <v>1.5796400000000002</v>
      </c>
      <c r="O259" s="16">
        <f ca="1">N$259+IF(OFFSET(Assumptions!$B$57,0,$C$1)="Yes",Exogenous!$N$79*Allocation!$B$15*O$247,IF(OFFSET(Assumptions!$B$58,0,$C$1)="Yes",N$259*(1+(SUMPRODUCT(Exogenous!$N$82:$N$85,'Population Treasury'!Z$238:Z$241)+SUMPRODUCT(Exogenous!$N$86:$N$94,'Population Treasury'!Z$243:Z$251)+SUMPRODUCT(Exogenous!$N$95:$N$100,'Population Treasury'!Z$253:Z$258))/('Population Treasury'!Z$308/'Population Treasury'!Y$308)+(SUMPRODUCT(Exogenous!$O$82:$O$85,'Population Treasury'!Z$283:Z$286)+SUMPRODUCT(Exogenous!$O$86:$O$94,'Population Treasury'!Z$288:Z$296)+SUMPRODUCT(Exogenous!$O$95:$O$100,'Population Treasury'!Z$298:Z$303))/('Population Treasury'!Z$310/'Population Treasury'!Y$310))*(1+O$25)*(1+O$29)*(1+OFFSET(Assumptions!$B$63,0,$C$1))/(1+OFFSET(Assumptions!$B$64,0,$C$1))-N$259,0))</f>
        <v>1.5796400000000002</v>
      </c>
      <c r="P259" s="16">
        <f ca="1">O$259+IF(OFFSET(Assumptions!$B$57,0,$C$1)="Yes",Exogenous!$N$79*Allocation!$B$15*P$247,IF(OFFSET(Assumptions!$B$58,0,$C$1)="Yes",O$259*(1+(SUMPRODUCT(Exogenous!$N$82:$N$85,'Population Treasury'!AA$238:AA$241)+SUMPRODUCT(Exogenous!$N$86:$N$94,'Population Treasury'!AA$243:AA$251)+SUMPRODUCT(Exogenous!$N$95:$N$100,'Population Treasury'!AA$253:AA$258))/('Population Treasury'!AA$308/'Population Treasury'!Z$308)+(SUMPRODUCT(Exogenous!$O$82:$O$85,'Population Treasury'!AA$283:AA$286)+SUMPRODUCT(Exogenous!$O$86:$O$94,'Population Treasury'!AA$288:AA$296)+SUMPRODUCT(Exogenous!$O$95:$O$100,'Population Treasury'!AA$298:AA$303))/('Population Treasury'!AA$310/'Population Treasury'!Z$310))*(1+P$25)*(1+P$29)*(1+OFFSET(Assumptions!$B$63,0,$C$1))/(1+OFFSET(Assumptions!$B$64,0,$C$1))-O$259,0))</f>
        <v>1.5796400000000002</v>
      </c>
      <c r="Q259" s="16">
        <f ca="1">P$259+IF(OFFSET(Assumptions!$B$57,0,$C$1)="Yes",Exogenous!$N$79*Allocation!$B$15*Q$247,IF(OFFSET(Assumptions!$B$58,0,$C$1)="Yes",P$259*(1+(SUMPRODUCT(Exogenous!$N$82:$N$85,'Population Treasury'!AB$238:AB$241)+SUMPRODUCT(Exogenous!$N$86:$N$94,'Population Treasury'!AB$243:AB$251)+SUMPRODUCT(Exogenous!$N$95:$N$100,'Population Treasury'!AB$253:AB$258))/('Population Treasury'!AB$308/'Population Treasury'!AA$308)+(SUMPRODUCT(Exogenous!$O$82:$O$85,'Population Treasury'!AB$283:AB$286)+SUMPRODUCT(Exogenous!$O$86:$O$94,'Population Treasury'!AB$288:AB$296)+SUMPRODUCT(Exogenous!$O$95:$O$100,'Population Treasury'!AB$298:AB$303))/('Population Treasury'!AB$310/'Population Treasury'!AA$310))*(1+Q$25)*(1+Q$29)*(1+OFFSET(Assumptions!$B$63,0,$C$1))/(1+OFFSET(Assumptions!$B$64,0,$C$1))-P$259,0))</f>
        <v>1.5796400000000002</v>
      </c>
      <c r="R259" s="16">
        <f ca="1">Q$259+IF(OFFSET(Assumptions!$B$57,0,$C$1)="Yes",Exogenous!$N$79*Allocation!$B$15*R$247,IF(OFFSET(Assumptions!$B$58,0,$C$1)="Yes",Q$259*(1+(SUMPRODUCT(Exogenous!$N$82:$N$85,'Population Treasury'!AC$238:AC$241)+SUMPRODUCT(Exogenous!$N$86:$N$94,'Population Treasury'!AC$243:AC$251)+SUMPRODUCT(Exogenous!$N$95:$N$100,'Population Treasury'!AC$253:AC$258))/('Population Treasury'!AC$308/'Population Treasury'!AB$308)+(SUMPRODUCT(Exogenous!$O$82:$O$85,'Population Treasury'!AC$283:AC$286)+SUMPRODUCT(Exogenous!$O$86:$O$94,'Population Treasury'!AC$288:AC$296)+SUMPRODUCT(Exogenous!$O$95:$O$100,'Population Treasury'!AC$298:AC$303))/('Population Treasury'!AC$310/'Population Treasury'!AB$310))*(1+R$25)*(1+R$29)*(1+OFFSET(Assumptions!$B$63,0,$C$1))/(1+OFFSET(Assumptions!$B$64,0,$C$1))-Q$259,0))</f>
        <v>1.5796400000000002</v>
      </c>
      <c r="S259" s="16">
        <f ca="1">R$259+IF(OFFSET(Assumptions!$B$57,0,$C$1)="Yes",Exogenous!$N$79*Allocation!$B$15*S$247,IF(OFFSET(Assumptions!$B$58,0,$C$1)="Yes",R$259*(1+(SUMPRODUCT(Exogenous!$N$82:$N$85,'Population Treasury'!AD$238:AD$241)+SUMPRODUCT(Exogenous!$N$86:$N$94,'Population Treasury'!AD$243:AD$251)+SUMPRODUCT(Exogenous!$N$95:$N$100,'Population Treasury'!AD$253:AD$258))/('Population Treasury'!AD$308/'Population Treasury'!AC$308)+(SUMPRODUCT(Exogenous!$O$82:$O$85,'Population Treasury'!AD$283:AD$286)+SUMPRODUCT(Exogenous!$O$86:$O$94,'Population Treasury'!AD$288:AD$296)+SUMPRODUCT(Exogenous!$O$95:$O$100,'Population Treasury'!AD$298:AD$303))/('Population Treasury'!AD$310/'Population Treasury'!AC$310))*(1+S$25)*(1+S$29)*(1+OFFSET(Assumptions!$B$63,0,$C$1))/(1+OFFSET(Assumptions!$B$64,0,$C$1))-R$259,0))</f>
        <v>1.5796400000000002</v>
      </c>
      <c r="T259" s="16">
        <f ca="1">S$259+IF(OFFSET(Assumptions!$B$57,0,$C$1)="Yes",Exogenous!$N$79*Allocation!$B$15*T$247,IF(OFFSET(Assumptions!$B$58,0,$C$1)="Yes",S$259*(1+(SUMPRODUCT(Exogenous!$N$82:$N$85,'Population Treasury'!AE$238:AE$241)+SUMPRODUCT(Exogenous!$N$86:$N$94,'Population Treasury'!AE$243:AE$251)+SUMPRODUCT(Exogenous!$N$95:$N$100,'Population Treasury'!AE$253:AE$258))/('Population Treasury'!AE$308/'Population Treasury'!AD$308)+(SUMPRODUCT(Exogenous!$O$82:$O$85,'Population Treasury'!AE$283:AE$286)+SUMPRODUCT(Exogenous!$O$86:$O$94,'Population Treasury'!AE$288:AE$296)+SUMPRODUCT(Exogenous!$O$95:$O$100,'Population Treasury'!AE$298:AE$303))/('Population Treasury'!AE$310/'Population Treasury'!AD$310))*(1+T$25)*(1+T$29)*(1+OFFSET(Assumptions!$B$63,0,$C$1))/(1+OFFSET(Assumptions!$B$64,0,$C$1))-S$259,0))</f>
        <v>1.5796400000000002</v>
      </c>
      <c r="U259" s="16">
        <f ca="1">T$259+IF(OFFSET(Assumptions!$B$57,0,$C$1)="Yes",Exogenous!$N$79*Allocation!$B$15*U$247,IF(OFFSET(Assumptions!$B$58,0,$C$1)="Yes",T$259*(1+(SUMPRODUCT(Exogenous!$N$82:$N$85,'Population Treasury'!AF$238:AF$241)+SUMPRODUCT(Exogenous!$N$86:$N$94,'Population Treasury'!AF$243:AF$251)+SUMPRODUCT(Exogenous!$N$95:$N$100,'Population Treasury'!AF$253:AF$258))/('Population Treasury'!AF$308/'Population Treasury'!AE$308)+(SUMPRODUCT(Exogenous!$O$82:$O$85,'Population Treasury'!AF$283:AF$286)+SUMPRODUCT(Exogenous!$O$86:$O$94,'Population Treasury'!AF$288:AF$296)+SUMPRODUCT(Exogenous!$O$95:$O$100,'Population Treasury'!AF$298:AF$303))/('Population Treasury'!AF$310/'Population Treasury'!AE$310))*(1+U$25)*(1+U$29)*(1+OFFSET(Assumptions!$B$63,0,$C$1))/(1+OFFSET(Assumptions!$B$64,0,$C$1))-T$259,0))</f>
        <v>1.5796400000000002</v>
      </c>
      <c r="V259" s="16">
        <f ca="1">U$259+IF(OFFSET(Assumptions!$B$57,0,$C$1)="Yes",Exogenous!$N$79*Allocation!$B$15*V$247,IF(OFFSET(Assumptions!$B$58,0,$C$1)="Yes",U$259*(1+(SUMPRODUCT(Exogenous!$N$82:$N$85,'Population Treasury'!AG$238:AG$241)+SUMPRODUCT(Exogenous!$N$86:$N$94,'Population Treasury'!AG$243:AG$251)+SUMPRODUCT(Exogenous!$N$95:$N$100,'Population Treasury'!AG$253:AG$258))/('Population Treasury'!AG$308/'Population Treasury'!AF$308)+(SUMPRODUCT(Exogenous!$O$82:$O$85,'Population Treasury'!AG$283:AG$286)+SUMPRODUCT(Exogenous!$O$86:$O$94,'Population Treasury'!AG$288:AG$296)+SUMPRODUCT(Exogenous!$O$95:$O$100,'Population Treasury'!AG$298:AG$303))/('Population Treasury'!AG$310/'Population Treasury'!AF$310))*(1+V$25)*(1+V$29)*(1+OFFSET(Assumptions!$B$63,0,$C$1))/(1+OFFSET(Assumptions!$B$64,0,$C$1))-U$259,0))</f>
        <v>1.5796400000000002</v>
      </c>
      <c r="W259" s="16">
        <f ca="1">V$259+IF(OFFSET(Assumptions!$B$57,0,$C$1)="Yes",Exogenous!$N$79*Allocation!$B$15*W$247,IF(OFFSET(Assumptions!$B$58,0,$C$1)="Yes",V$259*(1+(SUMPRODUCT(Exogenous!$N$82:$N$85,'Population Treasury'!AH$238:AH$241)+SUMPRODUCT(Exogenous!$N$86:$N$94,'Population Treasury'!AH$243:AH$251)+SUMPRODUCT(Exogenous!$N$95:$N$100,'Population Treasury'!AH$253:AH$258))/('Population Treasury'!AH$308/'Population Treasury'!AG$308)+(SUMPRODUCT(Exogenous!$O$82:$O$85,'Population Treasury'!AH$283:AH$286)+SUMPRODUCT(Exogenous!$O$86:$O$94,'Population Treasury'!AH$288:AH$296)+SUMPRODUCT(Exogenous!$O$95:$O$100,'Population Treasury'!AH$298:AH$303))/('Population Treasury'!AH$310/'Population Treasury'!AG$310))*(1+W$25)*(1+W$29)*(1+OFFSET(Assumptions!$B$63,0,$C$1))/(1+OFFSET(Assumptions!$B$64,0,$C$1))-V$259,0))</f>
        <v>1.5796400000000002</v>
      </c>
      <c r="X259" s="16">
        <f ca="1">W$259+IF(OFFSET(Assumptions!$B$57,0,$C$1)="Yes",Exogenous!$N$79*Allocation!$B$15*X$247,IF(OFFSET(Assumptions!$B$58,0,$C$1)="Yes",W$259*(1+(SUMPRODUCT(Exogenous!$N$82:$N$85,'Population Treasury'!AI$238:AI$241)+SUMPRODUCT(Exogenous!$N$86:$N$94,'Population Treasury'!AI$243:AI$251)+SUMPRODUCT(Exogenous!$N$95:$N$100,'Population Treasury'!AI$253:AI$258))/('Population Treasury'!AI$308/'Population Treasury'!AH$308)+(SUMPRODUCT(Exogenous!$O$82:$O$85,'Population Treasury'!AI$283:AI$286)+SUMPRODUCT(Exogenous!$O$86:$O$94,'Population Treasury'!AI$288:AI$296)+SUMPRODUCT(Exogenous!$O$95:$O$100,'Population Treasury'!AI$298:AI$303))/('Population Treasury'!AI$310/'Population Treasury'!AH$310))*(1+X$25)*(1+X$29)*(1+OFFSET(Assumptions!$B$63,0,$C$1))/(1+OFFSET(Assumptions!$B$64,0,$C$1))-W$259,0))</f>
        <v>1.5796400000000002</v>
      </c>
    </row>
    <row r="260" spans="1:24" x14ac:dyDescent="0.25">
      <c r="A260" s="11" t="s">
        <v>1394</v>
      </c>
      <c r="B260" s="10" t="str">
        <f t="shared" si="159"/>
        <v>From Fiscal Forecasts</v>
      </c>
      <c r="D260" s="35">
        <f>Exogenous!$Q$79*'Fiscal Forecasts'!D$58</f>
        <v>0.27401999999999999</v>
      </c>
      <c r="E260" s="35">
        <f>Exogenous!$Q$79*'Fiscal Forecasts'!E$58</f>
        <v>0.29836499999999994</v>
      </c>
      <c r="F260" s="35">
        <f>Exogenous!$Q$79*'Fiscal Forecasts'!F$58</f>
        <v>0.34175999999999995</v>
      </c>
      <c r="G260" s="35">
        <f>Exogenous!$Q$79*'Fiscal Forecasts'!G$58</f>
        <v>0.41671499999999995</v>
      </c>
      <c r="H260" s="35">
        <f>Exogenous!$Q$79*'Fiscal Forecasts'!H$58</f>
        <v>0.42733500000000002</v>
      </c>
      <c r="I260" s="35">
        <f>Exogenous!$Q$79*'Fiscal Forecasts'!I$58</f>
        <v>0.44998499999999997</v>
      </c>
      <c r="J260" s="17">
        <f ca="1">Exogenous!$Q$79*('Fiscal Forecasts'!J$58+IF(OFFSET(Assumptions!$B$56,0,$C$1)="Yes",Allocation!C$15,0))</f>
        <v>0.46402499999999997</v>
      </c>
      <c r="K260" s="17">
        <f ca="1">Exogenous!$Q$79*('Fiscal Forecasts'!K$58+IF(OFFSET(Assumptions!$B$56,0,$C$1)="Yes",Allocation!D$15,0))</f>
        <v>0.49063500000000004</v>
      </c>
      <c r="L260" s="17">
        <f ca="1">Exogenous!$Q$79*('Fiscal Forecasts'!L$58+IF(OFFSET(Assumptions!$B$56,0,$C$1)="Yes",Allocation!E$15,0))</f>
        <v>0.51082499999999997</v>
      </c>
      <c r="M260" s="17">
        <f ca="1">Exogenous!$Q$79*('Fiscal Forecasts'!M$58+IF(OFFSET(Assumptions!$B$56,0,$C$1)="Yes",Allocation!F$15,0))</f>
        <v>0.51290999999999998</v>
      </c>
      <c r="N260" s="17">
        <f ca="1">Exogenous!$Q$79*('Fiscal Forecasts'!N$58+IF(OFFSET(Assumptions!$B$56,0,$C$1)="Yes",Allocation!G$15,0))</f>
        <v>0.5151</v>
      </c>
      <c r="O260" s="16">
        <f ca="1">N$260+IF(OFFSET(Assumptions!$B$57,0,$C$1)="Yes",Exogenous!$Q$79*Allocation!$B$15*O$247,IF(OFFSET(Assumptions!$B$58,0,$C$1)="Yes",N$260*(1+(SUMPRODUCT(Exogenous!$Q$82:$Q$85,'Population Treasury'!Z$238:Z$241)+SUMPRODUCT(Exogenous!$Q$86:$Q$94,'Population Treasury'!Z$243:Z$251)+SUMPRODUCT(Exogenous!$Q$95:$Q$100,'Population Treasury'!Z$253:Z$258))/('Population Treasury'!Z$307/'Population Treasury'!Y$307)+(SUMPRODUCT(Exogenous!$R$82:$R$85,'Population Treasury'!Z$283:Z$286)+SUMPRODUCT(Exogenous!$R$86:$R$94,'Population Treasury'!Z$288:Z$296)+SUMPRODUCT(Exogenous!$R$95:$R$100,'Population Treasury'!Z$298:Z$303))/('Population Treasury'!Z$309/'Population Treasury'!Y$309))*(1+O$25)*(1+O$29)*(1+OFFSET(Assumptions!$B$63,0,$C$1))/(1+OFFSET(Assumptions!$B$64,0,$C$1))-N$260,0))</f>
        <v>0.5151</v>
      </c>
      <c r="P260" s="16">
        <f ca="1">O$260+IF(OFFSET(Assumptions!$B$57,0,$C$1)="Yes",Exogenous!$Q$79*Allocation!$B$15*P$247,IF(OFFSET(Assumptions!$B$58,0,$C$1)="Yes",O$260*(1+(SUMPRODUCT(Exogenous!$Q$82:$Q$85,'Population Treasury'!AA$238:AA$241)+SUMPRODUCT(Exogenous!$Q$86:$Q$94,'Population Treasury'!AA$243:AA$251)+SUMPRODUCT(Exogenous!$Q$95:$Q$100,'Population Treasury'!AA$253:AA$258))/('Population Treasury'!AA$307/'Population Treasury'!Z$307)+(SUMPRODUCT(Exogenous!$R$82:$R$85,'Population Treasury'!AA$283:AA$286)+SUMPRODUCT(Exogenous!$R$86:$R$94,'Population Treasury'!AA$288:AA$296)+SUMPRODUCT(Exogenous!$R$95:$R$100,'Population Treasury'!AA$298:AA$303))/('Population Treasury'!AA$309/'Population Treasury'!Z$309))*(1+P$25)*(1+P$29)*(1+OFFSET(Assumptions!$B$63,0,$C$1))/(1+OFFSET(Assumptions!$B$64,0,$C$1))-O$260,0))</f>
        <v>0.5151</v>
      </c>
      <c r="Q260" s="16">
        <f ca="1">P$260+IF(OFFSET(Assumptions!$B$57,0,$C$1)="Yes",Exogenous!$Q$79*Allocation!$B$15*Q$247,IF(OFFSET(Assumptions!$B$58,0,$C$1)="Yes",P$260*(1+(SUMPRODUCT(Exogenous!$Q$82:$Q$85,'Population Treasury'!AB$238:AB$241)+SUMPRODUCT(Exogenous!$Q$86:$Q$94,'Population Treasury'!AB$243:AB$251)+SUMPRODUCT(Exogenous!$Q$95:$Q$100,'Population Treasury'!AB$253:AB$258))/('Population Treasury'!AB$307/'Population Treasury'!AA$307)+(SUMPRODUCT(Exogenous!$R$82:$R$85,'Population Treasury'!AB$283:AB$286)+SUMPRODUCT(Exogenous!$R$86:$R$94,'Population Treasury'!AB$288:AB$296)+SUMPRODUCT(Exogenous!$R$95:$R$100,'Population Treasury'!AB$298:AB$303))/('Population Treasury'!AB$309/'Population Treasury'!AA$309))*(1+Q$25)*(1+Q$29)*(1+OFFSET(Assumptions!$B$63,0,$C$1))/(1+OFFSET(Assumptions!$B$64,0,$C$1))-P$260,0))</f>
        <v>0.5151</v>
      </c>
      <c r="R260" s="16">
        <f ca="1">Q$260+IF(OFFSET(Assumptions!$B$57,0,$C$1)="Yes",Exogenous!$Q$79*Allocation!$B$15*R$247,IF(OFFSET(Assumptions!$B$58,0,$C$1)="Yes",Q$260*(1+(SUMPRODUCT(Exogenous!$Q$82:$Q$85,'Population Treasury'!AC$238:AC$241)+SUMPRODUCT(Exogenous!$Q$86:$Q$94,'Population Treasury'!AC$243:AC$251)+SUMPRODUCT(Exogenous!$Q$95:$Q$100,'Population Treasury'!AC$253:AC$258))/('Population Treasury'!AC$307/'Population Treasury'!AB$307)+(SUMPRODUCT(Exogenous!$R$82:$R$85,'Population Treasury'!AC$283:AC$286)+SUMPRODUCT(Exogenous!$R$86:$R$94,'Population Treasury'!AC$288:AC$296)+SUMPRODUCT(Exogenous!$R$95:$R$100,'Population Treasury'!AC$298:AC$303))/('Population Treasury'!AC$309/'Population Treasury'!AB$309))*(1+R$25)*(1+R$29)*(1+OFFSET(Assumptions!$B$63,0,$C$1))/(1+OFFSET(Assumptions!$B$64,0,$C$1))-Q$260,0))</f>
        <v>0.5151</v>
      </c>
      <c r="S260" s="16">
        <f ca="1">R$260+IF(OFFSET(Assumptions!$B$57,0,$C$1)="Yes",Exogenous!$Q$79*Allocation!$B$15*S$247,IF(OFFSET(Assumptions!$B$58,0,$C$1)="Yes",R$260*(1+(SUMPRODUCT(Exogenous!$Q$82:$Q$85,'Population Treasury'!AD$238:AD$241)+SUMPRODUCT(Exogenous!$Q$86:$Q$94,'Population Treasury'!AD$243:AD$251)+SUMPRODUCT(Exogenous!$Q$95:$Q$100,'Population Treasury'!AD$253:AD$258))/('Population Treasury'!AD$307/'Population Treasury'!AC$307)+(SUMPRODUCT(Exogenous!$R$82:$R$85,'Population Treasury'!AD$283:AD$286)+SUMPRODUCT(Exogenous!$R$86:$R$94,'Population Treasury'!AD$288:AD$296)+SUMPRODUCT(Exogenous!$R$95:$R$100,'Population Treasury'!AD$298:AD$303))/('Population Treasury'!AD$309/'Population Treasury'!AC$309))*(1+S$25)*(1+S$29)*(1+OFFSET(Assumptions!$B$63,0,$C$1))/(1+OFFSET(Assumptions!$B$64,0,$C$1))-R$260,0))</f>
        <v>0.5151</v>
      </c>
      <c r="T260" s="16">
        <f ca="1">S$260+IF(OFFSET(Assumptions!$B$57,0,$C$1)="Yes",Exogenous!$Q$79*Allocation!$B$15*T$247,IF(OFFSET(Assumptions!$B$58,0,$C$1)="Yes",S$260*(1+(SUMPRODUCT(Exogenous!$Q$82:$Q$85,'Population Treasury'!AE$238:AE$241)+SUMPRODUCT(Exogenous!$Q$86:$Q$94,'Population Treasury'!AE$243:AE$251)+SUMPRODUCT(Exogenous!$Q$95:$Q$100,'Population Treasury'!AE$253:AE$258))/('Population Treasury'!AE$307/'Population Treasury'!AD$307)+(SUMPRODUCT(Exogenous!$R$82:$R$85,'Population Treasury'!AE$283:AE$286)+SUMPRODUCT(Exogenous!$R$86:$R$94,'Population Treasury'!AE$288:AE$296)+SUMPRODUCT(Exogenous!$R$95:$R$100,'Population Treasury'!AE$298:AE$303))/('Population Treasury'!AE$309/'Population Treasury'!AD$309))*(1+T$25)*(1+T$29)*(1+OFFSET(Assumptions!$B$63,0,$C$1))/(1+OFFSET(Assumptions!$B$64,0,$C$1))-S$260,0))</f>
        <v>0.5151</v>
      </c>
      <c r="U260" s="16">
        <f ca="1">T$260+IF(OFFSET(Assumptions!$B$57,0,$C$1)="Yes",Exogenous!$Q$79*Allocation!$B$15*U$247,IF(OFFSET(Assumptions!$B$58,0,$C$1)="Yes",T$260*(1+(SUMPRODUCT(Exogenous!$Q$82:$Q$85,'Population Treasury'!AF$238:AF$241)+SUMPRODUCT(Exogenous!$Q$86:$Q$94,'Population Treasury'!AF$243:AF$251)+SUMPRODUCT(Exogenous!$Q$95:$Q$100,'Population Treasury'!AF$253:AF$258))/('Population Treasury'!AF$307/'Population Treasury'!AE$307)+(SUMPRODUCT(Exogenous!$R$82:$R$85,'Population Treasury'!AF$283:AF$286)+SUMPRODUCT(Exogenous!$R$86:$R$94,'Population Treasury'!AF$288:AF$296)+SUMPRODUCT(Exogenous!$R$95:$R$100,'Population Treasury'!AF$298:AF$303))/('Population Treasury'!AF$309/'Population Treasury'!AE$309))*(1+U$25)*(1+U$29)*(1+OFFSET(Assumptions!$B$63,0,$C$1))/(1+OFFSET(Assumptions!$B$64,0,$C$1))-T$260,0))</f>
        <v>0.5151</v>
      </c>
      <c r="V260" s="16">
        <f ca="1">U$260+IF(OFFSET(Assumptions!$B$57,0,$C$1)="Yes",Exogenous!$Q$79*Allocation!$B$15*V$247,IF(OFFSET(Assumptions!$B$58,0,$C$1)="Yes",U$260*(1+(SUMPRODUCT(Exogenous!$Q$82:$Q$85,'Population Treasury'!AG$238:AG$241)+SUMPRODUCT(Exogenous!$Q$86:$Q$94,'Population Treasury'!AG$243:AG$251)+SUMPRODUCT(Exogenous!$Q$95:$Q$100,'Population Treasury'!AG$253:AG$258))/('Population Treasury'!AG$307/'Population Treasury'!AF$307)+(SUMPRODUCT(Exogenous!$R$82:$R$85,'Population Treasury'!AG$283:AG$286)+SUMPRODUCT(Exogenous!$R$86:$R$94,'Population Treasury'!AG$288:AG$296)+SUMPRODUCT(Exogenous!$R$95:$R$100,'Population Treasury'!AG$298:AG$303))/('Population Treasury'!AG$309/'Population Treasury'!AF$309))*(1+V$25)*(1+V$29)*(1+OFFSET(Assumptions!$B$63,0,$C$1))/(1+OFFSET(Assumptions!$B$64,0,$C$1))-U$260,0))</f>
        <v>0.5151</v>
      </c>
      <c r="W260" s="16">
        <f ca="1">V$260+IF(OFFSET(Assumptions!$B$57,0,$C$1)="Yes",Exogenous!$Q$79*Allocation!$B$15*W$247,IF(OFFSET(Assumptions!$B$58,0,$C$1)="Yes",V$260*(1+(SUMPRODUCT(Exogenous!$Q$82:$Q$85,'Population Treasury'!AH$238:AH$241)+SUMPRODUCT(Exogenous!$Q$86:$Q$94,'Population Treasury'!AH$243:AH$251)+SUMPRODUCT(Exogenous!$Q$95:$Q$100,'Population Treasury'!AH$253:AH$258))/('Population Treasury'!AH$307/'Population Treasury'!AG$307)+(SUMPRODUCT(Exogenous!$R$82:$R$85,'Population Treasury'!AH$283:AH$286)+SUMPRODUCT(Exogenous!$R$86:$R$94,'Population Treasury'!AH$288:AH$296)+SUMPRODUCT(Exogenous!$R$95:$R$100,'Population Treasury'!AH$298:AH$303))/('Population Treasury'!AH$309/'Population Treasury'!AG$309))*(1+W$25)*(1+W$29)*(1+OFFSET(Assumptions!$B$63,0,$C$1))/(1+OFFSET(Assumptions!$B$64,0,$C$1))-V$260,0))</f>
        <v>0.5151</v>
      </c>
      <c r="X260" s="16">
        <f ca="1">W$260+IF(OFFSET(Assumptions!$B$57,0,$C$1)="Yes",Exogenous!$Q$79*Allocation!$B$15*X$247,IF(OFFSET(Assumptions!$B$58,0,$C$1)="Yes",W$260*(1+(SUMPRODUCT(Exogenous!$Q$82:$Q$85,'Population Treasury'!AI$238:AI$241)+SUMPRODUCT(Exogenous!$Q$86:$Q$94,'Population Treasury'!AI$243:AI$251)+SUMPRODUCT(Exogenous!$Q$95:$Q$100,'Population Treasury'!AI$253:AI$258))/('Population Treasury'!AI$307/'Population Treasury'!AH$307)+(SUMPRODUCT(Exogenous!$R$82:$R$85,'Population Treasury'!AI$283:AI$286)+SUMPRODUCT(Exogenous!$R$86:$R$94,'Population Treasury'!AI$288:AI$296)+SUMPRODUCT(Exogenous!$R$95:$R$100,'Population Treasury'!AI$298:AI$303))/('Population Treasury'!AI$309/'Population Treasury'!AH$309))*(1+X$25)*(1+X$29)*(1+OFFSET(Assumptions!$B$63,0,$C$1))/(1+OFFSET(Assumptions!$B$64,0,$C$1))-W$260,0))</f>
        <v>0.5151</v>
      </c>
    </row>
    <row r="261" spans="1:24" x14ac:dyDescent="0.25">
      <c r="A261" s="9" t="s">
        <v>1105</v>
      </c>
      <c r="B261" s="10"/>
      <c r="D261" s="65">
        <f>SUM(D$255:D$260)</f>
        <v>18.268000000000001</v>
      </c>
      <c r="E261" s="65">
        <f t="shared" ref="E261:X261" si="160">SUM(E$255:E$260)</f>
        <v>19.890999999999998</v>
      </c>
      <c r="F261" s="65">
        <f t="shared" si="160"/>
        <v>22.783999999999999</v>
      </c>
      <c r="G261" s="65">
        <f t="shared" si="160"/>
        <v>27.780999999999999</v>
      </c>
      <c r="H261" s="65">
        <f t="shared" si="160"/>
        <v>28.488999999999997</v>
      </c>
      <c r="I261" s="65">
        <f t="shared" si="160"/>
        <v>29.999000000000002</v>
      </c>
      <c r="J261" s="66">
        <f t="shared" ca="1" si="160"/>
        <v>30.935000000000002</v>
      </c>
      <c r="K261" s="66">
        <f t="shared" ca="1" si="160"/>
        <v>32.709000000000003</v>
      </c>
      <c r="L261" s="66">
        <f t="shared" ca="1" si="160"/>
        <v>34.055</v>
      </c>
      <c r="M261" s="66">
        <f t="shared" ca="1" si="160"/>
        <v>34.194000000000003</v>
      </c>
      <c r="N261" s="66">
        <f t="shared" ca="1" si="160"/>
        <v>34.339999999999996</v>
      </c>
      <c r="O261" s="67">
        <f t="shared" ca="1" si="160"/>
        <v>34.339999999999996</v>
      </c>
      <c r="P261" s="67">
        <f t="shared" ca="1" si="160"/>
        <v>34.339999999999996</v>
      </c>
      <c r="Q261" s="67">
        <f t="shared" ca="1" si="160"/>
        <v>34.339999999999996</v>
      </c>
      <c r="R261" s="67">
        <f t="shared" ca="1" si="160"/>
        <v>34.339999999999996</v>
      </c>
      <c r="S261" s="67">
        <f t="shared" ca="1" si="160"/>
        <v>34.339999999999996</v>
      </c>
      <c r="T261" s="67">
        <f t="shared" ca="1" si="160"/>
        <v>34.339999999999996</v>
      </c>
      <c r="U261" s="67">
        <f t="shared" ca="1" si="160"/>
        <v>34.339999999999996</v>
      </c>
      <c r="V261" s="67">
        <f t="shared" ca="1" si="160"/>
        <v>34.339999999999996</v>
      </c>
      <c r="W261" s="67">
        <f t="shared" ca="1" si="160"/>
        <v>34.339999999999996</v>
      </c>
      <c r="X261" s="67">
        <f t="shared" ca="1" si="160"/>
        <v>34.339999999999996</v>
      </c>
    </row>
    <row r="262" spans="1:24" x14ac:dyDescent="0.25">
      <c r="A262" s="11" t="s">
        <v>707</v>
      </c>
      <c r="B262" s="10" t="str">
        <f>$B$38</f>
        <v>From Fiscal Forecasts</v>
      </c>
      <c r="D262" s="35">
        <f>'Fiscal Forecasts'!D$207</f>
        <v>16.579000000000001</v>
      </c>
      <c r="E262" s="35">
        <f>'Fiscal Forecasts'!E$207</f>
        <v>17.788</v>
      </c>
      <c r="F262" s="35">
        <f>'Fiscal Forecasts'!F$207</f>
        <v>18.856000000000002</v>
      </c>
      <c r="G262" s="35">
        <f>'Fiscal Forecasts'!G$207</f>
        <v>22.004999999999999</v>
      </c>
      <c r="H262" s="35">
        <f>'Fiscal Forecasts'!H$207</f>
        <v>27.765999999999998</v>
      </c>
      <c r="I262" s="35">
        <f>'Fiscal Forecasts'!I$207</f>
        <v>27.89</v>
      </c>
      <c r="J262" s="17">
        <f>'Fiscal Forecasts'!J$207</f>
        <v>28.486999999999998</v>
      </c>
      <c r="K262" s="17">
        <f>'Fiscal Forecasts'!K$207</f>
        <v>28.939</v>
      </c>
      <c r="L262" s="17">
        <f>'Fiscal Forecasts'!L$207</f>
        <v>30.300999999999998</v>
      </c>
      <c r="M262" s="17">
        <f>'Fiscal Forecasts'!M$207</f>
        <v>30.123999999999999</v>
      </c>
      <c r="N262" s="17">
        <f>'Fiscal Forecasts'!N$207</f>
        <v>30.146999999999998</v>
      </c>
      <c r="O262" s="16">
        <f ca="1">N$262+O$261-N$261</f>
        <v>30.146999999999998</v>
      </c>
      <c r="P262" s="16">
        <f t="shared" ref="P262:X262" ca="1" si="161">O$262+P$261-O$261</f>
        <v>30.146999999999998</v>
      </c>
      <c r="Q262" s="16">
        <f t="shared" ca="1" si="161"/>
        <v>30.146999999999998</v>
      </c>
      <c r="R262" s="16">
        <f t="shared" ca="1" si="161"/>
        <v>30.146999999999998</v>
      </c>
      <c r="S262" s="16">
        <f t="shared" ca="1" si="161"/>
        <v>30.146999999999998</v>
      </c>
      <c r="T262" s="16">
        <f t="shared" ca="1" si="161"/>
        <v>30.146999999999998</v>
      </c>
      <c r="U262" s="16">
        <f t="shared" ca="1" si="161"/>
        <v>30.146999999999998</v>
      </c>
      <c r="V262" s="16">
        <f t="shared" ca="1" si="161"/>
        <v>30.146999999999998</v>
      </c>
      <c r="W262" s="16">
        <f t="shared" ca="1" si="161"/>
        <v>30.146999999999998</v>
      </c>
      <c r="X262" s="16">
        <f t="shared" ca="1" si="161"/>
        <v>30.146999999999998</v>
      </c>
    </row>
    <row r="263" spans="1:24" x14ac:dyDescent="0.25">
      <c r="A263" s="11" t="s">
        <v>866</v>
      </c>
      <c r="B263" s="10" t="str">
        <f>$B$38</f>
        <v>From Fiscal Forecasts</v>
      </c>
      <c r="D263" s="35">
        <f>'Fiscal Forecasts'!D$41-SUM(D$261:D$262)</f>
        <v>-16.187000000000001</v>
      </c>
      <c r="E263" s="35">
        <f>'Fiscal Forecasts'!E$41-SUM(E$261:E$262)</f>
        <v>-17.21</v>
      </c>
      <c r="F263" s="35">
        <f>'Fiscal Forecasts'!F$41-SUM(F$261:F$262)</f>
        <v>-19.042000000000002</v>
      </c>
      <c r="G263" s="35">
        <f>'Fiscal Forecasts'!G$41-SUM(G$261:G$262)</f>
        <v>-22.128</v>
      </c>
      <c r="H263" s="35">
        <f>'Fiscal Forecasts'!H$41-SUM(H$261:H$262)</f>
        <v>-26.430999999999994</v>
      </c>
      <c r="I263" s="35">
        <f>'Fiscal Forecasts'!I$41-SUM(I$261:I$262)</f>
        <v>-28.049000000000003</v>
      </c>
      <c r="J263" s="17">
        <f ca="1">'Fiscal Forecasts'!J$41-SUM(J$261:J$262)+IF(OFFSET(Assumptions!$B$56,0,$C$1)="Yes",Allocation!C$15,0)</f>
        <v>-28.708999999999996</v>
      </c>
      <c r="K263" s="17">
        <f ca="1">'Fiscal Forecasts'!K$41-SUM(K$261:K$262)+IF(OFFSET(Assumptions!$B$56,0,$C$1)="Yes",Allocation!D$15,0)</f>
        <v>-30.424000000000003</v>
      </c>
      <c r="L263" s="17">
        <f ca="1">'Fiscal Forecasts'!L$41-SUM(L$261:L$262)+IF(OFFSET(Assumptions!$B$56,0,$C$1)="Yes",Allocation!E$15,0)</f>
        <v>-31.830999999999996</v>
      </c>
      <c r="M263" s="17">
        <f ca="1">'Fiscal Forecasts'!M$41-SUM(M$261:M$262)+IF(OFFSET(Assumptions!$B$56,0,$C$1)="Yes",Allocation!F$15,0)</f>
        <v>-32.004999999999995</v>
      </c>
      <c r="N263" s="17">
        <f ca="1">'Fiscal Forecasts'!N$41-SUM(N$261:N$262)+IF(OFFSET(Assumptions!$B$56,0,$C$1)="Yes",Allocation!G$15,0)</f>
        <v>-32.190999999999995</v>
      </c>
      <c r="O263" s="16">
        <f ca="1">N$263-(O$261-N$261)</f>
        <v>-32.190999999999995</v>
      </c>
      <c r="P263" s="16">
        <f t="shared" ref="P263:X263" ca="1" si="162">O$263-(P$261-O$261)</f>
        <v>-32.190999999999995</v>
      </c>
      <c r="Q263" s="16">
        <f t="shared" ca="1" si="162"/>
        <v>-32.190999999999995</v>
      </c>
      <c r="R263" s="16">
        <f t="shared" ca="1" si="162"/>
        <v>-32.190999999999995</v>
      </c>
      <c r="S263" s="16">
        <f t="shared" ca="1" si="162"/>
        <v>-32.190999999999995</v>
      </c>
      <c r="T263" s="16">
        <f t="shared" ca="1" si="162"/>
        <v>-32.190999999999995</v>
      </c>
      <c r="U263" s="16">
        <f t="shared" ca="1" si="162"/>
        <v>-32.190999999999995</v>
      </c>
      <c r="V263" s="16">
        <f t="shared" ca="1" si="162"/>
        <v>-32.190999999999995</v>
      </c>
      <c r="W263" s="16">
        <f t="shared" ca="1" si="162"/>
        <v>-32.190999999999995</v>
      </c>
      <c r="X263" s="16">
        <f t="shared" ca="1" si="162"/>
        <v>-32.190999999999995</v>
      </c>
    </row>
    <row r="264" spans="1:24" x14ac:dyDescent="0.25">
      <c r="A264" s="9" t="s">
        <v>978</v>
      </c>
      <c r="D264" s="65">
        <f t="shared" ref="D264:I264" si="163">SUM(D$261:D$263)</f>
        <v>18.66</v>
      </c>
      <c r="E264" s="65">
        <f t="shared" si="163"/>
        <v>20.469000000000001</v>
      </c>
      <c r="F264" s="65">
        <f t="shared" si="163"/>
        <v>22.597999999999999</v>
      </c>
      <c r="G264" s="65">
        <f t="shared" si="163"/>
        <v>27.658000000000001</v>
      </c>
      <c r="H264" s="65">
        <f t="shared" si="163"/>
        <v>29.824000000000002</v>
      </c>
      <c r="I264" s="65">
        <f t="shared" si="163"/>
        <v>29.84</v>
      </c>
      <c r="J264" s="66">
        <f t="shared" ref="J264:X264" ca="1" si="164">SUM(J$261:J$263)</f>
        <v>30.713000000000001</v>
      </c>
      <c r="K264" s="66">
        <f t="shared" ca="1" si="164"/>
        <v>31.224</v>
      </c>
      <c r="L264" s="66">
        <f t="shared" ca="1" si="164"/>
        <v>32.524999999999999</v>
      </c>
      <c r="M264" s="66">
        <f t="shared" ca="1" si="164"/>
        <v>32.313000000000002</v>
      </c>
      <c r="N264" s="66">
        <f t="shared" ca="1" si="164"/>
        <v>32.295999999999999</v>
      </c>
      <c r="O264" s="67">
        <f t="shared" ca="1" si="164"/>
        <v>32.295999999999999</v>
      </c>
      <c r="P264" s="67">
        <f t="shared" ca="1" si="164"/>
        <v>32.295999999999999</v>
      </c>
      <c r="Q264" s="67">
        <f t="shared" ca="1" si="164"/>
        <v>32.295999999999999</v>
      </c>
      <c r="R264" s="67">
        <f t="shared" ca="1" si="164"/>
        <v>32.295999999999999</v>
      </c>
      <c r="S264" s="67">
        <f t="shared" ca="1" si="164"/>
        <v>32.295999999999999</v>
      </c>
      <c r="T264" s="67">
        <f t="shared" ca="1" si="164"/>
        <v>32.295999999999999</v>
      </c>
      <c r="U264" s="67">
        <f t="shared" ca="1" si="164"/>
        <v>32.295999999999999</v>
      </c>
      <c r="V264" s="67">
        <f t="shared" ca="1" si="164"/>
        <v>32.295999999999999</v>
      </c>
      <c r="W264" s="67">
        <f t="shared" ca="1" si="164"/>
        <v>32.295999999999999</v>
      </c>
      <c r="X264" s="67">
        <f t="shared" ca="1" si="164"/>
        <v>32.295999999999999</v>
      </c>
    </row>
    <row r="265" spans="1:24" x14ac:dyDescent="0.25">
      <c r="D265" s="112"/>
      <c r="E265" s="112"/>
      <c r="F265" s="112"/>
      <c r="G265" s="112"/>
      <c r="H265" s="112"/>
      <c r="I265" s="112"/>
      <c r="J265" s="112"/>
      <c r="K265" s="112"/>
      <c r="L265" s="112"/>
      <c r="M265" s="112"/>
      <c r="N265" s="112"/>
      <c r="O265" s="112"/>
      <c r="P265" s="112"/>
      <c r="Q265" s="112"/>
      <c r="R265" s="112"/>
      <c r="S265" s="112"/>
      <c r="T265" s="112"/>
      <c r="U265" s="112"/>
      <c r="V265" s="112"/>
      <c r="W265" s="112"/>
      <c r="X265" s="112"/>
    </row>
    <row r="266" spans="1:24" x14ac:dyDescent="0.25">
      <c r="A266" s="9" t="s">
        <v>979</v>
      </c>
    </row>
    <row r="267" spans="1:24" x14ac:dyDescent="0.25">
      <c r="A267" s="11" t="s">
        <v>1258</v>
      </c>
      <c r="B267" s="10" t="str">
        <f>$B$38</f>
        <v>From Fiscal Forecasts</v>
      </c>
      <c r="D267" s="35">
        <f>'Fiscal Forecasts'!D$408</f>
        <v>1.8959999999999999</v>
      </c>
      <c r="E267" s="35">
        <f>'Fiscal Forecasts'!E$408</f>
        <v>2.0070000000000001</v>
      </c>
      <c r="F267" s="35">
        <f>'Fiscal Forecasts'!F$408</f>
        <v>2.1320000000000001</v>
      </c>
      <c r="G267" s="35">
        <f>'Fiscal Forecasts'!G$408</f>
        <v>2.2469999999999999</v>
      </c>
      <c r="H267" s="35">
        <f>'Fiscal Forecasts'!H$408</f>
        <v>2.355</v>
      </c>
      <c r="I267" s="35">
        <f>'Fiscal Forecasts'!I$408</f>
        <v>2.71</v>
      </c>
      <c r="J267" s="17">
        <f ca="1">'Fiscal Forecasts'!J$408+IF(OFFSET(Assumptions!$B$56,0,$C$1)="Yes",Allocation!C$28,0)</f>
        <v>2.9649999999999999</v>
      </c>
      <c r="K267" s="17">
        <f ca="1">'Fiscal Forecasts'!K$408+IF(OFFSET(Assumptions!$B$56,0,$C$1)="Yes",Allocation!D$28,0)</f>
        <v>3.0649999999999999</v>
      </c>
      <c r="L267" s="17">
        <f ca="1">'Fiscal Forecasts'!L$408+IF(OFFSET(Assumptions!$B$56,0,$C$1)="Yes",Allocation!E$28,0)</f>
        <v>3.0990000000000002</v>
      </c>
      <c r="M267" s="17">
        <f ca="1">'Fiscal Forecasts'!M$408+IF(OFFSET(Assumptions!$B$56,0,$C$1)="Yes",Allocation!F$28,0)</f>
        <v>3.1419999999999999</v>
      </c>
      <c r="N267" s="17">
        <f ca="1">'Fiscal Forecasts'!N$408+IF(OFFSET(Assumptions!$B$56,0,$C$1)="Yes",Allocation!G$28,0)</f>
        <v>3.1850000000000001</v>
      </c>
      <c r="O267" s="16">
        <f ca="1">N$267+IF(OFFSET(Assumptions!$B$57,0,$C$1)="Yes",Allocation!$B$28*Allocation!$B$16*O$247,IF(OFFSET(Assumptions!$B$58,0,$C$1)="Yes",N$267*(1+SUMPRODUCT(Exogenous!$B$65:$B$70,'Population Treasury'!Z$214:Z$219)+SUMPRODUCT(Exogenous!$C$65:$C$70,'Population Treasury'!Z$259:Z$264))*(1+O$25)*(1+O$29)*(1+OFFSET(Assumptions!$B$61,0,$C$1))/(1+OFFSET(Assumptions!$B$62,0,$C$1))-N$267,0))</f>
        <v>3.1850000000000001</v>
      </c>
      <c r="P267" s="16">
        <f ca="1">O$267+IF(OFFSET(Assumptions!$B$57,0,$C$1)="Yes",Allocation!$B$28*Allocation!$B$16*P$247,IF(OFFSET(Assumptions!$B$58,0,$C$1)="Yes",O$267*(1+SUMPRODUCT(Exogenous!$B$65:$B$70,'Population Treasury'!AA$214:AA$219)+SUMPRODUCT(Exogenous!$C$65:$C$70,'Population Treasury'!AA$259:AA$264))*(1+P$25)*(1+P$29)*(1+OFFSET(Assumptions!$B$61,0,$C$1))/(1+OFFSET(Assumptions!$B$62,0,$C$1))-O$267,0))</f>
        <v>3.1850000000000001</v>
      </c>
      <c r="Q267" s="16">
        <f ca="1">P$267+IF(OFFSET(Assumptions!$B$57,0,$C$1)="Yes",Allocation!$B$28*Allocation!$B$16*Q$247,IF(OFFSET(Assumptions!$B$58,0,$C$1)="Yes",P$267*(1+SUMPRODUCT(Exogenous!$B$65:$B$70,'Population Treasury'!AB$214:AB$219)+SUMPRODUCT(Exogenous!$C$65:$C$70,'Population Treasury'!AB$259:AB$264))*(1+Q$25)*(1+Q$29)*(1+OFFSET(Assumptions!$B$61,0,$C$1))/(1+OFFSET(Assumptions!$B$62,0,$C$1))-P$267,0))</f>
        <v>3.1850000000000001</v>
      </c>
      <c r="R267" s="16">
        <f ca="1">Q$267+IF(OFFSET(Assumptions!$B$57,0,$C$1)="Yes",Allocation!$B$28*Allocation!$B$16*R$247,IF(OFFSET(Assumptions!$B$58,0,$C$1)="Yes",Q$267*(1+SUMPRODUCT(Exogenous!$B$65:$B$70,'Population Treasury'!AC$214:AC$219)+SUMPRODUCT(Exogenous!$C$65:$C$70,'Population Treasury'!AC$259:AC$264))*(1+R$25)*(1+R$29)*(1+OFFSET(Assumptions!$B$61,0,$C$1))/(1+OFFSET(Assumptions!$B$62,0,$C$1))-Q$267,0))</f>
        <v>3.1850000000000001</v>
      </c>
      <c r="S267" s="16">
        <f ca="1">R$267+IF(OFFSET(Assumptions!$B$57,0,$C$1)="Yes",Allocation!$B$28*Allocation!$B$16*S$247,IF(OFFSET(Assumptions!$B$58,0,$C$1)="Yes",R$267*(1+SUMPRODUCT(Exogenous!$B$65:$B$70,'Population Treasury'!AD$214:AD$219)+SUMPRODUCT(Exogenous!$C$65:$C$70,'Population Treasury'!AD$259:AD$264))*(1+S$25)*(1+S$29)*(1+OFFSET(Assumptions!$B$61,0,$C$1))/(1+OFFSET(Assumptions!$B$62,0,$C$1))-R$267,0))</f>
        <v>3.1850000000000001</v>
      </c>
      <c r="T267" s="16">
        <f ca="1">S$267+IF(OFFSET(Assumptions!$B$57,0,$C$1)="Yes",Allocation!$B$28*Allocation!$B$16*T$247,IF(OFFSET(Assumptions!$B$58,0,$C$1)="Yes",S$267*(1+SUMPRODUCT(Exogenous!$B$65:$B$70,'Population Treasury'!AE$214:AE$219)+SUMPRODUCT(Exogenous!$C$65:$C$70,'Population Treasury'!AE$259:AE$264))*(1+T$25)*(1+T$29)*(1+OFFSET(Assumptions!$B$61,0,$C$1))/(1+OFFSET(Assumptions!$B$62,0,$C$1))-S$267,0))</f>
        <v>3.1850000000000001</v>
      </c>
      <c r="U267" s="16">
        <f ca="1">T$267+IF(OFFSET(Assumptions!$B$57,0,$C$1)="Yes",Allocation!$B$28*Allocation!$B$16*U$247,IF(OFFSET(Assumptions!$B$58,0,$C$1)="Yes",T$267*(1+SUMPRODUCT(Exogenous!$B$65:$B$70,'Population Treasury'!AF$214:AF$219)+SUMPRODUCT(Exogenous!$C$65:$C$70,'Population Treasury'!AF$259:AF$264))*(1+U$25)*(1+U$29)*(1+OFFSET(Assumptions!$B$61,0,$C$1))/(1+OFFSET(Assumptions!$B$62,0,$C$1))-T$267,0))</f>
        <v>3.1850000000000001</v>
      </c>
      <c r="V267" s="16">
        <f ca="1">U$267+IF(OFFSET(Assumptions!$B$57,0,$C$1)="Yes",Allocation!$B$28*Allocation!$B$16*V$247,IF(OFFSET(Assumptions!$B$58,0,$C$1)="Yes",U$267*(1+SUMPRODUCT(Exogenous!$B$65:$B$70,'Population Treasury'!AG$214:AG$219)+SUMPRODUCT(Exogenous!$C$65:$C$70,'Population Treasury'!AG$259:AG$264))*(1+V$25)*(1+V$29)*(1+OFFSET(Assumptions!$B$61,0,$C$1))/(1+OFFSET(Assumptions!$B$62,0,$C$1))-U$267,0))</f>
        <v>3.1850000000000001</v>
      </c>
      <c r="W267" s="16">
        <f ca="1">V$267+IF(OFFSET(Assumptions!$B$57,0,$C$1)="Yes",Allocation!$B$28*Allocation!$B$16*W$247,IF(OFFSET(Assumptions!$B$58,0,$C$1)="Yes",V$267*(1+SUMPRODUCT(Exogenous!$B$65:$B$70,'Population Treasury'!AH$214:AH$219)+SUMPRODUCT(Exogenous!$C$65:$C$70,'Population Treasury'!AH$259:AH$264))*(1+W$25)*(1+W$29)*(1+OFFSET(Assumptions!$B$61,0,$C$1))/(1+OFFSET(Assumptions!$B$62,0,$C$1))-V$267,0))</f>
        <v>3.1850000000000001</v>
      </c>
      <c r="X267" s="16">
        <f ca="1">W$267+IF(OFFSET(Assumptions!$B$57,0,$C$1)="Yes",Allocation!$B$28*Allocation!$B$16*X$247,IF(OFFSET(Assumptions!$B$58,0,$C$1)="Yes",W$267*(1+SUMPRODUCT(Exogenous!$B$65:$B$70,'Population Treasury'!AI$214:AI$219)+SUMPRODUCT(Exogenous!$C$65:$C$70,'Population Treasury'!AI$259:AI$264))*(1+X$25)*(1+X$29)*(1+OFFSET(Assumptions!$B$61,0,$C$1))/(1+OFFSET(Assumptions!$B$62,0,$C$1))-W$267,0))</f>
        <v>3.1850000000000001</v>
      </c>
    </row>
    <row r="268" spans="1:24" x14ac:dyDescent="0.25">
      <c r="A268" s="11" t="s">
        <v>1285</v>
      </c>
      <c r="B268" s="10" t="str">
        <f t="shared" ref="B268:B270" si="165">$B$38</f>
        <v>From Fiscal Forecasts</v>
      </c>
      <c r="D268" s="35">
        <f>'Fiscal Forecasts'!D$409</f>
        <v>3.835</v>
      </c>
      <c r="E268" s="35">
        <f>'Fiscal Forecasts'!E$409</f>
        <v>4.0129999999999999</v>
      </c>
      <c r="F268" s="35">
        <f>'Fiscal Forecasts'!F$409</f>
        <v>4.6470000000000002</v>
      </c>
      <c r="G268" s="35">
        <f>'Fiscal Forecasts'!G$409</f>
        <v>4.7329999999999997</v>
      </c>
      <c r="H268" s="35">
        <f>'Fiscal Forecasts'!H$409</f>
        <v>4.7789999999999999</v>
      </c>
      <c r="I268" s="35">
        <f>'Fiscal Forecasts'!I$409</f>
        <v>5.39</v>
      </c>
      <c r="J268" s="17">
        <f ca="1">'Fiscal Forecasts'!J$409+IF(OFFSET(Assumptions!$B$56,0,$C$1)="Yes",Allocation!C$29,0)</f>
        <v>5.5470000000000006</v>
      </c>
      <c r="K268" s="17">
        <f ca="1">'Fiscal Forecasts'!K$409+IF(OFFSET(Assumptions!$B$56,0,$C$1)="Yes",Allocation!D$29,0)</f>
        <v>5.7140000000000004</v>
      </c>
      <c r="L268" s="17">
        <f ca="1">'Fiscal Forecasts'!L$409+IF(OFFSET(Assumptions!$B$56,0,$C$1)="Yes",Allocation!E$29,0)</f>
        <v>5.6560000000000006</v>
      </c>
      <c r="M268" s="17">
        <f ca="1">'Fiscal Forecasts'!M$409+IF(OFFSET(Assumptions!$B$56,0,$C$1)="Yes",Allocation!F$29,0)</f>
        <v>5.5250000000000004</v>
      </c>
      <c r="N268" s="17">
        <f ca="1">'Fiscal Forecasts'!N$409+IF(OFFSET(Assumptions!$B$56,0,$C$1)="Yes",Allocation!G$29,0)</f>
        <v>5.4489999999999998</v>
      </c>
      <c r="O268" s="16">
        <f ca="1">N$268+IF(OFFSET(Assumptions!$B$57,0,$C$1)="Yes",Allocation!$B$29*Allocation!$B$16*O$247,IF(OFFSET(Assumptions!$B$58,0,$C$1)="Yes",N$268*(1+SUMPRODUCT(Exogenous!$G$65:$G$73,'Population Treasury'!Z$219:Z$227)+SUMPRODUCT(Exogenous!$H$65:$H$73,'Population Treasury'!Z$264:Z$272))*(1+O$25)*(1+O$29)*(1+OFFSET(Assumptions!$B$61,0,$C$1))/(1+OFFSET(Assumptions!$B$62,0,$C$1))-N$268,0))</f>
        <v>5.4489999999999998</v>
      </c>
      <c r="P268" s="16">
        <f ca="1">O$268+IF(OFFSET(Assumptions!$B$57,0,$C$1)="Yes",Allocation!$B$29*Allocation!$B$16*P$247,IF(OFFSET(Assumptions!$B$58,0,$C$1)="Yes",O$268*(1+SUMPRODUCT(Exogenous!$G$65:$G$73,'Population Treasury'!AA$219:AA$227)+SUMPRODUCT(Exogenous!$H$65:$H$73,'Population Treasury'!AA$264:AA$272))*(1+P$25)*(1+P$29)*(1+OFFSET(Assumptions!$B$61,0,$C$1))/(1+OFFSET(Assumptions!$B$62,0,$C$1))-O$268,0))</f>
        <v>5.4489999999999998</v>
      </c>
      <c r="Q268" s="16">
        <f ca="1">P$268+IF(OFFSET(Assumptions!$B$57,0,$C$1)="Yes",Allocation!$B$29*Allocation!$B$16*Q$247,IF(OFFSET(Assumptions!$B$58,0,$C$1)="Yes",P$268*(1+SUMPRODUCT(Exogenous!$G$65:$G$73,'Population Treasury'!AB$219:AB$227)+SUMPRODUCT(Exogenous!$H$65:$H$73,'Population Treasury'!AB$264:AB$272))*(1+Q$25)*(1+Q$29)*(1+OFFSET(Assumptions!$B$61,0,$C$1))/(1+OFFSET(Assumptions!$B$62,0,$C$1))-P$268,0))</f>
        <v>5.4489999999999998</v>
      </c>
      <c r="R268" s="16">
        <f ca="1">Q$268+IF(OFFSET(Assumptions!$B$57,0,$C$1)="Yes",Allocation!$B$29*Allocation!$B$16*R$247,IF(OFFSET(Assumptions!$B$58,0,$C$1)="Yes",Q$268*(1+SUMPRODUCT(Exogenous!$G$65:$G$73,'Population Treasury'!AC$219:AC$227)+SUMPRODUCT(Exogenous!$H$65:$H$73,'Population Treasury'!AC$264:AC$272))*(1+R$25)*(1+R$29)*(1+OFFSET(Assumptions!$B$61,0,$C$1))/(1+OFFSET(Assumptions!$B$62,0,$C$1))-Q$268,0))</f>
        <v>5.4489999999999998</v>
      </c>
      <c r="S268" s="16">
        <f ca="1">R$268+IF(OFFSET(Assumptions!$B$57,0,$C$1)="Yes",Allocation!$B$29*Allocation!$B$16*S$247,IF(OFFSET(Assumptions!$B$58,0,$C$1)="Yes",R$268*(1+SUMPRODUCT(Exogenous!$G$65:$G$73,'Population Treasury'!AD$219:AD$227)+SUMPRODUCT(Exogenous!$H$65:$H$73,'Population Treasury'!AD$264:AD$272))*(1+S$25)*(1+S$29)*(1+OFFSET(Assumptions!$B$61,0,$C$1))/(1+OFFSET(Assumptions!$B$62,0,$C$1))-R$268,0))</f>
        <v>5.4489999999999998</v>
      </c>
      <c r="T268" s="16">
        <f ca="1">S$268+IF(OFFSET(Assumptions!$B$57,0,$C$1)="Yes",Allocation!$B$29*Allocation!$B$16*T$247,IF(OFFSET(Assumptions!$B$58,0,$C$1)="Yes",S$268*(1+SUMPRODUCT(Exogenous!$G$65:$G$73,'Population Treasury'!AE$219:AE$227)+SUMPRODUCT(Exogenous!$H$65:$H$73,'Population Treasury'!AE$264:AE$272))*(1+T$25)*(1+T$29)*(1+OFFSET(Assumptions!$B$61,0,$C$1))/(1+OFFSET(Assumptions!$B$62,0,$C$1))-S$268,0))</f>
        <v>5.4489999999999998</v>
      </c>
      <c r="U268" s="16">
        <f ca="1">T$268+IF(OFFSET(Assumptions!$B$57,0,$C$1)="Yes",Allocation!$B$29*Allocation!$B$16*U$247,IF(OFFSET(Assumptions!$B$58,0,$C$1)="Yes",T$268*(1+SUMPRODUCT(Exogenous!$G$65:$G$73,'Population Treasury'!AF$219:AF$227)+SUMPRODUCT(Exogenous!$H$65:$H$73,'Population Treasury'!AF$264:AF$272))*(1+U$25)*(1+U$29)*(1+OFFSET(Assumptions!$B$61,0,$C$1))/(1+OFFSET(Assumptions!$B$62,0,$C$1))-T$268,0))</f>
        <v>5.4489999999999998</v>
      </c>
      <c r="V268" s="16">
        <f ca="1">U$268+IF(OFFSET(Assumptions!$B$57,0,$C$1)="Yes",Allocation!$B$29*Allocation!$B$16*V$247,IF(OFFSET(Assumptions!$B$58,0,$C$1)="Yes",U$268*(1+SUMPRODUCT(Exogenous!$G$65:$G$73,'Population Treasury'!AG$219:AG$227)+SUMPRODUCT(Exogenous!$H$65:$H$73,'Population Treasury'!AG$264:AG$272))*(1+V$25)*(1+V$29)*(1+OFFSET(Assumptions!$B$61,0,$C$1))/(1+OFFSET(Assumptions!$B$62,0,$C$1))-U$268,0))</f>
        <v>5.4489999999999998</v>
      </c>
      <c r="W268" s="16">
        <f ca="1">V$268+IF(OFFSET(Assumptions!$B$57,0,$C$1)="Yes",Allocation!$B$29*Allocation!$B$16*W$247,IF(OFFSET(Assumptions!$B$58,0,$C$1)="Yes",V$268*(1+SUMPRODUCT(Exogenous!$G$65:$G$73,'Population Treasury'!AH$219:AH$227)+SUMPRODUCT(Exogenous!$H$65:$H$73,'Population Treasury'!AH$264:AH$272))*(1+W$25)*(1+W$29)*(1+OFFSET(Assumptions!$B$61,0,$C$1))/(1+OFFSET(Assumptions!$B$62,0,$C$1))-V$268,0))</f>
        <v>5.4489999999999998</v>
      </c>
      <c r="X268" s="16">
        <f ca="1">W$268+IF(OFFSET(Assumptions!$B$57,0,$C$1)="Yes",Allocation!$B$29*Allocation!$B$16*X$247,IF(OFFSET(Assumptions!$B$58,0,$C$1)="Yes",W$268*(1+SUMPRODUCT(Exogenous!$G$65:$G$73,'Population Treasury'!AI$219:AI$227)+SUMPRODUCT(Exogenous!$H$65:$H$73,'Population Treasury'!AI$264:AI$272))*(1+X$25)*(1+X$29)*(1+OFFSET(Assumptions!$B$61,0,$C$1))/(1+OFFSET(Assumptions!$B$62,0,$C$1))-W$268,0))</f>
        <v>5.4489999999999998</v>
      </c>
    </row>
    <row r="269" spans="1:24" x14ac:dyDescent="0.25">
      <c r="A269" s="11" t="s">
        <v>1286</v>
      </c>
      <c r="B269" s="10" t="str">
        <f t="shared" si="165"/>
        <v>From Fiscal Forecasts</v>
      </c>
      <c r="D269" s="35">
        <f>'Fiscal Forecasts'!D$410</f>
        <v>2.988</v>
      </c>
      <c r="E269" s="35">
        <f>'Fiscal Forecasts'!E$410</f>
        <v>3.0950000000000002</v>
      </c>
      <c r="F269" s="35">
        <f>'Fiscal Forecasts'!F$410</f>
        <v>3.5830000000000002</v>
      </c>
      <c r="G269" s="35">
        <f>'Fiscal Forecasts'!G$410</f>
        <v>3.7450000000000001</v>
      </c>
      <c r="H269" s="35">
        <f>'Fiscal Forecasts'!H$410</f>
        <v>3.8370000000000002</v>
      </c>
      <c r="I269" s="35">
        <f>'Fiscal Forecasts'!I$410</f>
        <v>4.351</v>
      </c>
      <c r="J269" s="17">
        <f ca="1">'Fiscal Forecasts'!J$410+IF(OFFSET(Assumptions!$B$56,0,$C$1)="Yes",Allocation!C$30,0)</f>
        <v>4.5339999999999998</v>
      </c>
      <c r="K269" s="17">
        <f ca="1">'Fiscal Forecasts'!K$410+IF(OFFSET(Assumptions!$B$56,0,$C$1)="Yes",Allocation!D$30,0)</f>
        <v>4.7430000000000003</v>
      </c>
      <c r="L269" s="17">
        <f ca="1">'Fiscal Forecasts'!L$410+IF(OFFSET(Assumptions!$B$56,0,$C$1)="Yes",Allocation!E$30,0)</f>
        <v>4.7009999999999996</v>
      </c>
      <c r="M269" s="17">
        <f ca="1">'Fiscal Forecasts'!M$410+IF(OFFSET(Assumptions!$B$56,0,$C$1)="Yes",Allocation!F$30,0)</f>
        <v>4.6120000000000001</v>
      </c>
      <c r="N269" s="17">
        <f ca="1">'Fiscal Forecasts'!N$410+IF(OFFSET(Assumptions!$B$56,0,$C$1)="Yes",Allocation!G$30,0)</f>
        <v>4.5830000000000002</v>
      </c>
      <c r="O269" s="16">
        <f ca="1">N$269+IF(OFFSET(Assumptions!$B$57,0,$C$1)="Yes",Allocation!$B$30*Allocation!$B$16*O$247,IF(OFFSET(Assumptions!$B$58,0,$C$1)="Yes",N$269*(1+SUMPRODUCT(Exogenous!$L$65:$L$71,'Population Treasury'!Z$227:Z$233)+SUMPRODUCT(Exogenous!$M$65:$M$71,'Population Treasury'!Z$272:Z$278))*(1+O$25)*(1+O$29)*(1+OFFSET(Assumptions!$B$61,0,$C$1))/(1+OFFSET(Assumptions!$B$62,0,$C$1))-N$269,0))</f>
        <v>4.5830000000000002</v>
      </c>
      <c r="P269" s="16">
        <f ca="1">O$269+IF(OFFSET(Assumptions!$B$57,0,$C$1)="Yes",Allocation!$B$30*Allocation!$B$16*P$247,IF(OFFSET(Assumptions!$B$58,0,$C$1)="Yes",O$269*(1+SUMPRODUCT(Exogenous!$L$65:$L$71,'Population Treasury'!AA$227:AA$233)+SUMPRODUCT(Exogenous!$M$65:$M$71,'Population Treasury'!AA$272:AA$278))*(1+P$25)*(1+P$29)*(1+OFFSET(Assumptions!$B$61,0,$C$1))/(1+OFFSET(Assumptions!$B$62,0,$C$1))-O$269,0))</f>
        <v>4.5830000000000002</v>
      </c>
      <c r="Q269" s="16">
        <f ca="1">P$269+IF(OFFSET(Assumptions!$B$57,0,$C$1)="Yes",Allocation!$B$30*Allocation!$B$16*Q$247,IF(OFFSET(Assumptions!$B$58,0,$C$1)="Yes",P$269*(1+SUMPRODUCT(Exogenous!$L$65:$L$71,'Population Treasury'!AB$227:AB$233)+SUMPRODUCT(Exogenous!$M$65:$M$71,'Population Treasury'!AB$272:AB$278))*(1+Q$25)*(1+Q$29)*(1+OFFSET(Assumptions!$B$61,0,$C$1))/(1+OFFSET(Assumptions!$B$62,0,$C$1))-P$269,0))</f>
        <v>4.5830000000000002</v>
      </c>
      <c r="R269" s="16">
        <f ca="1">Q$269+IF(OFFSET(Assumptions!$B$57,0,$C$1)="Yes",Allocation!$B$30*Allocation!$B$16*R$247,IF(OFFSET(Assumptions!$B$58,0,$C$1)="Yes",Q$269*(1+SUMPRODUCT(Exogenous!$L$65:$L$71,'Population Treasury'!AC$227:AC$233)+SUMPRODUCT(Exogenous!$M$65:$M$71,'Population Treasury'!AC$272:AC$278))*(1+R$25)*(1+R$29)*(1+OFFSET(Assumptions!$B$61,0,$C$1))/(1+OFFSET(Assumptions!$B$62,0,$C$1))-Q$269,0))</f>
        <v>4.5830000000000002</v>
      </c>
      <c r="S269" s="16">
        <f ca="1">R$269+IF(OFFSET(Assumptions!$B$57,0,$C$1)="Yes",Allocation!$B$30*Allocation!$B$16*S$247,IF(OFFSET(Assumptions!$B$58,0,$C$1)="Yes",R$269*(1+SUMPRODUCT(Exogenous!$L$65:$L$71,'Population Treasury'!AD$227:AD$233)+SUMPRODUCT(Exogenous!$M$65:$M$71,'Population Treasury'!AD$272:AD$278))*(1+S$25)*(1+S$29)*(1+OFFSET(Assumptions!$B$61,0,$C$1))/(1+OFFSET(Assumptions!$B$62,0,$C$1))-R$269,0))</f>
        <v>4.5830000000000002</v>
      </c>
      <c r="T269" s="16">
        <f ca="1">S$269+IF(OFFSET(Assumptions!$B$57,0,$C$1)="Yes",Allocation!$B$30*Allocation!$B$16*T$247,IF(OFFSET(Assumptions!$B$58,0,$C$1)="Yes",S$269*(1+SUMPRODUCT(Exogenous!$L$65:$L$71,'Population Treasury'!AE$227:AE$233)+SUMPRODUCT(Exogenous!$M$65:$M$71,'Population Treasury'!AE$272:AE$278))*(1+T$25)*(1+T$29)*(1+OFFSET(Assumptions!$B$61,0,$C$1))/(1+OFFSET(Assumptions!$B$62,0,$C$1))-S$269,0))</f>
        <v>4.5830000000000002</v>
      </c>
      <c r="U269" s="16">
        <f ca="1">T$269+IF(OFFSET(Assumptions!$B$57,0,$C$1)="Yes",Allocation!$B$30*Allocation!$B$16*U$247,IF(OFFSET(Assumptions!$B$58,0,$C$1)="Yes",T$269*(1+SUMPRODUCT(Exogenous!$L$65:$L$71,'Population Treasury'!AF$227:AF$233)+SUMPRODUCT(Exogenous!$M$65:$M$71,'Population Treasury'!AF$272:AF$278))*(1+U$25)*(1+U$29)*(1+OFFSET(Assumptions!$B$61,0,$C$1))/(1+OFFSET(Assumptions!$B$62,0,$C$1))-T$269,0))</f>
        <v>4.5830000000000002</v>
      </c>
      <c r="V269" s="16">
        <f ca="1">U$269+IF(OFFSET(Assumptions!$B$57,0,$C$1)="Yes",Allocation!$B$30*Allocation!$B$16*V$247,IF(OFFSET(Assumptions!$B$58,0,$C$1)="Yes",U$269*(1+SUMPRODUCT(Exogenous!$L$65:$L$71,'Population Treasury'!AG$227:AG$233)+SUMPRODUCT(Exogenous!$M$65:$M$71,'Population Treasury'!AG$272:AG$278))*(1+V$25)*(1+V$29)*(1+OFFSET(Assumptions!$B$61,0,$C$1))/(1+OFFSET(Assumptions!$B$62,0,$C$1))-U$269,0))</f>
        <v>4.5830000000000002</v>
      </c>
      <c r="W269" s="16">
        <f ca="1">V$269+IF(OFFSET(Assumptions!$B$57,0,$C$1)="Yes",Allocation!$B$30*Allocation!$B$16*W$247,IF(OFFSET(Assumptions!$B$58,0,$C$1)="Yes",V$269*(1+SUMPRODUCT(Exogenous!$L$65:$L$71,'Population Treasury'!AH$227:AH$233)+SUMPRODUCT(Exogenous!$M$65:$M$71,'Population Treasury'!AH$272:AH$278))*(1+W$25)*(1+W$29)*(1+OFFSET(Assumptions!$B$61,0,$C$1))/(1+OFFSET(Assumptions!$B$62,0,$C$1))-V$269,0))</f>
        <v>4.5830000000000002</v>
      </c>
      <c r="X269" s="16">
        <f ca="1">W$269+IF(OFFSET(Assumptions!$B$57,0,$C$1)="Yes",Allocation!$B$30*Allocation!$B$16*X$247,IF(OFFSET(Assumptions!$B$58,0,$C$1)="Yes",W$269*(1+SUMPRODUCT(Exogenous!$L$65:$L$71,'Population Treasury'!AI$227:AI$233)+SUMPRODUCT(Exogenous!$M$65:$M$71,'Population Treasury'!AI$272:AI$278))*(1+X$25)*(1+X$29)*(1+OFFSET(Assumptions!$B$61,0,$C$1))/(1+OFFSET(Assumptions!$B$62,0,$C$1))-W$269,0))</f>
        <v>4.5830000000000002</v>
      </c>
    </row>
    <row r="270" spans="1:24" x14ac:dyDescent="0.25">
      <c r="A270" s="11" t="s">
        <v>1288</v>
      </c>
      <c r="B270" s="10" t="str">
        <f t="shared" si="165"/>
        <v>From Fiscal Forecasts</v>
      </c>
      <c r="D270" s="35">
        <f>'Fiscal Forecasts'!D$411</f>
        <v>2.9660000000000002</v>
      </c>
      <c r="E270" s="35">
        <f>'Fiscal Forecasts'!E$411</f>
        <v>4.548</v>
      </c>
      <c r="F270" s="35">
        <f>'Fiscal Forecasts'!F$411</f>
        <v>2.4600000000000004</v>
      </c>
      <c r="G270" s="35">
        <f>'Fiscal Forecasts'!G$411</f>
        <v>3.7590000000000003</v>
      </c>
      <c r="H270" s="35">
        <f>'Fiscal Forecasts'!H$411</f>
        <v>3.5869999999999997</v>
      </c>
      <c r="I270" s="35">
        <f>'Fiscal Forecasts'!I$411</f>
        <v>3.9439999999999995</v>
      </c>
      <c r="J270" s="17">
        <f ca="1">'Fiscal Forecasts'!J$411+IF(OFFSET(Assumptions!$B$56,0,$C$1)="Yes",Allocation!C$31,0)</f>
        <v>3.9629999999999996</v>
      </c>
      <c r="K270" s="17">
        <f ca="1">'Fiscal Forecasts'!K$411+IF(OFFSET(Assumptions!$B$56,0,$C$1)="Yes",Allocation!D$31,0)</f>
        <v>3.8710000000000004</v>
      </c>
      <c r="L270" s="17">
        <f ca="1">'Fiscal Forecasts'!L$411+IF(OFFSET(Assumptions!$B$56,0,$C$1)="Yes",Allocation!E$31,0)</f>
        <v>3.8499999999999996</v>
      </c>
      <c r="M270" s="17">
        <f ca="1">'Fiscal Forecasts'!M$411+IF(OFFSET(Assumptions!$B$56,0,$C$1)="Yes",Allocation!F$31,0)</f>
        <v>3.8680000000000003</v>
      </c>
      <c r="N270" s="17">
        <f ca="1">'Fiscal Forecasts'!N$411+IF(OFFSET(Assumptions!$B$56,0,$C$1)="Yes",Allocation!G$31,0)</f>
        <v>3.9330000000000003</v>
      </c>
      <c r="O270" s="16">
        <f ca="1">N$270+IF(OFFSET(Assumptions!$B$57,0,$C$1)="Yes",Allocation!$B$31*Allocation!$B$16*O$247,IF(OFFSET(Assumptions!$B$58,0,$C$1)="Yes",N$270*(1+Exogenous!$Q$65*'Population Treasury'!Z$231+SUMPRODUCT(Exogenous!$Q$66:$Q$69,'Population Treasury'!Z$234:Z$237)+Exogenous!$R$65*'Population Treasury'!Z$276+SUMPRODUCT(Exogenous!$R$66:$R$69,'Population Treasury'!Z$279:Z$282))*(1+O$25)*(1+O$29)*(1+OFFSET(Assumptions!$B$61,0,$C$1))/(1+OFFSET(Assumptions!$B$62,0,$C$1))-N$270,0))</f>
        <v>3.9330000000000003</v>
      </c>
      <c r="P270" s="16">
        <f ca="1">O$270+IF(OFFSET(Assumptions!$B$57,0,$C$1)="Yes",Allocation!$B$31*Allocation!$B$16*P$247,IF(OFFSET(Assumptions!$B$58,0,$C$1)="Yes",O$270*(1+Exogenous!$Q$65*'Population Treasury'!AA$231+SUMPRODUCT(Exogenous!$Q$66:$Q$69,'Population Treasury'!AA$234:AA$237)+Exogenous!$R$65*'Population Treasury'!AA$276+SUMPRODUCT(Exogenous!$R$66:$R$69,'Population Treasury'!AA$279:AA$282))*(1+P$25)*(1+P$29)*(1+OFFSET(Assumptions!$B$61,0,$C$1))/(1+OFFSET(Assumptions!$B$62,0,$C$1))-O$270,0))</f>
        <v>3.9330000000000003</v>
      </c>
      <c r="Q270" s="16">
        <f ca="1">P$270+IF(OFFSET(Assumptions!$B$57,0,$C$1)="Yes",Allocation!$B$31*Allocation!$B$16*Q$247,IF(OFFSET(Assumptions!$B$58,0,$C$1)="Yes",P$270*(1+Exogenous!$Q$65*'Population Treasury'!AB$231+SUMPRODUCT(Exogenous!$Q$66:$Q$69,'Population Treasury'!AB$234:AB$237)+Exogenous!$R$65*'Population Treasury'!AB$276+SUMPRODUCT(Exogenous!$R$66:$R$69,'Population Treasury'!AB$279:AB$282))*(1+Q$25)*(1+Q$29)*(1+OFFSET(Assumptions!$B$61,0,$C$1))/(1+OFFSET(Assumptions!$B$62,0,$C$1))-P$270,0))</f>
        <v>3.9330000000000003</v>
      </c>
      <c r="R270" s="16">
        <f ca="1">Q$270+IF(OFFSET(Assumptions!$B$57,0,$C$1)="Yes",Allocation!$B$31*Allocation!$B$16*R$247,IF(OFFSET(Assumptions!$B$58,0,$C$1)="Yes",Q$270*(1+Exogenous!$Q$65*'Population Treasury'!AC$231+SUMPRODUCT(Exogenous!$Q$66:$Q$69,'Population Treasury'!AC$234:AC$237)+Exogenous!$R$65*'Population Treasury'!AC$276+SUMPRODUCT(Exogenous!$R$66:$R$69,'Population Treasury'!AC$279:AC$282))*(1+R$25)*(1+R$29)*(1+OFFSET(Assumptions!$B$61,0,$C$1))/(1+OFFSET(Assumptions!$B$62,0,$C$1))-Q$270,0))</f>
        <v>3.9330000000000003</v>
      </c>
      <c r="S270" s="16">
        <f ca="1">R$270+IF(OFFSET(Assumptions!$B$57,0,$C$1)="Yes",Allocation!$B$31*Allocation!$B$16*S$247,IF(OFFSET(Assumptions!$B$58,0,$C$1)="Yes",R$270*(1+Exogenous!$Q$65*'Population Treasury'!AD$231+SUMPRODUCT(Exogenous!$Q$66:$Q$69,'Population Treasury'!AD$234:AD$237)+Exogenous!$R$65*'Population Treasury'!AD$276+SUMPRODUCT(Exogenous!$R$66:$R$69,'Population Treasury'!AD$279:AD$282))*(1+S$25)*(1+S$29)*(1+OFFSET(Assumptions!$B$61,0,$C$1))/(1+OFFSET(Assumptions!$B$62,0,$C$1))-R$270,0))</f>
        <v>3.9330000000000003</v>
      </c>
      <c r="T270" s="16">
        <f ca="1">S$270+IF(OFFSET(Assumptions!$B$57,0,$C$1)="Yes",Allocation!$B$31*Allocation!$B$16*T$247,IF(OFFSET(Assumptions!$B$58,0,$C$1)="Yes",S$270*(1+Exogenous!$Q$65*'Population Treasury'!AE$231+SUMPRODUCT(Exogenous!$Q$66:$Q$69,'Population Treasury'!AE$234:AE$237)+Exogenous!$R$65*'Population Treasury'!AE$276+SUMPRODUCT(Exogenous!$R$66:$R$69,'Population Treasury'!AE$279:AE$282))*(1+T$25)*(1+T$29)*(1+OFFSET(Assumptions!$B$61,0,$C$1))/(1+OFFSET(Assumptions!$B$62,0,$C$1))-S$270,0))</f>
        <v>3.9330000000000003</v>
      </c>
      <c r="U270" s="16">
        <f ca="1">T$270+IF(OFFSET(Assumptions!$B$57,0,$C$1)="Yes",Allocation!$B$31*Allocation!$B$16*U$247,IF(OFFSET(Assumptions!$B$58,0,$C$1)="Yes",T$270*(1+Exogenous!$Q$65*'Population Treasury'!AF$231+SUMPRODUCT(Exogenous!$Q$66:$Q$69,'Population Treasury'!AF$234:AF$237)+Exogenous!$R$65*'Population Treasury'!AF$276+SUMPRODUCT(Exogenous!$R$66:$R$69,'Population Treasury'!AF$279:AF$282))*(1+U$25)*(1+U$29)*(1+OFFSET(Assumptions!$B$61,0,$C$1))/(1+OFFSET(Assumptions!$B$62,0,$C$1))-T$270,0))</f>
        <v>3.9330000000000003</v>
      </c>
      <c r="V270" s="16">
        <f ca="1">U$270+IF(OFFSET(Assumptions!$B$57,0,$C$1)="Yes",Allocation!$B$31*Allocation!$B$16*V$247,IF(OFFSET(Assumptions!$B$58,0,$C$1)="Yes",U$270*(1+Exogenous!$Q$65*'Population Treasury'!AG$231+SUMPRODUCT(Exogenous!$Q$66:$Q$69,'Population Treasury'!AG$234:AG$237)+Exogenous!$R$65*'Population Treasury'!AG$276+SUMPRODUCT(Exogenous!$R$66:$R$69,'Population Treasury'!AG$279:AG$282))*(1+V$25)*(1+V$29)*(1+OFFSET(Assumptions!$B$61,0,$C$1))/(1+OFFSET(Assumptions!$B$62,0,$C$1))-U$270,0))</f>
        <v>3.9330000000000003</v>
      </c>
      <c r="W270" s="16">
        <f ca="1">V$270+IF(OFFSET(Assumptions!$B$57,0,$C$1)="Yes",Allocation!$B$31*Allocation!$B$16*W$247,IF(OFFSET(Assumptions!$B$58,0,$C$1)="Yes",V$270*(1+Exogenous!$Q$65*'Population Treasury'!AH$231+SUMPRODUCT(Exogenous!$Q$66:$Q$69,'Population Treasury'!AH$234:AH$237)+Exogenous!$R$65*'Population Treasury'!AH$276+SUMPRODUCT(Exogenous!$R$66:$R$69,'Population Treasury'!AH$279:AH$282))*(1+W$25)*(1+W$29)*(1+OFFSET(Assumptions!$B$61,0,$C$1))/(1+OFFSET(Assumptions!$B$62,0,$C$1))-V$270,0))</f>
        <v>3.9330000000000003</v>
      </c>
      <c r="X270" s="16">
        <f ca="1">W$270+IF(OFFSET(Assumptions!$B$57,0,$C$1)="Yes",Allocation!$B$31*Allocation!$B$16*X$247,IF(OFFSET(Assumptions!$B$58,0,$C$1)="Yes",W$270*(1+Exogenous!$Q$65*'Population Treasury'!AI$231+SUMPRODUCT(Exogenous!$Q$66:$Q$69,'Population Treasury'!AI$234:AI$237)+Exogenous!$R$65*'Population Treasury'!AI$276+SUMPRODUCT(Exogenous!$R$66:$R$69,'Population Treasury'!AI$279:AI$282))*(1+X$25)*(1+X$29)*(1+OFFSET(Assumptions!$B$61,0,$C$1))/(1+OFFSET(Assumptions!$B$62,0,$C$1))-W$270,0))</f>
        <v>3.9330000000000003</v>
      </c>
    </row>
    <row r="271" spans="1:24" x14ac:dyDescent="0.25">
      <c r="A271" s="11" t="s">
        <v>721</v>
      </c>
      <c r="D271" s="35">
        <f>D$190</f>
        <v>0.58299999999999996</v>
      </c>
      <c r="E271" s="35">
        <f t="shared" ref="E271:X271" si="166">E$190</f>
        <v>0.56699999999999995</v>
      </c>
      <c r="F271" s="35">
        <f t="shared" si="166"/>
        <v>0.59</v>
      </c>
      <c r="G271" s="35">
        <f t="shared" si="166"/>
        <v>0.55600000000000005</v>
      </c>
      <c r="H271" s="35">
        <f t="shared" si="166"/>
        <v>0.52500000000000002</v>
      </c>
      <c r="I271" s="35">
        <f t="shared" si="166"/>
        <v>0.52600000000000002</v>
      </c>
      <c r="J271" s="17">
        <f t="shared" si="166"/>
        <v>0.57799999999999996</v>
      </c>
      <c r="K271" s="17">
        <f t="shared" si="166"/>
        <v>0.63500000000000001</v>
      </c>
      <c r="L271" s="17">
        <f t="shared" si="166"/>
        <v>0.64</v>
      </c>
      <c r="M271" s="17">
        <f t="shared" si="166"/>
        <v>0.63700000000000001</v>
      </c>
      <c r="N271" s="17">
        <f t="shared" si="166"/>
        <v>0.628</v>
      </c>
      <c r="O271" s="16">
        <f t="shared" ca="1" si="166"/>
        <v>0.64562485974176986</v>
      </c>
      <c r="P271" s="16">
        <f t="shared" ca="1" si="166"/>
        <v>0.66194568964686296</v>
      </c>
      <c r="Q271" s="16">
        <f t="shared" ca="1" si="166"/>
        <v>0.67712377808722313</v>
      </c>
      <c r="R271" s="16">
        <f t="shared" ca="1" si="166"/>
        <v>0.69245219913184963</v>
      </c>
      <c r="S271" s="16">
        <f t="shared" ca="1" si="166"/>
        <v>0.70825442012990725</v>
      </c>
      <c r="T271" s="16">
        <f t="shared" ca="1" si="166"/>
        <v>0.72507180469317367</v>
      </c>
      <c r="U271" s="16">
        <f t="shared" ca="1" si="166"/>
        <v>0.74154264390725988</v>
      </c>
      <c r="V271" s="16">
        <f t="shared" ca="1" si="166"/>
        <v>0.75822655773090308</v>
      </c>
      <c r="W271" s="16">
        <f t="shared" ca="1" si="166"/>
        <v>0.77527296537521928</v>
      </c>
      <c r="X271" s="16">
        <f t="shared" ca="1" si="166"/>
        <v>0.79306000206523053</v>
      </c>
    </row>
    <row r="272" spans="1:24" x14ac:dyDescent="0.25">
      <c r="A272" s="11" t="s">
        <v>980</v>
      </c>
      <c r="D272" s="35">
        <f>D$411</f>
        <v>0.56299999999999994</v>
      </c>
      <c r="E272" s="35">
        <f t="shared" ref="E272:X272" si="167">E$411</f>
        <v>0.50600000000000001</v>
      </c>
      <c r="F272" s="35">
        <f t="shared" si="167"/>
        <v>0.46899999999999997</v>
      </c>
      <c r="G272" s="35">
        <f t="shared" si="167"/>
        <v>0.48899999999999999</v>
      </c>
      <c r="H272" s="35">
        <f t="shared" si="167"/>
        <v>0.55100000000000005</v>
      </c>
      <c r="I272" s="35">
        <f t="shared" si="167"/>
        <v>0.54400000000000004</v>
      </c>
      <c r="J272" s="17">
        <f t="shared" si="167"/>
        <v>0.56000000000000005</v>
      </c>
      <c r="K272" s="17">
        <f t="shared" si="167"/>
        <v>0.63600000000000001</v>
      </c>
      <c r="L272" s="17">
        <f t="shared" si="167"/>
        <v>0.628</v>
      </c>
      <c r="M272" s="17">
        <f t="shared" si="167"/>
        <v>0.627</v>
      </c>
      <c r="N272" s="17">
        <f t="shared" si="167"/>
        <v>0.65300000000000002</v>
      </c>
      <c r="O272" s="16">
        <f t="shared" si="167"/>
        <v>0.65600000000000003</v>
      </c>
      <c r="P272" s="16">
        <f t="shared" si="167"/>
        <v>0.67400000000000004</v>
      </c>
      <c r="Q272" s="16">
        <f t="shared" si="167"/>
        <v>0.69299999999999995</v>
      </c>
      <c r="R272" s="16">
        <f t="shared" si="167"/>
        <v>0.71099999999999997</v>
      </c>
      <c r="S272" s="16">
        <f t="shared" si="167"/>
        <v>0.72699999999999998</v>
      </c>
      <c r="T272" s="16">
        <f t="shared" si="167"/>
        <v>0.74199999999999999</v>
      </c>
      <c r="U272" s="16">
        <f t="shared" si="167"/>
        <v>0.75600000000000001</v>
      </c>
      <c r="V272" s="16">
        <f t="shared" si="167"/>
        <v>0.76900000000000002</v>
      </c>
      <c r="W272" s="16">
        <f t="shared" si="167"/>
        <v>0.78300000000000003</v>
      </c>
      <c r="X272" s="16">
        <f t="shared" si="167"/>
        <v>0.79700000000000004</v>
      </c>
    </row>
    <row r="273" spans="1:24" x14ac:dyDescent="0.25">
      <c r="A273" s="11" t="s">
        <v>1287</v>
      </c>
      <c r="B273" s="10" t="str">
        <f>$B$38</f>
        <v>From Fiscal Forecasts</v>
      </c>
      <c r="C273" s="64" cm="1">
        <f t="array" aca="1" ref="C273" ca="1">SUMPRODUCT(OFFSET($N$273,0,0,1,-OFFSET(Assumptions!$B$59,0,$C$1))/OFFSET($N$13,0,0,1,-OFFSET(Assumptions!$B$59,0,$C$1)))/OFFSET(Assumptions!$B$59,0,$C$1)</f>
        <v>6.0716132552386228E-3</v>
      </c>
      <c r="D273" s="35">
        <f>'Fiscal Forecasts'!D$414</f>
        <v>1.462</v>
      </c>
      <c r="E273" s="35">
        <f>'Fiscal Forecasts'!E$414</f>
        <v>1.5860000000000001</v>
      </c>
      <c r="F273" s="35">
        <f>'Fiscal Forecasts'!F$414</f>
        <v>2.1579999999999999</v>
      </c>
      <c r="G273" s="35">
        <f>'Fiscal Forecasts'!G$414</f>
        <v>2.4940000000000002</v>
      </c>
      <c r="H273" s="35">
        <f>'Fiscal Forecasts'!H$414</f>
        <v>2.7690000000000001</v>
      </c>
      <c r="I273" s="35">
        <f>'Fiscal Forecasts'!I$414</f>
        <v>2.758</v>
      </c>
      <c r="J273" s="17">
        <f ca="1">'Fiscal Forecasts'!J$414+IF(OFFSET(Assumptions!$B$56,0,$C$1)="Yes",Allocation!C$32,0)</f>
        <v>2.7749999999999999</v>
      </c>
      <c r="K273" s="17">
        <f ca="1">'Fiscal Forecasts'!K$414+IF(OFFSET(Assumptions!$B$56,0,$C$1)="Yes",Allocation!D$32,0)</f>
        <v>2.79</v>
      </c>
      <c r="L273" s="17">
        <f ca="1">'Fiscal Forecasts'!L$414+IF(OFFSET(Assumptions!$B$56,0,$C$1)="Yes",Allocation!E$32,0)</f>
        <v>2.806</v>
      </c>
      <c r="M273" s="17">
        <f ca="1">'Fiscal Forecasts'!M$414+IF(OFFSET(Assumptions!$B$56,0,$C$1)="Yes",Allocation!F$32,0)</f>
        <v>2.7679999999999998</v>
      </c>
      <c r="N273" s="17">
        <f ca="1">'Fiscal Forecasts'!N$414+IF(OFFSET(Assumptions!$B$56,0,$C$1)="Yes",Allocation!G$32,0)</f>
        <v>2.7659999999999996</v>
      </c>
      <c r="O273" s="16">
        <f ca="1">N$273+IF(OFFSET(Assumptions!$B$57,0,$C$1)="Yes",Allocation!$B$32*Allocation!$B$16*O$247,IF(OFFSET(Assumptions!$B$58,0,$C$1)="Yes",(N$273/N$13+MIN(ABS($C$273-N$273/N$13),OFFSET(Assumptions!$B$60,0,$C$1))*SIGN($C$273-N$273/N$13))*O$13-N$273,0))</f>
        <v>2.7659999999999996</v>
      </c>
      <c r="P273" s="16">
        <f ca="1">O$273+IF(OFFSET(Assumptions!$B$57,0,$C$1)="Yes",Allocation!$B$32*Allocation!$B$16*P$247,IF(OFFSET(Assumptions!$B$58,0,$C$1)="Yes",(O$273/O$13+MIN(ABS($C$273-O$273/O$13),OFFSET(Assumptions!$B$60,0,$C$1))*SIGN($C$273-O$273/O$13))*P$13-O$273,0))</f>
        <v>2.7659999999999996</v>
      </c>
      <c r="Q273" s="16">
        <f ca="1">P$273+IF(OFFSET(Assumptions!$B$57,0,$C$1)="Yes",Allocation!$B$32*Allocation!$B$16*Q$247,IF(OFFSET(Assumptions!$B$58,0,$C$1)="Yes",(P$273/P$13+MIN(ABS($C$273-P$273/P$13),OFFSET(Assumptions!$B$60,0,$C$1))*SIGN($C$273-P$273/P$13))*Q$13-P$273,0))</f>
        <v>2.7659999999999996</v>
      </c>
      <c r="R273" s="16">
        <f ca="1">Q$273+IF(OFFSET(Assumptions!$B$57,0,$C$1)="Yes",Allocation!$B$32*Allocation!$B$16*R$247,IF(OFFSET(Assumptions!$B$58,0,$C$1)="Yes",(Q$273/Q$13+MIN(ABS($C$273-Q$273/Q$13),OFFSET(Assumptions!$B$60,0,$C$1))*SIGN($C$273-Q$273/Q$13))*R$13-Q$273,0))</f>
        <v>2.7659999999999996</v>
      </c>
      <c r="S273" s="16">
        <f ca="1">R$273+IF(OFFSET(Assumptions!$B$57,0,$C$1)="Yes",Allocation!$B$32*Allocation!$B$16*S$247,IF(OFFSET(Assumptions!$B$58,0,$C$1)="Yes",(R$273/R$13+MIN(ABS($C$273-R$273/R$13),OFFSET(Assumptions!$B$60,0,$C$1))*SIGN($C$273-R$273/R$13))*S$13-R$273,0))</f>
        <v>2.7659999999999996</v>
      </c>
      <c r="T273" s="16">
        <f ca="1">S$273+IF(OFFSET(Assumptions!$B$57,0,$C$1)="Yes",Allocation!$B$32*Allocation!$B$16*T$247,IF(OFFSET(Assumptions!$B$58,0,$C$1)="Yes",(S$273/S$13+MIN(ABS($C$273-S$273/S$13),OFFSET(Assumptions!$B$60,0,$C$1))*SIGN($C$273-S$273/S$13))*T$13-S$273,0))</f>
        <v>2.7659999999999996</v>
      </c>
      <c r="U273" s="16">
        <f ca="1">T$273+IF(OFFSET(Assumptions!$B$57,0,$C$1)="Yes",Allocation!$B$32*Allocation!$B$16*U$247,IF(OFFSET(Assumptions!$B$58,0,$C$1)="Yes",(T$273/T$13+MIN(ABS($C$273-T$273/T$13),OFFSET(Assumptions!$B$60,0,$C$1))*SIGN($C$273-T$273/T$13))*U$13-T$273,0))</f>
        <v>2.7659999999999996</v>
      </c>
      <c r="V273" s="16">
        <f ca="1">U$273+IF(OFFSET(Assumptions!$B$57,0,$C$1)="Yes",Allocation!$B$32*Allocation!$B$16*V$247,IF(OFFSET(Assumptions!$B$58,0,$C$1)="Yes",(U$273/U$13+MIN(ABS($C$273-U$273/U$13),OFFSET(Assumptions!$B$60,0,$C$1))*SIGN($C$273-U$273/U$13))*V$13-U$273,0))</f>
        <v>2.7659999999999996</v>
      </c>
      <c r="W273" s="16">
        <f ca="1">V$273+IF(OFFSET(Assumptions!$B$57,0,$C$1)="Yes",Allocation!$B$32*Allocation!$B$16*W$247,IF(OFFSET(Assumptions!$B$58,0,$C$1)="Yes",(V$273/V$13+MIN(ABS($C$273-V$273/V$13),OFFSET(Assumptions!$B$60,0,$C$1))*SIGN($C$273-V$273/V$13))*W$13-V$273,0))</f>
        <v>2.7659999999999996</v>
      </c>
      <c r="X273" s="16">
        <f ca="1">W$273+IF(OFFSET(Assumptions!$B$57,0,$C$1)="Yes",Allocation!$B$32*Allocation!$B$16*X$247,IF(OFFSET(Assumptions!$B$58,0,$C$1)="Yes",(W$273/W$13+MIN(ABS($C$273-W$273/W$13),OFFSET(Assumptions!$B$60,0,$C$1))*SIGN($C$273-W$273/W$13))*X$13-W$273,0))</f>
        <v>2.7659999999999996</v>
      </c>
    </row>
    <row r="274" spans="1:24" x14ac:dyDescent="0.25">
      <c r="A274" s="9" t="s">
        <v>981</v>
      </c>
      <c r="D274" s="65">
        <f>SUM(D$267:D$273)</f>
        <v>14.292999999999999</v>
      </c>
      <c r="E274" s="65">
        <f t="shared" ref="E274:X274" si="168">SUM(E$267:E$273)</f>
        <v>16.321999999999999</v>
      </c>
      <c r="F274" s="65">
        <f t="shared" si="168"/>
        <v>16.039000000000001</v>
      </c>
      <c r="G274" s="65">
        <f t="shared" si="168"/>
        <v>18.023</v>
      </c>
      <c r="H274" s="65">
        <f t="shared" si="168"/>
        <v>18.402999999999999</v>
      </c>
      <c r="I274" s="65">
        <f t="shared" si="168"/>
        <v>20.222999999999999</v>
      </c>
      <c r="J274" s="66">
        <f t="shared" ca="1" si="168"/>
        <v>20.921999999999997</v>
      </c>
      <c r="K274" s="66">
        <f t="shared" ca="1" si="168"/>
        <v>21.454000000000001</v>
      </c>
      <c r="L274" s="66">
        <f t="shared" ca="1" si="168"/>
        <v>21.38</v>
      </c>
      <c r="M274" s="66">
        <f t="shared" ca="1" si="168"/>
        <v>21.178999999999998</v>
      </c>
      <c r="N274" s="66">
        <f t="shared" ca="1" si="168"/>
        <v>21.196999999999999</v>
      </c>
      <c r="O274" s="67">
        <f t="shared" ca="1" si="168"/>
        <v>21.217624859741768</v>
      </c>
      <c r="P274" s="67">
        <f t="shared" ca="1" si="168"/>
        <v>21.251945689646863</v>
      </c>
      <c r="Q274" s="67">
        <f t="shared" ca="1" si="168"/>
        <v>21.286123778087227</v>
      </c>
      <c r="R274" s="67">
        <f t="shared" ca="1" si="168"/>
        <v>21.319452199131849</v>
      </c>
      <c r="S274" s="67">
        <f t="shared" ca="1" si="168"/>
        <v>21.351254420129909</v>
      </c>
      <c r="T274" s="67">
        <f t="shared" ca="1" si="168"/>
        <v>21.383071804693174</v>
      </c>
      <c r="U274" s="67">
        <f t="shared" ca="1" si="168"/>
        <v>21.41354264390726</v>
      </c>
      <c r="V274" s="67">
        <f t="shared" ca="1" si="168"/>
        <v>21.443226557730902</v>
      </c>
      <c r="W274" s="67">
        <f t="shared" ca="1" si="168"/>
        <v>21.474272965375221</v>
      </c>
      <c r="X274" s="67">
        <f t="shared" ca="1" si="168"/>
        <v>21.506060002065233</v>
      </c>
    </row>
    <row r="275" spans="1:24" x14ac:dyDescent="0.25">
      <c r="A275" s="11" t="s">
        <v>707</v>
      </c>
      <c r="B275" s="10" t="str">
        <f>$B$38</f>
        <v>From Fiscal Forecasts</v>
      </c>
      <c r="D275" s="35">
        <f>'Fiscal Forecasts'!D$208</f>
        <v>11.428000000000001</v>
      </c>
      <c r="E275" s="35">
        <f>'Fiscal Forecasts'!E$208</f>
        <v>13.705</v>
      </c>
      <c r="F275" s="35">
        <f>'Fiscal Forecasts'!F$208</f>
        <v>12.840999999999999</v>
      </c>
      <c r="G275" s="35">
        <f>'Fiscal Forecasts'!G$208</f>
        <v>13.805</v>
      </c>
      <c r="H275" s="35">
        <f>'Fiscal Forecasts'!H$208</f>
        <v>14.166</v>
      </c>
      <c r="I275" s="35">
        <f>'Fiscal Forecasts'!I$208</f>
        <v>15.346</v>
      </c>
      <c r="J275" s="17">
        <f>'Fiscal Forecasts'!J$208</f>
        <v>16.146999999999998</v>
      </c>
      <c r="K275" s="17">
        <f>'Fiscal Forecasts'!K$208</f>
        <v>16.46</v>
      </c>
      <c r="L275" s="17">
        <f>'Fiscal Forecasts'!L$208</f>
        <v>16.408999999999999</v>
      </c>
      <c r="M275" s="17">
        <f>'Fiscal Forecasts'!M$208</f>
        <v>16.244</v>
      </c>
      <c r="N275" s="17">
        <f>'Fiscal Forecasts'!N$208</f>
        <v>16.202999999999999</v>
      </c>
      <c r="O275" s="16">
        <f ca="1">N$275+SUM(O$267:O$270,O$273)-SUM(N$267:N$270,N$273)</f>
        <v>16.202999999999999</v>
      </c>
      <c r="P275" s="16">
        <f t="shared" ref="P275:X275" ca="1" si="169">O$275+SUM(P$267:P$270,P$273)-SUM(O$267:O$270,O$273)</f>
        <v>16.202999999999999</v>
      </c>
      <c r="Q275" s="16">
        <f t="shared" ca="1" si="169"/>
        <v>16.202999999999999</v>
      </c>
      <c r="R275" s="16">
        <f t="shared" ca="1" si="169"/>
        <v>16.202999999999999</v>
      </c>
      <c r="S275" s="16">
        <f t="shared" ca="1" si="169"/>
        <v>16.202999999999999</v>
      </c>
      <c r="T275" s="16">
        <f t="shared" ca="1" si="169"/>
        <v>16.202999999999999</v>
      </c>
      <c r="U275" s="16">
        <f t="shared" ca="1" si="169"/>
        <v>16.202999999999999</v>
      </c>
      <c r="V275" s="16">
        <f t="shared" ca="1" si="169"/>
        <v>16.202999999999999</v>
      </c>
      <c r="W275" s="16">
        <f t="shared" ca="1" si="169"/>
        <v>16.202999999999999</v>
      </c>
      <c r="X275" s="16">
        <f t="shared" ca="1" si="169"/>
        <v>16.202999999999999</v>
      </c>
    </row>
    <row r="276" spans="1:24" x14ac:dyDescent="0.25">
      <c r="A276" s="11" t="s">
        <v>866</v>
      </c>
      <c r="B276" s="10" t="str">
        <f>$B$38</f>
        <v>From Fiscal Forecasts</v>
      </c>
      <c r="D276" s="35">
        <f>'Fiscal Forecasts'!D$42-SUM(D$274:D$275)</f>
        <v>-10.441000000000001</v>
      </c>
      <c r="E276" s="35">
        <f>'Fiscal Forecasts'!E$42-SUM(E$274:E$275)</f>
        <v>-12.446000000000002</v>
      </c>
      <c r="F276" s="35">
        <f>'Fiscal Forecasts'!F$42-SUM(F$274:F$275)</f>
        <v>-11.496000000000002</v>
      </c>
      <c r="G276" s="35">
        <f>'Fiscal Forecasts'!G$42-SUM(G$274:G$275)</f>
        <v>-12.916999999999998</v>
      </c>
      <c r="H276" s="35">
        <f>'Fiscal Forecasts'!H$42-SUM(H$274:H$275)</f>
        <v>-12.96</v>
      </c>
      <c r="I276" s="35">
        <f>'Fiscal Forecasts'!I$42-SUM(I$274:I$275)</f>
        <v>-14.383000000000003</v>
      </c>
      <c r="J276" s="17">
        <f ca="1">'Fiscal Forecasts'!J$42-SUM(J$274:J$275)+IF(OFFSET(Assumptions!$B$56,0,$C$1)="Yes",Allocation!C$16,0)</f>
        <v>-14.744999999999994</v>
      </c>
      <c r="K276" s="17">
        <f ca="1">'Fiscal Forecasts'!K$42-SUM(K$274:K$275)+IF(OFFSET(Assumptions!$B$56,0,$C$1)="Yes",Allocation!D$16,0)</f>
        <v>-14.965</v>
      </c>
      <c r="L276" s="17">
        <f ca="1">'Fiscal Forecasts'!L$42-SUM(L$274:L$275)+IF(OFFSET(Assumptions!$B$56,0,$C$1)="Yes",Allocation!E$16,0)</f>
        <v>-14.853000000000002</v>
      </c>
      <c r="M276" s="17">
        <f ca="1">'Fiscal Forecasts'!M$42-SUM(M$274:M$275)+IF(OFFSET(Assumptions!$B$56,0,$C$1)="Yes",Allocation!F$16,0)</f>
        <v>-14.612000000000002</v>
      </c>
      <c r="N276" s="17">
        <f ca="1">'Fiscal Forecasts'!N$42-SUM(N$274:N$275)+IF(OFFSET(Assumptions!$B$56,0,$C$1)="Yes",Allocation!G$16,0)</f>
        <v>-14.517999999999997</v>
      </c>
      <c r="O276" s="16">
        <f ca="1">N$276-(SUM(O$267:O$270,O$273)-SUM(N$267:N$270,N$273))</f>
        <v>-14.517999999999997</v>
      </c>
      <c r="P276" s="16">
        <f t="shared" ref="P276:X276" ca="1" si="170">O$276-(SUM(P$267:P$270,P$273)-SUM(O$267:O$270,O$273))</f>
        <v>-14.517999999999997</v>
      </c>
      <c r="Q276" s="16">
        <f t="shared" ca="1" si="170"/>
        <v>-14.517999999999997</v>
      </c>
      <c r="R276" s="16">
        <f t="shared" ca="1" si="170"/>
        <v>-14.517999999999997</v>
      </c>
      <c r="S276" s="16">
        <f t="shared" ca="1" si="170"/>
        <v>-14.517999999999997</v>
      </c>
      <c r="T276" s="16">
        <f t="shared" ca="1" si="170"/>
        <v>-14.517999999999997</v>
      </c>
      <c r="U276" s="16">
        <f t="shared" ca="1" si="170"/>
        <v>-14.517999999999997</v>
      </c>
      <c r="V276" s="16">
        <f t="shared" ca="1" si="170"/>
        <v>-14.517999999999997</v>
      </c>
      <c r="W276" s="16">
        <f t="shared" ca="1" si="170"/>
        <v>-14.517999999999997</v>
      </c>
      <c r="X276" s="16">
        <f t="shared" ca="1" si="170"/>
        <v>-14.517999999999997</v>
      </c>
    </row>
    <row r="277" spans="1:24" x14ac:dyDescent="0.25">
      <c r="A277" s="9" t="s">
        <v>982</v>
      </c>
      <c r="D277" s="65">
        <f t="shared" ref="D277:I277" si="171">SUM(D$274:D$276)</f>
        <v>15.28</v>
      </c>
      <c r="E277" s="65">
        <f t="shared" si="171"/>
        <v>17.581</v>
      </c>
      <c r="F277" s="65">
        <f t="shared" si="171"/>
        <v>17.384</v>
      </c>
      <c r="G277" s="65">
        <f t="shared" si="171"/>
        <v>18.911000000000001</v>
      </c>
      <c r="H277" s="65">
        <f t="shared" si="171"/>
        <v>19.609000000000002</v>
      </c>
      <c r="I277" s="65">
        <f t="shared" si="171"/>
        <v>21.186</v>
      </c>
      <c r="J277" s="66">
        <f t="shared" ref="J277:X277" ca="1" si="172">SUM(J$274:J$276)</f>
        <v>22.324000000000002</v>
      </c>
      <c r="K277" s="66">
        <f t="shared" ca="1" si="172"/>
        <v>22.949000000000002</v>
      </c>
      <c r="L277" s="66">
        <f t="shared" ca="1" si="172"/>
        <v>22.936</v>
      </c>
      <c r="M277" s="66">
        <f t="shared" ca="1" si="172"/>
        <v>22.811</v>
      </c>
      <c r="N277" s="66">
        <f t="shared" ca="1" si="172"/>
        <v>22.882000000000001</v>
      </c>
      <c r="O277" s="67">
        <f t="shared" ca="1" si="172"/>
        <v>22.902624859741767</v>
      </c>
      <c r="P277" s="67">
        <f t="shared" ca="1" si="172"/>
        <v>22.936945689646866</v>
      </c>
      <c r="Q277" s="67">
        <f t="shared" ca="1" si="172"/>
        <v>22.971123778087229</v>
      </c>
      <c r="R277" s="67">
        <f t="shared" ca="1" si="172"/>
        <v>23.004452199131851</v>
      </c>
      <c r="S277" s="67">
        <f t="shared" ca="1" si="172"/>
        <v>23.036254420129911</v>
      </c>
      <c r="T277" s="67">
        <f t="shared" ca="1" si="172"/>
        <v>23.068071804693179</v>
      </c>
      <c r="U277" s="67">
        <f t="shared" ca="1" si="172"/>
        <v>23.098542643907262</v>
      </c>
      <c r="V277" s="67">
        <f t="shared" ca="1" si="172"/>
        <v>23.128226557730901</v>
      </c>
      <c r="W277" s="67">
        <f t="shared" ca="1" si="172"/>
        <v>23.159272965375227</v>
      </c>
      <c r="X277" s="67">
        <f t="shared" ca="1" si="172"/>
        <v>23.191060002065232</v>
      </c>
    </row>
    <row r="279" spans="1:24" x14ac:dyDescent="0.25">
      <c r="A279" s="9" t="s">
        <v>983</v>
      </c>
    </row>
    <row r="280" spans="1:24" x14ac:dyDescent="0.25">
      <c r="A280" s="11" t="s">
        <v>984</v>
      </c>
      <c r="D280" s="35">
        <f t="shared" ref="D280:X280" si="173">D$386</f>
        <v>0.13</v>
      </c>
      <c r="E280" s="35">
        <f t="shared" si="173"/>
        <v>0.15</v>
      </c>
      <c r="F280" s="35">
        <f t="shared" si="173"/>
        <v>0.125</v>
      </c>
      <c r="G280" s="35">
        <f t="shared" si="173"/>
        <v>-0.51700000000000002</v>
      </c>
      <c r="H280" s="35">
        <f t="shared" si="173"/>
        <v>1.054</v>
      </c>
      <c r="I280" s="35">
        <f t="shared" si="173"/>
        <v>0.189</v>
      </c>
      <c r="J280" s="17">
        <f t="shared" si="173"/>
        <v>0.253</v>
      </c>
      <c r="K280" s="17">
        <f t="shared" si="173"/>
        <v>0.314</v>
      </c>
      <c r="L280" s="17">
        <f t="shared" si="173"/>
        <v>0.33600000000000002</v>
      </c>
      <c r="M280" s="17">
        <f t="shared" si="173"/>
        <v>0.36</v>
      </c>
      <c r="N280" s="17">
        <f t="shared" si="173"/>
        <v>0.38700000000000001</v>
      </c>
      <c r="O280" s="16">
        <f t="shared" si="173"/>
        <v>0.40498692258685287</v>
      </c>
      <c r="P280" s="16">
        <f t="shared" si="173"/>
        <v>0.4290963400981489</v>
      </c>
      <c r="Q280" s="16">
        <f t="shared" si="173"/>
        <v>0.45411227529667048</v>
      </c>
      <c r="R280" s="16">
        <f t="shared" si="173"/>
        <v>0.47990498066057363</v>
      </c>
      <c r="S280" s="16">
        <f t="shared" si="173"/>
        <v>0.50634223057610017</v>
      </c>
      <c r="T280" s="16">
        <f t="shared" si="173"/>
        <v>0.53340778741471007</v>
      </c>
      <c r="U280" s="16">
        <f t="shared" si="173"/>
        <v>0.56106866972067093</v>
      </c>
      <c r="V280" s="16">
        <f t="shared" si="173"/>
        <v>0.58929195862916683</v>
      </c>
      <c r="W280" s="16">
        <f t="shared" si="173"/>
        <v>0.61827941534955011</v>
      </c>
      <c r="X280" s="16">
        <f t="shared" si="173"/>
        <v>0.64836147366566821</v>
      </c>
    </row>
    <row r="281" spans="1:24" x14ac:dyDescent="0.25">
      <c r="A281" s="11" t="s">
        <v>985</v>
      </c>
      <c r="D281" s="35">
        <f t="shared" ref="D281:X281" si="174">D$193</f>
        <v>0.70799999999999996</v>
      </c>
      <c r="E281" s="35">
        <f t="shared" si="174"/>
        <v>0.73599999999999999</v>
      </c>
      <c r="F281" s="35">
        <f t="shared" si="174"/>
        <v>0.80400000000000005</v>
      </c>
      <c r="G281" s="35">
        <f t="shared" si="174"/>
        <v>0.82699999999999996</v>
      </c>
      <c r="H281" s="35">
        <f t="shared" si="174"/>
        <v>0.97099999999999997</v>
      </c>
      <c r="I281" s="35">
        <f t="shared" si="174"/>
        <v>1.202</v>
      </c>
      <c r="J281" s="17">
        <f t="shared" si="174"/>
        <v>1.1160000000000001</v>
      </c>
      <c r="K281" s="17">
        <f t="shared" si="174"/>
        <v>0.995</v>
      </c>
      <c r="L281" s="17">
        <f t="shared" si="174"/>
        <v>0.94099999999999995</v>
      </c>
      <c r="M281" s="17">
        <f t="shared" si="174"/>
        <v>0.94099999999999995</v>
      </c>
      <c r="N281" s="17">
        <f t="shared" si="174"/>
        <v>0.94099999999999995</v>
      </c>
      <c r="O281" s="16">
        <f t="shared" si="174"/>
        <v>0.94099999999999995</v>
      </c>
      <c r="P281" s="16">
        <f t="shared" si="174"/>
        <v>0.94099999999999995</v>
      </c>
      <c r="Q281" s="16">
        <f t="shared" si="174"/>
        <v>0.94099999999999995</v>
      </c>
      <c r="R281" s="16">
        <f t="shared" si="174"/>
        <v>0.94099999999999995</v>
      </c>
      <c r="S281" s="16">
        <f t="shared" si="174"/>
        <v>0.94099999999999995</v>
      </c>
      <c r="T281" s="16">
        <f t="shared" si="174"/>
        <v>0.94099999999999995</v>
      </c>
      <c r="U281" s="16">
        <f t="shared" si="174"/>
        <v>0.94099999999999995</v>
      </c>
      <c r="V281" s="16">
        <f t="shared" si="174"/>
        <v>0.94099999999999995</v>
      </c>
      <c r="W281" s="16">
        <f t="shared" si="174"/>
        <v>0.94099999999999995</v>
      </c>
      <c r="X281" s="16">
        <f t="shared" si="174"/>
        <v>0.94099999999999995</v>
      </c>
    </row>
    <row r="282" spans="1:24" x14ac:dyDescent="0.25">
      <c r="A282" s="11" t="s">
        <v>986</v>
      </c>
      <c r="B282" s="10" t="s">
        <v>989</v>
      </c>
      <c r="D282" s="35">
        <f>Exogenous!O$39</f>
        <v>0.82899999999999996</v>
      </c>
      <c r="E282" s="35">
        <f>Exogenous!P$39</f>
        <v>1.3560000000000001</v>
      </c>
      <c r="F282" s="35">
        <f>Exogenous!Q$39</f>
        <v>0.88200000000000001</v>
      </c>
      <c r="G282" s="35">
        <f>Exogenous!R$39</f>
        <v>0.66200000000000003</v>
      </c>
      <c r="H282" s="35">
        <f>Exogenous!S$39</f>
        <v>1.4530000000000001</v>
      </c>
      <c r="I282" s="35">
        <f>Exogenous!T$39</f>
        <v>2.3929999999999998</v>
      </c>
      <c r="J282" s="17">
        <f>Exogenous!U$39</f>
        <v>1.994</v>
      </c>
      <c r="K282" s="17">
        <f>Exogenous!V$39</f>
        <v>1.52</v>
      </c>
      <c r="L282" s="17">
        <f>Exogenous!W$39</f>
        <v>1.425</v>
      </c>
      <c r="M282" s="17">
        <f>Exogenous!X$39</f>
        <v>1.238</v>
      </c>
      <c r="N282" s="17">
        <f>Exogenous!Y$39</f>
        <v>1.238</v>
      </c>
      <c r="O282" s="16">
        <f t="shared" ref="O282:X282" ca="1" si="175">N$282*O$142/N$142</f>
        <v>1.2854607655512149</v>
      </c>
      <c r="P282" s="16">
        <f t="shared" ca="1" si="175"/>
        <v>1.3382317611796564</v>
      </c>
      <c r="Q282" s="16">
        <f t="shared" ca="1" si="175"/>
        <v>1.3926302293240715</v>
      </c>
      <c r="R282" s="16">
        <f t="shared" ca="1" si="175"/>
        <v>1.4471866698592484</v>
      </c>
      <c r="S282" s="16">
        <f t="shared" ca="1" si="175"/>
        <v>1.5029328600455183</v>
      </c>
      <c r="T282" s="16">
        <f t="shared" ca="1" si="175"/>
        <v>1.5597829402393923</v>
      </c>
      <c r="U282" s="16">
        <f t="shared" ca="1" si="175"/>
        <v>1.6173963268725879</v>
      </c>
      <c r="V282" s="16">
        <f t="shared" ca="1" si="175"/>
        <v>1.6758743965777725</v>
      </c>
      <c r="W282" s="16">
        <f t="shared" ca="1" si="175"/>
        <v>1.7352007866578412</v>
      </c>
      <c r="X282" s="16">
        <f t="shared" ca="1" si="175"/>
        <v>1.7958255617751693</v>
      </c>
    </row>
    <row r="283" spans="1:24" x14ac:dyDescent="0.25">
      <c r="A283" s="11" t="s">
        <v>997</v>
      </c>
      <c r="B283" s="10" t="str">
        <f>$B$38</f>
        <v>From Fiscal Forecasts</v>
      </c>
      <c r="C283" s="64" cm="1">
        <f t="array" aca="1" ref="C283" ca="1">SUMPRODUCT(OFFSET($N$283,0,0,1,-OFFSET(Assumptions!$B$59,0,$C$1))/OFFSET($N$13,0,0,1,-OFFSET(Assumptions!$B$59,0,$C$1)))/OFFSET(Assumptions!$B$59,0,$C$1)</f>
        <v>9.8557312718184908E-3</v>
      </c>
      <c r="D283" s="35">
        <f>'Fiscal Forecasts'!D$60-SUM(D$280:D$282)</f>
        <v>3.4990000000000006</v>
      </c>
      <c r="E283" s="35">
        <f>'Fiscal Forecasts'!E$60-SUM(E$280:E$282)</f>
        <v>3.8410000000000002</v>
      </c>
      <c r="F283" s="35">
        <f>'Fiscal Forecasts'!F$60-SUM(F$280:F$282)</f>
        <v>3.9429999999999996</v>
      </c>
      <c r="G283" s="35">
        <f>'Fiscal Forecasts'!G$60-SUM(G$280:G$282)</f>
        <v>4.7479999999999993</v>
      </c>
      <c r="H283" s="35">
        <f>'Fiscal Forecasts'!H$60-SUM(H$280:H$282)</f>
        <v>3.3280000000000003</v>
      </c>
      <c r="I283" s="35">
        <f>'Fiscal Forecasts'!I$60-SUM(I$280:I$282)</f>
        <v>4.6840000000000002</v>
      </c>
      <c r="J283" s="17">
        <f ca="1">'Fiscal Forecasts'!J$60-SUM(J$280:J$282)+IF(OFFSET(Assumptions!$B$56,0,$C$1)="Yes",Allocation!C$17,0)</f>
        <v>4.919999999999999</v>
      </c>
      <c r="K283" s="17">
        <f ca="1">'Fiscal Forecasts'!K$60-SUM(K$280:K$282)+IF(OFFSET(Assumptions!$B$56,0,$C$1)="Yes",Allocation!D$17,0)</f>
        <v>3.8940000000000001</v>
      </c>
      <c r="L283" s="17">
        <f ca="1">'Fiscal Forecasts'!L$60-SUM(L$280:L$282)+IF(OFFSET(Assumptions!$B$56,0,$C$1)="Yes",Allocation!E$17,0)</f>
        <v>4.09</v>
      </c>
      <c r="M283" s="17">
        <f ca="1">'Fiscal Forecasts'!M$60-SUM(M$280:M$282)+IF(OFFSET(Assumptions!$B$56,0,$C$1)="Yes",Allocation!F$17,0)</f>
        <v>3.6150000000000002</v>
      </c>
      <c r="N283" s="17">
        <f ca="1">'Fiscal Forecasts'!N$60-SUM(N$280:N$282)+IF(OFFSET(Assumptions!$B$56,0,$C$1)="Yes",Allocation!G$17,0)</f>
        <v>3.6480000000000006</v>
      </c>
      <c r="O283" s="16">
        <f ca="1">N$283+IF(OFFSET(Assumptions!$B$57,0,$C$1)="Yes",Allocation!$B$17*O$247,IF(OFFSET(Assumptions!$B$58,0,$C$1)="Yes",(N$283/N$13+MIN(ABS($C$283-N$283/N$13),OFFSET(Assumptions!$B$60,0,$C$1))*SIGN($C$283-N$283/N$13))*O$13-N$283,0))</f>
        <v>3.6480000000000006</v>
      </c>
      <c r="P283" s="16">
        <f ca="1">O$283+IF(OFFSET(Assumptions!$B$57,0,$C$1)="Yes",Allocation!$B$17*P$247,IF(OFFSET(Assumptions!$B$58,0,$C$1)="Yes",(O$283/O$13+MIN(ABS($C$283-O$283/O$13),OFFSET(Assumptions!$B$60,0,$C$1))*SIGN($C$283-O$283/O$13))*P$13-O$283,0))</f>
        <v>3.6480000000000006</v>
      </c>
      <c r="Q283" s="16">
        <f ca="1">P$283+IF(OFFSET(Assumptions!$B$57,0,$C$1)="Yes",Allocation!$B$17*Q$247,IF(OFFSET(Assumptions!$B$58,0,$C$1)="Yes",(P$283/P$13+MIN(ABS($C$283-P$283/P$13),OFFSET(Assumptions!$B$60,0,$C$1))*SIGN($C$283-P$283/P$13))*Q$13-P$283,0))</f>
        <v>3.6480000000000006</v>
      </c>
      <c r="R283" s="16">
        <f ca="1">Q$283+IF(OFFSET(Assumptions!$B$57,0,$C$1)="Yes",Allocation!$B$17*R$247,IF(OFFSET(Assumptions!$B$58,0,$C$1)="Yes",(Q$283/Q$13+MIN(ABS($C$283-Q$283/Q$13),OFFSET(Assumptions!$B$60,0,$C$1))*SIGN($C$283-Q$283/Q$13))*R$13-Q$283,0))</f>
        <v>3.6480000000000006</v>
      </c>
      <c r="S283" s="16">
        <f ca="1">R$283+IF(OFFSET(Assumptions!$B$57,0,$C$1)="Yes",Allocation!$B$17*S$247,IF(OFFSET(Assumptions!$B$58,0,$C$1)="Yes",(R$283/R$13+MIN(ABS($C$283-R$283/R$13),OFFSET(Assumptions!$B$60,0,$C$1))*SIGN($C$283-R$283/R$13))*S$13-R$283,0))</f>
        <v>3.6480000000000006</v>
      </c>
      <c r="T283" s="16">
        <f ca="1">S$283+IF(OFFSET(Assumptions!$B$57,0,$C$1)="Yes",Allocation!$B$17*T$247,IF(OFFSET(Assumptions!$B$58,0,$C$1)="Yes",(S$283/S$13+MIN(ABS($C$283-S$283/S$13),OFFSET(Assumptions!$B$60,0,$C$1))*SIGN($C$283-S$283/S$13))*T$13-S$283,0))</f>
        <v>3.6480000000000006</v>
      </c>
      <c r="U283" s="16">
        <f ca="1">T$283+IF(OFFSET(Assumptions!$B$57,0,$C$1)="Yes",Allocation!$B$17*U$247,IF(OFFSET(Assumptions!$B$58,0,$C$1)="Yes",(T$283/T$13+MIN(ABS($C$283-T$283/T$13),OFFSET(Assumptions!$B$60,0,$C$1))*SIGN($C$283-T$283/T$13))*U$13-T$283,0))</f>
        <v>3.6480000000000006</v>
      </c>
      <c r="V283" s="16">
        <f ca="1">U$283+IF(OFFSET(Assumptions!$B$57,0,$C$1)="Yes",Allocation!$B$17*V$247,IF(OFFSET(Assumptions!$B$58,0,$C$1)="Yes",(U$283/U$13+MIN(ABS($C$283-U$283/U$13),OFFSET(Assumptions!$B$60,0,$C$1))*SIGN($C$283-U$283/U$13))*V$13-U$283,0))</f>
        <v>3.6480000000000006</v>
      </c>
      <c r="W283" s="16">
        <f ca="1">V$283+IF(OFFSET(Assumptions!$B$57,0,$C$1)="Yes",Allocation!$B$17*W$247,IF(OFFSET(Assumptions!$B$58,0,$C$1)="Yes",(V$283/V$13+MIN(ABS($C$283-V$283/V$13),OFFSET(Assumptions!$B$60,0,$C$1))*SIGN($C$283-V$283/V$13))*W$13-V$283,0))</f>
        <v>3.6480000000000006</v>
      </c>
      <c r="X283" s="16">
        <f ca="1">W$283+IF(OFFSET(Assumptions!$B$57,0,$C$1)="Yes",Allocation!$B$17*X$247,IF(OFFSET(Assumptions!$B$58,0,$C$1)="Yes",(W$283/W$13+MIN(ABS($C$283-W$283/W$13),OFFSET(Assumptions!$B$60,0,$C$1))*SIGN($C$283-W$283/W$13))*X$13-W$283,0))</f>
        <v>3.6480000000000006</v>
      </c>
    </row>
    <row r="284" spans="1:24" x14ac:dyDescent="0.25">
      <c r="A284" s="9" t="s">
        <v>987</v>
      </c>
      <c r="D284" s="65">
        <f t="shared" ref="D284:X284" si="176">SUM(D$280:D$283)</f>
        <v>5.1660000000000004</v>
      </c>
      <c r="E284" s="65">
        <f t="shared" si="176"/>
        <v>6.0830000000000002</v>
      </c>
      <c r="F284" s="65">
        <f t="shared" si="176"/>
        <v>5.7539999999999996</v>
      </c>
      <c r="G284" s="65">
        <f t="shared" si="176"/>
        <v>5.7199999999999989</v>
      </c>
      <c r="H284" s="65">
        <f t="shared" si="176"/>
        <v>6.806</v>
      </c>
      <c r="I284" s="65">
        <f t="shared" si="176"/>
        <v>8.468</v>
      </c>
      <c r="J284" s="66">
        <f t="shared" ca="1" si="176"/>
        <v>8.2829999999999995</v>
      </c>
      <c r="K284" s="66">
        <f t="shared" ca="1" si="176"/>
        <v>6.7229999999999999</v>
      </c>
      <c r="L284" s="66">
        <f t="shared" ca="1" si="176"/>
        <v>6.7919999999999998</v>
      </c>
      <c r="M284" s="66">
        <f t="shared" ca="1" si="176"/>
        <v>6.1539999999999999</v>
      </c>
      <c r="N284" s="66">
        <f t="shared" ca="1" si="176"/>
        <v>6.2140000000000004</v>
      </c>
      <c r="O284" s="67">
        <f t="shared" ca="1" si="176"/>
        <v>6.2794476881380685</v>
      </c>
      <c r="P284" s="67">
        <f t="shared" ca="1" si="176"/>
        <v>6.3563281012778061</v>
      </c>
      <c r="Q284" s="67">
        <f t="shared" ca="1" si="176"/>
        <v>6.4357425046207428</v>
      </c>
      <c r="R284" s="67">
        <f t="shared" ca="1" si="176"/>
        <v>6.5160916505198223</v>
      </c>
      <c r="S284" s="67">
        <f t="shared" ca="1" si="176"/>
        <v>6.5982750906216188</v>
      </c>
      <c r="T284" s="67">
        <f t="shared" ca="1" si="176"/>
        <v>6.6821907276541026</v>
      </c>
      <c r="U284" s="67">
        <f t="shared" ca="1" si="176"/>
        <v>6.7674649965932598</v>
      </c>
      <c r="V284" s="67">
        <f t="shared" ca="1" si="176"/>
        <v>6.8541663552069396</v>
      </c>
      <c r="W284" s="67">
        <f t="shared" ca="1" si="176"/>
        <v>6.9424802020073919</v>
      </c>
      <c r="X284" s="67">
        <f t="shared" ca="1" si="176"/>
        <v>7.0331870354408377</v>
      </c>
    </row>
    <row r="285" spans="1:24" x14ac:dyDescent="0.25">
      <c r="A285" s="9" t="s">
        <v>988</v>
      </c>
      <c r="B285" s="10" t="str">
        <f>$B$38</f>
        <v>From Fiscal Forecasts</v>
      </c>
      <c r="D285" s="42">
        <f>'Fiscal Forecasts'!D$43</f>
        <v>4.7320000000000002</v>
      </c>
      <c r="E285" s="42">
        <f>'Fiscal Forecasts'!E$43</f>
        <v>5.8689999999999998</v>
      </c>
      <c r="F285" s="42">
        <f>'Fiscal Forecasts'!F$43</f>
        <v>5.6020000000000003</v>
      </c>
      <c r="G285" s="42">
        <f>'Fiscal Forecasts'!G$43</f>
        <v>5.4260000000000002</v>
      </c>
      <c r="H285" s="42">
        <f>'Fiscal Forecasts'!H$43</f>
        <v>6.6630000000000003</v>
      </c>
      <c r="I285" s="42">
        <f>'Fiscal Forecasts'!I$43</f>
        <v>8.1780000000000008</v>
      </c>
      <c r="J285" s="43">
        <f ca="1">'Fiscal Forecasts'!J$43+IF(OFFSET(Assumptions!$B$56,0,$C$1)="Yes",Allocation!C$17,0)</f>
        <v>7.9550000000000001</v>
      </c>
      <c r="K285" s="43">
        <f ca="1">'Fiscal Forecasts'!K$43+IF(OFFSET(Assumptions!$B$56,0,$C$1)="Yes",Allocation!D$17,0)</f>
        <v>6.5519999999999996</v>
      </c>
      <c r="L285" s="43">
        <f ca="1">'Fiscal Forecasts'!L$43+IF(OFFSET(Assumptions!$B$56,0,$C$1)="Yes",Allocation!E$17,0)</f>
        <v>6.702</v>
      </c>
      <c r="M285" s="43">
        <f ca="1">'Fiscal Forecasts'!M$43+IF(OFFSET(Assumptions!$B$56,0,$C$1)="Yes",Allocation!F$17,0)</f>
        <v>6.0140000000000002</v>
      </c>
      <c r="N285" s="43">
        <f ca="1">'Fiscal Forecasts'!N$43+IF(OFFSET(Assumptions!$B$56,0,$C$1)="Yes",Allocation!G$17,0)</f>
        <v>6.1180000000000003</v>
      </c>
      <c r="O285" s="47">
        <f t="shared" ref="O285:X285" ca="1" si="177">O$284+N$285-N$284</f>
        <v>6.1834476881380684</v>
      </c>
      <c r="P285" s="47">
        <f t="shared" ca="1" si="177"/>
        <v>6.2603281012778051</v>
      </c>
      <c r="Q285" s="47">
        <f t="shared" ca="1" si="177"/>
        <v>6.3397425046207418</v>
      </c>
      <c r="R285" s="47">
        <f t="shared" ca="1" si="177"/>
        <v>6.4200916505198204</v>
      </c>
      <c r="S285" s="47">
        <f t="shared" ca="1" si="177"/>
        <v>6.502275090621616</v>
      </c>
      <c r="T285" s="47">
        <f t="shared" ca="1" si="177"/>
        <v>6.5861907276540999</v>
      </c>
      <c r="U285" s="47">
        <f t="shared" ca="1" si="177"/>
        <v>6.671464996593258</v>
      </c>
      <c r="V285" s="47">
        <f t="shared" ca="1" si="177"/>
        <v>6.7581663552069369</v>
      </c>
      <c r="W285" s="47">
        <f t="shared" ca="1" si="177"/>
        <v>6.8464802020073892</v>
      </c>
      <c r="X285" s="47">
        <f t="shared" ca="1" si="177"/>
        <v>6.9371870354408358</v>
      </c>
    </row>
    <row r="287" spans="1:24" x14ac:dyDescent="0.25">
      <c r="A287" s="9" t="s">
        <v>990</v>
      </c>
    </row>
    <row r="288" spans="1:24" x14ac:dyDescent="0.25">
      <c r="A288" s="9" t="s">
        <v>991</v>
      </c>
      <c r="B288" s="10" t="str">
        <f>$B$38</f>
        <v>From Fiscal Forecasts</v>
      </c>
      <c r="C288" s="64" cm="1">
        <f t="array" aca="1" ref="C288" ca="1">SUMPRODUCT(OFFSET($N$288,0,0,1,-OFFSET(Assumptions!$B$59,0,$C$1))/OFFSET($N$13,0,0,1,-OFFSET(Assumptions!$B$59,0,$C$1)))/OFFSET(Assumptions!$B$59,0,$C$1)</f>
        <v>1.5138340005908449E-2</v>
      </c>
      <c r="D288" s="42">
        <f>'Fiscal Forecasts'!D$61</f>
        <v>4.625</v>
      </c>
      <c r="E288" s="42">
        <f>'Fiscal Forecasts'!E$61</f>
        <v>4.9109999999999996</v>
      </c>
      <c r="F288" s="42">
        <f>'Fiscal Forecasts'!F$61</f>
        <v>5.202</v>
      </c>
      <c r="G288" s="42">
        <f>'Fiscal Forecasts'!G$61</f>
        <v>5.444</v>
      </c>
      <c r="H288" s="42">
        <f>'Fiscal Forecasts'!H$61</f>
        <v>6.165</v>
      </c>
      <c r="I288" s="42">
        <f>'Fiscal Forecasts'!I$61</f>
        <v>6.5270000000000001</v>
      </c>
      <c r="J288" s="43">
        <f ca="1">'Fiscal Forecasts'!J$61+IF(OFFSET(Assumptions!$B$56,0,$C$1)="Yes",Allocation!C$18,0)</f>
        <v>6.9779999999999998</v>
      </c>
      <c r="K288" s="43">
        <f ca="1">'Fiscal Forecasts'!K$61+IF(OFFSET(Assumptions!$B$56,0,$C$1)="Yes",Allocation!D$18,0)</f>
        <v>7.3419999999999996</v>
      </c>
      <c r="L288" s="43">
        <f ca="1">'Fiscal Forecasts'!L$61+IF(OFFSET(Assumptions!$B$56,0,$C$1)="Yes",Allocation!E$18,0)</f>
        <v>7.2629999999999999</v>
      </c>
      <c r="M288" s="43">
        <f ca="1">'Fiscal Forecasts'!M$61+IF(OFFSET(Assumptions!$B$56,0,$C$1)="Yes",Allocation!F$18,0)</f>
        <v>7.1130000000000004</v>
      </c>
      <c r="N288" s="43">
        <f ca="1">'Fiscal Forecasts'!N$61+IF(OFFSET(Assumptions!$B$56,0,$C$1)="Yes",Allocation!G$18,0)</f>
        <v>7.0720000000000001</v>
      </c>
      <c r="O288" s="47">
        <f ca="1">N$288+IF(OFFSET(Assumptions!$B$57,0,$C$1)="Yes",Allocation!$B$18*O$247,IF(OFFSET(Assumptions!$B$58,0,$C$1)="Yes",(N$288/N$13+MIN(ABS($C$288-N$288/N$13),OFFSET(Assumptions!$B$60,0,$C$1))*SIGN($C$288-N$288/N$13))*O$13-N$288,0))</f>
        <v>7.0720000000000001</v>
      </c>
      <c r="P288" s="47">
        <f ca="1">O$288+IF(OFFSET(Assumptions!$B$57,0,$C$1)="Yes",Allocation!$B$18*P$247,IF(OFFSET(Assumptions!$B$58,0,$C$1)="Yes",(O$288/O$13+MIN(ABS($C$288-O$288/O$13),OFFSET(Assumptions!$B$60,0,$C$1))*SIGN($C$288-O$288/O$13))*P$13-O$288,0))</f>
        <v>7.0720000000000001</v>
      </c>
      <c r="Q288" s="47">
        <f ca="1">P$288+IF(OFFSET(Assumptions!$B$57,0,$C$1)="Yes",Allocation!$B$18*Q$247,IF(OFFSET(Assumptions!$B$58,0,$C$1)="Yes",(P$288/P$13+MIN(ABS($C$288-P$288/P$13),OFFSET(Assumptions!$B$60,0,$C$1))*SIGN($C$288-P$288/P$13))*Q$13-P$288,0))</f>
        <v>7.0720000000000001</v>
      </c>
      <c r="R288" s="47">
        <f ca="1">Q$288+IF(OFFSET(Assumptions!$B$57,0,$C$1)="Yes",Allocation!$B$18*R$247,IF(OFFSET(Assumptions!$B$58,0,$C$1)="Yes",(Q$288/Q$13+MIN(ABS($C$288-Q$288/Q$13),OFFSET(Assumptions!$B$60,0,$C$1))*SIGN($C$288-Q$288/Q$13))*R$13-Q$288,0))</f>
        <v>7.0720000000000001</v>
      </c>
      <c r="S288" s="47">
        <f ca="1">R$288+IF(OFFSET(Assumptions!$B$57,0,$C$1)="Yes",Allocation!$B$18*S$247,IF(OFFSET(Assumptions!$B$58,0,$C$1)="Yes",(R$288/R$13+MIN(ABS($C$288-R$288/R$13),OFFSET(Assumptions!$B$60,0,$C$1))*SIGN($C$288-R$288/R$13))*S$13-R$288,0))</f>
        <v>7.0720000000000001</v>
      </c>
      <c r="T288" s="47">
        <f ca="1">S$288+IF(OFFSET(Assumptions!$B$57,0,$C$1)="Yes",Allocation!$B$18*T$247,IF(OFFSET(Assumptions!$B$58,0,$C$1)="Yes",(S$288/S$13+MIN(ABS($C$288-S$288/S$13),OFFSET(Assumptions!$B$60,0,$C$1))*SIGN($C$288-S$288/S$13))*T$13-S$288,0))</f>
        <v>7.0720000000000001</v>
      </c>
      <c r="U288" s="47">
        <f ca="1">T$288+IF(OFFSET(Assumptions!$B$57,0,$C$1)="Yes",Allocation!$B$18*U$247,IF(OFFSET(Assumptions!$B$58,0,$C$1)="Yes",(T$288/T$13+MIN(ABS($C$288-T$288/T$13),OFFSET(Assumptions!$B$60,0,$C$1))*SIGN($C$288-T$288/T$13))*U$13-T$288,0))</f>
        <v>7.0720000000000001</v>
      </c>
      <c r="V288" s="47">
        <f ca="1">U$288+IF(OFFSET(Assumptions!$B$57,0,$C$1)="Yes",Allocation!$B$18*V$247,IF(OFFSET(Assumptions!$B$58,0,$C$1)="Yes",(U$288/U$13+MIN(ABS($C$288-U$288/U$13),OFFSET(Assumptions!$B$60,0,$C$1))*SIGN($C$288-U$288/U$13))*V$13-U$288,0))</f>
        <v>7.0720000000000001</v>
      </c>
      <c r="W288" s="47">
        <f ca="1">V$288+IF(OFFSET(Assumptions!$B$57,0,$C$1)="Yes",Allocation!$B$18*W$247,IF(OFFSET(Assumptions!$B$58,0,$C$1)="Yes",(V$288/V$13+MIN(ABS($C$288-V$288/V$13),OFFSET(Assumptions!$B$60,0,$C$1))*SIGN($C$288-V$288/V$13))*W$13-V$288,0))</f>
        <v>7.0720000000000001</v>
      </c>
      <c r="X288" s="47">
        <f ca="1">W$288+IF(OFFSET(Assumptions!$B$57,0,$C$1)="Yes",Allocation!$B$18*X$247,IF(OFFSET(Assumptions!$B$58,0,$C$1)="Yes",(W$288/W$13+MIN(ABS($C$288-W$288/W$13),OFFSET(Assumptions!$B$60,0,$C$1))*SIGN($C$288-W$288/W$13))*X$13-W$288,0))</f>
        <v>7.0720000000000001</v>
      </c>
    </row>
    <row r="289" spans="1:24" x14ac:dyDescent="0.25">
      <c r="A289" s="9" t="s">
        <v>992</v>
      </c>
      <c r="B289" s="10" t="str">
        <f>$B$38</f>
        <v>From Fiscal Forecasts</v>
      </c>
      <c r="D289" s="42">
        <f>'Fiscal Forecasts'!D$44</f>
        <v>5.05</v>
      </c>
      <c r="E289" s="42">
        <f>'Fiscal Forecasts'!E$44</f>
        <v>5.3040000000000003</v>
      </c>
      <c r="F289" s="42">
        <f>'Fiscal Forecasts'!F$44</f>
        <v>5.5330000000000004</v>
      </c>
      <c r="G289" s="42">
        <f>'Fiscal Forecasts'!G$44</f>
        <v>5.9210000000000003</v>
      </c>
      <c r="H289" s="42">
        <f>'Fiscal Forecasts'!H$44</f>
        <v>6.6660000000000004</v>
      </c>
      <c r="I289" s="42">
        <f>'Fiscal Forecasts'!I$44</f>
        <v>7.0720000000000001</v>
      </c>
      <c r="J289" s="43">
        <f ca="1">'Fiscal Forecasts'!J$44+IF(OFFSET(Assumptions!$B$56,0,$C$1)="Yes",Allocation!C$18,0)</f>
        <v>7.55</v>
      </c>
      <c r="K289" s="43">
        <f ca="1">'Fiscal Forecasts'!K$44+IF(OFFSET(Assumptions!$B$56,0,$C$1)="Yes",Allocation!D$18,0)</f>
        <v>7.9459999999999997</v>
      </c>
      <c r="L289" s="43">
        <f ca="1">'Fiscal Forecasts'!L$44+IF(OFFSET(Assumptions!$B$56,0,$C$1)="Yes",Allocation!E$18,0)</f>
        <v>7.7690000000000001</v>
      </c>
      <c r="M289" s="43">
        <f ca="1">'Fiscal Forecasts'!M$44+IF(OFFSET(Assumptions!$B$56,0,$C$1)="Yes",Allocation!F$18,0)</f>
        <v>7.7460000000000004</v>
      </c>
      <c r="N289" s="43">
        <f ca="1">'Fiscal Forecasts'!N$44+IF(OFFSET(Assumptions!$B$56,0,$C$1)="Yes",Allocation!G$18,0)</f>
        <v>7.6929999999999996</v>
      </c>
      <c r="O289" s="47">
        <f t="shared" ref="O289:X289" ca="1" si="178">O$288+(N$289-N$288)*(1+O$29)</f>
        <v>7.7054199999999993</v>
      </c>
      <c r="P289" s="47">
        <f t="shared" ca="1" si="178"/>
        <v>7.7180883999999992</v>
      </c>
      <c r="Q289" s="47">
        <f t="shared" ca="1" si="178"/>
        <v>7.7310101679999992</v>
      </c>
      <c r="R289" s="47">
        <f t="shared" ca="1" si="178"/>
        <v>7.7441903713599993</v>
      </c>
      <c r="S289" s="47">
        <f t="shared" ca="1" si="178"/>
        <v>7.7576341787871996</v>
      </c>
      <c r="T289" s="47">
        <f t="shared" ca="1" si="178"/>
        <v>7.7713468623629431</v>
      </c>
      <c r="U289" s="47">
        <f t="shared" ca="1" si="178"/>
        <v>7.7853337996102017</v>
      </c>
      <c r="V289" s="47">
        <f t="shared" ca="1" si="178"/>
        <v>7.7996004756024053</v>
      </c>
      <c r="W289" s="47">
        <f t="shared" ca="1" si="178"/>
        <v>7.8141524851144535</v>
      </c>
      <c r="X289" s="47">
        <f t="shared" ca="1" si="178"/>
        <v>7.8289955348167428</v>
      </c>
    </row>
    <row r="291" spans="1:24" x14ac:dyDescent="0.25">
      <c r="A291" s="9" t="s">
        <v>993</v>
      </c>
    </row>
    <row r="292" spans="1:24" x14ac:dyDescent="0.25">
      <c r="A292" s="9" t="s">
        <v>1106</v>
      </c>
      <c r="B292" s="10" t="str">
        <f>$B$38</f>
        <v>From Fiscal Forecasts</v>
      </c>
      <c r="D292" s="42">
        <f>'Fiscal Forecasts'!D$62</f>
        <v>2.8889999999999998</v>
      </c>
      <c r="E292" s="42">
        <f>'Fiscal Forecasts'!E$62</f>
        <v>3.1789999999999998</v>
      </c>
      <c r="F292" s="42">
        <f>'Fiscal Forecasts'!F$62</f>
        <v>5.6559999999999997</v>
      </c>
      <c r="G292" s="42">
        <f>'Fiscal Forecasts'!G$62</f>
        <v>4.657</v>
      </c>
      <c r="H292" s="42">
        <f>'Fiscal Forecasts'!H$62</f>
        <v>5.4720000000000004</v>
      </c>
      <c r="I292" s="42">
        <f>'Fiscal Forecasts'!I$62</f>
        <v>5.4870000000000001</v>
      </c>
      <c r="J292" s="43">
        <f>'Fiscal Forecasts'!J$62</f>
        <v>5.9160000000000004</v>
      </c>
      <c r="K292" s="43">
        <f>'Fiscal Forecasts'!K$62</f>
        <v>7.226</v>
      </c>
      <c r="L292" s="43">
        <f>'Fiscal Forecasts'!L$62</f>
        <v>5.0199999999999996</v>
      </c>
      <c r="M292" s="43">
        <f>'Fiscal Forecasts'!M$62</f>
        <v>4.7279999999999998</v>
      </c>
      <c r="N292" s="43">
        <f>'Fiscal Forecasts'!N$62</f>
        <v>5.1059999999999999</v>
      </c>
      <c r="O292" s="47">
        <f t="shared" ref="O292:X292" ca="1" si="179">N$292*O$138/N$138</f>
        <v>5.0972257715457987</v>
      </c>
      <c r="P292" s="47">
        <f t="shared" ca="1" si="179"/>
        <v>5.0757671352064904</v>
      </c>
      <c r="Q292" s="47">
        <f t="shared" ca="1" si="179"/>
        <v>5.2436769084205697</v>
      </c>
      <c r="R292" s="47">
        <f t="shared" ca="1" si="179"/>
        <v>5.4501545536941585</v>
      </c>
      <c r="S292" s="47">
        <f t="shared" ca="1" si="179"/>
        <v>5.6611849610539693</v>
      </c>
      <c r="T292" s="47">
        <f t="shared" ca="1" si="179"/>
        <v>5.8764460792302238</v>
      </c>
      <c r="U292" s="47">
        <f t="shared" ca="1" si="179"/>
        <v>6.0945772851107982</v>
      </c>
      <c r="V292" s="47">
        <f t="shared" ca="1" si="179"/>
        <v>6.3159880515803426</v>
      </c>
      <c r="W292" s="47">
        <f t="shared" ca="1" si="179"/>
        <v>6.5406701296517049</v>
      </c>
      <c r="X292" s="47">
        <f t="shared" ca="1" si="179"/>
        <v>6.7703166177289056</v>
      </c>
    </row>
    <row r="293" spans="1:24" x14ac:dyDescent="0.25">
      <c r="A293" s="11" t="s">
        <v>707</v>
      </c>
      <c r="B293" s="10" t="str">
        <f>$B$38</f>
        <v>From Fiscal Forecasts</v>
      </c>
      <c r="D293" s="35">
        <f>'Fiscal Forecasts'!D$209</f>
        <v>3.21</v>
      </c>
      <c r="E293" s="35">
        <f>'Fiscal Forecasts'!E$209</f>
        <v>3.8239999999999998</v>
      </c>
      <c r="F293" s="35">
        <f>'Fiscal Forecasts'!F$209</f>
        <v>4.2590000000000003</v>
      </c>
      <c r="G293" s="35">
        <f>'Fiscal Forecasts'!G$209</f>
        <v>4.5030000000000001</v>
      </c>
      <c r="H293" s="35">
        <f>'Fiscal Forecasts'!H$209</f>
        <v>6.1050000000000004</v>
      </c>
      <c r="I293" s="35">
        <f>'Fiscal Forecasts'!I$209</f>
        <v>6.6280000000000001</v>
      </c>
      <c r="J293" s="17">
        <f>'Fiscal Forecasts'!J$209</f>
        <v>6.51</v>
      </c>
      <c r="K293" s="17">
        <f>'Fiscal Forecasts'!K$209</f>
        <v>5.9379999999999997</v>
      </c>
      <c r="L293" s="17">
        <f>'Fiscal Forecasts'!L$209</f>
        <v>5.9710000000000001</v>
      </c>
      <c r="M293" s="17">
        <f>'Fiscal Forecasts'!M$209</f>
        <v>5.1829999999999998</v>
      </c>
      <c r="N293" s="17">
        <f>'Fiscal Forecasts'!N$209</f>
        <v>5.306</v>
      </c>
      <c r="O293" s="16">
        <f t="shared" ref="O293:X293" ca="1" si="180">O$292+(N$293-N$292)*(1+O$14)</f>
        <v>5.305855280297572</v>
      </c>
      <c r="P293" s="16">
        <f t="shared" ca="1" si="180"/>
        <v>5.2932947255773781</v>
      </c>
      <c r="Q293" s="16">
        <f t="shared" ca="1" si="180"/>
        <v>5.4701219005768253</v>
      </c>
      <c r="R293" s="16">
        <f t="shared" ca="1" si="180"/>
        <v>5.6855161571483634</v>
      </c>
      <c r="S293" s="16">
        <f t="shared" ca="1" si="180"/>
        <v>5.9056597840626788</v>
      </c>
      <c r="T293" s="16">
        <f t="shared" ca="1" si="180"/>
        <v>6.1302168224621436</v>
      </c>
      <c r="U293" s="16">
        <f t="shared" ca="1" si="180"/>
        <v>6.357767891554607</v>
      </c>
      <c r="V293" s="16">
        <f t="shared" ca="1" si="180"/>
        <v>6.5887401470617375</v>
      </c>
      <c r="W293" s="16">
        <f t="shared" ca="1" si="180"/>
        <v>6.8231249837688992</v>
      </c>
      <c r="X293" s="16">
        <f t="shared" ca="1" si="180"/>
        <v>7.062688615503034</v>
      </c>
    </row>
    <row r="294" spans="1:24" x14ac:dyDescent="0.25">
      <c r="A294" s="11" t="s">
        <v>904</v>
      </c>
      <c r="B294" s="10" t="str">
        <f>$B$38</f>
        <v>From Fiscal Forecasts</v>
      </c>
      <c r="D294" s="35">
        <f>'Fiscal Forecasts'!D$210</f>
        <v>5.4009999999999998</v>
      </c>
      <c r="E294" s="35">
        <f>'Fiscal Forecasts'!E$210</f>
        <v>8.9149999999999991</v>
      </c>
      <c r="F294" s="35">
        <f>'Fiscal Forecasts'!F$210</f>
        <v>5.8360000000000003</v>
      </c>
      <c r="G294" s="35">
        <f>'Fiscal Forecasts'!G$210</f>
        <v>4.8730000000000002</v>
      </c>
      <c r="H294" s="35">
        <f>'Fiscal Forecasts'!H$210</f>
        <v>8.5990000000000002</v>
      </c>
      <c r="I294" s="35">
        <f>'Fiscal Forecasts'!I$210</f>
        <v>10.317</v>
      </c>
      <c r="J294" s="17">
        <f>'Fiscal Forecasts'!J$210</f>
        <v>9.6999999999999993</v>
      </c>
      <c r="K294" s="17">
        <f>'Fiscal Forecasts'!K$210</f>
        <v>10.332000000000001</v>
      </c>
      <c r="L294" s="17">
        <f>'Fiscal Forecasts'!L$210</f>
        <v>10.58</v>
      </c>
      <c r="M294" s="17">
        <f>'Fiscal Forecasts'!M$210</f>
        <v>10.975</v>
      </c>
      <c r="N294" s="17">
        <f>'Fiscal Forecasts'!N$210</f>
        <v>11.539</v>
      </c>
      <c r="O294" s="16">
        <f t="shared" ref="O294:X294" ca="1" si="181">N$294*(1+O$19)*(1+O$29)</f>
        <v>11.91558332577668</v>
      </c>
      <c r="P294" s="16">
        <f t="shared" ca="1" si="181"/>
        <v>12.295729163494226</v>
      </c>
      <c r="Q294" s="16">
        <f t="shared" ca="1" si="181"/>
        <v>12.680445043678345</v>
      </c>
      <c r="R294" s="16">
        <f t="shared" ca="1" si="181"/>
        <v>13.066279166812539</v>
      </c>
      <c r="S294" s="16">
        <f t="shared" ca="1" si="181"/>
        <v>13.455279449697001</v>
      </c>
      <c r="T294" s="16">
        <f t="shared" ca="1" si="181"/>
        <v>13.846534233795651</v>
      </c>
      <c r="U294" s="16">
        <f t="shared" ca="1" si="181"/>
        <v>14.245158691202095</v>
      </c>
      <c r="V294" s="16">
        <f t="shared" ca="1" si="181"/>
        <v>14.649160143755896</v>
      </c>
      <c r="W294" s="16">
        <f t="shared" ca="1" si="181"/>
        <v>15.052784605713301</v>
      </c>
      <c r="X294" s="16">
        <f t="shared" ca="1" si="181"/>
        <v>15.46029102219522</v>
      </c>
    </row>
    <row r="295" spans="1:24" x14ac:dyDescent="0.25">
      <c r="A295" s="11" t="s">
        <v>866</v>
      </c>
      <c r="B295" s="10" t="str">
        <f>$B$38</f>
        <v>From Fiscal Forecasts</v>
      </c>
      <c r="D295" s="35">
        <f>'Fiscal Forecasts'!D$45-SUM(D$292:D$294)</f>
        <v>-3.0709999999999997</v>
      </c>
      <c r="E295" s="35">
        <f>'Fiscal Forecasts'!E$45-SUM(E$292:E$294)</f>
        <v>-2.9559999999999995</v>
      </c>
      <c r="F295" s="35">
        <f>'Fiscal Forecasts'!F$45-SUM(F$292:F$294)</f>
        <v>-5.4159999999999986</v>
      </c>
      <c r="G295" s="35">
        <f>'Fiscal Forecasts'!G$45-SUM(G$292:G$294)</f>
        <v>-4.5050000000000008</v>
      </c>
      <c r="H295" s="35">
        <f>'Fiscal Forecasts'!H$45-SUM(H$292:H$294)</f>
        <v>-5.7480000000000011</v>
      </c>
      <c r="I295" s="35">
        <f>'Fiscal Forecasts'!I$45-SUM(I$292:I$294)</f>
        <v>-5.6990000000000016</v>
      </c>
      <c r="J295" s="17">
        <f>'Fiscal Forecasts'!J$45-SUM(J$292:J$294)</f>
        <v>-5.9019999999999975</v>
      </c>
      <c r="K295" s="17">
        <f>'Fiscal Forecasts'!K$45-SUM(K$292:K$294)</f>
        <v>-5.1730000000000018</v>
      </c>
      <c r="L295" s="17">
        <f>'Fiscal Forecasts'!L$45-SUM(L$292:L$294)</f>
        <v>-5.0519999999999996</v>
      </c>
      <c r="M295" s="17">
        <f>'Fiscal Forecasts'!M$45-SUM(M$292:M$294)</f>
        <v>-4.7740000000000009</v>
      </c>
      <c r="N295" s="17">
        <f>'Fiscal Forecasts'!N$45-SUM(N$292:N$294)</f>
        <v>-5.2390000000000008</v>
      </c>
      <c r="O295" s="16">
        <f t="shared" ref="O295:X295" ca="1" si="182">N$295-(O$292-N$292)</f>
        <v>-5.2302257715457996</v>
      </c>
      <c r="P295" s="16">
        <f t="shared" ca="1" si="182"/>
        <v>-5.2087671352064913</v>
      </c>
      <c r="Q295" s="16">
        <f t="shared" ca="1" si="182"/>
        <v>-5.3766769084205706</v>
      </c>
      <c r="R295" s="16">
        <f t="shared" ca="1" si="182"/>
        <v>-5.5831545536941594</v>
      </c>
      <c r="S295" s="16">
        <f t="shared" ca="1" si="182"/>
        <v>-5.7941849610539702</v>
      </c>
      <c r="T295" s="16">
        <f t="shared" ca="1" si="182"/>
        <v>-6.0094460792302247</v>
      </c>
      <c r="U295" s="16">
        <f t="shared" ca="1" si="182"/>
        <v>-6.2275772851107991</v>
      </c>
      <c r="V295" s="16">
        <f t="shared" ca="1" si="182"/>
        <v>-6.4489880515803435</v>
      </c>
      <c r="W295" s="16">
        <f t="shared" ca="1" si="182"/>
        <v>-6.6736701296517058</v>
      </c>
      <c r="X295" s="16">
        <f t="shared" ca="1" si="182"/>
        <v>-6.9033166177289065</v>
      </c>
    </row>
    <row r="296" spans="1:24" x14ac:dyDescent="0.25">
      <c r="A296" s="9" t="s">
        <v>994</v>
      </c>
      <c r="D296" s="65">
        <f t="shared" ref="D296:X296" si="183">SUM(D$292:D$295)</f>
        <v>8.4290000000000003</v>
      </c>
      <c r="E296" s="65">
        <f t="shared" si="183"/>
        <v>12.962</v>
      </c>
      <c r="F296" s="65">
        <f t="shared" si="183"/>
        <v>10.335000000000001</v>
      </c>
      <c r="G296" s="65">
        <f t="shared" si="183"/>
        <v>9.5280000000000005</v>
      </c>
      <c r="H296" s="65">
        <f t="shared" si="183"/>
        <v>14.428000000000001</v>
      </c>
      <c r="I296" s="65">
        <f t="shared" si="183"/>
        <v>16.733000000000001</v>
      </c>
      <c r="J296" s="66">
        <f t="shared" si="183"/>
        <v>16.224</v>
      </c>
      <c r="K296" s="66">
        <f t="shared" si="183"/>
        <v>18.323</v>
      </c>
      <c r="L296" s="66">
        <f t="shared" si="183"/>
        <v>16.518999999999998</v>
      </c>
      <c r="M296" s="66">
        <f t="shared" si="183"/>
        <v>16.111999999999998</v>
      </c>
      <c r="N296" s="66">
        <f t="shared" si="183"/>
        <v>16.712</v>
      </c>
      <c r="O296" s="67">
        <f t="shared" ca="1" si="183"/>
        <v>17.088438606074252</v>
      </c>
      <c r="P296" s="67">
        <f t="shared" ca="1" si="183"/>
        <v>17.456023889071602</v>
      </c>
      <c r="Q296" s="67">
        <f t="shared" ca="1" si="183"/>
        <v>18.017566944255172</v>
      </c>
      <c r="R296" s="67">
        <f t="shared" ca="1" si="183"/>
        <v>18.618795323960903</v>
      </c>
      <c r="S296" s="67">
        <f t="shared" ca="1" si="183"/>
        <v>19.227939233759678</v>
      </c>
      <c r="T296" s="67">
        <f t="shared" ca="1" si="183"/>
        <v>19.843751056257794</v>
      </c>
      <c r="U296" s="67">
        <f t="shared" ca="1" si="183"/>
        <v>20.469926582756699</v>
      </c>
      <c r="V296" s="67">
        <f t="shared" ca="1" si="183"/>
        <v>21.104900290817632</v>
      </c>
      <c r="W296" s="67">
        <f t="shared" ca="1" si="183"/>
        <v>21.742909589482203</v>
      </c>
      <c r="X296" s="67">
        <f t="shared" ca="1" si="183"/>
        <v>22.389979637698254</v>
      </c>
    </row>
    <row r="298" spans="1:24" x14ac:dyDescent="0.25">
      <c r="A298" s="9" t="s">
        <v>995</v>
      </c>
    </row>
    <row r="299" spans="1:24" x14ac:dyDescent="0.25">
      <c r="A299" s="11" t="s">
        <v>996</v>
      </c>
      <c r="D299" s="35">
        <f t="shared" ref="D299:X299" si="184">D$237</f>
        <v>0</v>
      </c>
      <c r="E299" s="35">
        <f t="shared" si="184"/>
        <v>0</v>
      </c>
      <c r="F299" s="35">
        <f t="shared" si="184"/>
        <v>1E-3</v>
      </c>
      <c r="G299" s="35">
        <f t="shared" si="184"/>
        <v>1E-3</v>
      </c>
      <c r="H299" s="35">
        <f t="shared" si="184"/>
        <v>3.0000000000000001E-3</v>
      </c>
      <c r="I299" s="35">
        <f t="shared" si="184"/>
        <v>2E-3</v>
      </c>
      <c r="J299" s="17">
        <f t="shared" si="184"/>
        <v>3.0000000000000001E-3</v>
      </c>
      <c r="K299" s="17">
        <f t="shared" si="184"/>
        <v>3.0000000000000001E-3</v>
      </c>
      <c r="L299" s="17">
        <f t="shared" si="184"/>
        <v>3.0000000000000001E-3</v>
      </c>
      <c r="M299" s="17">
        <f t="shared" si="184"/>
        <v>2E-3</v>
      </c>
      <c r="N299" s="17">
        <f t="shared" si="184"/>
        <v>3.0000000000000001E-3</v>
      </c>
      <c r="O299" s="16">
        <f t="shared" ca="1" si="184"/>
        <v>0</v>
      </c>
      <c r="P299" s="16">
        <f t="shared" ca="1" si="184"/>
        <v>0</v>
      </c>
      <c r="Q299" s="16">
        <f t="shared" ca="1" si="184"/>
        <v>0</v>
      </c>
      <c r="R299" s="16">
        <f t="shared" ca="1" si="184"/>
        <v>0</v>
      </c>
      <c r="S299" s="16">
        <f t="shared" ca="1" si="184"/>
        <v>0</v>
      </c>
      <c r="T299" s="16">
        <f t="shared" ca="1" si="184"/>
        <v>0</v>
      </c>
      <c r="U299" s="16">
        <f t="shared" ca="1" si="184"/>
        <v>0</v>
      </c>
      <c r="V299" s="16">
        <f t="shared" ca="1" si="184"/>
        <v>0</v>
      </c>
      <c r="W299" s="16">
        <f t="shared" ca="1" si="184"/>
        <v>0</v>
      </c>
      <c r="X299" s="16">
        <f t="shared" ca="1" si="184"/>
        <v>0</v>
      </c>
    </row>
    <row r="300" spans="1:24" x14ac:dyDescent="0.25">
      <c r="A300" s="11" t="s">
        <v>952</v>
      </c>
      <c r="D300" s="35">
        <f t="shared" ref="D300:X300" si="185">D$192</f>
        <v>0.95099999999999996</v>
      </c>
      <c r="E300" s="35">
        <f t="shared" si="185"/>
        <v>0.89300000000000002</v>
      </c>
      <c r="F300" s="35">
        <f t="shared" si="185"/>
        <v>0.91600000000000004</v>
      </c>
      <c r="G300" s="35">
        <f t="shared" si="185"/>
        <v>0.96399999999999997</v>
      </c>
      <c r="H300" s="35">
        <f t="shared" si="185"/>
        <v>0.997</v>
      </c>
      <c r="I300" s="35">
        <f t="shared" si="185"/>
        <v>1.014</v>
      </c>
      <c r="J300" s="17">
        <f t="shared" si="185"/>
        <v>1.06</v>
      </c>
      <c r="K300" s="17">
        <f t="shared" si="185"/>
        <v>0.54500000000000004</v>
      </c>
      <c r="L300" s="17">
        <f t="shared" si="185"/>
        <v>0.56499999999999995</v>
      </c>
      <c r="M300" s="17">
        <f t="shared" si="185"/>
        <v>0.58799999999999997</v>
      </c>
      <c r="N300" s="17">
        <f t="shared" si="185"/>
        <v>0.61299999999999999</v>
      </c>
      <c r="O300" s="16">
        <f t="shared" si="185"/>
        <v>0.63900000000000001</v>
      </c>
      <c r="P300" s="16">
        <f t="shared" si="185"/>
        <v>0.67</v>
      </c>
      <c r="Q300" s="16">
        <f t="shared" si="185"/>
        <v>0.7</v>
      </c>
      <c r="R300" s="16">
        <f t="shared" ca="1" si="185"/>
        <v>0.72756355019879493</v>
      </c>
      <c r="S300" s="16">
        <f t="shared" ca="1" si="185"/>
        <v>0.75573486733594508</v>
      </c>
      <c r="T300" s="16">
        <f t="shared" ca="1" si="185"/>
        <v>0.78447095946271272</v>
      </c>
      <c r="U300" s="16">
        <f t="shared" ca="1" si="185"/>
        <v>0.81359019140303346</v>
      </c>
      <c r="V300" s="16">
        <f t="shared" ca="1" si="185"/>
        <v>0.84314722537661679</v>
      </c>
      <c r="W300" s="16">
        <f t="shared" ca="1" si="185"/>
        <v>0.87314096019223619</v>
      </c>
      <c r="X300" s="16">
        <f t="shared" ca="1" si="185"/>
        <v>0.90379741452028528</v>
      </c>
    </row>
    <row r="301" spans="1:24" x14ac:dyDescent="0.25">
      <c r="A301" s="11" t="s">
        <v>998</v>
      </c>
      <c r="B301" s="10" t="str">
        <f>$B$38</f>
        <v>From Fiscal Forecasts</v>
      </c>
      <c r="C301" s="64" cm="1">
        <f t="array" aca="1" ref="C301" ca="1">SUMPRODUCT(OFFSET($N$301,0,0,1,-OFFSET(Assumptions!$B$59,0,$C$1))/OFFSET($N$13,0,0,1,-OFFSET(Assumptions!$B$59,0,$C$1)))/OFFSET(Assumptions!$B$59,0,$C$1)</f>
        <v>8.0164306407672688E-3</v>
      </c>
      <c r="D301" s="35">
        <f>'Fiscal Forecasts'!D$63-SUM(D$299:D$300)</f>
        <v>2.0549999999999997</v>
      </c>
      <c r="E301" s="35">
        <f>'Fiscal Forecasts'!E$63-SUM(E$299:E$300)</f>
        <v>3.0949999999999998</v>
      </c>
      <c r="F301" s="35">
        <f>'Fiscal Forecasts'!F$63-SUM(F$299:F$300)</f>
        <v>3.5640000000000001</v>
      </c>
      <c r="G301" s="35">
        <f>'Fiscal Forecasts'!G$63-SUM(G$299:G$300)</f>
        <v>7.1129999999999995</v>
      </c>
      <c r="H301" s="35">
        <f>'Fiscal Forecasts'!H$63-SUM(H$299:H$300)</f>
        <v>2.69</v>
      </c>
      <c r="I301" s="35">
        <f>'Fiscal Forecasts'!I$63-SUM(I$299:I$300)</f>
        <v>2.9939999999999998</v>
      </c>
      <c r="J301" s="17">
        <f ca="1">'Fiscal Forecasts'!J$63-SUM(J$299:J$300)+IF(OFFSET(Assumptions!$B$56,0,$C$1)="Yes",Allocation!C$19,0)</f>
        <v>2.84</v>
      </c>
      <c r="K301" s="17">
        <f ca="1">'Fiscal Forecasts'!K$63-SUM(K$299:K$300)+IF(OFFSET(Assumptions!$B$56,0,$C$1)="Yes",Allocation!D$19,0)</f>
        <v>2.6869999999999998</v>
      </c>
      <c r="L301" s="17">
        <f ca="1">'Fiscal Forecasts'!L$63-SUM(L$299:L$300)+IF(OFFSET(Assumptions!$B$56,0,$C$1)="Yes",Allocation!E$19,0)</f>
        <v>2.5539999999999998</v>
      </c>
      <c r="M301" s="17">
        <f ca="1">'Fiscal Forecasts'!M$63-SUM(M$299:M$300)+IF(OFFSET(Assumptions!$B$56,0,$C$1)="Yes",Allocation!F$19,0)</f>
        <v>2.3380000000000001</v>
      </c>
      <c r="N301" s="17">
        <f ca="1">'Fiscal Forecasts'!N$63-SUM(N$299:N$300)+IF(OFFSET(Assumptions!$B$56,0,$C$1)="Yes",Allocation!G$19,0)</f>
        <v>2.2789999999999999</v>
      </c>
      <c r="O301" s="16">
        <f ca="1">N$301+IF(OFFSET(Assumptions!$B$57,0,$C$1)="Yes",Allocation!$B$19*O$247,IF(OFFSET(Assumptions!$B$58,0,$C$1)="Yes",(N$301/N$13+MIN(ABS($C$301-N$301/N$13),OFFSET(Assumptions!$B$60,0,$C$1))*SIGN($C$301-N$301/N$13))*O$13-N$301,0))</f>
        <v>2.2789999999999999</v>
      </c>
      <c r="P301" s="16">
        <f ca="1">O$301+IF(OFFSET(Assumptions!$B$57,0,$C$1)="Yes",Allocation!$B$19*P$247,IF(OFFSET(Assumptions!$B$58,0,$C$1)="Yes",(O$301/O$13+MIN(ABS($C$301-O$301/O$13),OFFSET(Assumptions!$B$60,0,$C$1))*SIGN($C$301-O$301/O$13))*P$13-O$301,0))</f>
        <v>2.2789999999999999</v>
      </c>
      <c r="Q301" s="16">
        <f ca="1">P$301+IF(OFFSET(Assumptions!$B$57,0,$C$1)="Yes",Allocation!$B$19*Q$247,IF(OFFSET(Assumptions!$B$58,0,$C$1)="Yes",(P$301/P$13+MIN(ABS($C$301-P$301/P$13),OFFSET(Assumptions!$B$60,0,$C$1))*SIGN($C$301-P$301/P$13))*Q$13-P$301,0))</f>
        <v>2.2789999999999999</v>
      </c>
      <c r="R301" s="16">
        <f ca="1">Q$301+IF(OFFSET(Assumptions!$B$57,0,$C$1)="Yes",Allocation!$B$19*R$247,IF(OFFSET(Assumptions!$B$58,0,$C$1)="Yes",(Q$301/Q$13+MIN(ABS($C$301-Q$301/Q$13),OFFSET(Assumptions!$B$60,0,$C$1))*SIGN($C$301-Q$301/Q$13))*R$13-Q$301,0))</f>
        <v>2.2789999999999999</v>
      </c>
      <c r="S301" s="16">
        <f ca="1">R$301+IF(OFFSET(Assumptions!$B$57,0,$C$1)="Yes",Allocation!$B$19*S$247,IF(OFFSET(Assumptions!$B$58,0,$C$1)="Yes",(R$301/R$13+MIN(ABS($C$301-R$301/R$13),OFFSET(Assumptions!$B$60,0,$C$1))*SIGN($C$301-R$301/R$13))*S$13-R$301,0))</f>
        <v>2.2789999999999999</v>
      </c>
      <c r="T301" s="16">
        <f ca="1">S$301+IF(OFFSET(Assumptions!$B$57,0,$C$1)="Yes",Allocation!$B$19*T$247,IF(OFFSET(Assumptions!$B$58,0,$C$1)="Yes",(S$301/S$13+MIN(ABS($C$301-S$301/S$13),OFFSET(Assumptions!$B$60,0,$C$1))*SIGN($C$301-S$301/S$13))*T$13-S$301,0))</f>
        <v>2.2789999999999999</v>
      </c>
      <c r="U301" s="16">
        <f ca="1">T$301+IF(OFFSET(Assumptions!$B$57,0,$C$1)="Yes",Allocation!$B$19*U$247,IF(OFFSET(Assumptions!$B$58,0,$C$1)="Yes",(T$301/T$13+MIN(ABS($C$301-T$301/T$13),OFFSET(Assumptions!$B$60,0,$C$1))*SIGN($C$301-T$301/T$13))*U$13-T$301,0))</f>
        <v>2.2789999999999999</v>
      </c>
      <c r="V301" s="16">
        <f ca="1">U$301+IF(OFFSET(Assumptions!$B$57,0,$C$1)="Yes",Allocation!$B$19*V$247,IF(OFFSET(Assumptions!$B$58,0,$C$1)="Yes",(U$301/U$13+MIN(ABS($C$301-U$301/U$13),OFFSET(Assumptions!$B$60,0,$C$1))*SIGN($C$301-U$301/U$13))*V$13-U$301,0))</f>
        <v>2.2789999999999999</v>
      </c>
      <c r="W301" s="16">
        <f ca="1">V$301+IF(OFFSET(Assumptions!$B$57,0,$C$1)="Yes",Allocation!$B$19*W$247,IF(OFFSET(Assumptions!$B$58,0,$C$1)="Yes",(V$301/V$13+MIN(ABS($C$301-V$301/V$13),OFFSET(Assumptions!$B$60,0,$C$1))*SIGN($C$301-V$301/V$13))*W$13-V$301,0))</f>
        <v>2.2789999999999999</v>
      </c>
      <c r="X301" s="16">
        <f ca="1">W$301+IF(OFFSET(Assumptions!$B$57,0,$C$1)="Yes",Allocation!$B$19*X$247,IF(OFFSET(Assumptions!$B$58,0,$C$1)="Yes",(W$301/W$13+MIN(ABS($C$301-W$301/W$13),OFFSET(Assumptions!$B$60,0,$C$1))*SIGN($C$301-W$301/W$13))*X$13-W$301,0))</f>
        <v>2.2789999999999999</v>
      </c>
    </row>
    <row r="302" spans="1:24" x14ac:dyDescent="0.25">
      <c r="A302" s="9" t="s">
        <v>999</v>
      </c>
      <c r="D302" s="65">
        <f t="shared" ref="D302:X302" si="186">SUM(D$299:D$301)</f>
        <v>3.0059999999999998</v>
      </c>
      <c r="E302" s="65">
        <f t="shared" si="186"/>
        <v>3.9879999999999995</v>
      </c>
      <c r="F302" s="65">
        <f t="shared" si="186"/>
        <v>4.4809999999999999</v>
      </c>
      <c r="G302" s="65">
        <f t="shared" si="186"/>
        <v>8.0779999999999994</v>
      </c>
      <c r="H302" s="65">
        <f t="shared" si="186"/>
        <v>3.69</v>
      </c>
      <c r="I302" s="65">
        <f t="shared" si="186"/>
        <v>4.01</v>
      </c>
      <c r="J302" s="66">
        <f t="shared" ca="1" si="186"/>
        <v>3.9029999999999996</v>
      </c>
      <c r="K302" s="66">
        <f t="shared" ca="1" si="186"/>
        <v>3.2349999999999999</v>
      </c>
      <c r="L302" s="66">
        <f t="shared" ca="1" si="186"/>
        <v>3.1219999999999999</v>
      </c>
      <c r="M302" s="66">
        <f t="shared" ca="1" si="186"/>
        <v>2.9279999999999999</v>
      </c>
      <c r="N302" s="66">
        <f t="shared" ca="1" si="186"/>
        <v>2.895</v>
      </c>
      <c r="O302" s="67">
        <f t="shared" ca="1" si="186"/>
        <v>2.9180000000000001</v>
      </c>
      <c r="P302" s="67">
        <f t="shared" ca="1" si="186"/>
        <v>2.9489999999999998</v>
      </c>
      <c r="Q302" s="67">
        <f t="shared" ca="1" si="186"/>
        <v>2.9790000000000001</v>
      </c>
      <c r="R302" s="67">
        <f t="shared" ca="1" si="186"/>
        <v>3.0065635501987948</v>
      </c>
      <c r="S302" s="67">
        <f t="shared" ca="1" si="186"/>
        <v>3.0347348673359451</v>
      </c>
      <c r="T302" s="67">
        <f t="shared" ca="1" si="186"/>
        <v>3.0634709594627125</v>
      </c>
      <c r="U302" s="67">
        <f t="shared" ca="1" si="186"/>
        <v>3.0925901914030334</v>
      </c>
      <c r="V302" s="67">
        <f t="shared" ca="1" si="186"/>
        <v>3.1221472253766169</v>
      </c>
      <c r="W302" s="67">
        <f t="shared" ca="1" si="186"/>
        <v>3.1521409601922361</v>
      </c>
      <c r="X302" s="67">
        <f t="shared" ca="1" si="186"/>
        <v>3.1827974145202851</v>
      </c>
    </row>
    <row r="303" spans="1:24" x14ac:dyDescent="0.25">
      <c r="A303" s="9" t="s">
        <v>1000</v>
      </c>
      <c r="B303" s="10" t="str">
        <f>$B$38</f>
        <v>From Fiscal Forecasts</v>
      </c>
      <c r="D303" s="42">
        <f>'Fiscal Forecasts'!D$46</f>
        <v>10.433</v>
      </c>
      <c r="E303" s="42">
        <f>'Fiscal Forecasts'!E$46</f>
        <v>11.246</v>
      </c>
      <c r="F303" s="42">
        <f>'Fiscal Forecasts'!F$46</f>
        <v>13.429</v>
      </c>
      <c r="G303" s="42">
        <f>'Fiscal Forecasts'!G$46</f>
        <v>16.672999999999998</v>
      </c>
      <c r="H303" s="42">
        <f>'Fiscal Forecasts'!H$46</f>
        <v>12.384</v>
      </c>
      <c r="I303" s="42">
        <f>'Fiscal Forecasts'!I$46</f>
        <v>16.007999999999999</v>
      </c>
      <c r="J303" s="43">
        <f ca="1">'Fiscal Forecasts'!J$46+IF(OFFSET(Assumptions!$B$56,0,$C$1)="Yes",Allocation!C$19,0)</f>
        <v>16.617000000000001</v>
      </c>
      <c r="K303" s="43">
        <f ca="1">'Fiscal Forecasts'!K$46+IF(OFFSET(Assumptions!$B$56,0,$C$1)="Yes",Allocation!D$19,0)</f>
        <v>15.885999999999999</v>
      </c>
      <c r="L303" s="43">
        <f ca="1">'Fiscal Forecasts'!L$46+IF(OFFSET(Assumptions!$B$56,0,$C$1)="Yes",Allocation!E$19,0)</f>
        <v>15.853</v>
      </c>
      <c r="M303" s="43">
        <f ca="1">'Fiscal Forecasts'!M$46+IF(OFFSET(Assumptions!$B$56,0,$C$1)="Yes",Allocation!F$19,0)</f>
        <v>16.274000000000001</v>
      </c>
      <c r="N303" s="43">
        <f ca="1">'Fiscal Forecasts'!N$46+IF(OFFSET(Assumptions!$B$56,0,$C$1)="Yes",Allocation!G$19,0)</f>
        <v>16.192</v>
      </c>
      <c r="O303" s="47">
        <f t="shared" ref="O303:X303" ca="1" si="187">O$302+(N$303-N$302)*(1+O$29)</f>
        <v>16.48094</v>
      </c>
      <c r="P303" s="47">
        <f t="shared" ca="1" si="187"/>
        <v>16.783198800000001</v>
      </c>
      <c r="Q303" s="47">
        <f t="shared" ca="1" si="187"/>
        <v>17.089882776000003</v>
      </c>
      <c r="R303" s="47">
        <f t="shared" ca="1" si="187"/>
        <v>17.399663981718799</v>
      </c>
      <c r="S303" s="47">
        <f t="shared" ca="1" si="187"/>
        <v>17.715697307486348</v>
      </c>
      <c r="T303" s="47">
        <f t="shared" ca="1" si="187"/>
        <v>18.038052648416123</v>
      </c>
      <c r="U303" s="47">
        <f t="shared" ca="1" si="187"/>
        <v>18.36666351413551</v>
      </c>
      <c r="V303" s="47">
        <f t="shared" ca="1" si="187"/>
        <v>18.701702014563743</v>
      </c>
      <c r="W303" s="47">
        <f t="shared" ca="1" si="187"/>
        <v>19.043286845163106</v>
      </c>
      <c r="X303" s="47">
        <f t="shared" ca="1" si="187"/>
        <v>19.391766217190572</v>
      </c>
    </row>
    <row r="305" spans="1:24" x14ac:dyDescent="0.25">
      <c r="A305" s="9" t="s">
        <v>1001</v>
      </c>
    </row>
    <row r="306" spans="1:24" x14ac:dyDescent="0.25">
      <c r="A306" s="9" t="s">
        <v>1002</v>
      </c>
      <c r="B306" s="10" t="str">
        <f>$B$38</f>
        <v>From Fiscal Forecasts</v>
      </c>
      <c r="C306" s="64" cm="1">
        <f t="array" aca="1" ref="C306" ca="1">SUMPRODUCT(OFFSET($N$306,0,0,1,-OFFSET(Assumptions!$B$59,0,$C$1))/OFFSET($N$13,0,0,1,-OFFSET(Assumptions!$B$59,0,$C$1)))/OFFSET(Assumptions!$B$59,0,$C$1)</f>
        <v>7.4971409751286855E-3</v>
      </c>
      <c r="D306" s="42">
        <f>'Fiscal Forecasts'!D$64</f>
        <v>2.395</v>
      </c>
      <c r="E306" s="42">
        <f>'Fiscal Forecasts'!E$64</f>
        <v>2.4990000000000001</v>
      </c>
      <c r="F306" s="42">
        <f>'Fiscal Forecasts'!F$64</f>
        <v>2.6640000000000001</v>
      </c>
      <c r="G306" s="42">
        <f>'Fiscal Forecasts'!G$64</f>
        <v>2.8319999999999999</v>
      </c>
      <c r="H306" s="42">
        <f>'Fiscal Forecasts'!H$64</f>
        <v>2.8860000000000001</v>
      </c>
      <c r="I306" s="42">
        <f>'Fiscal Forecasts'!I$64</f>
        <v>3.1629999999999998</v>
      </c>
      <c r="J306" s="43">
        <f ca="1">'Fiscal Forecasts'!J$64+IF(OFFSET(Assumptions!$B$56,0,$C$1)="Yes",Allocation!C$20,0)</f>
        <v>3.3180000000000001</v>
      </c>
      <c r="K306" s="43">
        <f ca="1">'Fiscal Forecasts'!K$64+IF(OFFSET(Assumptions!$B$56,0,$C$1)="Yes",Allocation!D$20,0)</f>
        <v>3.552</v>
      </c>
      <c r="L306" s="43">
        <f ca="1">'Fiscal Forecasts'!L$64+IF(OFFSET(Assumptions!$B$56,0,$C$1)="Yes",Allocation!E$20,0)</f>
        <v>3.5750000000000002</v>
      </c>
      <c r="M306" s="43">
        <f ca="1">'Fiscal Forecasts'!M$64+IF(OFFSET(Assumptions!$B$56,0,$C$1)="Yes",Allocation!F$20,0)</f>
        <v>3.593</v>
      </c>
      <c r="N306" s="43">
        <f ca="1">'Fiscal Forecasts'!N$64+IF(OFFSET(Assumptions!$B$56,0,$C$1)="Yes",Allocation!G$20,0)</f>
        <v>3.581</v>
      </c>
      <c r="O306" s="47">
        <f ca="1">N$306+IF(OFFSET(Assumptions!$B$57,0,$C$1)="Yes",Allocation!$B$20*O$247,IF(OFFSET(Assumptions!$B$58,0,$C$1)="Yes",(N$306/N$13+MIN(ABS($C$306-N$306/N$13),OFFSET(Assumptions!$B$60,0,$C$1))*SIGN($C$306-N$306/N$13))*O$13-N$306,0))</f>
        <v>3.581</v>
      </c>
      <c r="P306" s="47">
        <f ca="1">O$306+IF(OFFSET(Assumptions!$B$57,0,$C$1)="Yes",Allocation!$B$20*P$247,IF(OFFSET(Assumptions!$B$58,0,$C$1)="Yes",(O$306/O$13+MIN(ABS($C$306-O$306/O$13),OFFSET(Assumptions!$B$60,0,$C$1))*SIGN($C$306-O$306/O$13))*P$13-O$306,0))</f>
        <v>3.581</v>
      </c>
      <c r="Q306" s="47">
        <f ca="1">P$306+IF(OFFSET(Assumptions!$B$57,0,$C$1)="Yes",Allocation!$B$20*Q$247,IF(OFFSET(Assumptions!$B$58,0,$C$1)="Yes",(P$306/P$13+MIN(ABS($C$306-P$306/P$13),OFFSET(Assumptions!$B$60,0,$C$1))*SIGN($C$306-P$306/P$13))*Q$13-P$306,0))</f>
        <v>3.581</v>
      </c>
      <c r="R306" s="47">
        <f ca="1">Q$306+IF(OFFSET(Assumptions!$B$57,0,$C$1)="Yes",Allocation!$B$20*R$247,IF(OFFSET(Assumptions!$B$58,0,$C$1)="Yes",(Q$306/Q$13+MIN(ABS($C$306-Q$306/Q$13),OFFSET(Assumptions!$B$60,0,$C$1))*SIGN($C$306-Q$306/Q$13))*R$13-Q$306,0))</f>
        <v>3.581</v>
      </c>
      <c r="S306" s="47">
        <f ca="1">R$306+IF(OFFSET(Assumptions!$B$57,0,$C$1)="Yes",Allocation!$B$20*S$247,IF(OFFSET(Assumptions!$B$58,0,$C$1)="Yes",(R$306/R$13+MIN(ABS($C$306-R$306/R$13),OFFSET(Assumptions!$B$60,0,$C$1))*SIGN($C$306-R$306/R$13))*S$13-R$306,0))</f>
        <v>3.581</v>
      </c>
      <c r="T306" s="47">
        <f ca="1">S$306+IF(OFFSET(Assumptions!$B$57,0,$C$1)="Yes",Allocation!$B$20*T$247,IF(OFFSET(Assumptions!$B$58,0,$C$1)="Yes",(S$306/S$13+MIN(ABS($C$306-S$306/S$13),OFFSET(Assumptions!$B$60,0,$C$1))*SIGN($C$306-S$306/S$13))*T$13-S$306,0))</f>
        <v>3.581</v>
      </c>
      <c r="U306" s="47">
        <f ca="1">T$306+IF(OFFSET(Assumptions!$B$57,0,$C$1)="Yes",Allocation!$B$20*U$247,IF(OFFSET(Assumptions!$B$58,0,$C$1)="Yes",(T$306/T$13+MIN(ABS($C$306-T$306/T$13),OFFSET(Assumptions!$B$60,0,$C$1))*SIGN($C$306-T$306/T$13))*U$13-T$306,0))</f>
        <v>3.581</v>
      </c>
      <c r="V306" s="47">
        <f ca="1">U$306+IF(OFFSET(Assumptions!$B$57,0,$C$1)="Yes",Allocation!$B$20*V$247,IF(OFFSET(Assumptions!$B$58,0,$C$1)="Yes",(U$306/U$13+MIN(ABS($C$306-U$306/U$13),OFFSET(Assumptions!$B$60,0,$C$1))*SIGN($C$306-U$306/U$13))*V$13-U$306,0))</f>
        <v>3.581</v>
      </c>
      <c r="W306" s="47">
        <f ca="1">V$306+IF(OFFSET(Assumptions!$B$57,0,$C$1)="Yes",Allocation!$B$20*W$247,IF(OFFSET(Assumptions!$B$58,0,$C$1)="Yes",(V$306/V$13+MIN(ABS($C$306-V$306/V$13),OFFSET(Assumptions!$B$60,0,$C$1))*SIGN($C$306-V$306/V$13))*W$13-V$306,0))</f>
        <v>3.581</v>
      </c>
      <c r="X306" s="47">
        <f ca="1">W$306+IF(OFFSET(Assumptions!$B$57,0,$C$1)="Yes",Allocation!$B$20*X$247,IF(OFFSET(Assumptions!$B$58,0,$C$1)="Yes",(W$306/W$13+MIN(ABS($C$306-W$306/W$13),OFFSET(Assumptions!$B$60,0,$C$1))*SIGN($C$306-W$306/W$13))*X$13-W$306,0))</f>
        <v>3.581</v>
      </c>
    </row>
    <row r="307" spans="1:24" x14ac:dyDescent="0.25">
      <c r="A307" s="9" t="s">
        <v>1003</v>
      </c>
      <c r="B307" s="10" t="str">
        <f>$B$38</f>
        <v>From Fiscal Forecasts</v>
      </c>
      <c r="D307" s="42">
        <f>'Fiscal Forecasts'!D$47</f>
        <v>2.39</v>
      </c>
      <c r="E307" s="42">
        <f>'Fiscal Forecasts'!E$47</f>
        <v>2.4820000000000002</v>
      </c>
      <c r="F307" s="42">
        <f>'Fiscal Forecasts'!F$47</f>
        <v>2.6480000000000001</v>
      </c>
      <c r="G307" s="42">
        <f>'Fiscal Forecasts'!G$47</f>
        <v>2.8029999999999999</v>
      </c>
      <c r="H307" s="42">
        <f>'Fiscal Forecasts'!H$47</f>
        <v>2.8380000000000001</v>
      </c>
      <c r="I307" s="42">
        <f>'Fiscal Forecasts'!I$47</f>
        <v>3.125</v>
      </c>
      <c r="J307" s="43">
        <f ca="1">'Fiscal Forecasts'!J$47+IF(OFFSET(Assumptions!$B$56,0,$C$1)="Yes",Allocation!C$20,0)</f>
        <v>3.2730000000000001</v>
      </c>
      <c r="K307" s="43">
        <f ca="1">'Fiscal Forecasts'!K$47+IF(OFFSET(Assumptions!$B$56,0,$C$1)="Yes",Allocation!D$20,0)</f>
        <v>3.5070000000000001</v>
      </c>
      <c r="L307" s="43">
        <f ca="1">'Fiscal Forecasts'!L$47+IF(OFFSET(Assumptions!$B$56,0,$C$1)="Yes",Allocation!E$20,0)</f>
        <v>3.5289999999999999</v>
      </c>
      <c r="M307" s="43">
        <f ca="1">'Fiscal Forecasts'!M$47+IF(OFFSET(Assumptions!$B$56,0,$C$1)="Yes",Allocation!F$20,0)</f>
        <v>3.5470000000000002</v>
      </c>
      <c r="N307" s="43">
        <f ca="1">'Fiscal Forecasts'!N$47+IF(OFFSET(Assumptions!$B$56,0,$C$1)="Yes",Allocation!G$20,0)</f>
        <v>3.5350000000000001</v>
      </c>
      <c r="O307" s="47">
        <f ca="1">O$306</f>
        <v>3.581</v>
      </c>
      <c r="P307" s="47">
        <f t="shared" ref="P307:X307" ca="1" si="188">P$306</f>
        <v>3.581</v>
      </c>
      <c r="Q307" s="47">
        <f t="shared" ca="1" si="188"/>
        <v>3.581</v>
      </c>
      <c r="R307" s="47">
        <f t="shared" ca="1" si="188"/>
        <v>3.581</v>
      </c>
      <c r="S307" s="47">
        <f t="shared" ca="1" si="188"/>
        <v>3.581</v>
      </c>
      <c r="T307" s="47">
        <f t="shared" ca="1" si="188"/>
        <v>3.581</v>
      </c>
      <c r="U307" s="47">
        <f t="shared" ca="1" si="188"/>
        <v>3.581</v>
      </c>
      <c r="V307" s="47">
        <f t="shared" ca="1" si="188"/>
        <v>3.581</v>
      </c>
      <c r="W307" s="47">
        <f t="shared" ca="1" si="188"/>
        <v>3.581</v>
      </c>
      <c r="X307" s="47">
        <f t="shared" ca="1" si="188"/>
        <v>3.581</v>
      </c>
    </row>
    <row r="309" spans="1:24" x14ac:dyDescent="0.25">
      <c r="A309" s="9" t="s">
        <v>1004</v>
      </c>
    </row>
    <row r="310" spans="1:24" x14ac:dyDescent="0.25">
      <c r="A310" s="9" t="s">
        <v>1005</v>
      </c>
      <c r="B310" s="10" t="str">
        <f>$B$38</f>
        <v>From Fiscal Forecasts</v>
      </c>
      <c r="C310" s="64" cm="1">
        <f t="array" aca="1" ref="C310" ca="1">SUMPRODUCT(OFFSET($N$310,0,0,1,-OFFSET(Assumptions!$B$59,0,$C$1))/OFFSET($N$13,0,0,1,-OFFSET(Assumptions!$B$59,0,$C$1)))/OFFSET(Assumptions!$B$59,0,$C$1)</f>
        <v>3.3492653657043181E-3</v>
      </c>
      <c r="D310" s="42">
        <f>'Fiscal Forecasts'!D$65</f>
        <v>0.91800000000000004</v>
      </c>
      <c r="E310" s="42">
        <f>'Fiscal Forecasts'!E$65</f>
        <v>1.1060000000000001</v>
      </c>
      <c r="F310" s="42">
        <f>'Fiscal Forecasts'!F$65</f>
        <v>1.42</v>
      </c>
      <c r="G310" s="42">
        <f>'Fiscal Forecasts'!G$65</f>
        <v>1.468</v>
      </c>
      <c r="H310" s="42">
        <f>'Fiscal Forecasts'!H$65</f>
        <v>1.5369999999999999</v>
      </c>
      <c r="I310" s="42">
        <f>'Fiscal Forecasts'!I$65</f>
        <v>1.504</v>
      </c>
      <c r="J310" s="43">
        <f ca="1">'Fiscal Forecasts'!J$65+IF(OFFSET(Assumptions!$B$56,0,$C$1)="Yes",Allocation!C$21,0)</f>
        <v>1.4570000000000001</v>
      </c>
      <c r="K310" s="43">
        <f ca="1">'Fiscal Forecasts'!K$65+IF(OFFSET(Assumptions!$B$56,0,$C$1)="Yes",Allocation!D$21,0)</f>
        <v>1.4159999999999999</v>
      </c>
      <c r="L310" s="43">
        <f ca="1">'Fiscal Forecasts'!L$65+IF(OFFSET(Assumptions!$B$56,0,$C$1)="Yes",Allocation!E$21,0)</f>
        <v>1.36</v>
      </c>
      <c r="M310" s="43">
        <f ca="1">'Fiscal Forecasts'!M$65+IF(OFFSET(Assumptions!$B$56,0,$C$1)="Yes",Allocation!F$21,0)</f>
        <v>1.3360000000000001</v>
      </c>
      <c r="N310" s="43">
        <f ca="1">'Fiscal Forecasts'!N$65+IF(OFFSET(Assumptions!$B$56,0,$C$1)="Yes",Allocation!G$21,0)</f>
        <v>1.3069999999999999</v>
      </c>
      <c r="O310" s="47">
        <f ca="1">N$310+IF(OFFSET(Assumptions!$B$57,0,$C$1)="Yes",Allocation!$B$21*O$247,IF(OFFSET(Assumptions!$B$58,0,$C$1)="Yes",(N$310/N$13+MIN(ABS($C$310-N$310/N$13),OFFSET(Assumptions!$B$60,0,$C$1))*SIGN($C$310-N$310/N$13))*O$13-N$310,0))</f>
        <v>1.3069999999999999</v>
      </c>
      <c r="P310" s="47">
        <f ca="1">O$310+IF(OFFSET(Assumptions!$B$57,0,$C$1)="Yes",Allocation!$B$21*P$247,IF(OFFSET(Assumptions!$B$58,0,$C$1)="Yes",(O$310/O$13+MIN(ABS($C$310-O$310/O$13),OFFSET(Assumptions!$B$60,0,$C$1))*SIGN($C$310-O$310/O$13))*P$13-O$310,0))</f>
        <v>1.3069999999999999</v>
      </c>
      <c r="Q310" s="47">
        <f ca="1">P$310+IF(OFFSET(Assumptions!$B$57,0,$C$1)="Yes",Allocation!$B$21*Q$247,IF(OFFSET(Assumptions!$B$58,0,$C$1)="Yes",(P$310/P$13+MIN(ABS($C$310-P$310/P$13),OFFSET(Assumptions!$B$60,0,$C$1))*SIGN($C$310-P$310/P$13))*Q$13-P$310,0))</f>
        <v>1.3069999999999999</v>
      </c>
      <c r="R310" s="47">
        <f ca="1">Q$310+IF(OFFSET(Assumptions!$B$57,0,$C$1)="Yes",Allocation!$B$21*R$247,IF(OFFSET(Assumptions!$B$58,0,$C$1)="Yes",(Q$310/Q$13+MIN(ABS($C$310-Q$310/Q$13),OFFSET(Assumptions!$B$60,0,$C$1))*SIGN($C$310-Q$310/Q$13))*R$13-Q$310,0))</f>
        <v>1.3069999999999999</v>
      </c>
      <c r="S310" s="47">
        <f ca="1">R$310+IF(OFFSET(Assumptions!$B$57,0,$C$1)="Yes",Allocation!$B$21*S$247,IF(OFFSET(Assumptions!$B$58,0,$C$1)="Yes",(R$310/R$13+MIN(ABS($C$310-R$310/R$13),OFFSET(Assumptions!$B$60,0,$C$1))*SIGN($C$310-R$310/R$13))*S$13-R$310,0))</f>
        <v>1.3069999999999999</v>
      </c>
      <c r="T310" s="47">
        <f ca="1">S$310+IF(OFFSET(Assumptions!$B$57,0,$C$1)="Yes",Allocation!$B$21*T$247,IF(OFFSET(Assumptions!$B$58,0,$C$1)="Yes",(S$310/S$13+MIN(ABS($C$310-S$310/S$13),OFFSET(Assumptions!$B$60,0,$C$1))*SIGN($C$310-S$310/S$13))*T$13-S$310,0))</f>
        <v>1.3069999999999999</v>
      </c>
      <c r="U310" s="47">
        <f ca="1">T$310+IF(OFFSET(Assumptions!$B$57,0,$C$1)="Yes",Allocation!$B$21*U$247,IF(OFFSET(Assumptions!$B$58,0,$C$1)="Yes",(T$310/T$13+MIN(ABS($C$310-T$310/T$13),OFFSET(Assumptions!$B$60,0,$C$1))*SIGN($C$310-T$310/T$13))*U$13-T$310,0))</f>
        <v>1.3069999999999999</v>
      </c>
      <c r="V310" s="47">
        <f ca="1">U$310+IF(OFFSET(Assumptions!$B$57,0,$C$1)="Yes",Allocation!$B$21*V$247,IF(OFFSET(Assumptions!$B$58,0,$C$1)="Yes",(U$310/U$13+MIN(ABS($C$310-U$310/U$13),OFFSET(Assumptions!$B$60,0,$C$1))*SIGN($C$310-U$310/U$13))*V$13-U$310,0))</f>
        <v>1.3069999999999999</v>
      </c>
      <c r="W310" s="47">
        <f ca="1">V$310+IF(OFFSET(Assumptions!$B$57,0,$C$1)="Yes",Allocation!$B$21*W$247,IF(OFFSET(Assumptions!$B$58,0,$C$1)="Yes",(V$310/V$13+MIN(ABS($C$310-V$310/V$13),OFFSET(Assumptions!$B$60,0,$C$1))*SIGN($C$310-V$310/V$13))*W$13-V$310,0))</f>
        <v>1.3069999999999999</v>
      </c>
      <c r="X310" s="47">
        <f ca="1">W$310+IF(OFFSET(Assumptions!$B$57,0,$C$1)="Yes",Allocation!$B$21*X$247,IF(OFFSET(Assumptions!$B$58,0,$C$1)="Yes",(W$310/W$13+MIN(ABS($C$310-W$310/W$13),OFFSET(Assumptions!$B$60,0,$C$1))*SIGN($C$310-W$310/W$13))*X$13-W$310,0))</f>
        <v>1.3069999999999999</v>
      </c>
    </row>
    <row r="311" spans="1:24" x14ac:dyDescent="0.25">
      <c r="A311" s="9" t="s">
        <v>1006</v>
      </c>
      <c r="B311" s="10" t="str">
        <f>$B$38</f>
        <v>From Fiscal Forecasts</v>
      </c>
      <c r="D311" s="42">
        <f>'Fiscal Forecasts'!D$48</f>
        <v>2.5030000000000001</v>
      </c>
      <c r="E311" s="42">
        <f>'Fiscal Forecasts'!E$48</f>
        <v>2.9039999999999999</v>
      </c>
      <c r="F311" s="42">
        <f>'Fiscal Forecasts'!F$48</f>
        <v>3.0230000000000001</v>
      </c>
      <c r="G311" s="42">
        <f>'Fiscal Forecasts'!G$48</f>
        <v>3.26</v>
      </c>
      <c r="H311" s="42">
        <f>'Fiscal Forecasts'!H$48</f>
        <v>3.4169999999999998</v>
      </c>
      <c r="I311" s="42">
        <f>'Fiscal Forecasts'!I$48</f>
        <v>3.6080000000000001</v>
      </c>
      <c r="J311" s="43">
        <f ca="1">'Fiscal Forecasts'!J$48+IF(OFFSET(Assumptions!$B$56,0,$C$1)="Yes",Allocation!C$21,0)</f>
        <v>3.2730000000000001</v>
      </c>
      <c r="K311" s="43">
        <f ca="1">'Fiscal Forecasts'!K$48+IF(OFFSET(Assumptions!$B$56,0,$C$1)="Yes",Allocation!D$21,0)</f>
        <v>3.3679999999999999</v>
      </c>
      <c r="L311" s="43">
        <f ca="1">'Fiscal Forecasts'!L$48+IF(OFFSET(Assumptions!$B$56,0,$C$1)="Yes",Allocation!E$21,0)</f>
        <v>3.4129999999999998</v>
      </c>
      <c r="M311" s="43">
        <f ca="1">'Fiscal Forecasts'!M$48+IF(OFFSET(Assumptions!$B$56,0,$C$1)="Yes",Allocation!F$21,0)</f>
        <v>3.4409999999999998</v>
      </c>
      <c r="N311" s="43">
        <f ca="1">'Fiscal Forecasts'!N$48+IF(OFFSET(Assumptions!$B$56,0,$C$1)="Yes",Allocation!G$21,0)</f>
        <v>3.4740000000000002</v>
      </c>
      <c r="O311" s="47">
        <f t="shared" ref="O311:X311" ca="1" si="189">O$310+(N$311-N$310)*(1+O$29)</f>
        <v>3.5173400000000004</v>
      </c>
      <c r="P311" s="47">
        <f t="shared" ca="1" si="189"/>
        <v>3.5615468000000003</v>
      </c>
      <c r="Q311" s="47">
        <f t="shared" ca="1" si="189"/>
        <v>3.6066377360000006</v>
      </c>
      <c r="R311" s="47">
        <f t="shared" ca="1" si="189"/>
        <v>3.6526304907200005</v>
      </c>
      <c r="S311" s="47">
        <f t="shared" ca="1" si="189"/>
        <v>3.6995431005344006</v>
      </c>
      <c r="T311" s="47">
        <f t="shared" ca="1" si="189"/>
        <v>3.7473939625450887</v>
      </c>
      <c r="U311" s="47">
        <f t="shared" ca="1" si="189"/>
        <v>3.7962018417959906</v>
      </c>
      <c r="V311" s="47">
        <f t="shared" ca="1" si="189"/>
        <v>3.8459858786319105</v>
      </c>
      <c r="W311" s="47">
        <f t="shared" ca="1" si="189"/>
        <v>3.8967655962045487</v>
      </c>
      <c r="X311" s="47">
        <f t="shared" ca="1" si="189"/>
        <v>3.9485609081286395</v>
      </c>
    </row>
    <row r="313" spans="1:24" x14ac:dyDescent="0.25">
      <c r="A313" s="9" t="s">
        <v>1009</v>
      </c>
    </row>
    <row r="314" spans="1:24" x14ac:dyDescent="0.25">
      <c r="A314" s="9" t="s">
        <v>1007</v>
      </c>
      <c r="B314" s="10" t="str">
        <f>$B$38</f>
        <v>From Fiscal Forecasts</v>
      </c>
      <c r="C314" s="64" cm="1">
        <f t="array" aca="1" ref="C314" ca="1">SUMPRODUCT(OFFSET($N$314,0,0,1,-OFFSET(Assumptions!$B$59,0,$C$1))/OFFSET($N$13,0,0,1,-OFFSET(Assumptions!$B$59,0,$C$1)))/OFFSET(Assumptions!$B$59,0,$C$1)</f>
        <v>2.494172651555646E-3</v>
      </c>
      <c r="D314" s="42">
        <f>'Fiscal Forecasts'!D$66</f>
        <v>0.96</v>
      </c>
      <c r="E314" s="42">
        <f>'Fiscal Forecasts'!E$66</f>
        <v>0.96099999999999997</v>
      </c>
      <c r="F314" s="42">
        <f>'Fiscal Forecasts'!F$66</f>
        <v>1.0149999999999999</v>
      </c>
      <c r="G314" s="42">
        <f>'Fiscal Forecasts'!G$66</f>
        <v>0.94899999999999995</v>
      </c>
      <c r="H314" s="42">
        <f>'Fiscal Forecasts'!H$66</f>
        <v>1.1559999999999999</v>
      </c>
      <c r="I314" s="42">
        <f>'Fiscal Forecasts'!I$66</f>
        <v>1.0620000000000001</v>
      </c>
      <c r="J314" s="43">
        <f ca="1">'Fiscal Forecasts'!J$66+IF(OFFSET(Assumptions!$B$56,0,$C$1)="Yes",Allocation!C$22,0)</f>
        <v>1.2569999999999999</v>
      </c>
      <c r="K314" s="43">
        <f ca="1">'Fiscal Forecasts'!K$66+IF(OFFSET(Assumptions!$B$56,0,$C$1)="Yes",Allocation!D$22,0)</f>
        <v>1.0449999999999999</v>
      </c>
      <c r="L314" s="43">
        <f ca="1">'Fiscal Forecasts'!L$66+IF(OFFSET(Assumptions!$B$56,0,$C$1)="Yes",Allocation!E$22,0)</f>
        <v>0.97799999999999998</v>
      </c>
      <c r="M314" s="43">
        <f ca="1">'Fiscal Forecasts'!M$66+IF(OFFSET(Assumptions!$B$56,0,$C$1)="Yes",Allocation!F$22,0)</f>
        <v>0.95899999999999996</v>
      </c>
      <c r="N314" s="43">
        <f ca="1">'Fiscal Forecasts'!N$66+IF(OFFSET(Assumptions!$B$56,0,$C$1)="Yes",Allocation!G$22,0)</f>
        <v>0.95499999999999996</v>
      </c>
      <c r="O314" s="47">
        <f ca="1">N$314+IF(OFFSET(Assumptions!$B$57,0,$C$1)="Yes",Allocation!$B$22*O$247,IF(OFFSET(Assumptions!$B$58,0,$C$1)="Yes",(N$314/N$13+MIN(ABS($C$314-N$314/N$13),OFFSET(Assumptions!$B$60,0,$C$1))*SIGN($C$314-N$314/N$13))*O$13-N$314,0))</f>
        <v>0.95499999999999996</v>
      </c>
      <c r="P314" s="47">
        <f ca="1">O$314+IF(OFFSET(Assumptions!$B$57,0,$C$1)="Yes",Allocation!$B$22*P$247,IF(OFFSET(Assumptions!$B$58,0,$C$1)="Yes",(O$314/O$13+MIN(ABS($C$314-O$314/O$13),OFFSET(Assumptions!$B$60,0,$C$1))*SIGN($C$314-O$314/O$13))*P$13-O$314,0))</f>
        <v>0.95499999999999996</v>
      </c>
      <c r="Q314" s="47">
        <f ca="1">P$314+IF(OFFSET(Assumptions!$B$57,0,$C$1)="Yes",Allocation!$B$22*Q$247,IF(OFFSET(Assumptions!$B$58,0,$C$1)="Yes",(P$314/P$13+MIN(ABS($C$314-P$314/P$13),OFFSET(Assumptions!$B$60,0,$C$1))*SIGN($C$314-P$314/P$13))*Q$13-P$314,0))</f>
        <v>0.95499999999999996</v>
      </c>
      <c r="R314" s="47">
        <f ca="1">Q$314+IF(OFFSET(Assumptions!$B$57,0,$C$1)="Yes",Allocation!$B$22*R$247,IF(OFFSET(Assumptions!$B$58,0,$C$1)="Yes",(Q$314/Q$13+MIN(ABS($C$314-Q$314/Q$13),OFFSET(Assumptions!$B$60,0,$C$1))*SIGN($C$314-Q$314/Q$13))*R$13-Q$314,0))</f>
        <v>0.95499999999999996</v>
      </c>
      <c r="S314" s="47">
        <f ca="1">R$314+IF(OFFSET(Assumptions!$B$57,0,$C$1)="Yes",Allocation!$B$22*S$247,IF(OFFSET(Assumptions!$B$58,0,$C$1)="Yes",(R$314/R$13+MIN(ABS($C$314-R$314/R$13),OFFSET(Assumptions!$B$60,0,$C$1))*SIGN($C$314-R$314/R$13))*S$13-R$314,0))</f>
        <v>0.95499999999999996</v>
      </c>
      <c r="T314" s="47">
        <f ca="1">S$314+IF(OFFSET(Assumptions!$B$57,0,$C$1)="Yes",Allocation!$B$22*T$247,IF(OFFSET(Assumptions!$B$58,0,$C$1)="Yes",(S$314/S$13+MIN(ABS($C$314-S$314/S$13),OFFSET(Assumptions!$B$60,0,$C$1))*SIGN($C$314-S$314/S$13))*T$13-S$314,0))</f>
        <v>0.95499999999999996</v>
      </c>
      <c r="U314" s="47">
        <f ca="1">T$314+IF(OFFSET(Assumptions!$B$57,0,$C$1)="Yes",Allocation!$B$22*U$247,IF(OFFSET(Assumptions!$B$58,0,$C$1)="Yes",(T$314/T$13+MIN(ABS($C$314-T$314/T$13),OFFSET(Assumptions!$B$60,0,$C$1))*SIGN($C$314-T$314/T$13))*U$13-T$314,0))</f>
        <v>0.95499999999999996</v>
      </c>
      <c r="V314" s="47">
        <f ca="1">U$314+IF(OFFSET(Assumptions!$B$57,0,$C$1)="Yes",Allocation!$B$22*V$247,IF(OFFSET(Assumptions!$B$58,0,$C$1)="Yes",(U$314/U$13+MIN(ABS($C$314-U$314/U$13),OFFSET(Assumptions!$B$60,0,$C$1))*SIGN($C$314-U$314/U$13))*V$13-U$314,0))</f>
        <v>0.95499999999999996</v>
      </c>
      <c r="W314" s="47">
        <f ca="1">V$314+IF(OFFSET(Assumptions!$B$57,0,$C$1)="Yes",Allocation!$B$22*W$247,IF(OFFSET(Assumptions!$B$58,0,$C$1)="Yes",(V$314/V$13+MIN(ABS($C$314-V$314/V$13),OFFSET(Assumptions!$B$60,0,$C$1))*SIGN($C$314-V$314/V$13))*W$13-V$314,0))</f>
        <v>0.95499999999999996</v>
      </c>
      <c r="X314" s="47">
        <f ca="1">W$314+IF(OFFSET(Assumptions!$B$57,0,$C$1)="Yes",Allocation!$B$22*X$247,IF(OFFSET(Assumptions!$B$58,0,$C$1)="Yes",(W$314/W$13+MIN(ABS($C$314-W$314/W$13),OFFSET(Assumptions!$B$60,0,$C$1))*SIGN($C$314-W$314/W$13))*X$13-W$314,0))</f>
        <v>0.95499999999999996</v>
      </c>
    </row>
    <row r="315" spans="1:24" x14ac:dyDescent="0.25">
      <c r="A315" s="9" t="s">
        <v>1008</v>
      </c>
      <c r="B315" s="10" t="str">
        <f>$B$38</f>
        <v>From Fiscal Forecasts</v>
      </c>
      <c r="D315" s="42">
        <f>'Fiscal Forecasts'!D$49</f>
        <v>2.395</v>
      </c>
      <c r="E315" s="42">
        <f>'Fiscal Forecasts'!E$49</f>
        <v>2.4300000000000002</v>
      </c>
      <c r="F315" s="42">
        <f>'Fiscal Forecasts'!F$49</f>
        <v>2.3980000000000001</v>
      </c>
      <c r="G315" s="42">
        <f>'Fiscal Forecasts'!G$49</f>
        <v>2.302</v>
      </c>
      <c r="H315" s="42">
        <f>'Fiscal Forecasts'!H$49</f>
        <v>2.74</v>
      </c>
      <c r="I315" s="42">
        <f>'Fiscal Forecasts'!I$49</f>
        <v>2.6360000000000001</v>
      </c>
      <c r="J315" s="43">
        <f ca="1">'Fiscal Forecasts'!J$49+IF(OFFSET(Assumptions!$B$56,0,$C$1)="Yes",Allocation!C$22,0)</f>
        <v>2.8730000000000002</v>
      </c>
      <c r="K315" s="43">
        <f ca="1">'Fiscal Forecasts'!K$49+IF(OFFSET(Assumptions!$B$56,0,$C$1)="Yes",Allocation!D$22,0)</f>
        <v>2.5169999999999999</v>
      </c>
      <c r="L315" s="43">
        <f ca="1">'Fiscal Forecasts'!L$49+IF(OFFSET(Assumptions!$B$56,0,$C$1)="Yes",Allocation!E$22,0)</f>
        <v>2.4580000000000002</v>
      </c>
      <c r="M315" s="43">
        <f ca="1">'Fiscal Forecasts'!M$49+IF(OFFSET(Assumptions!$B$56,0,$C$1)="Yes",Allocation!F$22,0)</f>
        <v>2.4089999999999998</v>
      </c>
      <c r="N315" s="43">
        <f ca="1">'Fiscal Forecasts'!N$49+IF(OFFSET(Assumptions!$B$56,0,$C$1)="Yes",Allocation!G$22,0)</f>
        <v>2.3610000000000002</v>
      </c>
      <c r="O315" s="47">
        <f t="shared" ref="O315:X315" ca="1" si="190">O$314+(N$315-N$314)*(1+O$29)</f>
        <v>2.3891200000000001</v>
      </c>
      <c r="P315" s="47">
        <f t="shared" ca="1" si="190"/>
        <v>2.4178024000000002</v>
      </c>
      <c r="Q315" s="47">
        <f t="shared" ca="1" si="190"/>
        <v>2.4470584479999999</v>
      </c>
      <c r="R315" s="47">
        <f t="shared" ca="1" si="190"/>
        <v>2.4768996169599999</v>
      </c>
      <c r="S315" s="47">
        <f t="shared" ca="1" si="190"/>
        <v>2.5073376092991997</v>
      </c>
      <c r="T315" s="47">
        <f t="shared" ca="1" si="190"/>
        <v>2.5383843614851838</v>
      </c>
      <c r="U315" s="47">
        <f t="shared" ca="1" si="190"/>
        <v>2.5700520487148872</v>
      </c>
      <c r="V315" s="47">
        <f t="shared" ca="1" si="190"/>
        <v>2.6023530896891849</v>
      </c>
      <c r="W315" s="47">
        <f t="shared" ca="1" si="190"/>
        <v>2.6353001514829684</v>
      </c>
      <c r="X315" s="47">
        <f t="shared" ca="1" si="190"/>
        <v>2.6689061545126278</v>
      </c>
    </row>
    <row r="317" spans="1:24" x14ac:dyDescent="0.25">
      <c r="A317" s="9" t="s">
        <v>1012</v>
      </c>
    </row>
    <row r="318" spans="1:24" x14ac:dyDescent="0.25">
      <c r="A318" s="9" t="s">
        <v>1010</v>
      </c>
      <c r="B318" s="10" t="str">
        <f>$B$38</f>
        <v>From Fiscal Forecasts</v>
      </c>
      <c r="C318" s="64" cm="1">
        <f t="array" aca="1" ref="C318" ca="1">SUMPRODUCT(OFFSET($N$318,0,0,1,-OFFSET(Assumptions!$B$59,0,$C$1))/OFFSET($N$13,0,0,1,-OFFSET(Assumptions!$B$59,0,$C$1)))/OFFSET(Assumptions!$B$59,0,$C$1)</f>
        <v>4.9008474675142502E-3</v>
      </c>
      <c r="D318" s="42">
        <f>'Fiscal Forecasts'!D$67</f>
        <v>0.72699999999999998</v>
      </c>
      <c r="E318" s="42">
        <f>'Fiscal Forecasts'!E$67</f>
        <v>1.0149999999999999</v>
      </c>
      <c r="F318" s="42">
        <f>'Fiscal Forecasts'!F$67</f>
        <v>1.8129999999999999</v>
      </c>
      <c r="G318" s="42">
        <f>'Fiscal Forecasts'!G$67</f>
        <v>2.0329999999999999</v>
      </c>
      <c r="H318" s="42">
        <f>'Fiscal Forecasts'!H$67</f>
        <v>2.3119999999999998</v>
      </c>
      <c r="I318" s="42">
        <f>'Fiscal Forecasts'!I$67</f>
        <v>2.512</v>
      </c>
      <c r="J318" s="43">
        <f ca="1">'Fiscal Forecasts'!J$67+IF(OFFSET(Assumptions!$B$56,0,$C$1)="Yes",Allocation!C$23,0)</f>
        <v>2.411</v>
      </c>
      <c r="K318" s="43">
        <f ca="1">'Fiscal Forecasts'!K$67+IF(OFFSET(Assumptions!$B$56,0,$C$1)="Yes",Allocation!D$23,0)</f>
        <v>2.3959999999999999</v>
      </c>
      <c r="L318" s="43">
        <f ca="1">'Fiscal Forecasts'!L$67+IF(OFFSET(Assumptions!$B$56,0,$C$1)="Yes",Allocation!E$23,0)</f>
        <v>2.2610000000000001</v>
      </c>
      <c r="M318" s="43">
        <f ca="1">'Fiscal Forecasts'!M$67+IF(OFFSET(Assumptions!$B$56,0,$C$1)="Yes",Allocation!F$23,0)</f>
        <v>1.927</v>
      </c>
      <c r="N318" s="43">
        <f ca="1">'Fiscal Forecasts'!N$67+IF(OFFSET(Assumptions!$B$56,0,$C$1)="Yes",Allocation!G$23,0)</f>
        <v>2.0310000000000001</v>
      </c>
      <c r="O318" s="47">
        <f ca="1">N$318+IF(OFFSET(Assumptions!$B$57,0,$C$1)="Yes",Allocation!$B$23*O$247,IF(OFFSET(Assumptions!$B$58,0,$C$1)="Yes",(N$318/N$13+MIN(ABS($C$318-N$318/N$13),OFFSET(Assumptions!$B$60,0,$C$1))*SIGN($C$318-N$318/N$13))*O$13-N$318,0))</f>
        <v>2.0310000000000001</v>
      </c>
      <c r="P318" s="47">
        <f ca="1">O$318+IF(OFFSET(Assumptions!$B$57,0,$C$1)="Yes",Allocation!$B$23*P$247,IF(OFFSET(Assumptions!$B$58,0,$C$1)="Yes",(O$318/O$13+MIN(ABS($C$318-O$318/O$13),OFFSET(Assumptions!$B$60,0,$C$1))*SIGN($C$318-O$318/O$13))*P$13-O$318,0))</f>
        <v>2.0310000000000001</v>
      </c>
      <c r="Q318" s="47">
        <f ca="1">P$318+IF(OFFSET(Assumptions!$B$57,0,$C$1)="Yes",Allocation!$B$23*Q$247,IF(OFFSET(Assumptions!$B$58,0,$C$1)="Yes",(P$318/P$13+MIN(ABS($C$318-P$318/P$13),OFFSET(Assumptions!$B$60,0,$C$1))*SIGN($C$318-P$318/P$13))*Q$13-P$318,0))</f>
        <v>2.0310000000000001</v>
      </c>
      <c r="R318" s="47">
        <f ca="1">Q$318+IF(OFFSET(Assumptions!$B$57,0,$C$1)="Yes",Allocation!$B$23*R$247,IF(OFFSET(Assumptions!$B$58,0,$C$1)="Yes",(Q$318/Q$13+MIN(ABS($C$318-Q$318/Q$13),OFFSET(Assumptions!$B$60,0,$C$1))*SIGN($C$318-Q$318/Q$13))*R$13-Q$318,0))</f>
        <v>2.0310000000000001</v>
      </c>
      <c r="S318" s="47">
        <f ca="1">R$318+IF(OFFSET(Assumptions!$B$57,0,$C$1)="Yes",Allocation!$B$23*S$247,IF(OFFSET(Assumptions!$B$58,0,$C$1)="Yes",(R$318/R$13+MIN(ABS($C$318-R$318/R$13),OFFSET(Assumptions!$B$60,0,$C$1))*SIGN($C$318-R$318/R$13))*S$13-R$318,0))</f>
        <v>2.0310000000000001</v>
      </c>
      <c r="T318" s="47">
        <f ca="1">S$318+IF(OFFSET(Assumptions!$B$57,0,$C$1)="Yes",Allocation!$B$23*T$247,IF(OFFSET(Assumptions!$B$58,0,$C$1)="Yes",(S$318/S$13+MIN(ABS($C$318-S$318/S$13),OFFSET(Assumptions!$B$60,0,$C$1))*SIGN($C$318-S$318/S$13))*T$13-S$318,0))</f>
        <v>2.0310000000000001</v>
      </c>
      <c r="U318" s="47">
        <f ca="1">T$318+IF(OFFSET(Assumptions!$B$57,0,$C$1)="Yes",Allocation!$B$23*U$247,IF(OFFSET(Assumptions!$B$58,0,$C$1)="Yes",(T$318/T$13+MIN(ABS($C$318-T$318/T$13),OFFSET(Assumptions!$B$60,0,$C$1))*SIGN($C$318-T$318/T$13))*U$13-T$318,0))</f>
        <v>2.0310000000000001</v>
      </c>
      <c r="V318" s="47">
        <f ca="1">U$318+IF(OFFSET(Assumptions!$B$57,0,$C$1)="Yes",Allocation!$B$23*V$247,IF(OFFSET(Assumptions!$B$58,0,$C$1)="Yes",(U$318/U$13+MIN(ABS($C$318-U$318/U$13),OFFSET(Assumptions!$B$60,0,$C$1))*SIGN($C$318-U$318/U$13))*V$13-U$318,0))</f>
        <v>2.0310000000000001</v>
      </c>
      <c r="W318" s="47">
        <f ca="1">V$318+IF(OFFSET(Assumptions!$B$57,0,$C$1)="Yes",Allocation!$B$23*W$247,IF(OFFSET(Assumptions!$B$58,0,$C$1)="Yes",(V$318/V$13+MIN(ABS($C$318-V$318/V$13),OFFSET(Assumptions!$B$60,0,$C$1))*SIGN($C$318-V$318/V$13))*W$13-V$318,0))</f>
        <v>2.0310000000000001</v>
      </c>
      <c r="X318" s="47">
        <f ca="1">W$318+IF(OFFSET(Assumptions!$B$57,0,$C$1)="Yes",Allocation!$B$23*X$247,IF(OFFSET(Assumptions!$B$58,0,$C$1)="Yes",(W$318/W$13+MIN(ABS($C$318-W$318/W$13),OFFSET(Assumptions!$B$60,0,$C$1))*SIGN($C$318-W$318/W$13))*X$13-W$318,0))</f>
        <v>2.0310000000000001</v>
      </c>
    </row>
    <row r="319" spans="1:24" x14ac:dyDescent="0.25">
      <c r="A319" s="9" t="s">
        <v>1011</v>
      </c>
      <c r="B319" s="10" t="str">
        <f>$B$38</f>
        <v>From Fiscal Forecasts</v>
      </c>
      <c r="D319" s="42">
        <f>'Fiscal Forecasts'!D$50</f>
        <v>2.02</v>
      </c>
      <c r="E319" s="42">
        <f>'Fiscal Forecasts'!E$50</f>
        <v>2.3929999999999998</v>
      </c>
      <c r="F319" s="42">
        <f>'Fiscal Forecasts'!F$50</f>
        <v>3.351</v>
      </c>
      <c r="G319" s="42">
        <f>'Fiscal Forecasts'!G$50</f>
        <v>3.9350000000000001</v>
      </c>
      <c r="H319" s="42">
        <f>'Fiscal Forecasts'!H$50</f>
        <v>4.3959999999999999</v>
      </c>
      <c r="I319" s="42">
        <f>'Fiscal Forecasts'!I$50</f>
        <v>4.7889999999999997</v>
      </c>
      <c r="J319" s="43">
        <f ca="1">'Fiscal Forecasts'!J$50+IF(OFFSET(Assumptions!$B$56,0,$C$1)="Yes",Allocation!C$23,0)</f>
        <v>4.8079999999999998</v>
      </c>
      <c r="K319" s="43">
        <f ca="1">'Fiscal Forecasts'!K$50+IF(OFFSET(Assumptions!$B$56,0,$C$1)="Yes",Allocation!D$23,0)</f>
        <v>4.7279999999999998</v>
      </c>
      <c r="L319" s="43">
        <f ca="1">'Fiscal Forecasts'!L$50+IF(OFFSET(Assumptions!$B$56,0,$C$1)="Yes",Allocation!E$23,0)</f>
        <v>4.7789999999999999</v>
      </c>
      <c r="M319" s="43">
        <f ca="1">'Fiscal Forecasts'!M$50+IF(OFFSET(Assumptions!$B$56,0,$C$1)="Yes",Allocation!F$23,0)</f>
        <v>4.4660000000000002</v>
      </c>
      <c r="N319" s="43">
        <f ca="1">'Fiscal Forecasts'!N$50+IF(OFFSET(Assumptions!$B$56,0,$C$1)="Yes",Allocation!G$23,0)</f>
        <v>4.4660000000000002</v>
      </c>
      <c r="O319" s="47">
        <f t="shared" ref="O319:X319" ca="1" si="191">O$318+(N$319-N$318)*(1+O$29)</f>
        <v>4.5147000000000004</v>
      </c>
      <c r="P319" s="47">
        <f t="shared" ca="1" si="191"/>
        <v>4.5643740000000008</v>
      </c>
      <c r="Q319" s="47">
        <f t="shared" ca="1" si="191"/>
        <v>4.6150414800000004</v>
      </c>
      <c r="R319" s="47">
        <f t="shared" ca="1" si="191"/>
        <v>4.6667223096000008</v>
      </c>
      <c r="S319" s="47">
        <f t="shared" ca="1" si="191"/>
        <v>4.7194367557920014</v>
      </c>
      <c r="T319" s="47">
        <f t="shared" ca="1" si="191"/>
        <v>4.7732054909078414</v>
      </c>
      <c r="U319" s="47">
        <f t="shared" ca="1" si="191"/>
        <v>4.8280496007259988</v>
      </c>
      <c r="V319" s="47">
        <f t="shared" ca="1" si="191"/>
        <v>4.8839905927405187</v>
      </c>
      <c r="W319" s="47">
        <f t="shared" ca="1" si="191"/>
        <v>4.9410504045953285</v>
      </c>
      <c r="X319" s="47">
        <f t="shared" ca="1" si="191"/>
        <v>4.9992514126872347</v>
      </c>
    </row>
    <row r="321" spans="1:24" x14ac:dyDescent="0.25">
      <c r="A321" s="9" t="s">
        <v>1014</v>
      </c>
    </row>
    <row r="322" spans="1:24" x14ac:dyDescent="0.25">
      <c r="A322" s="11" t="s">
        <v>1013</v>
      </c>
      <c r="B322" s="10" t="str">
        <f>$B$38</f>
        <v>From Fiscal Forecasts</v>
      </c>
      <c r="D322" s="35">
        <f>'Fiscal Forecasts'!D$376</f>
        <v>0.54300000000000004</v>
      </c>
      <c r="E322" s="35">
        <f>'Fiscal Forecasts'!E$376</f>
        <v>0.65</v>
      </c>
      <c r="F322" s="35">
        <f>'Fiscal Forecasts'!F$376</f>
        <v>1.853</v>
      </c>
      <c r="G322" s="35">
        <f>'Fiscal Forecasts'!G$376</f>
        <v>1.4890000000000001</v>
      </c>
      <c r="H322" s="35">
        <f>'Fiscal Forecasts'!H$376</f>
        <v>1.103</v>
      </c>
      <c r="I322" s="35">
        <f>'Fiscal Forecasts'!I$376</f>
        <v>0.83399999999999996</v>
      </c>
      <c r="J322" s="17">
        <f>'Fiscal Forecasts'!J$376</f>
        <v>1.194</v>
      </c>
      <c r="K322" s="17">
        <f>'Fiscal Forecasts'!K$376</f>
        <v>1.1739999999999999</v>
      </c>
      <c r="L322" s="17">
        <f>'Fiscal Forecasts'!L$376</f>
        <v>1.3680000000000001</v>
      </c>
      <c r="M322" s="17">
        <f>'Fiscal Forecasts'!M$376</f>
        <v>1.4219999999999999</v>
      </c>
      <c r="N322" s="17">
        <f>'Fiscal Forecasts'!N$376</f>
        <v>1.448</v>
      </c>
      <c r="O322" s="16">
        <f t="shared" ref="O322:X322" ca="1" si="192">N$322*(1+O$29)</f>
        <v>1.4769600000000001</v>
      </c>
      <c r="P322" s="16">
        <f t="shared" ca="1" si="192"/>
        <v>1.5064992000000001</v>
      </c>
      <c r="Q322" s="16">
        <f t="shared" ca="1" si="192"/>
        <v>1.5366291840000001</v>
      </c>
      <c r="R322" s="16">
        <f t="shared" ca="1" si="192"/>
        <v>1.5673617676800002</v>
      </c>
      <c r="S322" s="16">
        <f t="shared" ca="1" si="192"/>
        <v>1.5987090030336002</v>
      </c>
      <c r="T322" s="16">
        <f t="shared" ca="1" si="192"/>
        <v>1.6306831830942723</v>
      </c>
      <c r="U322" s="16">
        <f t="shared" ca="1" si="192"/>
        <v>1.6632968467561577</v>
      </c>
      <c r="V322" s="16">
        <f t="shared" ca="1" si="192"/>
        <v>1.6965627836912809</v>
      </c>
      <c r="W322" s="16">
        <f t="shared" ca="1" si="192"/>
        <v>1.7304940393651065</v>
      </c>
      <c r="X322" s="16">
        <f t="shared" ca="1" si="192"/>
        <v>1.7651039201524086</v>
      </c>
    </row>
    <row r="323" spans="1:24" x14ac:dyDescent="0.25">
      <c r="A323" s="11" t="s">
        <v>1015</v>
      </c>
      <c r="B323" s="10" t="str">
        <f>$B$38</f>
        <v>From Fiscal Forecasts</v>
      </c>
      <c r="C323" s="64" cm="1">
        <f t="array" aca="1" ref="C323" ca="1">SUMPRODUCT(OFFSET($N$323,0,0,1,-OFFSET(Assumptions!$B$59,0,$C$1))/OFFSET($N$13,0,0,1,-OFFSET(Assumptions!$B$59,0,$C$1)))/OFFSET(Assumptions!$B$59,0,$C$1)</f>
        <v>2.6129615871008914E-3</v>
      </c>
      <c r="D323" s="35">
        <f>'Fiscal Forecasts'!D$68-D$322</f>
        <v>0.57599999999999996</v>
      </c>
      <c r="E323" s="35">
        <f>'Fiscal Forecasts'!E$68-E$322</f>
        <v>0.83500000000000008</v>
      </c>
      <c r="F323" s="35">
        <f>'Fiscal Forecasts'!F$68-F$322</f>
        <v>5.2999999999999936E-2</v>
      </c>
      <c r="G323" s="35">
        <f>'Fiscal Forecasts'!G$68-G$322</f>
        <v>1.0599999999999998</v>
      </c>
      <c r="H323" s="35">
        <f>'Fiscal Forecasts'!H$68-H$322</f>
        <v>1.2779999999999998</v>
      </c>
      <c r="I323" s="35">
        <f>'Fiscal Forecasts'!I$68-I$322</f>
        <v>1.4630000000000001</v>
      </c>
      <c r="J323" s="17">
        <f ca="1">'Fiscal Forecasts'!J$68-J$322+IF(OFFSET(Assumptions!$B$56,0,$C$1)="Yes",Allocation!C$24,0)</f>
        <v>1.5169999999999999</v>
      </c>
      <c r="K323" s="17">
        <f ca="1">'Fiscal Forecasts'!K$68-K$322+IF(OFFSET(Assumptions!$B$56,0,$C$1)="Yes",Allocation!D$24,0)</f>
        <v>1.4410000000000003</v>
      </c>
      <c r="L323" s="17">
        <f ca="1">'Fiscal Forecasts'!L$68-L$322+IF(OFFSET(Assumptions!$B$56,0,$C$1)="Yes",Allocation!E$24,0)</f>
        <v>1.2529999999999999</v>
      </c>
      <c r="M323" s="17">
        <f ca="1">'Fiscal Forecasts'!M$68-M$322+IF(OFFSET(Assumptions!$B$56,0,$C$1)="Yes",Allocation!F$24,0)</f>
        <v>1.159</v>
      </c>
      <c r="N323" s="17">
        <f ca="1">'Fiscal Forecasts'!N$68-N$322+IF(OFFSET(Assumptions!$B$56,0,$C$1)="Yes",Allocation!G$24,0)</f>
        <v>1.157</v>
      </c>
      <c r="O323" s="16">
        <f ca="1">N$323+IF(OFFSET(Assumptions!$B$57,0,$C$1)="Yes",Allocation!$B$24*O$247,IF(OFFSET(Assumptions!$B$58,0,$C$1)="Yes",(N$323/N$13+MIN(ABS($C$323-N$323/N$13),OFFSET(Assumptions!$B$60,0,$C$1))*SIGN($C$323-N$323/N$13))*O$13-N$323,0))</f>
        <v>1.157</v>
      </c>
      <c r="P323" s="16">
        <f ca="1">O$323+IF(OFFSET(Assumptions!$B$57,0,$C$1)="Yes",Allocation!$B$24*P$247,IF(OFFSET(Assumptions!$B$58,0,$C$1)="Yes",(O$323/O$13+MIN(ABS($C$323-O$323/O$13),OFFSET(Assumptions!$B$60,0,$C$1))*SIGN($C$323-O$323/O$13))*P$13-O$323,0))</f>
        <v>1.157</v>
      </c>
      <c r="Q323" s="16">
        <f ca="1">P$323+IF(OFFSET(Assumptions!$B$57,0,$C$1)="Yes",Allocation!$B$24*Q$247,IF(OFFSET(Assumptions!$B$58,0,$C$1)="Yes",(P$323/P$13+MIN(ABS($C$323-P$323/P$13),OFFSET(Assumptions!$B$60,0,$C$1))*SIGN($C$323-P$323/P$13))*Q$13-P$323,0))</f>
        <v>1.157</v>
      </c>
      <c r="R323" s="16">
        <f ca="1">Q$323+IF(OFFSET(Assumptions!$B$57,0,$C$1)="Yes",Allocation!$B$24*R$247,IF(OFFSET(Assumptions!$B$58,0,$C$1)="Yes",(Q$323/Q$13+MIN(ABS($C$323-Q$323/Q$13),OFFSET(Assumptions!$B$60,0,$C$1))*SIGN($C$323-Q$323/Q$13))*R$13-Q$323,0))</f>
        <v>1.157</v>
      </c>
      <c r="S323" s="16">
        <f ca="1">R$323+IF(OFFSET(Assumptions!$B$57,0,$C$1)="Yes",Allocation!$B$24*S$247,IF(OFFSET(Assumptions!$B$58,0,$C$1)="Yes",(R$323/R$13+MIN(ABS($C$323-R$323/R$13),OFFSET(Assumptions!$B$60,0,$C$1))*SIGN($C$323-R$323/R$13))*S$13-R$323,0))</f>
        <v>1.157</v>
      </c>
      <c r="T323" s="16">
        <f ca="1">S$323+IF(OFFSET(Assumptions!$B$57,0,$C$1)="Yes",Allocation!$B$24*T$247,IF(OFFSET(Assumptions!$B$58,0,$C$1)="Yes",(S$323/S$13+MIN(ABS($C$323-S$323/S$13),OFFSET(Assumptions!$B$60,0,$C$1))*SIGN($C$323-S$323/S$13))*T$13-S$323,0))</f>
        <v>1.157</v>
      </c>
      <c r="U323" s="16">
        <f ca="1">T$323+IF(OFFSET(Assumptions!$B$57,0,$C$1)="Yes",Allocation!$B$24*U$247,IF(OFFSET(Assumptions!$B$58,0,$C$1)="Yes",(T$323/T$13+MIN(ABS($C$323-T$323/T$13),OFFSET(Assumptions!$B$60,0,$C$1))*SIGN($C$323-T$323/T$13))*U$13-T$323,0))</f>
        <v>1.157</v>
      </c>
      <c r="V323" s="16">
        <f ca="1">U$323+IF(OFFSET(Assumptions!$B$57,0,$C$1)="Yes",Allocation!$B$24*V$247,IF(OFFSET(Assumptions!$B$58,0,$C$1)="Yes",(U$323/U$13+MIN(ABS($C$323-U$323/U$13),OFFSET(Assumptions!$B$60,0,$C$1))*SIGN($C$323-U$323/U$13))*V$13-U$323,0))</f>
        <v>1.157</v>
      </c>
      <c r="W323" s="16">
        <f ca="1">V$323+IF(OFFSET(Assumptions!$B$57,0,$C$1)="Yes",Allocation!$B$24*W$247,IF(OFFSET(Assumptions!$B$58,0,$C$1)="Yes",(V$323/V$13+MIN(ABS($C$323-V$323/V$13),OFFSET(Assumptions!$B$60,0,$C$1))*SIGN($C$323-V$323/V$13))*W$13-V$323,0))</f>
        <v>1.157</v>
      </c>
      <c r="X323" s="16">
        <f ca="1">W$323+IF(OFFSET(Assumptions!$B$57,0,$C$1)="Yes",Allocation!$B$24*X$247,IF(OFFSET(Assumptions!$B$58,0,$C$1)="Yes",(W$323/W$13+MIN(ABS($C$323-W$323/W$13),OFFSET(Assumptions!$B$60,0,$C$1))*SIGN($C$323-W$323/W$13))*X$13-W$323,0))</f>
        <v>1.157</v>
      </c>
    </row>
    <row r="324" spans="1:24" x14ac:dyDescent="0.25">
      <c r="A324" s="9" t="s">
        <v>1016</v>
      </c>
      <c r="D324" s="65">
        <f t="shared" ref="D324:X324" si="193">SUM(D$322:D$323)</f>
        <v>1.119</v>
      </c>
      <c r="E324" s="65">
        <f t="shared" si="193"/>
        <v>1.4850000000000001</v>
      </c>
      <c r="F324" s="65">
        <f t="shared" si="193"/>
        <v>1.9059999999999999</v>
      </c>
      <c r="G324" s="65">
        <f t="shared" si="193"/>
        <v>2.5489999999999999</v>
      </c>
      <c r="H324" s="65">
        <f t="shared" si="193"/>
        <v>2.3809999999999998</v>
      </c>
      <c r="I324" s="65">
        <f t="shared" si="193"/>
        <v>2.2970000000000002</v>
      </c>
      <c r="J324" s="66">
        <f t="shared" ca="1" si="193"/>
        <v>2.7109999999999999</v>
      </c>
      <c r="K324" s="66">
        <f t="shared" ca="1" si="193"/>
        <v>2.6150000000000002</v>
      </c>
      <c r="L324" s="66">
        <f t="shared" ca="1" si="193"/>
        <v>2.621</v>
      </c>
      <c r="M324" s="66">
        <f t="shared" ca="1" si="193"/>
        <v>2.581</v>
      </c>
      <c r="N324" s="66">
        <f t="shared" ca="1" si="193"/>
        <v>2.605</v>
      </c>
      <c r="O324" s="67">
        <f t="shared" ca="1" si="193"/>
        <v>2.6339600000000001</v>
      </c>
      <c r="P324" s="67">
        <f t="shared" ca="1" si="193"/>
        <v>2.6634992000000004</v>
      </c>
      <c r="Q324" s="67">
        <f t="shared" ca="1" si="193"/>
        <v>2.6936291840000002</v>
      </c>
      <c r="R324" s="67">
        <f t="shared" ca="1" si="193"/>
        <v>2.7243617676800005</v>
      </c>
      <c r="S324" s="67">
        <f t="shared" ca="1" si="193"/>
        <v>2.7557090030336004</v>
      </c>
      <c r="T324" s="67">
        <f t="shared" ca="1" si="193"/>
        <v>2.7876831830942725</v>
      </c>
      <c r="U324" s="67">
        <f t="shared" ca="1" si="193"/>
        <v>2.8202968467561575</v>
      </c>
      <c r="V324" s="67">
        <f t="shared" ca="1" si="193"/>
        <v>2.8535627836912809</v>
      </c>
      <c r="W324" s="67">
        <f t="shared" ca="1" si="193"/>
        <v>2.8874940393651065</v>
      </c>
      <c r="X324" s="67">
        <f t="shared" ca="1" si="193"/>
        <v>2.9221039201524084</v>
      </c>
    </row>
    <row r="325" spans="1:24" x14ac:dyDescent="0.25">
      <c r="A325" s="9" t="s">
        <v>1017</v>
      </c>
      <c r="B325" s="10" t="str">
        <f>$B$38</f>
        <v>From Fiscal Forecasts</v>
      </c>
      <c r="D325" s="42">
        <f>'Fiscal Forecasts'!D$51</f>
        <v>1.1080000000000001</v>
      </c>
      <c r="E325" s="42">
        <f>'Fiscal Forecasts'!E$51</f>
        <v>1.472</v>
      </c>
      <c r="F325" s="42">
        <f>'Fiscal Forecasts'!F$51</f>
        <v>1.889</v>
      </c>
      <c r="G325" s="42">
        <f>'Fiscal Forecasts'!G$51</f>
        <v>2.5350000000000001</v>
      </c>
      <c r="H325" s="42">
        <f>'Fiscal Forecasts'!H$51</f>
        <v>2.3530000000000002</v>
      </c>
      <c r="I325" s="42">
        <f>'Fiscal Forecasts'!I$51</f>
        <v>2.2770000000000001</v>
      </c>
      <c r="J325" s="43">
        <f ca="1">'Fiscal Forecasts'!J$51+IF(OFFSET(Assumptions!$B$56,0,$C$1)="Yes",Allocation!C$24,0)</f>
        <v>2.71</v>
      </c>
      <c r="K325" s="43">
        <f ca="1">'Fiscal Forecasts'!K$51+IF(OFFSET(Assumptions!$B$56,0,$C$1)="Yes",Allocation!D$24,0)</f>
        <v>2.6110000000000002</v>
      </c>
      <c r="L325" s="43">
        <f ca="1">'Fiscal Forecasts'!L$51+IF(OFFSET(Assumptions!$B$56,0,$C$1)="Yes",Allocation!E$24,0)</f>
        <v>2.617</v>
      </c>
      <c r="M325" s="43">
        <f ca="1">'Fiscal Forecasts'!M$51+IF(OFFSET(Assumptions!$B$56,0,$C$1)="Yes",Allocation!F$24,0)</f>
        <v>2.577</v>
      </c>
      <c r="N325" s="43">
        <f ca="1">'Fiscal Forecasts'!N$51+IF(OFFSET(Assumptions!$B$56,0,$C$1)="Yes",Allocation!G$24,0)</f>
        <v>2.601</v>
      </c>
      <c r="O325" s="47">
        <f t="shared" ref="O325:X325" ca="1" si="194">O$324</f>
        <v>2.6339600000000001</v>
      </c>
      <c r="P325" s="47">
        <f t="shared" ca="1" si="194"/>
        <v>2.6634992000000004</v>
      </c>
      <c r="Q325" s="47">
        <f t="shared" ca="1" si="194"/>
        <v>2.6936291840000002</v>
      </c>
      <c r="R325" s="47">
        <f t="shared" ca="1" si="194"/>
        <v>2.7243617676800005</v>
      </c>
      <c r="S325" s="47">
        <f t="shared" ca="1" si="194"/>
        <v>2.7557090030336004</v>
      </c>
      <c r="T325" s="47">
        <f t="shared" ca="1" si="194"/>
        <v>2.7876831830942725</v>
      </c>
      <c r="U325" s="47">
        <f t="shared" ca="1" si="194"/>
        <v>2.8202968467561575</v>
      </c>
      <c r="V325" s="47">
        <f t="shared" ca="1" si="194"/>
        <v>2.8535627836912809</v>
      </c>
      <c r="W325" s="47">
        <f t="shared" ca="1" si="194"/>
        <v>2.8874940393651065</v>
      </c>
      <c r="X325" s="47">
        <f t="shared" ca="1" si="194"/>
        <v>2.9221039201524084</v>
      </c>
    </row>
    <row r="327" spans="1:24" x14ac:dyDescent="0.25">
      <c r="A327" s="9" t="s">
        <v>1018</v>
      </c>
    </row>
    <row r="328" spans="1:24" x14ac:dyDescent="0.25">
      <c r="A328" s="9" t="s">
        <v>1019</v>
      </c>
      <c r="B328" s="10" t="str">
        <f>$B$38</f>
        <v>From Fiscal Forecasts</v>
      </c>
      <c r="D328" s="42">
        <f>'Fiscal Forecasts'!D$70</f>
        <v>9.6000000000000002E-2</v>
      </c>
      <c r="E328" s="42">
        <f>'Fiscal Forecasts'!E$70</f>
        <v>6.3E-2</v>
      </c>
      <c r="F328" s="42">
        <f>'Fiscal Forecasts'!F$70</f>
        <v>0.254</v>
      </c>
      <c r="G328" s="42">
        <f>'Fiscal Forecasts'!G$70</f>
        <v>0.26900000000000002</v>
      </c>
      <c r="H328" s="42">
        <f>'Fiscal Forecasts'!H$70</f>
        <v>0.13300000000000001</v>
      </c>
      <c r="I328" s="42">
        <f>'Fiscal Forecasts'!I$70</f>
        <v>0.14499999999999999</v>
      </c>
      <c r="J328" s="43">
        <f>'Fiscal Forecasts'!J$70+0.001</f>
        <v>0.25600000000000001</v>
      </c>
      <c r="K328" s="43">
        <f>'Fiscal Forecasts'!K$70</f>
        <v>9.2999999999999999E-2</v>
      </c>
      <c r="L328" s="43">
        <f>'Fiscal Forecasts'!L$70</f>
        <v>0.316</v>
      </c>
      <c r="M328" s="43">
        <f>'Fiscal Forecasts'!M$70</f>
        <v>0.316</v>
      </c>
      <c r="N328" s="43">
        <f>'Fiscal Forecasts'!N$70</f>
        <v>0.316</v>
      </c>
      <c r="O328" s="47">
        <f ca="1">IF(O$6=OFFSET(Assumptions!$B$8,0,$C$1),OFFSET(Assumptions!$B$9,0,$C$1),N$328)</f>
        <v>0</v>
      </c>
      <c r="P328" s="47">
        <f ca="1">IF(P$6=OFFSET(Assumptions!$B$8,0,$C$1),OFFSET(Assumptions!$B$9,0,$C$1),O$328)</f>
        <v>0</v>
      </c>
      <c r="Q328" s="47">
        <f ca="1">IF(Q$6=OFFSET(Assumptions!$B$8,0,$C$1),OFFSET(Assumptions!$B$9,0,$C$1),P$328)</f>
        <v>0</v>
      </c>
      <c r="R328" s="47">
        <f ca="1">IF(R$6=OFFSET(Assumptions!$B$8,0,$C$1),OFFSET(Assumptions!$B$9,0,$C$1),Q$328)</f>
        <v>0</v>
      </c>
      <c r="S328" s="47">
        <f ca="1">IF(S$6=OFFSET(Assumptions!$B$8,0,$C$1),OFFSET(Assumptions!$B$9,0,$C$1),R$328)</f>
        <v>0</v>
      </c>
      <c r="T328" s="47">
        <f ca="1">IF(T$6=OFFSET(Assumptions!$B$8,0,$C$1),OFFSET(Assumptions!$B$9,0,$C$1),S$328)</f>
        <v>0</v>
      </c>
      <c r="U328" s="47">
        <f ca="1">IF(U$6=OFFSET(Assumptions!$B$8,0,$C$1),OFFSET(Assumptions!$B$9,0,$C$1),T$328)</f>
        <v>0</v>
      </c>
      <c r="V328" s="47">
        <f ca="1">IF(V$6=OFFSET(Assumptions!$B$8,0,$C$1),OFFSET(Assumptions!$B$9,0,$C$1),U$328)</f>
        <v>0</v>
      </c>
      <c r="W328" s="47">
        <f ca="1">IF(W$6=OFFSET(Assumptions!$B$8,0,$C$1),OFFSET(Assumptions!$B$9,0,$C$1),V$328)</f>
        <v>0</v>
      </c>
      <c r="X328" s="47">
        <f ca="1">IF(X$6=OFFSET(Assumptions!$B$8,0,$C$1),OFFSET(Assumptions!$B$9,0,$C$1),W$328)</f>
        <v>0</v>
      </c>
    </row>
    <row r="329" spans="1:24" x14ac:dyDescent="0.25">
      <c r="A329" s="9" t="s">
        <v>1020</v>
      </c>
      <c r="B329" s="10" t="str">
        <f>$B$38</f>
        <v>From Fiscal Forecasts</v>
      </c>
      <c r="D329" s="42">
        <f>'Fiscal Forecasts'!D$53</f>
        <v>9.6000000000000002E-2</v>
      </c>
      <c r="E329" s="42">
        <f>'Fiscal Forecasts'!E$53</f>
        <v>6.3E-2</v>
      </c>
      <c r="F329" s="42">
        <f>'Fiscal Forecasts'!F$53</f>
        <v>0.254</v>
      </c>
      <c r="G329" s="42">
        <f>'Fiscal Forecasts'!G$53</f>
        <v>0.24199999999999999</v>
      </c>
      <c r="H329" s="42">
        <f>'Fiscal Forecasts'!H$53</f>
        <v>0.13300000000000001</v>
      </c>
      <c r="I329" s="42">
        <f>'Fiscal Forecasts'!I$53</f>
        <v>0.14499999999999999</v>
      </c>
      <c r="J329" s="43">
        <f>'Fiscal Forecasts'!J$53</f>
        <v>0.255</v>
      </c>
      <c r="K329" s="43">
        <f>'Fiscal Forecasts'!K$53</f>
        <v>9.2999999999999999E-2</v>
      </c>
      <c r="L329" s="43">
        <f>'Fiscal Forecasts'!L$53</f>
        <v>0.316</v>
      </c>
      <c r="M329" s="43">
        <f>'Fiscal Forecasts'!M$53</f>
        <v>0.316</v>
      </c>
      <c r="N329" s="43">
        <f>'Fiscal Forecasts'!N$53</f>
        <v>0.316</v>
      </c>
      <c r="O329" s="47">
        <f ca="1">IF(O$6=OFFSET(Assumptions!$B$8,0,$C$1),OFFSET(Assumptions!$B$9,0,$C$1),N$329)</f>
        <v>0</v>
      </c>
      <c r="P329" s="47">
        <f ca="1">IF(P$6=OFFSET(Assumptions!$B$8,0,$C$1),OFFSET(Assumptions!$B$9,0,$C$1),O$329)</f>
        <v>0</v>
      </c>
      <c r="Q329" s="47">
        <f ca="1">IF(Q$6=OFFSET(Assumptions!$B$8,0,$C$1),OFFSET(Assumptions!$B$9,0,$C$1),P$329)</f>
        <v>0</v>
      </c>
      <c r="R329" s="47">
        <f ca="1">IF(R$6=OFFSET(Assumptions!$B$8,0,$C$1),OFFSET(Assumptions!$B$9,0,$C$1),Q$329)</f>
        <v>0</v>
      </c>
      <c r="S329" s="47">
        <f ca="1">IF(S$6=OFFSET(Assumptions!$B$8,0,$C$1),OFFSET(Assumptions!$B$9,0,$C$1),R$329)</f>
        <v>0</v>
      </c>
      <c r="T329" s="47">
        <f ca="1">IF(T$6=OFFSET(Assumptions!$B$8,0,$C$1),OFFSET(Assumptions!$B$9,0,$C$1),S$329)</f>
        <v>0</v>
      </c>
      <c r="U329" s="47">
        <f ca="1">IF(U$6=OFFSET(Assumptions!$B$8,0,$C$1),OFFSET(Assumptions!$B$9,0,$C$1),T$329)</f>
        <v>0</v>
      </c>
      <c r="V329" s="47">
        <f ca="1">IF(V$6=OFFSET(Assumptions!$B$8,0,$C$1),OFFSET(Assumptions!$B$9,0,$C$1),U$329)</f>
        <v>0</v>
      </c>
      <c r="W329" s="47">
        <f ca="1">IF(W$6=OFFSET(Assumptions!$B$8,0,$C$1),OFFSET(Assumptions!$B$9,0,$C$1),V$329)</f>
        <v>0</v>
      </c>
      <c r="X329" s="47">
        <f ca="1">IF(X$6=OFFSET(Assumptions!$B$8,0,$C$1),OFFSET(Assumptions!$B$9,0,$C$1),W$329)</f>
        <v>0</v>
      </c>
    </row>
    <row r="331" spans="1:24" x14ac:dyDescent="0.25">
      <c r="A331" s="12" t="s">
        <v>1021</v>
      </c>
    </row>
    <row r="332" spans="1:24" x14ac:dyDescent="0.25">
      <c r="A332" s="9" t="s">
        <v>1022</v>
      </c>
      <c r="D332" s="42">
        <f>SUM(D$196,D$261,D$267:D$270,D$273,D$283,D$288,D$301,D$306,D$310,D$314,D$318,D$324)</f>
        <v>50.609000000000002</v>
      </c>
      <c r="E332" s="42">
        <f t="shared" ref="E332:N332" si="195">SUM(E$196,E$261,E$267:E$270,E$273,E$283,E$288,E$301,E$306,E$310,E$314,E$318,E$324)</f>
        <v>57.67</v>
      </c>
      <c r="F332" s="42">
        <f t="shared" si="195"/>
        <v>62.933000000000007</v>
      </c>
      <c r="G332" s="42">
        <f t="shared" si="195"/>
        <v>73.015000000000001</v>
      </c>
      <c r="H332" s="42">
        <f t="shared" si="195"/>
        <v>73.475000000000009</v>
      </c>
      <c r="I332" s="42">
        <f t="shared" si="195"/>
        <v>79.288999999999987</v>
      </c>
      <c r="J332" s="43">
        <f t="shared" ca="1" si="195"/>
        <v>82.172999999999988</v>
      </c>
      <c r="K332" s="43">
        <f t="shared" ca="1" si="195"/>
        <v>83.652000000000001</v>
      </c>
      <c r="L332" s="43">
        <f t="shared" ca="1" si="195"/>
        <v>84.725999999999999</v>
      </c>
      <c r="M332" s="43">
        <f t="shared" ca="1" si="195"/>
        <v>83.350000000000009</v>
      </c>
      <c r="N332" s="43">
        <f t="shared" ca="1" si="195"/>
        <v>83.543000000000006</v>
      </c>
      <c r="O332" s="47">
        <f t="shared" ref="O332:X332" ca="1" si="196">SUM(O$196,O$261,O$267:O$270,O$273,O$283,O$288,O$301,O$306,O$310,O$314,O$318,O$324)</f>
        <v>83.571960000000004</v>
      </c>
      <c r="P332" s="47">
        <f t="shared" ca="1" si="196"/>
        <v>83.601499200000006</v>
      </c>
      <c r="Q332" s="47">
        <f t="shared" ca="1" si="196"/>
        <v>83.631629184000005</v>
      </c>
      <c r="R332" s="47">
        <f t="shared" ca="1" si="196"/>
        <v>83.662361767679997</v>
      </c>
      <c r="S332" s="47">
        <f t="shared" ca="1" si="196"/>
        <v>83.693709003033604</v>
      </c>
      <c r="T332" s="47">
        <f t="shared" ca="1" si="196"/>
        <v>83.725683183094276</v>
      </c>
      <c r="U332" s="47">
        <f t="shared" ca="1" si="196"/>
        <v>83.758296846756167</v>
      </c>
      <c r="V332" s="47">
        <f t="shared" ca="1" si="196"/>
        <v>83.79156278369129</v>
      </c>
      <c r="W332" s="47">
        <f t="shared" ca="1" si="196"/>
        <v>83.825494039365111</v>
      </c>
      <c r="X332" s="47">
        <f t="shared" ca="1" si="196"/>
        <v>83.860103920152412</v>
      </c>
    </row>
    <row r="333" spans="1:24" x14ac:dyDescent="0.25">
      <c r="A333" s="9" t="s">
        <v>1023</v>
      </c>
      <c r="D333" s="42">
        <f>SUM(D$261,D$272,D$267:D$270,D$273,D$280,D$282,D$292,D$328)</f>
        <v>35.922000000000004</v>
      </c>
      <c r="E333" s="42">
        <f t="shared" ref="E333:N333" si="197">SUM(E$261,E$272,E$267:E$270,E$273,E$280,E$282,E$292,E$328)</f>
        <v>40.394000000000005</v>
      </c>
      <c r="F333" s="42">
        <f t="shared" si="197"/>
        <v>45.15</v>
      </c>
      <c r="G333" s="42">
        <f t="shared" si="197"/>
        <v>50.318999999999996</v>
      </c>
      <c r="H333" s="42">
        <f t="shared" si="197"/>
        <v>54.479000000000006</v>
      </c>
      <c r="I333" s="42">
        <f t="shared" si="197"/>
        <v>57.910000000000011</v>
      </c>
      <c r="J333" s="43">
        <f t="shared" ca="1" si="197"/>
        <v>59.698000000000008</v>
      </c>
      <c r="K333" s="43">
        <f t="shared" ca="1" si="197"/>
        <v>62.681000000000012</v>
      </c>
      <c r="L333" s="43">
        <f t="shared" ca="1" si="197"/>
        <v>61.891999999999996</v>
      </c>
      <c r="M333" s="43">
        <f t="shared" ca="1" si="197"/>
        <v>61.378000000000014</v>
      </c>
      <c r="N333" s="43">
        <f t="shared" ca="1" si="197"/>
        <v>61.955999999999996</v>
      </c>
      <c r="O333" s="47">
        <f ca="1">SUM(O$261,O$272,O$267:O$270,O$273,O$280,O$282,O$292,O$328)</f>
        <v>61.699673459683858</v>
      </c>
      <c r="P333" s="47">
        <f t="shared" ref="P333:X333" ca="1" si="198">SUM(P$261,P$272,P$267:P$270,P$273,P$280,P$282,P$292,P$328)</f>
        <v>61.773095236484288</v>
      </c>
      <c r="Q333" s="47">
        <f t="shared" ca="1" si="198"/>
        <v>62.039419413041301</v>
      </c>
      <c r="R333" s="47">
        <f t="shared" ca="1" si="198"/>
        <v>62.344246204213974</v>
      </c>
      <c r="S333" s="47">
        <f t="shared" ca="1" si="198"/>
        <v>62.65346005167558</v>
      </c>
      <c r="T333" s="47">
        <f t="shared" ca="1" si="198"/>
        <v>62.967636806884315</v>
      </c>
      <c r="U333" s="47">
        <f t="shared" ca="1" si="198"/>
        <v>63.285042281704051</v>
      </c>
      <c r="V333" s="47">
        <f t="shared" ca="1" si="198"/>
        <v>63.606154406787276</v>
      </c>
      <c r="W333" s="47">
        <f t="shared" ca="1" si="198"/>
        <v>63.933150331659093</v>
      </c>
      <c r="X333" s="47">
        <f t="shared" ca="1" si="198"/>
        <v>64.267503653169726</v>
      </c>
    </row>
    <row r="334" spans="1:24" x14ac:dyDescent="0.25">
      <c r="A334" s="12" t="s">
        <v>1024</v>
      </c>
    </row>
    <row r="335" spans="1:24" x14ac:dyDescent="0.25">
      <c r="A335" s="9" t="s">
        <v>1025</v>
      </c>
      <c r="B335" s="10" t="str">
        <f>$B$38</f>
        <v>From Fiscal Forecasts</v>
      </c>
      <c r="D335" s="42">
        <f>'Fiscal Forecasts'!D$211</f>
        <v>6.7160000000000002</v>
      </c>
      <c r="E335" s="42">
        <f>'Fiscal Forecasts'!E$211</f>
        <v>7.5140000000000002</v>
      </c>
      <c r="F335" s="42">
        <f>'Fiscal Forecasts'!F$211</f>
        <v>8.0459999999999994</v>
      </c>
      <c r="G335" s="42">
        <f>'Fiscal Forecasts'!G$211</f>
        <v>8.5389999999999997</v>
      </c>
      <c r="H335" s="42">
        <f>'Fiscal Forecasts'!H$211</f>
        <v>10.163</v>
      </c>
      <c r="I335" s="42">
        <f>'Fiscal Forecasts'!I$211</f>
        <v>10.747999999999999</v>
      </c>
      <c r="J335" s="43">
        <f>'Fiscal Forecasts'!J$211</f>
        <v>10.715999999999999</v>
      </c>
      <c r="K335" s="43">
        <f>'Fiscal Forecasts'!K$211</f>
        <v>10.582000000000001</v>
      </c>
      <c r="L335" s="43">
        <f>'Fiscal Forecasts'!L$211</f>
        <v>10.785</v>
      </c>
      <c r="M335" s="43">
        <f>'Fiscal Forecasts'!M$211</f>
        <v>10.513999999999999</v>
      </c>
      <c r="N335" s="43">
        <f>'Fiscal Forecasts'!N$211</f>
        <v>10.589</v>
      </c>
      <c r="O335" s="47">
        <f ca="1">IF(O$6=OFFSET(Assumptions!$B$8,0,$C$1),AVERAGE(L$335/SUM(L$252-L$251,L$285-L$284,L$289-L$288,,L$307-L$306,L$311-L$310,L$315-L$314,L$319-L$318,L$325-L$324),M$335/SUM(M$252-M$251,M$285-M$284,M$289-M$288,,M$307-M$306,M$311-M$310,M$315-M$314,M$319-M$318,M$325-M$324),N$335/SUM(N$252-N$251,N$285-N$284,N$289-N$288,,N$307-N$306,N$311-N$310,N$315-N$314,N$319-N$318,N$325-N$324)),N$335/SUM(N$252-N$251,N$285-N$284,N$289-N$288,,N$307-N$306,N$311-N$310,N$315-N$314,N$319-N$318,N$325-N$324))*SUM(O$252-O$251,O$285-O$284,O$289-O$288,,O$307-O$306,O$311-O$310,O$315-O$314,O$319-O$318,O$325-O$324)</f>
        <v>10.933351291983374</v>
      </c>
      <c r="P335" s="47">
        <f ca="1">IF(P$6=OFFSET(Assumptions!$B$8,0,$C$1),AVERAGE(M$335/SUM(M$252-M$251,M$285-M$284,M$289-M$288,,M$307-M$306,M$311-M$310,M$315-M$314,M$319-M$318,M$325-M$324),N$335/SUM(N$252-N$251,N$285-N$284,N$289-N$288,,N$307-N$306,N$311-N$310,N$315-N$314,N$319-N$318,N$325-N$324),O$335/SUM(O$252-O$251,O$285-O$284,O$289-O$288,,O$307-O$306,O$311-O$310,O$315-O$314,O$319-O$318,O$325-O$324)),O$335/SUM(O$252-O$251,O$285-O$284,O$289-O$288,,O$307-O$306,O$311-O$310,O$315-O$314,O$319-O$318,O$325-O$324))*SUM(P$252-P$251,P$285-P$284,P$289-P$288,,P$307-P$306,P$311-P$310,P$315-P$314,P$319-P$318,P$325-P$324)</f>
        <v>11.151276459309566</v>
      </c>
      <c r="Q335" s="47">
        <f ca="1">IF(Q$6=OFFSET(Assumptions!$B$8,0,$C$1),AVERAGE(N$335/SUM(N$252-N$251,N$285-N$284,N$289-N$288,,N$307-N$306,N$311-N$310,N$315-N$314,N$319-N$318,N$325-N$324),O$335/SUM(O$252-O$251,O$285-O$284,O$289-O$288,,O$307-O$306,O$311-O$310,O$315-O$314,O$319-O$318,O$325-O$324),P$335/SUM(P$252-P$251,P$285-P$284,P$289-P$288,,P$307-P$306,P$311-P$310,P$315-P$314,P$319-P$318,P$325-P$324)),P$335/SUM(P$252-P$251,P$285-P$284,P$289-P$288,,P$307-P$306,P$311-P$310,P$315-P$314,P$319-P$318,P$325-P$324))*SUM(Q$252-Q$251,Q$285-Q$284,Q$289-Q$288,,Q$307-Q$306,Q$311-Q$310,Q$315-Q$314,Q$319-Q$318,Q$325-Q$324)</f>
        <v>11.373613760309013</v>
      </c>
      <c r="R335" s="47">
        <f ca="1">IF(R$6=OFFSET(Assumptions!$B$8,0,$C$1),AVERAGE(O$335/SUM(O$252-O$251,O$285-O$284,O$289-O$288,,O$307-O$306,O$311-O$310,O$315-O$314,O$319-O$318,O$325-O$324),P$335/SUM(P$252-P$251,P$285-P$284,P$289-P$288,,P$307-P$306,P$311-P$310,P$315-P$314,P$319-P$318,P$325-P$324),Q$335/SUM(Q$252-Q$251,Q$285-Q$284,Q$289-Q$288,,Q$307-Q$306,Q$311-Q$310,Q$315-Q$314,Q$319-Q$318,Q$325-Q$324)),Q$335/SUM(Q$252-Q$251,Q$285-Q$284,Q$289-Q$288,,Q$307-Q$306,Q$311-Q$310,Q$315-Q$314,Q$319-Q$318,Q$325-Q$324))*SUM(R$252-R$251,R$285-R$284,R$289-R$288,,R$307-R$306,R$311-R$310,R$315-R$314,R$319-R$318,R$325-R$324)</f>
        <v>11.600451437655186</v>
      </c>
      <c r="S335" s="47">
        <f ca="1">IF(S$6=OFFSET(Assumptions!$B$8,0,$C$1),AVERAGE(P$335/SUM(P$252-P$251,P$285-P$284,P$289-P$288,,P$307-P$306,P$311-P$310,P$315-P$314,P$319-P$318,P$325-P$324),Q$335/SUM(Q$252-Q$251,Q$285-Q$284,Q$289-Q$288,,Q$307-Q$306,Q$311-Q$310,Q$315-Q$314,Q$319-Q$318,Q$325-Q$324),R$335/SUM(R$252-R$251,R$285-R$284,R$289-R$288,,R$307-R$306,R$311-R$310,R$315-R$314,R$319-R$318,R$325-R$324)),R$335/SUM(R$252-R$251,R$285-R$284,R$289-R$288,,R$307-R$306,R$311-R$310,R$315-R$314,R$319-R$318,R$325-R$324))*SUM(S$252-S$251,S$285-S$284,S$289-S$288,,S$307-S$306,S$311-S$310,S$315-S$314,S$319-S$318,S$325-S$324)</f>
        <v>11.831879498875015</v>
      </c>
      <c r="T335" s="47">
        <f ca="1">IF(T$6=OFFSET(Assumptions!$B$8,0,$C$1),AVERAGE(Q$335/SUM(Q$252-Q$251,Q$285-Q$284,Q$289-Q$288,,Q$307-Q$306,Q$311-Q$310,Q$315-Q$314,Q$319-Q$318,Q$325-Q$324),R$335/SUM(R$252-R$251,R$285-R$284,R$289-R$288,,R$307-R$306,R$311-R$310,R$315-R$314,R$319-R$318,R$325-R$324),S$335/SUM(S$252-S$251,S$285-S$284,S$289-S$288,,S$307-S$306,S$311-S$310,S$315-S$314,S$319-S$318,S$325-S$324)),S$335/SUM(S$252-S$251,S$285-S$284,S$289-S$288,,S$307-S$306,S$311-S$310,S$315-S$314,S$319-S$318,S$325-S$324))*SUM(T$252-T$251,T$285-T$284,T$289-T$288,,T$307-T$306,T$311-T$310,T$315-T$314,T$319-T$318,T$325-T$324)</f>
        <v>12.067832015390875</v>
      </c>
      <c r="U335" s="47">
        <f ca="1">IF(U$6=OFFSET(Assumptions!$B$8,0,$C$1),AVERAGE(R$335/SUM(R$252-R$251,R$285-R$284,R$289-R$288,,R$307-R$306,R$311-R$310,R$315-R$314,R$319-R$318,R$325-R$324),S$335/SUM(S$252-S$251,S$285-S$284,S$289-S$288,,S$307-S$306,S$311-S$310,S$315-S$314,S$319-S$318,S$325-S$324),T$335/SUM(T$252-T$251,T$285-T$284,T$289-T$288,,T$307-T$306,T$311-T$310,T$315-T$314,T$319-T$318,T$325-T$324)),T$335/SUM(T$252-T$251,T$285-T$284,T$289-T$288,,T$307-T$306,T$311-T$310,T$315-T$314,T$319-T$318,T$325-T$324))*SUM(U$252-U$251,U$285-U$284,U$289-U$288,,U$307-U$306,U$311-U$310,U$315-U$314,U$319-U$318,U$325-U$324)</f>
        <v>12.308875839799098</v>
      </c>
      <c r="V335" s="47">
        <f ca="1">IF(V$6=OFFSET(Assumptions!$B$8,0,$C$1),AVERAGE(S$335/SUM(S$252-S$251,S$285-S$284,S$289-S$288,,S$307-S$306,S$311-S$310,S$315-S$314,S$319-S$318,S$325-S$324),T$335/SUM(T$252-T$251,T$285-T$284,T$289-T$288,,T$307-T$306,T$311-T$310,T$315-T$314,T$319-T$318,T$325-T$324),U$335/SUM(U$252-U$251,U$285-U$284,U$289-U$288,,U$307-U$306,U$311-U$310,U$315-U$314,U$319-U$318,U$325-U$324)),U$335/SUM(U$252-U$251,U$285-U$284,U$289-U$288,,U$307-U$306,U$311-U$310,U$315-U$314,U$319-U$318,U$325-U$324))*SUM(V$252-V$251,V$285-V$284,V$289-V$288,,V$307-V$306,V$311-V$310,V$315-V$314,V$319-V$318,V$325-V$324)</f>
        <v>12.554791016297116</v>
      </c>
      <c r="W335" s="47">
        <f ca="1">IF(W$6=OFFSET(Assumptions!$B$8,0,$C$1),AVERAGE(T$335/SUM(T$252-T$251,T$285-T$284,T$289-T$288,,T$307-T$306,T$311-T$310,T$315-T$314,T$319-T$318,T$325-T$324),U$335/SUM(U$252-U$251,U$285-U$284,U$289-U$288,,U$307-U$306,U$311-U$310,U$315-U$314,U$319-U$318,U$325-U$324),V$335/SUM(V$252-V$251,V$285-V$284,V$289-V$288,,V$307-V$306,V$311-V$310,V$315-V$314,V$319-V$318,V$325-V$324)),V$335/SUM(V$252-V$251,V$285-V$284,V$289-V$288,,V$307-V$306,V$311-V$310,V$315-V$314,V$319-V$318,V$325-V$324))*SUM(W$252-W$251,W$285-W$284,W$289-W$288,,W$307-W$306,W$311-W$310,W$315-W$314,W$319-W$318,W$325-W$324)</f>
        <v>12.805517235671624</v>
      </c>
      <c r="X335" s="47">
        <f ca="1">IF(X$6=OFFSET(Assumptions!$B$8,0,$C$1),AVERAGE(U$335/SUM(U$252-U$251,U$285-U$284,U$289-U$288,,U$307-U$306,U$311-U$310,U$315-U$314,U$319-U$318,U$325-U$324),V$335/SUM(V$252-V$251,V$285-V$284,V$289-V$288,,V$307-V$306,V$311-V$310,V$315-V$314,V$319-V$318,V$325-V$324),W$335/SUM(W$252-W$251,W$285-W$284,W$289-W$288,,W$307-W$306,W$311-W$310,W$315-W$314,W$319-W$318,W$325-W$324)),W$335/SUM(W$252-W$251,W$285-W$284,W$289-W$288,,W$307-W$306,W$311-W$310,W$315-W$314,W$319-W$318,W$325-W$324))*SUM(X$252-X$251,X$285-X$284,X$289-X$288,,X$307-X$306,X$311-X$310,X$315-X$314,X$319-X$318,X$325-X$324)</f>
        <v>13.061311609760359</v>
      </c>
    </row>
    <row r="336" spans="1:24" x14ac:dyDescent="0.25">
      <c r="A336" s="9" t="s">
        <v>1026</v>
      </c>
      <c r="B336" s="10" t="str">
        <f>$B$38</f>
        <v>From Fiscal Forecasts</v>
      </c>
      <c r="D336" s="42">
        <f>'Fiscal Forecasts'!D$212</f>
        <v>8.64</v>
      </c>
      <c r="E336" s="42">
        <f>'Fiscal Forecasts'!E$212</f>
        <v>8.3070000000000004</v>
      </c>
      <c r="F336" s="42">
        <f>'Fiscal Forecasts'!F$212</f>
        <v>10.321999999999999</v>
      </c>
      <c r="G336" s="42">
        <f>'Fiscal Forecasts'!G$212</f>
        <v>9.5259999999999998</v>
      </c>
      <c r="H336" s="42">
        <f>'Fiscal Forecasts'!H$212</f>
        <v>8.5609999999999999</v>
      </c>
      <c r="I336" s="42">
        <f>'Fiscal Forecasts'!I$212</f>
        <v>12.183</v>
      </c>
      <c r="J336" s="43">
        <f>'Fiscal Forecasts'!J$212</f>
        <v>12.733000000000001</v>
      </c>
      <c r="K336" s="43">
        <f>'Fiscal Forecasts'!K$212</f>
        <v>12.682</v>
      </c>
      <c r="L336" s="43">
        <f>'Fiscal Forecasts'!L$212</f>
        <v>12.77</v>
      </c>
      <c r="M336" s="43">
        <f>'Fiscal Forecasts'!M$212</f>
        <v>13.486000000000001</v>
      </c>
      <c r="N336" s="43">
        <f>'Fiscal Forecasts'!N$212</f>
        <v>13.352</v>
      </c>
      <c r="O336" s="47">
        <f ca="1">IF(O$6=OFFSET(Assumptions!$B$8,0,$C$1),AVERAGE(L$336/(L$303-L$302),M$336/(M$303-M$302),N$336/(N$303-N$302)),N$336/(N$303-N$302))*(O$303-O$302)</f>
        <v>13.642914754523931</v>
      </c>
      <c r="P336" s="47">
        <f ca="1">IF(P$6=OFFSET(Assumptions!$B$8,0,$C$1),AVERAGE(M$336/(M$303-M$302),N$336/(N$303-N$302),O$336/(O$303-O$302)),O$336/(O$303-O$302))*(P$303-P$302)</f>
        <v>13.915773049614408</v>
      </c>
      <c r="Q336" s="47">
        <f ca="1">IF(Q$6=OFFSET(Assumptions!$B$8,0,$C$1),AVERAGE(N$336/(N$303-N$302),O$336/(O$303-O$302),P$336/(P$303-P$302)),P$336/(P$303-P$302))*(Q$303-Q$302)</f>
        <v>14.194088510606699</v>
      </c>
      <c r="R336" s="47">
        <f ca="1">IF(R$6=OFFSET(Assumptions!$B$8,0,$C$1),AVERAGE(O$336/(O$303-O$302),P$336/(P$303-P$302),Q$336/(Q$303-Q$302)),Q$336/(Q$303-Q$302))*(R$303-R$302)</f>
        <v>14.477970280818834</v>
      </c>
      <c r="S336" s="47">
        <f ca="1">IF(S$6=OFFSET(Assumptions!$B$8,0,$C$1),AVERAGE(P$336/(P$303-P$302),Q$336/(Q$303-Q$302),R$336/(R$303-R$302)),R$336/(R$303-R$302))*(S$303-S$302)</f>
        <v>14.767529686435209</v>
      </c>
      <c r="T336" s="47">
        <f ca="1">IF(T$6=OFFSET(Assumptions!$B$8,0,$C$1),AVERAGE(Q$336/(Q$303-Q$302),R$336/(R$303-R$302),S$336/(S$303-S$302)),S$336/(S$303-S$302))*(T$303-T$302)</f>
        <v>15.062880280163913</v>
      </c>
      <c r="U336" s="47">
        <f ca="1">IF(U$6=OFFSET(Assumptions!$B$8,0,$C$1),AVERAGE(R$336/(R$303-R$302),S$336/(S$303-S$302),T$336/(T$303-T$302)),T$336/(T$303-T$302))*(U$303-U$302)</f>
        <v>15.364137885767189</v>
      </c>
      <c r="V336" s="47">
        <f ca="1">IF(V$6=OFFSET(Assumptions!$B$8,0,$C$1),AVERAGE(S$336/(S$303-S$302),T$336/(T$303-T$302),U$336/(U$303-U$302)),U$336/(U$303-U$302))*(V$303-V$302)</f>
        <v>15.671420643482532</v>
      </c>
      <c r="W336" s="47">
        <f ca="1">IF(W$6=OFFSET(Assumptions!$B$8,0,$C$1),AVERAGE(T$336/(T$303-T$302),U$336/(U$303-U$302),V$336/(V$303-V$302)),V$336/(V$303-V$302))*(W$303-W$302)</f>
        <v>15.984849056352184</v>
      </c>
      <c r="X336" s="47">
        <f ca="1">IF(X$6=OFFSET(Assumptions!$B$8,0,$C$1),AVERAGE(U$336/(U$303-U$302),V$336/(V$303-V$302),W$336/(W$303-W$302)),W$336/(W$303-W$302))*(X$303-X$302)</f>
        <v>16.304546037479231</v>
      </c>
    </row>
    <row r="337" spans="1:24" x14ac:dyDescent="0.25">
      <c r="A337" s="9" t="s">
        <v>1027</v>
      </c>
      <c r="B337" s="10" t="str">
        <f>$B$38</f>
        <v>From Fiscal Forecasts</v>
      </c>
      <c r="D337" s="42">
        <f>'Fiscal Forecasts'!D$213</f>
        <v>-3.629</v>
      </c>
      <c r="E337" s="42">
        <f>'Fiscal Forecasts'!E$213</f>
        <v>-3.7549999999999999</v>
      </c>
      <c r="F337" s="42">
        <f>'Fiscal Forecasts'!F$213</f>
        <v>-4.7350000000000003</v>
      </c>
      <c r="G337" s="42">
        <f>'Fiscal Forecasts'!G$213</f>
        <v>-4.2939999999999996</v>
      </c>
      <c r="H337" s="42">
        <f>'Fiscal Forecasts'!H$213</f>
        <v>-4.1829999999999998</v>
      </c>
      <c r="I337" s="42">
        <f>'Fiscal Forecasts'!I$213</f>
        <v>-4.7560000000000002</v>
      </c>
      <c r="J337" s="43">
        <f>'Fiscal Forecasts'!J$213</f>
        <v>-4.673</v>
      </c>
      <c r="K337" s="43">
        <f>'Fiscal Forecasts'!K$213</f>
        <v>-4.4359999999999999</v>
      </c>
      <c r="L337" s="43">
        <f>'Fiscal Forecasts'!L$213</f>
        <v>-4.37</v>
      </c>
      <c r="M337" s="43">
        <f>'Fiscal Forecasts'!M$213</f>
        <v>-4.0789999999999997</v>
      </c>
      <c r="N337" s="43">
        <f>'Fiscal Forecasts'!N$213</f>
        <v>-4.1230000000000002</v>
      </c>
      <c r="O337" s="47">
        <f t="shared" ref="O337:X337" ca="1" si="199">SUM(O$252-O$251,O$285-O$284,O$289-O$288,O$303-O$302,O$307-O$306,O$311-O$310,O$315-O$314,O$319-O$318,O$325-O$324,-O$335,-O$336)</f>
        <v>-4.3111964281866957</v>
      </c>
      <c r="P337" s="47">
        <f t="shared" ca="1" si="199"/>
        <v>-4.3971332565066685</v>
      </c>
      <c r="Q337" s="47">
        <f t="shared" ca="1" si="199"/>
        <v>-4.4848095764017142</v>
      </c>
      <c r="R337" s="47">
        <f t="shared" ca="1" si="199"/>
        <v>-4.5742601777033318</v>
      </c>
      <c r="S337" s="47">
        <f t="shared" ca="1" si="199"/>
        <v>-4.6655205460396427</v>
      </c>
      <c r="T337" s="47">
        <f t="shared" ca="1" si="199"/>
        <v>-4.7585658326082108</v>
      </c>
      <c r="U337" s="47">
        <f t="shared" ca="1" si="199"/>
        <v>-4.8536160890859694</v>
      </c>
      <c r="V337" s="47">
        <f t="shared" ca="1" si="199"/>
        <v>-4.9505868848190939</v>
      </c>
      <c r="W337" s="47">
        <f t="shared" ca="1" si="199"/>
        <v>-5.0494555864495396</v>
      </c>
      <c r="X337" s="47">
        <f t="shared" ca="1" si="199"/>
        <v>-5.1503224171212594</v>
      </c>
    </row>
    <row r="339" spans="1:24" x14ac:dyDescent="0.25">
      <c r="A339" s="9" t="s">
        <v>1028</v>
      </c>
    </row>
    <row r="340" spans="1:24" x14ac:dyDescent="0.25">
      <c r="A340" s="11" t="s">
        <v>1029</v>
      </c>
      <c r="D340" s="35">
        <f t="shared" ref="D340:X340" si="200">D$387</f>
        <v>1.9550000000000001</v>
      </c>
      <c r="E340" s="35">
        <f t="shared" si="200"/>
        <v>1.7000000000000001E-2</v>
      </c>
      <c r="F340" s="35">
        <f t="shared" si="200"/>
        <v>12.786</v>
      </c>
      <c r="G340" s="35">
        <f t="shared" si="200"/>
        <v>-5.133</v>
      </c>
      <c r="H340" s="35">
        <f t="shared" si="200"/>
        <v>5.766</v>
      </c>
      <c r="I340" s="35">
        <f t="shared" si="200"/>
        <v>8.3520000000000003</v>
      </c>
      <c r="J340" s="17">
        <f t="shared" si="200"/>
        <v>6.6360000000000001</v>
      </c>
      <c r="K340" s="17">
        <f t="shared" si="200"/>
        <v>4.9329999999999998</v>
      </c>
      <c r="L340" s="17">
        <f t="shared" si="200"/>
        <v>5.2549999999999999</v>
      </c>
      <c r="M340" s="17">
        <f t="shared" si="200"/>
        <v>5.57</v>
      </c>
      <c r="N340" s="17">
        <f t="shared" si="200"/>
        <v>5.9210000000000003</v>
      </c>
      <c r="O340" s="16">
        <f t="shared" si="200"/>
        <v>6.2610978231927454</v>
      </c>
      <c r="P340" s="16">
        <f t="shared" si="200"/>
        <v>6.6338294179173811</v>
      </c>
      <c r="Q340" s="16">
        <f t="shared" si="200"/>
        <v>7.0205757760865257</v>
      </c>
      <c r="R340" s="16">
        <f t="shared" si="200"/>
        <v>7.419331001012468</v>
      </c>
      <c r="S340" s="16">
        <f t="shared" si="200"/>
        <v>7.8280508847065082</v>
      </c>
      <c r="T340" s="16">
        <f t="shared" si="200"/>
        <v>8.2464843934314178</v>
      </c>
      <c r="U340" s="16">
        <f t="shared" si="200"/>
        <v>8.6741216338815725</v>
      </c>
      <c r="V340" s="16">
        <f t="shared" si="200"/>
        <v>9.1104536804069181</v>
      </c>
      <c r="W340" s="16">
        <f t="shared" si="200"/>
        <v>9.558599761304043</v>
      </c>
      <c r="X340" s="16">
        <f t="shared" si="200"/>
        <v>10.023668382871231</v>
      </c>
    </row>
    <row r="341" spans="1:24" x14ac:dyDescent="0.25">
      <c r="A341" s="11" t="s">
        <v>1030</v>
      </c>
      <c r="B341" s="10" t="str">
        <f>$B$38</f>
        <v>From Fiscal Forecasts</v>
      </c>
      <c r="D341" s="35">
        <f>SUM('Fiscal Forecasts'!D$300,'Fiscal Forecasts'!D$306)-D$340</f>
        <v>1.2330000000000001</v>
      </c>
      <c r="E341" s="35">
        <f>SUM('Fiscal Forecasts'!E$300,'Fiscal Forecasts'!E$306)-E$340</f>
        <v>-3.9489999999999994</v>
      </c>
      <c r="F341" s="35">
        <f>SUM('Fiscal Forecasts'!F$300,'Fiscal Forecasts'!F$306)-F$340</f>
        <v>-5.2540000000000004</v>
      </c>
      <c r="G341" s="35">
        <f>SUM('Fiscal Forecasts'!G$300,'Fiscal Forecasts'!G$306)-G$340</f>
        <v>-6.0860000000000012</v>
      </c>
      <c r="H341" s="35">
        <f>SUM('Fiscal Forecasts'!H$300,'Fiscal Forecasts'!H$306)-H$340</f>
        <v>6.798</v>
      </c>
      <c r="I341" s="35">
        <f>SUM('Fiscal Forecasts'!I$300,'Fiscal Forecasts'!I$306)-I$340</f>
        <v>-0.45800000000000018</v>
      </c>
      <c r="J341" s="17">
        <f>SUM('Fiscal Forecasts'!J$300,'Fiscal Forecasts'!J$306)-J$340</f>
        <v>0.60099999999999998</v>
      </c>
      <c r="K341" s="17">
        <f>SUM('Fiscal Forecasts'!K$300,'Fiscal Forecasts'!K$306)-K$340</f>
        <v>0.22799999999999976</v>
      </c>
      <c r="L341" s="17">
        <f>SUM('Fiscal Forecasts'!L$300,'Fiscal Forecasts'!L$306)-L$340</f>
        <v>0.18200000000000038</v>
      </c>
      <c r="M341" s="17">
        <f>SUM('Fiscal Forecasts'!M$300,'Fiscal Forecasts'!M$306)-M$340</f>
        <v>0.17799999999999994</v>
      </c>
      <c r="N341" s="17">
        <f>SUM('Fiscal Forecasts'!N$300,'Fiscal Forecasts'!N$306)-N$340</f>
        <v>0.16199999999999992</v>
      </c>
      <c r="O341" s="16">
        <f t="shared" ref="O341:X341" ca="1" si="201">N$341*(1+O$14)</f>
        <v>0.16898990208893588</v>
      </c>
      <c r="P341" s="16">
        <f t="shared" ca="1" si="201"/>
        <v>0.17619734820041857</v>
      </c>
      <c r="Q341" s="16">
        <f t="shared" ca="1" si="201"/>
        <v>0.18342044364656629</v>
      </c>
      <c r="R341" s="16">
        <f t="shared" ca="1" si="201"/>
        <v>0.19064289879790539</v>
      </c>
      <c r="S341" s="16">
        <f t="shared" ca="1" si="201"/>
        <v>0.19802460663705423</v>
      </c>
      <c r="T341" s="16">
        <f t="shared" ca="1" si="201"/>
        <v>0.20555430201785468</v>
      </c>
      <c r="U341" s="16">
        <f t="shared" ca="1" si="201"/>
        <v>0.21318439121948451</v>
      </c>
      <c r="V341" s="16">
        <f t="shared" ca="1" si="201"/>
        <v>0.22092919733992919</v>
      </c>
      <c r="W341" s="16">
        <f t="shared" ca="1" si="201"/>
        <v>0.22878843183492686</v>
      </c>
      <c r="X341" s="16">
        <f t="shared" ca="1" si="201"/>
        <v>0.23682131819704325</v>
      </c>
    </row>
    <row r="342" spans="1:24" x14ac:dyDescent="0.25">
      <c r="A342" s="9" t="s">
        <v>1031</v>
      </c>
      <c r="D342" s="65">
        <f t="shared" ref="D342:X342" si="202">SUM(D$340:D$341)</f>
        <v>3.1880000000000002</v>
      </c>
      <c r="E342" s="65">
        <f t="shared" si="202"/>
        <v>-3.9319999999999995</v>
      </c>
      <c r="F342" s="65">
        <f t="shared" si="202"/>
        <v>7.5319999999999991</v>
      </c>
      <c r="G342" s="65">
        <f t="shared" si="202"/>
        <v>-11.219000000000001</v>
      </c>
      <c r="H342" s="65">
        <f t="shared" si="202"/>
        <v>12.564</v>
      </c>
      <c r="I342" s="65">
        <f t="shared" si="202"/>
        <v>7.8940000000000001</v>
      </c>
      <c r="J342" s="66">
        <f t="shared" si="202"/>
        <v>7.2370000000000001</v>
      </c>
      <c r="K342" s="66">
        <f t="shared" si="202"/>
        <v>5.1609999999999996</v>
      </c>
      <c r="L342" s="66">
        <f t="shared" si="202"/>
        <v>5.4370000000000003</v>
      </c>
      <c r="M342" s="66">
        <f t="shared" si="202"/>
        <v>5.7480000000000002</v>
      </c>
      <c r="N342" s="66">
        <f t="shared" si="202"/>
        <v>6.0830000000000002</v>
      </c>
      <c r="O342" s="67">
        <f t="shared" ca="1" si="202"/>
        <v>6.4300877252816813</v>
      </c>
      <c r="P342" s="67">
        <f t="shared" ca="1" si="202"/>
        <v>6.8100267661178</v>
      </c>
      <c r="Q342" s="67">
        <f t="shared" ca="1" si="202"/>
        <v>7.2039962197330922</v>
      </c>
      <c r="R342" s="67">
        <f t="shared" ca="1" si="202"/>
        <v>7.609973899810373</v>
      </c>
      <c r="S342" s="67">
        <f t="shared" ca="1" si="202"/>
        <v>8.0260754913435619</v>
      </c>
      <c r="T342" s="67">
        <f t="shared" ca="1" si="202"/>
        <v>8.4520386954492732</v>
      </c>
      <c r="U342" s="67">
        <f t="shared" ca="1" si="202"/>
        <v>8.8873060251010578</v>
      </c>
      <c r="V342" s="67">
        <f t="shared" ca="1" si="202"/>
        <v>9.3313828777468473</v>
      </c>
      <c r="W342" s="67">
        <f t="shared" ca="1" si="202"/>
        <v>9.7873881931389697</v>
      </c>
      <c r="X342" s="67">
        <f t="shared" ca="1" si="202"/>
        <v>10.260489701068273</v>
      </c>
    </row>
    <row r="343" spans="1:24" x14ac:dyDescent="0.25">
      <c r="A343" s="11" t="s">
        <v>707</v>
      </c>
      <c r="B343" s="10" t="str">
        <f>$B$38</f>
        <v>From Fiscal Forecasts</v>
      </c>
      <c r="D343" s="35">
        <f>SUM('Fiscal Forecasts'!D$301,'Fiscal Forecasts'!D$307)</f>
        <v>-7.8920000000000003</v>
      </c>
      <c r="E343" s="35">
        <f>SUM('Fiscal Forecasts'!E$301,'Fiscal Forecasts'!E$307)</f>
        <v>-4.32</v>
      </c>
      <c r="F343" s="35">
        <f>SUM('Fiscal Forecasts'!F$301,'Fiscal Forecasts'!F$307)</f>
        <v>12.293999999999999</v>
      </c>
      <c r="G343" s="35">
        <f>SUM('Fiscal Forecasts'!G$301,'Fiscal Forecasts'!G$307)</f>
        <v>1.3290000000000006</v>
      </c>
      <c r="H343" s="35">
        <f>SUM('Fiscal Forecasts'!H$301,'Fiscal Forecasts'!H$307)</f>
        <v>3</v>
      </c>
      <c r="I343" s="35">
        <f>SUM('Fiscal Forecasts'!I$301,'Fiscal Forecasts'!I$307)</f>
        <v>-3.415</v>
      </c>
      <c r="J343" s="17">
        <f>SUM('Fiscal Forecasts'!J$301,'Fiscal Forecasts'!J$307)</f>
        <v>2.4390000000000001</v>
      </c>
      <c r="K343" s="17">
        <f>SUM('Fiscal Forecasts'!K$301,'Fiscal Forecasts'!K$307)</f>
        <v>0.495</v>
      </c>
      <c r="L343" s="17">
        <f>SUM('Fiscal Forecasts'!L$301,'Fiscal Forecasts'!L$307)</f>
        <v>0.55799999999999994</v>
      </c>
      <c r="M343" s="17">
        <f>SUM('Fiscal Forecasts'!M$301,'Fiscal Forecasts'!M$307)</f>
        <v>0.71799999999999997</v>
      </c>
      <c r="N343" s="17">
        <f>SUM('Fiscal Forecasts'!N$301,'Fiscal Forecasts'!N$307)</f>
        <v>0.84599999999999997</v>
      </c>
      <c r="O343" s="16">
        <f>N$343*Exogenous!Z$30/Exogenous!Y$30</f>
        <v>0.87030895247456774</v>
      </c>
      <c r="P343" s="16">
        <f>O$343*Exogenous!AA$30/Exogenous!Z$30</f>
        <v>0.90021458989623016</v>
      </c>
      <c r="Q343" s="16">
        <f>P$343*Exogenous!AB$30/Exogenous!AA$30</f>
        <v>0.93718600357118453</v>
      </c>
      <c r="R343" s="16">
        <f>Q$343*Exogenous!AC$30/Exogenous!AB$30</f>
        <v>0.98201162734610326</v>
      </c>
      <c r="S343" s="16">
        <f>R$343*Exogenous!AD$30/Exogenous!AC$30</f>
        <v>1.0357638501687936</v>
      </c>
      <c r="T343" s="16">
        <f>S$343*Exogenous!AE$30/Exogenous!AD$30</f>
        <v>1.0999479685204643</v>
      </c>
      <c r="U343" s="16">
        <f>T$343*Exogenous!AF$30/Exogenous!AE$30</f>
        <v>1.1760406188486949</v>
      </c>
      <c r="V343" s="16">
        <f>U$343*Exogenous!AG$30/Exogenous!AF$30</f>
        <v>1.2601233386649373</v>
      </c>
      <c r="W343" s="16">
        <f>V$343*Exogenous!AH$30/Exogenous!AG$30</f>
        <v>1.3477984052712371</v>
      </c>
      <c r="X343" s="16">
        <f>W$343*Exogenous!AI$30/Exogenous!AH$30</f>
        <v>1.4380528436061066</v>
      </c>
    </row>
    <row r="344" spans="1:24" x14ac:dyDescent="0.25">
      <c r="A344" s="11" t="s">
        <v>904</v>
      </c>
      <c r="B344" s="10" t="str">
        <f>$B$38</f>
        <v>From Fiscal Forecasts</v>
      </c>
      <c r="D344" s="35">
        <f>SUM('Fiscal Forecasts'!D$302,'Fiscal Forecasts'!D$308)</f>
        <v>0.254</v>
      </c>
      <c r="E344" s="35">
        <f>SUM('Fiscal Forecasts'!E$302,'Fiscal Forecasts'!E$308)</f>
        <v>-6.9000000000000006E-2</v>
      </c>
      <c r="F344" s="35">
        <f>SUM('Fiscal Forecasts'!F$302,'Fiscal Forecasts'!F$308)</f>
        <v>0.23199999999999998</v>
      </c>
      <c r="G344" s="35">
        <f>SUM('Fiscal Forecasts'!G$302,'Fiscal Forecasts'!G$308)</f>
        <v>0.85899999999999999</v>
      </c>
      <c r="H344" s="35">
        <f>SUM('Fiscal Forecasts'!H$302,'Fiscal Forecasts'!H$308)</f>
        <v>-0.13799999999999998</v>
      </c>
      <c r="I344" s="35">
        <f>SUM('Fiscal Forecasts'!I$302,'Fiscal Forecasts'!I$308)</f>
        <v>0.46499999999999997</v>
      </c>
      <c r="J344" s="17">
        <f>SUM('Fiscal Forecasts'!J$302,'Fiscal Forecasts'!J$308)</f>
        <v>7.5999999999999998E-2</v>
      </c>
      <c r="K344" s="17">
        <f>SUM('Fiscal Forecasts'!K$302,'Fiscal Forecasts'!K$308)</f>
        <v>0.1</v>
      </c>
      <c r="L344" s="17">
        <f>SUM('Fiscal Forecasts'!L$302,'Fiscal Forecasts'!L$308)</f>
        <v>6.4000000000000001E-2</v>
      </c>
      <c r="M344" s="17">
        <f>SUM('Fiscal Forecasts'!M$302,'Fiscal Forecasts'!M$308)</f>
        <v>5.7000000000000002E-2</v>
      </c>
      <c r="N344" s="17">
        <f>SUM('Fiscal Forecasts'!N$302,'Fiscal Forecasts'!N$308)</f>
        <v>3.7999999999999999E-2</v>
      </c>
      <c r="O344" s="16">
        <f t="shared" ref="O344:X344" ca="1" si="203">N$344*(1+O$14)</f>
        <v>3.9639606662836828E-2</v>
      </c>
      <c r="P344" s="16">
        <f t="shared" ca="1" si="203"/>
        <v>4.1330242170468573E-2</v>
      </c>
      <c r="Q344" s="16">
        <f t="shared" ca="1" si="203"/>
        <v>4.3024548509688412E-2</v>
      </c>
      <c r="R344" s="16">
        <f t="shared" ca="1" si="203"/>
        <v>4.4718704656298819E-2</v>
      </c>
      <c r="S344" s="16">
        <f t="shared" ca="1" si="203"/>
        <v>4.6450216371654723E-2</v>
      </c>
      <c r="T344" s="16">
        <f t="shared" ca="1" si="203"/>
        <v>4.8216441214064709E-2</v>
      </c>
      <c r="U344" s="16">
        <f t="shared" ca="1" si="203"/>
        <v>5.0006215224323559E-2</v>
      </c>
      <c r="V344" s="16">
        <f t="shared" ca="1" si="203"/>
        <v>5.1822898141464908E-2</v>
      </c>
      <c r="W344" s="16">
        <f t="shared" ca="1" si="203"/>
        <v>5.3666422282266833E-2</v>
      </c>
      <c r="X344" s="16">
        <f t="shared" ca="1" si="203"/>
        <v>5.5550679577084254E-2</v>
      </c>
    </row>
    <row r="345" spans="1:24" x14ac:dyDescent="0.25">
      <c r="A345" s="11" t="s">
        <v>866</v>
      </c>
      <c r="B345" s="10" t="str">
        <f>$B$38</f>
        <v>From Fiscal Forecasts</v>
      </c>
      <c r="D345" s="35">
        <f>SUM('Fiscal Forecasts'!D$24,'Fiscal Forecasts'!D$25)-SUM(D$342:D$344)</f>
        <v>-2.6809999999999983</v>
      </c>
      <c r="E345" s="35">
        <f>SUM('Fiscal Forecasts'!E$24,'Fiscal Forecasts'!E$25)-SUM(E$342:E$344)</f>
        <v>-0.4009999999999998</v>
      </c>
      <c r="F345" s="35">
        <f>SUM('Fiscal Forecasts'!F$24,'Fiscal Forecasts'!F$25)-SUM(F$342:F$344)</f>
        <v>0.96500000000000341</v>
      </c>
      <c r="G345" s="35">
        <f>SUM('Fiscal Forecasts'!G$24,'Fiscal Forecasts'!G$25)-SUM(G$342:G$344)</f>
        <v>2.3090000000000011</v>
      </c>
      <c r="H345" s="35">
        <f>SUM('Fiscal Forecasts'!H$24,'Fiscal Forecasts'!H$25)-SUM(H$342:H$344)</f>
        <v>-0.76799999999999891</v>
      </c>
      <c r="I345" s="35">
        <f>SUM('Fiscal Forecasts'!I$24,'Fiscal Forecasts'!I$25)-SUM(I$342:I$344)</f>
        <v>-0.27700000000000014</v>
      </c>
      <c r="J345" s="17">
        <f>SUM('Fiscal Forecasts'!J$24,'Fiscal Forecasts'!J$25)-SUM(J$342:J$344)</f>
        <v>-0.67099999999999937</v>
      </c>
      <c r="K345" s="17">
        <f>SUM('Fiscal Forecasts'!K$24,'Fiscal Forecasts'!K$25)-SUM(K$342:K$344)</f>
        <v>-6.3999999999999169E-2</v>
      </c>
      <c r="L345" s="17">
        <f>SUM('Fiscal Forecasts'!L$24,'Fiscal Forecasts'!L$25)-SUM(L$342:L$344)</f>
        <v>-4.1999999999999815E-2</v>
      </c>
      <c r="M345" s="17">
        <f>SUM('Fiscal Forecasts'!M$24,'Fiscal Forecasts'!M$25)-SUM(M$342:M$344)</f>
        <v>-4.9000000000000377E-2</v>
      </c>
      <c r="N345" s="17">
        <f>SUM('Fiscal Forecasts'!N$24,'Fiscal Forecasts'!N$25)-SUM(N$342:N$344)</f>
        <v>-5.3000000000000824E-2</v>
      </c>
      <c r="O345" s="16">
        <f t="shared" ref="O345:X345" ca="1" si="204">N$345*(1+O$14)</f>
        <v>-5.5286819819220651E-2</v>
      </c>
      <c r="P345" s="16">
        <f t="shared" ca="1" si="204"/>
        <v>-5.7644811448286017E-2</v>
      </c>
      <c r="Q345" s="16">
        <f t="shared" ca="1" si="204"/>
        <v>-6.0007922921408455E-2</v>
      </c>
      <c r="R345" s="16">
        <f t="shared" ca="1" si="204"/>
        <v>-6.2370824915365108E-2</v>
      </c>
      <c r="S345" s="16">
        <f t="shared" ca="1" si="204"/>
        <v>-6.4785828097308901E-2</v>
      </c>
      <c r="T345" s="16">
        <f t="shared" ca="1" si="204"/>
        <v>-6.7249246956459702E-2</v>
      </c>
      <c r="U345" s="16">
        <f t="shared" ca="1" si="204"/>
        <v>-6.9745510707610245E-2</v>
      </c>
      <c r="V345" s="16">
        <f t="shared" ca="1" si="204"/>
        <v>-7.2279305302570582E-2</v>
      </c>
      <c r="W345" s="16">
        <f t="shared" ca="1" si="204"/>
        <v>-7.4850536341057525E-2</v>
      </c>
      <c r="X345" s="16">
        <f t="shared" ca="1" si="204"/>
        <v>-7.7478579410145021E-2</v>
      </c>
    </row>
    <row r="346" spans="1:24" x14ac:dyDescent="0.25">
      <c r="A346" s="9" t="s">
        <v>1032</v>
      </c>
      <c r="D346" s="65">
        <f t="shared" ref="D346:X346" si="205">SUM(D$342:D$345)</f>
        <v>-7.1309999999999993</v>
      </c>
      <c r="E346" s="65">
        <f t="shared" si="205"/>
        <v>-8.7219999999999995</v>
      </c>
      <c r="F346" s="65">
        <f t="shared" si="205"/>
        <v>21.023</v>
      </c>
      <c r="G346" s="65">
        <f t="shared" si="205"/>
        <v>-6.7219999999999995</v>
      </c>
      <c r="H346" s="65">
        <f t="shared" si="205"/>
        <v>14.658000000000001</v>
      </c>
      <c r="I346" s="65">
        <f t="shared" si="205"/>
        <v>4.6669999999999998</v>
      </c>
      <c r="J346" s="66">
        <f t="shared" si="205"/>
        <v>9.0810000000000013</v>
      </c>
      <c r="K346" s="66">
        <f t="shared" si="205"/>
        <v>5.6920000000000002</v>
      </c>
      <c r="L346" s="66">
        <f t="shared" si="205"/>
        <v>6.0170000000000003</v>
      </c>
      <c r="M346" s="66">
        <f t="shared" si="205"/>
        <v>6.4740000000000002</v>
      </c>
      <c r="N346" s="66">
        <f t="shared" si="205"/>
        <v>6.9139999999999997</v>
      </c>
      <c r="O346" s="67">
        <f t="shared" ca="1" si="205"/>
        <v>7.2847494645998649</v>
      </c>
      <c r="P346" s="67">
        <f t="shared" ca="1" si="205"/>
        <v>7.6939267867362133</v>
      </c>
      <c r="Q346" s="67">
        <f t="shared" ca="1" si="205"/>
        <v>8.1241988488925561</v>
      </c>
      <c r="R346" s="67">
        <f t="shared" ca="1" si="205"/>
        <v>8.5743334068974093</v>
      </c>
      <c r="S346" s="67">
        <f t="shared" ca="1" si="205"/>
        <v>9.0435037297867016</v>
      </c>
      <c r="T346" s="67">
        <f t="shared" ca="1" si="205"/>
        <v>9.5329538582273425</v>
      </c>
      <c r="U346" s="67">
        <f t="shared" ca="1" si="205"/>
        <v>10.043607348466466</v>
      </c>
      <c r="V346" s="67">
        <f t="shared" ca="1" si="205"/>
        <v>10.571049809250679</v>
      </c>
      <c r="W346" s="67">
        <f t="shared" ca="1" si="205"/>
        <v>11.114002484351417</v>
      </c>
      <c r="X346" s="67">
        <f t="shared" ca="1" si="205"/>
        <v>11.676614644841319</v>
      </c>
    </row>
    <row r="348" spans="1:24" x14ac:dyDescent="0.25">
      <c r="A348" s="9" t="s">
        <v>546</v>
      </c>
    </row>
    <row r="349" spans="1:24" x14ac:dyDescent="0.25">
      <c r="A349" s="9" t="s">
        <v>1033</v>
      </c>
      <c r="B349" s="10" t="str">
        <f>$B$38</f>
        <v>From Fiscal Forecasts</v>
      </c>
      <c r="D349" s="42">
        <f>'Fiscal Forecasts'!D$177-SUM('Fiscal Forecasts'!D$300,'Fiscal Forecasts'!D$306)</f>
        <v>4.0000000000000036E-3</v>
      </c>
      <c r="E349" s="42">
        <f>'Fiscal Forecasts'!E$177-SUM('Fiscal Forecasts'!E$300,'Fiscal Forecasts'!E$306)</f>
        <v>-4.2000000000000703E-2</v>
      </c>
      <c r="F349" s="42">
        <f>'Fiscal Forecasts'!F$177-SUM('Fiscal Forecasts'!F$300,'Fiscal Forecasts'!F$306)</f>
        <v>-3.199999999999914E-2</v>
      </c>
      <c r="G349" s="42">
        <f>'Fiscal Forecasts'!G$177-SUM('Fiscal Forecasts'!G$300,'Fiscal Forecasts'!G$306)</f>
        <v>-0.18699999999999939</v>
      </c>
      <c r="H349" s="42">
        <f>'Fiscal Forecasts'!H$177-SUM('Fiscal Forecasts'!H$300,'Fiscal Forecasts'!H$306)</f>
        <v>-9.5000000000000639E-2</v>
      </c>
      <c r="I349" s="42">
        <f>'Fiscal Forecasts'!I$177-SUM('Fiscal Forecasts'!I$300,'Fiscal Forecasts'!I$306)</f>
        <v>-9.9999999999997868E-3</v>
      </c>
      <c r="J349" s="43">
        <f>'Fiscal Forecasts'!J$177-SUM('Fiscal Forecasts'!J$300,'Fiscal Forecasts'!J$306)</f>
        <v>9.0000000000003411E-3</v>
      </c>
      <c r="K349" s="43">
        <f>'Fiscal Forecasts'!K$177-SUM('Fiscal Forecasts'!K$300,'Fiscal Forecasts'!K$306)</f>
        <v>1.4000000000000234E-2</v>
      </c>
      <c r="L349" s="43">
        <f>'Fiscal Forecasts'!L$177-SUM('Fiscal Forecasts'!L$300,'Fiscal Forecasts'!L$306)</f>
        <v>1.2999999999999901E-2</v>
      </c>
      <c r="M349" s="43">
        <f>'Fiscal Forecasts'!M$177-SUM('Fiscal Forecasts'!M$300,'Fiscal Forecasts'!M$306)</f>
        <v>9.9999999999997868E-3</v>
      </c>
      <c r="N349" s="43">
        <f>'Fiscal Forecasts'!N$177-SUM('Fiscal Forecasts'!N$300,'Fiscal Forecasts'!N$306)</f>
        <v>1.4000000000000234E-2</v>
      </c>
      <c r="O349" s="47">
        <f t="shared" ref="O349:X349" ca="1" si="206">N$349*(1+O$14)</f>
        <v>1.460406561262434E-2</v>
      </c>
      <c r="P349" s="47">
        <f t="shared" ca="1" si="206"/>
        <v>1.522693132596236E-2</v>
      </c>
      <c r="Q349" s="47">
        <f t="shared" ca="1" si="206"/>
        <v>1.5851149450938101E-2</v>
      </c>
      <c r="R349" s="47">
        <f t="shared" ca="1" si="206"/>
        <v>1.6475312241794576E-2</v>
      </c>
      <c r="S349" s="47">
        <f t="shared" ca="1" si="206"/>
        <v>1.711323761060992E-2</v>
      </c>
      <c r="T349" s="47">
        <f t="shared" ca="1" si="206"/>
        <v>1.7763952026234663E-2</v>
      </c>
      <c r="U349" s="47">
        <f t="shared" ca="1" si="206"/>
        <v>1.8423342451066884E-2</v>
      </c>
      <c r="V349" s="47">
        <f t="shared" ca="1" si="206"/>
        <v>1.9092646683697919E-2</v>
      </c>
      <c r="W349" s="47">
        <f t="shared" ca="1" si="206"/>
        <v>1.9771839788203904E-2</v>
      </c>
      <c r="X349" s="47">
        <f t="shared" ca="1" si="206"/>
        <v>2.0466039844189283E-2</v>
      </c>
    </row>
    <row r="350" spans="1:24" x14ac:dyDescent="0.25">
      <c r="A350" s="9" t="s">
        <v>1034</v>
      </c>
      <c r="B350" s="10" t="str">
        <f>$B$38</f>
        <v>From Fiscal Forecasts</v>
      </c>
      <c r="D350" s="42">
        <f>'Fiscal Forecasts'!D$27</f>
        <v>0.20599999999999999</v>
      </c>
      <c r="E350" s="42">
        <f>'Fiscal Forecasts'!E$27</f>
        <v>1.1930000000000001</v>
      </c>
      <c r="F350" s="42">
        <f>'Fiscal Forecasts'!F$27</f>
        <v>-0.36</v>
      </c>
      <c r="G350" s="42">
        <f>'Fiscal Forecasts'!G$27</f>
        <v>-0.126</v>
      </c>
      <c r="H350" s="42">
        <f>'Fiscal Forecasts'!H$27</f>
        <v>2.9000000000000001E-2</v>
      </c>
      <c r="I350" s="42">
        <f>'Fiscal Forecasts'!I$27</f>
        <v>0.12</v>
      </c>
      <c r="J350" s="43">
        <f>'Fiscal Forecasts'!J$27</f>
        <v>0.192</v>
      </c>
      <c r="K350" s="43">
        <f>'Fiscal Forecasts'!K$27</f>
        <v>7.0999999999999994E-2</v>
      </c>
      <c r="L350" s="43">
        <f>'Fiscal Forecasts'!L$27</f>
        <v>0.114</v>
      </c>
      <c r="M350" s="43">
        <f>'Fiscal Forecasts'!M$27</f>
        <v>0.14799999999999999</v>
      </c>
      <c r="N350" s="43">
        <f>'Fiscal Forecasts'!N$27</f>
        <v>0.21099999999999999</v>
      </c>
      <c r="O350" s="47">
        <f t="shared" ref="O350:X350" ca="1" si="207">O$349+(N$350-N$349)*(1+O$14)</f>
        <v>0.2201041317331203</v>
      </c>
      <c r="P350" s="47">
        <f t="shared" ca="1" si="207"/>
        <v>0.22949160784128603</v>
      </c>
      <c r="Q350" s="47">
        <f t="shared" ca="1" si="207"/>
        <v>0.2388994667248488</v>
      </c>
      <c r="R350" s="47">
        <f t="shared" ca="1" si="207"/>
        <v>0.24830649164418553</v>
      </c>
      <c r="S350" s="47">
        <f t="shared" ca="1" si="207"/>
        <v>0.25792093827418805</v>
      </c>
      <c r="T350" s="47">
        <f t="shared" ca="1" si="207"/>
        <v>0.26772813410967505</v>
      </c>
      <c r="U350" s="47">
        <f t="shared" ca="1" si="207"/>
        <v>0.27766608979821761</v>
      </c>
      <c r="V350" s="47">
        <f t="shared" ca="1" si="207"/>
        <v>0.28775346073287089</v>
      </c>
      <c r="W350" s="47">
        <f t="shared" ca="1" si="207"/>
        <v>0.2979898710936395</v>
      </c>
      <c r="X350" s="47">
        <f t="shared" ca="1" si="207"/>
        <v>0.30845245765170465</v>
      </c>
    </row>
    <row r="352" spans="1:24" x14ac:dyDescent="0.25">
      <c r="A352" s="9" t="s">
        <v>618</v>
      </c>
    </row>
    <row r="353" spans="1:24" x14ac:dyDescent="0.25">
      <c r="A353" s="11" t="s">
        <v>1035</v>
      </c>
      <c r="D353" s="35">
        <f ca="1">OFFSET(Assumptions!$B$49,0,$C$1)*(D$393-D$359-D$400)</f>
        <v>2.1936</v>
      </c>
      <c r="E353" s="35">
        <f ca="1">OFFSET(Assumptions!$B$49,0,$C$1)*(E$393-E$359-E$400)</f>
        <v>2.1622500000000002</v>
      </c>
      <c r="F353" s="35">
        <f ca="1">OFFSET(Assumptions!$B$49,0,$C$1)*(F$393-F$359-F$400)</f>
        <v>2.7988999999999997</v>
      </c>
      <c r="G353" s="35">
        <f ca="1">OFFSET(Assumptions!$B$49,0,$C$1)*(G$393-G$359-G$400)</f>
        <v>3.0148999999999999</v>
      </c>
      <c r="H353" s="35">
        <f ca="1">OFFSET(Assumptions!$B$49,0,$C$1)*(H$393-H$359-H$400)</f>
        <v>2.9520000000000008</v>
      </c>
      <c r="I353" s="35">
        <f ca="1">OFFSET(Assumptions!$B$49,0,$C$1)*(I$393-I$359-I$400)</f>
        <v>3.3731499999999999</v>
      </c>
      <c r="J353" s="17">
        <f ca="1">OFFSET(Assumptions!$B$49,0,$C$1)*(J$393-J$359-J$400)</f>
        <v>4.0500500000000006</v>
      </c>
      <c r="K353" s="17">
        <f ca="1">OFFSET(Assumptions!$B$49,0,$C$1)*(K$393-K$359-K$400)</f>
        <v>4.2547000000000006</v>
      </c>
      <c r="L353" s="17">
        <f ca="1">OFFSET(Assumptions!$B$49,0,$C$1)*(L$393-L$359-L$400)</f>
        <v>4.6192500000000001</v>
      </c>
      <c r="M353" s="17">
        <f ca="1">OFFSET(Assumptions!$B$49,0,$C$1)*(M$393-M$359-M$400)</f>
        <v>4.8220500000000008</v>
      </c>
      <c r="N353" s="17">
        <f ca="1">OFFSET(Assumptions!$B$49,0,$C$1)*(N$393-N$359-N$400)</f>
        <v>5.0848000000000004</v>
      </c>
      <c r="O353" s="16">
        <f ca="1">OFFSET(Assumptions!$B$49,0,$C$1)*(O$393-O$359-O$400)</f>
        <v>5.2691407492428883</v>
      </c>
      <c r="P353" s="16">
        <f ca="1">OFFSET(Assumptions!$B$49,0,$C$1)*(P$393-P$359-P$400)</f>
        <v>5.5756066603188899</v>
      </c>
      <c r="Q353" s="16">
        <f ca="1">OFFSET(Assumptions!$B$49,0,$C$1)*(Q$393-Q$359-Q$400)</f>
        <v>5.89270989439121</v>
      </c>
      <c r="R353" s="16">
        <f ca="1">OFFSET(Assumptions!$B$49,0,$C$1)*(R$393-R$359-R$400)</f>
        <v>6.21830869392819</v>
      </c>
      <c r="S353" s="16">
        <f ca="1">OFFSET(Assumptions!$B$49,0,$C$1)*(S$393-S$359-S$400)</f>
        <v>6.551355696471119</v>
      </c>
      <c r="T353" s="16">
        <f ca="1">OFFSET(Assumptions!$B$49,0,$C$1)*(T$393-T$359-T$400)</f>
        <v>6.8926672220266711</v>
      </c>
      <c r="U353" s="16">
        <f ca="1">OFFSET(Assumptions!$B$49,0,$C$1)*(U$393-U$359-U$400)</f>
        <v>7.2403549648485566</v>
      </c>
      <c r="V353" s="16">
        <f ca="1">OFFSET(Assumptions!$B$49,0,$C$1)*(V$393-V$359-V$400)</f>
        <v>7.595790712662998</v>
      </c>
      <c r="W353" s="16">
        <f ca="1">OFFSET(Assumptions!$B$49,0,$C$1)*(W$393-W$359-W$400)</f>
        <v>7.9628571614521393</v>
      </c>
      <c r="X353" s="16">
        <f ca="1">OFFSET(Assumptions!$B$49,0,$C$1)*(X$393-X$359-X$400)</f>
        <v>8.3459421601523438</v>
      </c>
    </row>
    <row r="354" spans="1:24" x14ac:dyDescent="0.25">
      <c r="A354" s="11" t="s">
        <v>1037</v>
      </c>
      <c r="B354" s="10" t="str">
        <f>$B$38</f>
        <v>From Fiscal Forecasts</v>
      </c>
      <c r="D354" s="35">
        <f ca="1">'Fiscal Forecasts'!D$180-D$353</f>
        <v>15.1844</v>
      </c>
      <c r="E354" s="35">
        <f ca="1">'Fiscal Forecasts'!E$180-E$353</f>
        <v>16.018750000000001</v>
      </c>
      <c r="F354" s="35">
        <f ca="1">'Fiscal Forecasts'!F$180-F$353</f>
        <v>10.3301</v>
      </c>
      <c r="G354" s="35">
        <f ca="1">'Fiscal Forecasts'!G$180-G$353</f>
        <v>8.3931000000000004</v>
      </c>
      <c r="H354" s="35">
        <f ca="1">'Fiscal Forecasts'!H$180-H$353</f>
        <v>8.0210000000000008</v>
      </c>
      <c r="I354" s="35">
        <f ca="1">'Fiscal Forecasts'!I$180-I$353</f>
        <v>5.7378500000000008</v>
      </c>
      <c r="J354" s="17">
        <f ca="1">'Fiscal Forecasts'!J$180-J$353</f>
        <v>12.328950000000001</v>
      </c>
      <c r="K354" s="17">
        <f ca="1">'Fiscal Forecasts'!K$180-K$353</f>
        <v>12.519300000000001</v>
      </c>
      <c r="L354" s="17">
        <f ca="1">'Fiscal Forecasts'!L$180-L$353</f>
        <v>13.011749999999999</v>
      </c>
      <c r="M354" s="17">
        <f ca="1">'Fiscal Forecasts'!M$180-M$353</f>
        <v>11.965949999999999</v>
      </c>
      <c r="N354" s="17">
        <f ca="1">'Fiscal Forecasts'!N$180-N$353</f>
        <v>11.277199999999997</v>
      </c>
      <c r="O354" s="16">
        <f t="shared" ref="O354:X354" ca="1" si="208">N$354</f>
        <v>11.277199999999997</v>
      </c>
      <c r="P354" s="16">
        <f t="shared" ca="1" si="208"/>
        <v>11.277199999999997</v>
      </c>
      <c r="Q354" s="16">
        <f t="shared" ca="1" si="208"/>
        <v>11.277199999999997</v>
      </c>
      <c r="R354" s="16">
        <f t="shared" ca="1" si="208"/>
        <v>11.277199999999997</v>
      </c>
      <c r="S354" s="16">
        <f t="shared" ca="1" si="208"/>
        <v>11.277199999999997</v>
      </c>
      <c r="T354" s="16">
        <f t="shared" ca="1" si="208"/>
        <v>11.277199999999997</v>
      </c>
      <c r="U354" s="16">
        <f t="shared" ca="1" si="208"/>
        <v>11.277199999999997</v>
      </c>
      <c r="V354" s="16">
        <f t="shared" ca="1" si="208"/>
        <v>11.277199999999997</v>
      </c>
      <c r="W354" s="16">
        <f t="shared" ca="1" si="208"/>
        <v>11.277199999999997</v>
      </c>
      <c r="X354" s="16">
        <f t="shared" ca="1" si="208"/>
        <v>11.277199999999997</v>
      </c>
    </row>
    <row r="355" spans="1:24" x14ac:dyDescent="0.25">
      <c r="A355" s="9" t="s">
        <v>1038</v>
      </c>
      <c r="D355" s="65">
        <f t="shared" ref="D355:X355" ca="1" si="209">SUM(D$353:D$354)</f>
        <v>17.378</v>
      </c>
      <c r="E355" s="65">
        <f t="shared" ca="1" si="209"/>
        <v>18.181000000000001</v>
      </c>
      <c r="F355" s="65">
        <f t="shared" ca="1" si="209"/>
        <v>13.129</v>
      </c>
      <c r="G355" s="65">
        <f t="shared" ca="1" si="209"/>
        <v>11.408000000000001</v>
      </c>
      <c r="H355" s="65">
        <f t="shared" ca="1" si="209"/>
        <v>10.973000000000003</v>
      </c>
      <c r="I355" s="65">
        <f t="shared" ca="1" si="209"/>
        <v>9.1110000000000007</v>
      </c>
      <c r="J355" s="66">
        <f t="shared" ca="1" si="209"/>
        <v>16.379000000000001</v>
      </c>
      <c r="K355" s="66">
        <f t="shared" ca="1" si="209"/>
        <v>16.774000000000001</v>
      </c>
      <c r="L355" s="66">
        <f t="shared" ca="1" si="209"/>
        <v>17.631</v>
      </c>
      <c r="M355" s="66">
        <f t="shared" ca="1" si="209"/>
        <v>16.788</v>
      </c>
      <c r="N355" s="66">
        <f t="shared" ca="1" si="209"/>
        <v>16.361999999999998</v>
      </c>
      <c r="O355" s="67">
        <f t="shared" ca="1" si="209"/>
        <v>16.546340749242887</v>
      </c>
      <c r="P355" s="67">
        <f t="shared" ca="1" si="209"/>
        <v>16.852806660318887</v>
      </c>
      <c r="Q355" s="67">
        <f t="shared" ca="1" si="209"/>
        <v>17.169909894391207</v>
      </c>
      <c r="R355" s="67">
        <f t="shared" ca="1" si="209"/>
        <v>17.495508693928187</v>
      </c>
      <c r="S355" s="67">
        <f t="shared" ca="1" si="209"/>
        <v>17.828555696471117</v>
      </c>
      <c r="T355" s="67">
        <f t="shared" ca="1" si="209"/>
        <v>18.169867222026667</v>
      </c>
      <c r="U355" s="67">
        <f t="shared" ca="1" si="209"/>
        <v>18.517554964848554</v>
      </c>
      <c r="V355" s="67">
        <f t="shared" ca="1" si="209"/>
        <v>18.872990712662997</v>
      </c>
      <c r="W355" s="67">
        <f t="shared" ca="1" si="209"/>
        <v>19.240057161452135</v>
      </c>
      <c r="X355" s="67">
        <f t="shared" ca="1" si="209"/>
        <v>19.623142160152341</v>
      </c>
    </row>
    <row r="356" spans="1:24" x14ac:dyDescent="0.25">
      <c r="A356" s="9" t="s">
        <v>1039</v>
      </c>
      <c r="B356" s="10" t="str">
        <f>$B$38</f>
        <v>From Fiscal Forecasts</v>
      </c>
      <c r="D356" s="42">
        <f>'Fiscal Forecasts'!D$120</f>
        <v>20.248000000000001</v>
      </c>
      <c r="E356" s="42">
        <f>'Fiscal Forecasts'!E$120</f>
        <v>21.927</v>
      </c>
      <c r="F356" s="42">
        <f>'Fiscal Forecasts'!F$120</f>
        <v>18.754999999999999</v>
      </c>
      <c r="G356" s="42">
        <f>'Fiscal Forecasts'!G$120</f>
        <v>17.835000000000001</v>
      </c>
      <c r="H356" s="42">
        <f>'Fiscal Forecasts'!H$120</f>
        <v>18.791</v>
      </c>
      <c r="I356" s="42">
        <f>'Fiscal Forecasts'!I$120</f>
        <v>16.212</v>
      </c>
      <c r="J356" s="43">
        <f>'Fiscal Forecasts'!J$120</f>
        <v>22.709</v>
      </c>
      <c r="K356" s="43">
        <f>'Fiscal Forecasts'!K$120</f>
        <v>22.849</v>
      </c>
      <c r="L356" s="43">
        <f>'Fiscal Forecasts'!L$120</f>
        <v>23.614999999999998</v>
      </c>
      <c r="M356" s="43">
        <f>'Fiscal Forecasts'!M$120</f>
        <v>22.956</v>
      </c>
      <c r="N356" s="43">
        <f>'Fiscal Forecasts'!N$120</f>
        <v>22.818000000000001</v>
      </c>
      <c r="O356" s="47">
        <f t="shared" ref="O356:X356" ca="1" si="210">O$355+(N$356-N$355)*(1+O$29)</f>
        <v>23.131460749242891</v>
      </c>
      <c r="P356" s="47">
        <f t="shared" ca="1" si="210"/>
        <v>23.569629060318888</v>
      </c>
      <c r="Q356" s="47">
        <f t="shared" ca="1" si="210"/>
        <v>24.021068742391208</v>
      </c>
      <c r="R356" s="47">
        <f t="shared" ca="1" si="210"/>
        <v>24.483690718888187</v>
      </c>
      <c r="S356" s="47">
        <f t="shared" ca="1" si="210"/>
        <v>24.956501361930318</v>
      </c>
      <c r="T356" s="47">
        <f t="shared" ca="1" si="210"/>
        <v>25.440371800795052</v>
      </c>
      <c r="U356" s="47">
        <f t="shared" ca="1" si="210"/>
        <v>25.933469635192306</v>
      </c>
      <c r="V356" s="47">
        <f t="shared" ca="1" si="210"/>
        <v>26.437223676413623</v>
      </c>
      <c r="W356" s="47">
        <f t="shared" ca="1" si="210"/>
        <v>26.955574784477776</v>
      </c>
      <c r="X356" s="47">
        <f t="shared" ca="1" si="210"/>
        <v>27.492970135638494</v>
      </c>
    </row>
    <row r="358" spans="1:24" x14ac:dyDescent="0.25">
      <c r="A358" s="9" t="s">
        <v>619</v>
      </c>
    </row>
    <row r="359" spans="1:24" x14ac:dyDescent="0.25">
      <c r="A359" s="11" t="s">
        <v>1040</v>
      </c>
      <c r="D359" s="35">
        <f t="shared" ref="D359:N359" si="211">D$393-D$76+D$75-D$72</f>
        <v>-1.567999999999997</v>
      </c>
      <c r="E359" s="35">
        <f t="shared" si="211"/>
        <v>1.2899999999999934</v>
      </c>
      <c r="F359" s="35">
        <f t="shared" si="211"/>
        <v>0.86300000000000299</v>
      </c>
      <c r="G359" s="35">
        <f t="shared" si="211"/>
        <v>0.49900000000000599</v>
      </c>
      <c r="H359" s="35">
        <f t="shared" si="211"/>
        <v>1.8429999999999807</v>
      </c>
      <c r="I359" s="35">
        <f t="shared" si="211"/>
        <v>2.6770000000000094</v>
      </c>
      <c r="J359" s="17">
        <f t="shared" si="211"/>
        <v>-0.41299999999999581</v>
      </c>
      <c r="K359" s="17">
        <f t="shared" si="211"/>
        <v>-0.78700000000000259</v>
      </c>
      <c r="L359" s="17">
        <f t="shared" si="211"/>
        <v>-1.8110000000000026</v>
      </c>
      <c r="M359" s="17">
        <f t="shared" si="211"/>
        <v>-1.0680000000000067</v>
      </c>
      <c r="N359" s="17">
        <f t="shared" si="211"/>
        <v>-0.71799999999999375</v>
      </c>
      <c r="O359" s="16">
        <f t="shared" ref="O359:X359" ca="1" si="212">SUM(N$359,O$457-N$457,O$483-N$483)</f>
        <v>1.966872180400745</v>
      </c>
      <c r="P359" s="16">
        <f t="shared" ca="1" si="212"/>
        <v>2.1636306626569968</v>
      </c>
      <c r="Q359" s="16">
        <f t="shared" ca="1" si="212"/>
        <v>2.3672185619948354</v>
      </c>
      <c r="R359" s="16">
        <f t="shared" ca="1" si="212"/>
        <v>2.5762608185917402</v>
      </c>
      <c r="S359" s="16">
        <f t="shared" ca="1" si="212"/>
        <v>2.7900850005709548</v>
      </c>
      <c r="T359" s="16">
        <f t="shared" ca="1" si="212"/>
        <v>3.009215205000848</v>
      </c>
      <c r="U359" s="16">
        <f t="shared" ca="1" si="212"/>
        <v>3.2324390941980119</v>
      </c>
      <c r="V359" s="16">
        <f t="shared" ca="1" si="212"/>
        <v>3.4606373888600248</v>
      </c>
      <c r="W359" s="16">
        <f t="shared" ca="1" si="212"/>
        <v>3.6963028731462466</v>
      </c>
      <c r="X359" s="16">
        <f t="shared" ca="1" si="212"/>
        <v>3.9422526515563479</v>
      </c>
    </row>
    <row r="360" spans="1:24" x14ac:dyDescent="0.25">
      <c r="A360" s="11" t="s">
        <v>752</v>
      </c>
      <c r="B360" s="10" t="str">
        <f>$B$38</f>
        <v>From Fiscal Forecasts</v>
      </c>
      <c r="D360" s="35">
        <f>'Fiscal Forecasts'!D$318</f>
        <v>13.763999999999999</v>
      </c>
      <c r="E360" s="35">
        <f>'Fiscal Forecasts'!E$318</f>
        <v>14.29</v>
      </c>
      <c r="F360" s="35">
        <f>'Fiscal Forecasts'!F$318</f>
        <v>15.641999999999999</v>
      </c>
      <c r="G360" s="35">
        <f>'Fiscal Forecasts'!G$318</f>
        <v>20.076000000000001</v>
      </c>
      <c r="H360" s="35">
        <f>'Fiscal Forecasts'!H$318</f>
        <v>20.298999999999999</v>
      </c>
      <c r="I360" s="35">
        <f>'Fiscal Forecasts'!I$318</f>
        <v>22.413</v>
      </c>
      <c r="J360" s="17">
        <f>'Fiscal Forecasts'!J$318</f>
        <v>19.824999999999999</v>
      </c>
      <c r="K360" s="17">
        <f>'Fiscal Forecasts'!K$318</f>
        <v>20.443000000000001</v>
      </c>
      <c r="L360" s="17">
        <f>'Fiscal Forecasts'!L$318</f>
        <v>19.733000000000001</v>
      </c>
      <c r="M360" s="17">
        <f>'Fiscal Forecasts'!M$318</f>
        <v>20.024999999999999</v>
      </c>
      <c r="N360" s="17">
        <f>'Fiscal Forecasts'!N$318</f>
        <v>20.614999999999998</v>
      </c>
      <c r="O360" s="16">
        <f t="shared" ref="O360:X360" ca="1" si="213">N$360*O$142/N$142</f>
        <v>21.405309920709445</v>
      </c>
      <c r="P360" s="16">
        <f t="shared" ca="1" si="213"/>
        <v>22.284045037737169</v>
      </c>
      <c r="Q360" s="16">
        <f t="shared" ca="1" si="213"/>
        <v>23.189880595731612</v>
      </c>
      <c r="R360" s="16">
        <f t="shared" ca="1" si="213"/>
        <v>24.098346687518909</v>
      </c>
      <c r="S360" s="16">
        <f t="shared" ca="1" si="213"/>
        <v>25.026624321355708</v>
      </c>
      <c r="T360" s="16">
        <f t="shared" ca="1" si="213"/>
        <v>25.97328377466485</v>
      </c>
      <c r="U360" s="16">
        <f t="shared" ca="1" si="213"/>
        <v>26.932653698286277</v>
      </c>
      <c r="V360" s="16">
        <f t="shared" ca="1" si="213"/>
        <v>27.906422201494983</v>
      </c>
      <c r="W360" s="16">
        <f t="shared" ca="1" si="213"/>
        <v>28.894316814984979</v>
      </c>
      <c r="X360" s="16">
        <f t="shared" ca="1" si="213"/>
        <v>29.903831951530794</v>
      </c>
    </row>
    <row r="361" spans="1:24" x14ac:dyDescent="0.25">
      <c r="A361" s="11" t="s">
        <v>1041</v>
      </c>
      <c r="B361" s="10" t="str">
        <f>$B$38</f>
        <v>From Fiscal Forecasts</v>
      </c>
      <c r="D361" s="35">
        <f>'Fiscal Forecasts'!D$181-SUM(D$359:D$360)</f>
        <v>4.3769999999999989</v>
      </c>
      <c r="E361" s="35">
        <f>'Fiscal Forecasts'!E$181-SUM(E$359:E$360)</f>
        <v>2.5200000000000085</v>
      </c>
      <c r="F361" s="35">
        <f>'Fiscal Forecasts'!F$181-SUM(F$359:F$360)</f>
        <v>3.7319999999999958</v>
      </c>
      <c r="G361" s="35">
        <f>'Fiscal Forecasts'!G$181-SUM(G$359:G$360)</f>
        <v>7.7129999999999939</v>
      </c>
      <c r="H361" s="35">
        <f>'Fiscal Forecasts'!H$181-SUM(H$359:H$360)</f>
        <v>3.5320000000000178</v>
      </c>
      <c r="I361" s="35">
        <f>'Fiscal Forecasts'!I$181-SUM(I$359:I$360)</f>
        <v>3.5489999999999888</v>
      </c>
      <c r="J361" s="17">
        <f>'Fiscal Forecasts'!J$181-SUM(J$359:J$360)</f>
        <v>8.519999999999996</v>
      </c>
      <c r="K361" s="17">
        <f>'Fiscal Forecasts'!K$181-SUM(K$359:K$360)</f>
        <v>8.5370000000000026</v>
      </c>
      <c r="L361" s="17">
        <f>'Fiscal Forecasts'!L$181-SUM(L$359:L$360)</f>
        <v>9.8010000000000019</v>
      </c>
      <c r="M361" s="17">
        <f>'Fiscal Forecasts'!M$181-SUM(M$359:M$360)</f>
        <v>9.3910000000000053</v>
      </c>
      <c r="N361" s="17">
        <f>'Fiscal Forecasts'!N$181-SUM(N$359:N$360)</f>
        <v>9.3809999999999931</v>
      </c>
      <c r="O361" s="16">
        <f t="shared" ref="O361:X361" ca="1" si="214">SUM(N$361,O$459-N$459,O$484-N$484)</f>
        <v>9.7844199999999919</v>
      </c>
      <c r="P361" s="16">
        <f t="shared" ca="1" si="214"/>
        <v>10.195908399999992</v>
      </c>
      <c r="Q361" s="16">
        <f t="shared" ca="1" si="214"/>
        <v>10.615626567999991</v>
      </c>
      <c r="R361" s="16">
        <f t="shared" ca="1" si="214"/>
        <v>11.043739099359991</v>
      </c>
      <c r="S361" s="16">
        <f t="shared" ca="1" si="214"/>
        <v>11.480413881347191</v>
      </c>
      <c r="T361" s="16">
        <f t="shared" ca="1" si="214"/>
        <v>11.925822158974135</v>
      </c>
      <c r="U361" s="16">
        <f t="shared" ca="1" si="214"/>
        <v>12.380138602153618</v>
      </c>
      <c r="V361" s="16">
        <f t="shared" ca="1" si="214"/>
        <v>12.843541374196692</v>
      </c>
      <c r="W361" s="16">
        <f t="shared" ca="1" si="214"/>
        <v>13.316212201680626</v>
      </c>
      <c r="X361" s="16">
        <f t="shared" ca="1" si="214"/>
        <v>13.79833644571424</v>
      </c>
    </row>
    <row r="362" spans="1:24" x14ac:dyDescent="0.25">
      <c r="A362" s="9" t="s">
        <v>1042</v>
      </c>
      <c r="D362" s="65">
        <f t="shared" ref="D362:X362" si="215">SUM(D$359:D$361)</f>
        <v>16.573</v>
      </c>
      <c r="E362" s="65">
        <f t="shared" si="215"/>
        <v>18.100000000000001</v>
      </c>
      <c r="F362" s="65">
        <f t="shared" si="215"/>
        <v>20.236999999999998</v>
      </c>
      <c r="G362" s="65">
        <f t="shared" si="215"/>
        <v>28.288</v>
      </c>
      <c r="H362" s="65">
        <f t="shared" si="215"/>
        <v>25.673999999999999</v>
      </c>
      <c r="I362" s="65">
        <f t="shared" si="215"/>
        <v>28.638999999999999</v>
      </c>
      <c r="J362" s="66">
        <f t="shared" si="215"/>
        <v>27.931999999999999</v>
      </c>
      <c r="K362" s="66">
        <f t="shared" si="215"/>
        <v>28.193000000000001</v>
      </c>
      <c r="L362" s="66">
        <f t="shared" si="215"/>
        <v>27.722999999999999</v>
      </c>
      <c r="M362" s="66">
        <f t="shared" si="215"/>
        <v>28.347999999999999</v>
      </c>
      <c r="N362" s="66">
        <f t="shared" si="215"/>
        <v>29.277999999999999</v>
      </c>
      <c r="O362" s="67">
        <f t="shared" ca="1" si="215"/>
        <v>33.156602101110181</v>
      </c>
      <c r="P362" s="67">
        <f t="shared" ca="1" si="215"/>
        <v>34.643584100394158</v>
      </c>
      <c r="Q362" s="67">
        <f t="shared" ca="1" si="215"/>
        <v>36.172725725726437</v>
      </c>
      <c r="R362" s="67">
        <f t="shared" ca="1" si="215"/>
        <v>37.718346605470643</v>
      </c>
      <c r="S362" s="67">
        <f t="shared" ca="1" si="215"/>
        <v>39.297123203273856</v>
      </c>
      <c r="T362" s="67">
        <f t="shared" ca="1" si="215"/>
        <v>40.908321138639835</v>
      </c>
      <c r="U362" s="67">
        <f t="shared" ca="1" si="215"/>
        <v>42.545231394637909</v>
      </c>
      <c r="V362" s="67">
        <f t="shared" ca="1" si="215"/>
        <v>44.210600964551702</v>
      </c>
      <c r="W362" s="67">
        <f t="shared" ca="1" si="215"/>
        <v>45.906831889811855</v>
      </c>
      <c r="X362" s="67">
        <f t="shared" ca="1" si="215"/>
        <v>47.644421048801384</v>
      </c>
    </row>
    <row r="363" spans="1:24" x14ac:dyDescent="0.25">
      <c r="A363" s="9" t="s">
        <v>1043</v>
      </c>
      <c r="B363" s="10" t="str">
        <f>$B$38</f>
        <v>From Fiscal Forecasts</v>
      </c>
      <c r="D363" s="42">
        <f>'Fiscal Forecasts'!D$121</f>
        <v>23.327000000000002</v>
      </c>
      <c r="E363" s="42">
        <f>'Fiscal Forecasts'!E$121</f>
        <v>24.742999999999999</v>
      </c>
      <c r="F363" s="42">
        <f>'Fiscal Forecasts'!F$121</f>
        <v>26.829000000000001</v>
      </c>
      <c r="G363" s="42">
        <f>'Fiscal Forecasts'!G$121</f>
        <v>35.134999999999998</v>
      </c>
      <c r="H363" s="42">
        <f>'Fiscal Forecasts'!H$121</f>
        <v>33.548000000000002</v>
      </c>
      <c r="I363" s="42">
        <f>'Fiscal Forecasts'!I$121</f>
        <v>37.231999999999999</v>
      </c>
      <c r="J363" s="43">
        <f>'Fiscal Forecasts'!J$121</f>
        <v>36.374000000000002</v>
      </c>
      <c r="K363" s="43">
        <f>'Fiscal Forecasts'!K$121</f>
        <v>37.006999999999998</v>
      </c>
      <c r="L363" s="43">
        <f>'Fiscal Forecasts'!L$121</f>
        <v>37.020000000000003</v>
      </c>
      <c r="M363" s="43">
        <f>'Fiscal Forecasts'!M$121</f>
        <v>38.235999999999997</v>
      </c>
      <c r="N363" s="43">
        <f>'Fiscal Forecasts'!N$121</f>
        <v>39.780999999999999</v>
      </c>
      <c r="O363" s="47">
        <f t="shared" ref="O363:X363" ca="1" si="216">SUM(N$363,O$362-N$362,,O$461-N$461,O$469-N$469,O$486-N$486)-SUM(O$460-N$460,O$468-N$468,O$485-N$485)</f>
        <v>43.981242101110183</v>
      </c>
      <c r="P363" s="47">
        <f t="shared" ca="1" si="216"/>
        <v>45.796296900394161</v>
      </c>
      <c r="Q363" s="47">
        <f t="shared" ca="1" si="216"/>
        <v>47.660072781726448</v>
      </c>
      <c r="R363" s="47">
        <f t="shared" ca="1" si="216"/>
        <v>49.547020602590656</v>
      </c>
      <c r="S363" s="47">
        <f t="shared" ca="1" si="216"/>
        <v>51.473950680336273</v>
      </c>
      <c r="T363" s="47">
        <f t="shared" ca="1" si="216"/>
        <v>53.440265165243503</v>
      </c>
      <c r="U363" s="47">
        <f t="shared" ca="1" si="216"/>
        <v>55.439394301773646</v>
      </c>
      <c r="V363" s="47">
        <f t="shared" ca="1" si="216"/>
        <v>57.474227129830147</v>
      </c>
      <c r="W363" s="47">
        <f t="shared" ca="1" si="216"/>
        <v>59.547310578395866</v>
      </c>
      <c r="X363" s="47">
        <f t="shared" ca="1" si="216"/>
        <v>61.66928931115708</v>
      </c>
    </row>
    <row r="365" spans="1:24" x14ac:dyDescent="0.25">
      <c r="A365" s="9" t="s">
        <v>620</v>
      </c>
    </row>
    <row r="366" spans="1:24" x14ac:dyDescent="0.25">
      <c r="A366" s="11" t="s">
        <v>1049</v>
      </c>
      <c r="D366" s="35">
        <f ca="1">OFFSET(Assumptions!$B$50,0,$C$1)*(D$393-D$359-D$400)</f>
        <v>14.03904</v>
      </c>
      <c r="E366" s="35">
        <f ca="1">OFFSET(Assumptions!$B$50,0,$C$1)*(E$393-E$359-E$400)</f>
        <v>13.838400000000002</v>
      </c>
      <c r="F366" s="35">
        <f ca="1">OFFSET(Assumptions!$B$50,0,$C$1)*(F$393-F$359-F$400)</f>
        <v>17.912959999999998</v>
      </c>
      <c r="G366" s="35">
        <f ca="1">OFFSET(Assumptions!$B$50,0,$C$1)*(G$393-G$359-G$400)</f>
        <v>19.295359999999999</v>
      </c>
      <c r="H366" s="35">
        <f ca="1">OFFSET(Assumptions!$B$50,0,$C$1)*(H$393-H$359-H$400)</f>
        <v>18.892800000000005</v>
      </c>
      <c r="I366" s="35">
        <f ca="1">OFFSET(Assumptions!$B$50,0,$C$1)*(I$393-I$359-I$400)</f>
        <v>21.588159999999998</v>
      </c>
      <c r="J366" s="17">
        <f ca="1">OFFSET(Assumptions!$B$50,0,$C$1)*(J$393-J$359-J$400)</f>
        <v>25.920320000000004</v>
      </c>
      <c r="K366" s="17">
        <f ca="1">OFFSET(Assumptions!$B$50,0,$C$1)*(K$393-K$359-K$400)</f>
        <v>27.230080000000005</v>
      </c>
      <c r="L366" s="17">
        <f ca="1">OFFSET(Assumptions!$B$50,0,$C$1)*(L$393-L$359-L$400)</f>
        <v>29.563200000000002</v>
      </c>
      <c r="M366" s="17">
        <f ca="1">OFFSET(Assumptions!$B$50,0,$C$1)*(M$393-M$359-M$400)</f>
        <v>30.861120000000003</v>
      </c>
      <c r="N366" s="17">
        <f ca="1">OFFSET(Assumptions!$B$50,0,$C$1)*(N$393-N$359-N$400)</f>
        <v>32.542720000000003</v>
      </c>
      <c r="O366" s="16">
        <f ca="1">OFFSET(Assumptions!$B$50,0,$C$1)*(O$393-O$359-O$400)</f>
        <v>33.722500795154481</v>
      </c>
      <c r="P366" s="16">
        <f ca="1">OFFSET(Assumptions!$B$50,0,$C$1)*(P$393-P$359-P$400)</f>
        <v>35.683882626040898</v>
      </c>
      <c r="Q366" s="16">
        <f ca="1">OFFSET(Assumptions!$B$50,0,$C$1)*(Q$393-Q$359-Q$400)</f>
        <v>37.713343324103739</v>
      </c>
      <c r="R366" s="16">
        <f ca="1">OFFSET(Assumptions!$B$50,0,$C$1)*(R$393-R$359-R$400)</f>
        <v>39.79717564114042</v>
      </c>
      <c r="S366" s="16">
        <f ca="1">OFFSET(Assumptions!$B$50,0,$C$1)*(S$393-S$359-S$400)</f>
        <v>41.928676457415158</v>
      </c>
      <c r="T366" s="16">
        <f ca="1">OFFSET(Assumptions!$B$50,0,$C$1)*(T$393-T$359-T$400)</f>
        <v>44.113070220970698</v>
      </c>
      <c r="U366" s="16">
        <f ca="1">OFFSET(Assumptions!$B$50,0,$C$1)*(U$393-U$359-U$400)</f>
        <v>46.338271775030762</v>
      </c>
      <c r="V366" s="16">
        <f ca="1">OFFSET(Assumptions!$B$50,0,$C$1)*(V$393-V$359-V$400)</f>
        <v>48.613060561043184</v>
      </c>
      <c r="W366" s="16">
        <f ca="1">OFFSET(Assumptions!$B$50,0,$C$1)*(W$393-W$359-W$400)</f>
        <v>50.962285833293691</v>
      </c>
      <c r="X366" s="16">
        <f ca="1">OFFSET(Assumptions!$B$50,0,$C$1)*(X$393-X$359-X$400)</f>
        <v>53.414029824974996</v>
      </c>
    </row>
    <row r="367" spans="1:24" x14ac:dyDescent="0.25">
      <c r="A367" s="11" t="s">
        <v>1050</v>
      </c>
      <c r="B367" s="10" t="str">
        <f>$B$38</f>
        <v>From Fiscal Forecasts</v>
      </c>
      <c r="D367" s="35">
        <f ca="1">'Fiscal Forecasts'!D$182-D$366</f>
        <v>13.366959999999999</v>
      </c>
      <c r="E367" s="35">
        <f ca="1">'Fiscal Forecasts'!E$182-E$366</f>
        <v>29.827599999999997</v>
      </c>
      <c r="F367" s="35">
        <f ca="1">'Fiscal Forecasts'!F$182-F$366</f>
        <v>19.820039999999999</v>
      </c>
      <c r="G367" s="35">
        <f ca="1">'Fiscal Forecasts'!G$182-G$366</f>
        <v>24.468640000000004</v>
      </c>
      <c r="H367" s="35">
        <f ca="1">'Fiscal Forecasts'!H$182-H$366</f>
        <v>25.522199999999994</v>
      </c>
      <c r="I367" s="35">
        <f ca="1">'Fiscal Forecasts'!I$182-I$366</f>
        <v>30.382839999999998</v>
      </c>
      <c r="J367" s="17">
        <f ca="1">'Fiscal Forecasts'!J$182-J$366</f>
        <v>38.730679999999992</v>
      </c>
      <c r="K367" s="17">
        <f ca="1">'Fiscal Forecasts'!K$182-K$366</f>
        <v>46.704920000000001</v>
      </c>
      <c r="L367" s="17">
        <f ca="1">'Fiscal Forecasts'!L$182-L$366</f>
        <v>45.037799999999997</v>
      </c>
      <c r="M367" s="17">
        <f ca="1">'Fiscal Forecasts'!M$182-M$366</f>
        <v>45.951880000000003</v>
      </c>
      <c r="N367" s="17">
        <f ca="1">'Fiscal Forecasts'!N$182-N$366</f>
        <v>46.982280000000003</v>
      </c>
      <c r="O367" s="16">
        <f t="shared" ref="O367:X367" ca="1" si="217">N$367</f>
        <v>46.982280000000003</v>
      </c>
      <c r="P367" s="16">
        <f t="shared" ca="1" si="217"/>
        <v>46.982280000000003</v>
      </c>
      <c r="Q367" s="16">
        <f t="shared" ca="1" si="217"/>
        <v>46.982280000000003</v>
      </c>
      <c r="R367" s="16">
        <f t="shared" ca="1" si="217"/>
        <v>46.982280000000003</v>
      </c>
      <c r="S367" s="16">
        <f t="shared" ca="1" si="217"/>
        <v>46.982280000000003</v>
      </c>
      <c r="T367" s="16">
        <f t="shared" ca="1" si="217"/>
        <v>46.982280000000003</v>
      </c>
      <c r="U367" s="16">
        <f t="shared" ca="1" si="217"/>
        <v>46.982280000000003</v>
      </c>
      <c r="V367" s="16">
        <f t="shared" ca="1" si="217"/>
        <v>46.982280000000003</v>
      </c>
      <c r="W367" s="16">
        <f t="shared" ca="1" si="217"/>
        <v>46.982280000000003</v>
      </c>
      <c r="X367" s="16">
        <f t="shared" ca="1" si="217"/>
        <v>46.982280000000003</v>
      </c>
    </row>
    <row r="368" spans="1:24" x14ac:dyDescent="0.25">
      <c r="A368" s="9" t="s">
        <v>1051</v>
      </c>
      <c r="D368" s="65">
        <f t="shared" ref="D368:X368" ca="1" si="218">SUM(D$366:D$367)</f>
        <v>27.405999999999999</v>
      </c>
      <c r="E368" s="65">
        <f t="shared" ca="1" si="218"/>
        <v>43.665999999999997</v>
      </c>
      <c r="F368" s="65">
        <f t="shared" ca="1" si="218"/>
        <v>37.732999999999997</v>
      </c>
      <c r="G368" s="65">
        <f t="shared" ca="1" si="218"/>
        <v>43.764000000000003</v>
      </c>
      <c r="H368" s="65">
        <f t="shared" ca="1" si="218"/>
        <v>44.414999999999999</v>
      </c>
      <c r="I368" s="65">
        <f t="shared" ca="1" si="218"/>
        <v>51.970999999999997</v>
      </c>
      <c r="J368" s="66">
        <f t="shared" ca="1" si="218"/>
        <v>64.650999999999996</v>
      </c>
      <c r="K368" s="66">
        <f t="shared" ca="1" si="218"/>
        <v>73.935000000000002</v>
      </c>
      <c r="L368" s="66">
        <f t="shared" ca="1" si="218"/>
        <v>74.600999999999999</v>
      </c>
      <c r="M368" s="66">
        <f t="shared" ca="1" si="218"/>
        <v>76.813000000000002</v>
      </c>
      <c r="N368" s="66">
        <f t="shared" ca="1" si="218"/>
        <v>79.525000000000006</v>
      </c>
      <c r="O368" s="67">
        <f t="shared" ca="1" si="218"/>
        <v>80.704780795154477</v>
      </c>
      <c r="P368" s="67">
        <f t="shared" ca="1" si="218"/>
        <v>82.666162626040901</v>
      </c>
      <c r="Q368" s="67">
        <f t="shared" ca="1" si="218"/>
        <v>84.695623324103735</v>
      </c>
      <c r="R368" s="67">
        <f t="shared" ca="1" si="218"/>
        <v>86.77945564114043</v>
      </c>
      <c r="S368" s="67">
        <f t="shared" ca="1" si="218"/>
        <v>88.910956457415153</v>
      </c>
      <c r="T368" s="67">
        <f t="shared" ca="1" si="218"/>
        <v>91.095350220970701</v>
      </c>
      <c r="U368" s="67">
        <f t="shared" ca="1" si="218"/>
        <v>93.320551775030765</v>
      </c>
      <c r="V368" s="67">
        <f t="shared" ca="1" si="218"/>
        <v>95.595340561043187</v>
      </c>
      <c r="W368" s="67">
        <f t="shared" ca="1" si="218"/>
        <v>97.944565833293694</v>
      </c>
      <c r="X368" s="67">
        <f t="shared" ca="1" si="218"/>
        <v>100.39630982497499</v>
      </c>
    </row>
    <row r="369" spans="1:24" x14ac:dyDescent="0.25">
      <c r="A369" s="11" t="s">
        <v>707</v>
      </c>
      <c r="B369" s="10" t="str">
        <f>$B$38</f>
        <v>From Fiscal Forecasts</v>
      </c>
      <c r="D369" s="35">
        <f>'Fiscal Forecasts'!D$214</f>
        <v>33.838000000000001</v>
      </c>
      <c r="E369" s="35">
        <f>'Fiscal Forecasts'!E$214</f>
        <v>34.494</v>
      </c>
      <c r="F369" s="35">
        <f>'Fiscal Forecasts'!F$214</f>
        <v>33.545999999999999</v>
      </c>
      <c r="G369" s="35">
        <f>'Fiscal Forecasts'!G$214</f>
        <v>31.513000000000002</v>
      </c>
      <c r="H369" s="35">
        <f>'Fiscal Forecasts'!H$214</f>
        <v>34.506</v>
      </c>
      <c r="I369" s="35">
        <f>'Fiscal Forecasts'!I$214</f>
        <v>39.212000000000003</v>
      </c>
      <c r="J369" s="17">
        <f>'Fiscal Forecasts'!J$214</f>
        <v>44.709000000000003</v>
      </c>
      <c r="K369" s="17">
        <f>'Fiscal Forecasts'!K$214</f>
        <v>45.356000000000002</v>
      </c>
      <c r="L369" s="17">
        <f>'Fiscal Forecasts'!L$214</f>
        <v>45.789000000000001</v>
      </c>
      <c r="M369" s="17">
        <f>'Fiscal Forecasts'!M$214</f>
        <v>46.503999999999998</v>
      </c>
      <c r="N369" s="17">
        <f>'Fiscal Forecasts'!N$214</f>
        <v>47.848999999999997</v>
      </c>
      <c r="O369" s="16">
        <f ca="1">N$369*AVERAGE(Exogenous!Z$30/Exogenous!Y$30,1+O$29)</f>
        <v>49.014936257065948</v>
      </c>
      <c r="P369" s="16">
        <f ca="1">O$369*AVERAGE(Exogenous!AA$30/Exogenous!Z$30,1+P$29)</f>
        <v>50.347213525928908</v>
      </c>
      <c r="Q369" s="16">
        <f ca="1">P$369*AVERAGE(Exogenous!AB$30/Exogenous!AA$30,1+Q$29)</f>
        <v>51.884554518425304</v>
      </c>
      <c r="R369" s="16">
        <f ca="1">Q$369*AVERAGE(Exogenous!AC$30/Exogenous!AB$30,1+R$29)</f>
        <v>53.644219661698841</v>
      </c>
      <c r="S369" s="16">
        <f ca="1">R$369*AVERAGE(Exogenous!AD$30/Exogenous!AC$30,1+S$29)</f>
        <v>55.648819652026312</v>
      </c>
      <c r="T369" s="16">
        <f ca="1">S$369*AVERAGE(Exogenous!AE$30/Exogenous!AD$30,1+T$29)</f>
        <v>57.929528300001017</v>
      </c>
      <c r="U369" s="16">
        <f ca="1">T$369*AVERAGE(Exogenous!AF$30/Exogenous!AE$30,1+U$29)</f>
        <v>60.512559880882698</v>
      </c>
      <c r="V369" s="16">
        <f ca="1">U$369*AVERAGE(Exogenous!AG$30/Exogenous!AF$30,1+V$29)</f>
        <v>63.28090184155873</v>
      </c>
      <c r="W369" s="16">
        <f ca="1">V$369*AVERAGE(Exogenous!AH$30/Exogenous!AG$30,1+W$29)</f>
        <v>66.115145082176525</v>
      </c>
      <c r="X369" s="16">
        <f ca="1">W$369*AVERAGE(Exogenous!AI$30/Exogenous!AH$30,1+X$29)</f>
        <v>68.989975248406552</v>
      </c>
    </row>
    <row r="370" spans="1:24" x14ac:dyDescent="0.25">
      <c r="A370" s="11" t="s">
        <v>904</v>
      </c>
      <c r="B370" s="10" t="str">
        <f t="shared" ref="B370:B371" si="219">$B$38</f>
        <v>From Fiscal Forecasts</v>
      </c>
      <c r="D370" s="35">
        <f>'Fiscal Forecasts'!D$215</f>
        <v>3.3879999999999999</v>
      </c>
      <c r="E370" s="35">
        <f>'Fiscal Forecasts'!E$215</f>
        <v>3.88</v>
      </c>
      <c r="F370" s="35">
        <f>'Fiscal Forecasts'!F$215</f>
        <v>3.3250000000000002</v>
      </c>
      <c r="G370" s="35">
        <f>'Fiscal Forecasts'!G$215</f>
        <v>5.3479999999999999</v>
      </c>
      <c r="H370" s="35">
        <f>'Fiscal Forecasts'!H$215</f>
        <v>3.9380000000000002</v>
      </c>
      <c r="I370" s="35">
        <f>'Fiscal Forecasts'!I$215</f>
        <v>2.9710000000000001</v>
      </c>
      <c r="J370" s="17">
        <f>'Fiscal Forecasts'!J$215</f>
        <v>3.2130000000000001</v>
      </c>
      <c r="K370" s="17">
        <f>'Fiscal Forecasts'!K$215</f>
        <v>2.7749999999999999</v>
      </c>
      <c r="L370" s="17">
        <f>'Fiscal Forecasts'!L$215</f>
        <v>2.8260000000000001</v>
      </c>
      <c r="M370" s="17">
        <f>'Fiscal Forecasts'!M$215</f>
        <v>3.0030000000000001</v>
      </c>
      <c r="N370" s="17">
        <f>'Fiscal Forecasts'!N$215</f>
        <v>2.976</v>
      </c>
      <c r="O370" s="16">
        <f t="shared" ref="O370:X370" ca="1" si="220">N$370*(1+O$14)</f>
        <v>3.1044070902263794</v>
      </c>
      <c r="P370" s="16">
        <f t="shared" ca="1" si="220"/>
        <v>3.2368105447188023</v>
      </c>
      <c r="Q370" s="16">
        <f t="shared" ca="1" si="220"/>
        <v>3.3695014832850716</v>
      </c>
      <c r="R370" s="16">
        <f t="shared" ca="1" si="220"/>
        <v>3.5021806593985603</v>
      </c>
      <c r="S370" s="16">
        <f t="shared" ca="1" si="220"/>
        <v>3.6377853663695907</v>
      </c>
      <c r="T370" s="16">
        <f t="shared" ca="1" si="220"/>
        <v>3.7761086592909621</v>
      </c>
      <c r="U370" s="16">
        <f t="shared" ca="1" si="220"/>
        <v>3.916276223883866</v>
      </c>
      <c r="V370" s="16">
        <f t="shared" ca="1" si="220"/>
        <v>4.0585511807631462</v>
      </c>
      <c r="W370" s="16">
        <f t="shared" ca="1" si="220"/>
        <v>4.2029282292638444</v>
      </c>
      <c r="X370" s="16">
        <f t="shared" ca="1" si="220"/>
        <v>4.3504953268790194</v>
      </c>
    </row>
    <row r="371" spans="1:24" x14ac:dyDescent="0.25">
      <c r="A371" s="11" t="s">
        <v>866</v>
      </c>
      <c r="B371" s="10" t="str">
        <f t="shared" si="219"/>
        <v>From Fiscal Forecasts</v>
      </c>
      <c r="D371" s="35">
        <f ca="1">'Fiscal Forecasts'!D$122-SUM(D$368:D$370)</f>
        <v>-21.016000000000005</v>
      </c>
      <c r="E371" s="35">
        <f ca="1">'Fiscal Forecasts'!E$122-SUM(E$368:E$370)</f>
        <v>-21.034999999999989</v>
      </c>
      <c r="F371" s="35">
        <f ca="1">'Fiscal Forecasts'!F$122-SUM(F$368:F$370)</f>
        <v>-17.820999999999998</v>
      </c>
      <c r="G371" s="35">
        <f ca="1">'Fiscal Forecasts'!G$122-SUM(G$368:G$370)</f>
        <v>-15.168999999999997</v>
      </c>
      <c r="H371" s="35">
        <f ca="1">'Fiscal Forecasts'!H$122-SUM(H$368:H$370)</f>
        <v>-16.369</v>
      </c>
      <c r="I371" s="35">
        <f ca="1">'Fiscal Forecasts'!I$122-SUM(I$368:I$370)</f>
        <v>-20.507999999999996</v>
      </c>
      <c r="J371" s="17">
        <f ca="1">'Fiscal Forecasts'!J$122-SUM(J$368:J$370)</f>
        <v>-26.075999999999993</v>
      </c>
      <c r="K371" s="17">
        <f ca="1">'Fiscal Forecasts'!K$122-SUM(K$368:K$370)</f>
        <v>-26.134</v>
      </c>
      <c r="L371" s="17">
        <f ca="1">'Fiscal Forecasts'!L$122-SUM(L$368:L$370)</f>
        <v>-26.244</v>
      </c>
      <c r="M371" s="17">
        <f ca="1">'Fiscal Forecasts'!M$122-SUM(M$368:M$370)</f>
        <v>-26.624000000000009</v>
      </c>
      <c r="N371" s="17">
        <f ca="1">'Fiscal Forecasts'!N$122-SUM(N$368:N$370)</f>
        <v>-27.197999999999993</v>
      </c>
      <c r="O371" s="16">
        <f t="shared" ref="O371:X371" ca="1" si="221">N$371*O$369/N$369</f>
        <v>-27.860733480734797</v>
      </c>
      <c r="P371" s="16">
        <f t="shared" ca="1" si="221"/>
        <v>-28.618017377128343</v>
      </c>
      <c r="Q371" s="16">
        <f t="shared" ca="1" si="221"/>
        <v>-29.491862187133087</v>
      </c>
      <c r="R371" s="16">
        <f t="shared" ca="1" si="221"/>
        <v>-30.492078964218368</v>
      </c>
      <c r="S371" s="16">
        <f t="shared" ca="1" si="221"/>
        <v>-31.631519925093755</v>
      </c>
      <c r="T371" s="16">
        <f t="shared" ca="1" si="221"/>
        <v>-32.927904673105537</v>
      </c>
      <c r="U371" s="16">
        <f t="shared" ca="1" si="221"/>
        <v>-34.396133746582933</v>
      </c>
      <c r="V371" s="16">
        <f t="shared" ca="1" si="221"/>
        <v>-35.969695673613103</v>
      </c>
      <c r="W371" s="16">
        <f t="shared" ca="1" si="221"/>
        <v>-37.58071675364242</v>
      </c>
      <c r="X371" s="16">
        <f t="shared" ca="1" si="221"/>
        <v>-39.214807975217042</v>
      </c>
    </row>
    <row r="372" spans="1:24" x14ac:dyDescent="0.25">
      <c r="A372" s="9" t="s">
        <v>1052</v>
      </c>
      <c r="D372" s="65">
        <f t="shared" ref="D372:X372" ca="1" si="222">SUM(D$368:D$371)</f>
        <v>43.616</v>
      </c>
      <c r="E372" s="65">
        <f t="shared" ca="1" si="222"/>
        <v>61.005000000000003</v>
      </c>
      <c r="F372" s="65">
        <f t="shared" ca="1" si="222"/>
        <v>56.783000000000001</v>
      </c>
      <c r="G372" s="65">
        <f t="shared" ca="1" si="222"/>
        <v>65.456000000000003</v>
      </c>
      <c r="H372" s="65">
        <f t="shared" ca="1" si="222"/>
        <v>66.489999999999995</v>
      </c>
      <c r="I372" s="65">
        <f t="shared" ca="1" si="222"/>
        <v>73.646000000000001</v>
      </c>
      <c r="J372" s="66">
        <f t="shared" ca="1" si="222"/>
        <v>86.497</v>
      </c>
      <c r="K372" s="66">
        <f t="shared" ca="1" si="222"/>
        <v>95.932000000000002</v>
      </c>
      <c r="L372" s="66">
        <f t="shared" ca="1" si="222"/>
        <v>96.971999999999994</v>
      </c>
      <c r="M372" s="66">
        <f t="shared" ca="1" si="222"/>
        <v>99.695999999999998</v>
      </c>
      <c r="N372" s="66">
        <f t="shared" ca="1" si="222"/>
        <v>103.152</v>
      </c>
      <c r="O372" s="67">
        <f t="shared" ca="1" si="222"/>
        <v>104.96339066171201</v>
      </c>
      <c r="P372" s="67">
        <f t="shared" ca="1" si="222"/>
        <v>107.63216931956025</v>
      </c>
      <c r="Q372" s="67">
        <f t="shared" ca="1" si="222"/>
        <v>110.45781713868104</v>
      </c>
      <c r="R372" s="67">
        <f t="shared" ca="1" si="222"/>
        <v>113.43377699801948</v>
      </c>
      <c r="S372" s="67">
        <f t="shared" ca="1" si="222"/>
        <v>116.5660415507173</v>
      </c>
      <c r="T372" s="67">
        <f t="shared" ca="1" si="222"/>
        <v>119.87308250715716</v>
      </c>
      <c r="U372" s="67">
        <f t="shared" ca="1" si="222"/>
        <v>123.35325413321439</v>
      </c>
      <c r="V372" s="67">
        <f t="shared" ca="1" si="222"/>
        <v>126.96509790975196</v>
      </c>
      <c r="W372" s="67">
        <f t="shared" ca="1" si="222"/>
        <v>130.68192239109163</v>
      </c>
      <c r="X372" s="67">
        <f t="shared" ca="1" si="222"/>
        <v>134.52197242504351</v>
      </c>
    </row>
    <row r="374" spans="1:24" x14ac:dyDescent="0.25">
      <c r="A374" s="9" t="s">
        <v>621</v>
      </c>
    </row>
    <row r="375" spans="1:24" x14ac:dyDescent="0.25">
      <c r="A375" s="11" t="s">
        <v>1053</v>
      </c>
      <c r="D375" s="35">
        <f ca="1">SUM(OFFSET(Assumptions!$B$51,0,$C$1),OFFSET(Assumptions!$B$52,0,$C$1))*(D$393-D$359-D$400)-D$397</f>
        <v>23.951360000000001</v>
      </c>
      <c r="E375" s="35">
        <f ca="1">SUM(OFFSET(Assumptions!$B$51,0,$C$1),OFFSET(Assumptions!$B$52,0,$C$1))*(E$393-E$359-E$400)-E$397</f>
        <v>23.024350000000005</v>
      </c>
      <c r="F375" s="35">
        <f ca="1">SUM(OFFSET(Assumptions!$B$51,0,$C$1),OFFSET(Assumptions!$B$52,0,$C$1))*(F$393-F$359-F$400)-F$397</f>
        <v>30.54814</v>
      </c>
      <c r="G375" s="35">
        <f ca="1">SUM(OFFSET(Assumptions!$B$51,0,$C$1),OFFSET(Assumptions!$B$52,0,$C$1))*(G$393-G$359-G$400)-G$397</f>
        <v>31.891739999999995</v>
      </c>
      <c r="H375" s="35">
        <f ca="1">SUM(OFFSET(Assumptions!$B$51,0,$C$1),OFFSET(Assumptions!$B$52,0,$C$1))*(H$393-H$359-H$400)-H$397</f>
        <v>29.878200000000007</v>
      </c>
      <c r="I375" s="35">
        <f ca="1">SUM(OFFSET(Assumptions!$B$51,0,$C$1),OFFSET(Assumptions!$B$52,0,$C$1))*(I$393-I$359-I$400)-I$397</f>
        <v>35.327689999999997</v>
      </c>
      <c r="J375" s="17">
        <f ca="1">SUM(OFFSET(Assumptions!$B$51,0,$C$1),OFFSET(Assumptions!$B$52,0,$C$1))*(J$393-J$359-J$400)-J$397</f>
        <v>42.631630000000001</v>
      </c>
      <c r="K375" s="17">
        <f ca="1">SUM(OFFSET(Assumptions!$B$51,0,$C$1),OFFSET(Assumptions!$B$52,0,$C$1))*(K$393-K$359-K$400)-K$397</f>
        <v>44.30022000000001</v>
      </c>
      <c r="L375" s="17">
        <f ca="1">SUM(OFFSET(Assumptions!$B$51,0,$C$1),OFFSET(Assumptions!$B$52,0,$C$1))*(L$393-L$359-L$400)-L$397</f>
        <v>47.376550000000002</v>
      </c>
      <c r="M375" s="17">
        <f ca="1">SUM(OFFSET(Assumptions!$B$51,0,$C$1),OFFSET(Assumptions!$B$52,0,$C$1))*(M$393-M$359-M$400)-M$397</f>
        <v>48.376830000000005</v>
      </c>
      <c r="N375" s="17">
        <f ca="1">SUM(OFFSET(Assumptions!$B$51,0,$C$1),OFFSET(Assumptions!$B$52,0,$C$1))*(N$393-N$359-N$400)-N$397</f>
        <v>50.054479999999998</v>
      </c>
      <c r="O375" s="16">
        <f ca="1">OFFSET(Assumptions!$B$51,0,$C$1)*(O$393-O$359-O$400)</f>
        <v>55.852891941974619</v>
      </c>
      <c r="P375" s="16">
        <f ca="1">OFFSET(Assumptions!$B$51,0,$C$1)*(P$393-P$359-P$400)</f>
        <v>59.101430599380237</v>
      </c>
      <c r="Q375" s="16">
        <f ca="1">OFFSET(Assumptions!$B$51,0,$C$1)*(Q$393-Q$359-Q$400)</f>
        <v>62.462724880546823</v>
      </c>
      <c r="R375" s="16">
        <f ca="1">OFFSET(Assumptions!$B$51,0,$C$1)*(R$393-R$359-R$400)</f>
        <v>65.91407215563882</v>
      </c>
      <c r="S375" s="16">
        <f ca="1">OFFSET(Assumptions!$B$51,0,$C$1)*(S$393-S$359-S$400)</f>
        <v>69.44437038259386</v>
      </c>
      <c r="T375" s="16">
        <f ca="1">OFFSET(Assumptions!$B$51,0,$C$1)*(T$393-T$359-T$400)</f>
        <v>73.062272553482714</v>
      </c>
      <c r="U375" s="16">
        <f ca="1">OFFSET(Assumptions!$B$51,0,$C$1)*(U$393-U$359-U$400)</f>
        <v>76.747762627394707</v>
      </c>
      <c r="V375" s="16">
        <f ca="1">OFFSET(Assumptions!$B$51,0,$C$1)*(V$393-V$359-V$400)</f>
        <v>80.515381554227773</v>
      </c>
      <c r="W375" s="16">
        <f ca="1">OFFSET(Assumptions!$B$51,0,$C$1)*(W$393-W$359-W$400)</f>
        <v>84.406285911392672</v>
      </c>
      <c r="X375" s="16">
        <f ca="1">OFFSET(Assumptions!$B$51,0,$C$1)*(X$393-X$359-X$400)</f>
        <v>88.466986897614845</v>
      </c>
    </row>
    <row r="376" spans="1:24" x14ac:dyDescent="0.25">
      <c r="A376" s="11" t="s">
        <v>1054</v>
      </c>
      <c r="B376" s="10" t="str">
        <f>$B$38</f>
        <v>From Fiscal Forecasts</v>
      </c>
      <c r="D376" s="35">
        <f ca="1">'Fiscal Forecasts'!D$183-D$375</f>
        <v>2.4436399999999985</v>
      </c>
      <c r="E376" s="35">
        <f ca="1">'Fiscal Forecasts'!E$183-E$375</f>
        <v>-5.164350000000006</v>
      </c>
      <c r="F376" s="35">
        <f ca="1">'Fiscal Forecasts'!F$183-F$375</f>
        <v>-1.9041400000000017</v>
      </c>
      <c r="G376" s="35">
        <f ca="1">'Fiscal Forecasts'!G$183-G$375</f>
        <v>-2.7387399999999964</v>
      </c>
      <c r="H376" s="35">
        <f ca="1">'Fiscal Forecasts'!H$183-H$375</f>
        <v>-0.88020000000000564</v>
      </c>
      <c r="I376" s="35">
        <f ca="1">'Fiscal Forecasts'!I$183-I$375</f>
        <v>2.010310000000004</v>
      </c>
      <c r="J376" s="17">
        <f ca="1">'Fiscal Forecasts'!J$183-J$375</f>
        <v>1.3833699999999993</v>
      </c>
      <c r="K376" s="17">
        <f ca="1">'Fiscal Forecasts'!K$183-K$375</f>
        <v>0.96277999999998798</v>
      </c>
      <c r="L376" s="17">
        <f ca="1">'Fiscal Forecasts'!L$183-L$375</f>
        <v>-0.15955000000000297</v>
      </c>
      <c r="M376" s="17">
        <f ca="1">'Fiscal Forecasts'!M$183-M$375</f>
        <v>0.82116999999999507</v>
      </c>
      <c r="N376" s="17">
        <f ca="1">'Fiscal Forecasts'!N$183-N$375</f>
        <v>1.1585200000000029</v>
      </c>
      <c r="O376" s="16">
        <f t="shared" ref="O376:X376" ca="1" si="223">N$376</f>
        <v>1.1585200000000029</v>
      </c>
      <c r="P376" s="16">
        <f t="shared" ca="1" si="223"/>
        <v>1.1585200000000029</v>
      </c>
      <c r="Q376" s="16">
        <f t="shared" ca="1" si="223"/>
        <v>1.1585200000000029</v>
      </c>
      <c r="R376" s="16">
        <f t="shared" ca="1" si="223"/>
        <v>1.1585200000000029</v>
      </c>
      <c r="S376" s="16">
        <f t="shared" ca="1" si="223"/>
        <v>1.1585200000000029</v>
      </c>
      <c r="T376" s="16">
        <f t="shared" ca="1" si="223"/>
        <v>1.1585200000000029</v>
      </c>
      <c r="U376" s="16">
        <f t="shared" ca="1" si="223"/>
        <v>1.1585200000000029</v>
      </c>
      <c r="V376" s="16">
        <f t="shared" ca="1" si="223"/>
        <v>1.1585200000000029</v>
      </c>
      <c r="W376" s="16">
        <f t="shared" ca="1" si="223"/>
        <v>1.1585200000000029</v>
      </c>
      <c r="X376" s="16">
        <f t="shared" ca="1" si="223"/>
        <v>1.1585200000000029</v>
      </c>
    </row>
    <row r="377" spans="1:24" x14ac:dyDescent="0.25">
      <c r="A377" s="9" t="s">
        <v>1055</v>
      </c>
      <c r="D377" s="65">
        <f t="shared" ref="D377:X377" ca="1" si="224">SUM(D$375:D$376)</f>
        <v>26.395</v>
      </c>
      <c r="E377" s="65">
        <f t="shared" ca="1" si="224"/>
        <v>17.86</v>
      </c>
      <c r="F377" s="65">
        <f t="shared" ca="1" si="224"/>
        <v>28.643999999999998</v>
      </c>
      <c r="G377" s="65">
        <f t="shared" ca="1" si="224"/>
        <v>29.152999999999999</v>
      </c>
      <c r="H377" s="65">
        <f t="shared" ca="1" si="224"/>
        <v>28.998000000000001</v>
      </c>
      <c r="I377" s="65">
        <f t="shared" ca="1" si="224"/>
        <v>37.338000000000001</v>
      </c>
      <c r="J377" s="66">
        <f t="shared" ca="1" si="224"/>
        <v>44.015000000000001</v>
      </c>
      <c r="K377" s="66">
        <f t="shared" ca="1" si="224"/>
        <v>45.262999999999998</v>
      </c>
      <c r="L377" s="66">
        <f t="shared" ca="1" si="224"/>
        <v>47.216999999999999</v>
      </c>
      <c r="M377" s="66">
        <f t="shared" ca="1" si="224"/>
        <v>49.198</v>
      </c>
      <c r="N377" s="66">
        <f t="shared" ca="1" si="224"/>
        <v>51.213000000000001</v>
      </c>
      <c r="O377" s="67">
        <f t="shared" ca="1" si="224"/>
        <v>57.011411941974622</v>
      </c>
      <c r="P377" s="67">
        <f t="shared" ca="1" si="224"/>
        <v>60.25995059938024</v>
      </c>
      <c r="Q377" s="67">
        <f t="shared" ca="1" si="224"/>
        <v>63.621244880546826</v>
      </c>
      <c r="R377" s="67">
        <f t="shared" ca="1" si="224"/>
        <v>67.07259215563883</v>
      </c>
      <c r="S377" s="67">
        <f t="shared" ca="1" si="224"/>
        <v>70.60289038259387</v>
      </c>
      <c r="T377" s="67">
        <f t="shared" ca="1" si="224"/>
        <v>74.22079255348271</v>
      </c>
      <c r="U377" s="67">
        <f t="shared" ca="1" si="224"/>
        <v>77.906282627394717</v>
      </c>
      <c r="V377" s="67">
        <f t="shared" ca="1" si="224"/>
        <v>81.673901554227768</v>
      </c>
      <c r="W377" s="67">
        <f t="shared" ca="1" si="224"/>
        <v>85.564805911392682</v>
      </c>
      <c r="X377" s="67">
        <f t="shared" ca="1" si="224"/>
        <v>89.625506897614855</v>
      </c>
    </row>
    <row r="378" spans="1:24" x14ac:dyDescent="0.25">
      <c r="A378" s="11" t="s">
        <v>707</v>
      </c>
      <c r="B378" s="10" t="str">
        <f>$B$38</f>
        <v>From Fiscal Forecasts</v>
      </c>
      <c r="D378" s="35">
        <f>'Fiscal Forecasts'!D$216</f>
        <v>14.254</v>
      </c>
      <c r="E378" s="35">
        <f>'Fiscal Forecasts'!E$216</f>
        <v>17.135000000000002</v>
      </c>
      <c r="F378" s="35">
        <f>'Fiscal Forecasts'!F$216</f>
        <v>21.521999999999998</v>
      </c>
      <c r="G378" s="35">
        <f>'Fiscal Forecasts'!G$216</f>
        <v>18.613</v>
      </c>
      <c r="H378" s="35">
        <f>'Fiscal Forecasts'!H$216</f>
        <v>19.635000000000002</v>
      </c>
      <c r="I378" s="35">
        <f>'Fiscal Forecasts'!I$216</f>
        <v>16.818999999999999</v>
      </c>
      <c r="J378" s="17">
        <f>'Fiscal Forecasts'!J$216</f>
        <v>16.510000000000002</v>
      </c>
      <c r="K378" s="17">
        <f>'Fiscal Forecasts'!K$216</f>
        <v>16.564</v>
      </c>
      <c r="L378" s="17">
        <f>'Fiscal Forecasts'!L$216</f>
        <v>16.648</v>
      </c>
      <c r="M378" s="17">
        <f>'Fiscal Forecasts'!M$216</f>
        <v>16.707999999999998</v>
      </c>
      <c r="N378" s="17">
        <f>'Fiscal Forecasts'!N$216</f>
        <v>16.702999999999999</v>
      </c>
      <c r="O378" s="16">
        <f ca="1">N$378*AVERAGE(Exogenous!Z$30/Exogenous!Y$30,1+O$29)</f>
        <v>17.11000188722382</v>
      </c>
      <c r="P378" s="16">
        <f ca="1">O$378*AVERAGE(Exogenous!AA$30/Exogenous!Z$30,1+P$29)</f>
        <v>17.575069646671626</v>
      </c>
      <c r="Q378" s="16">
        <f ca="1">P$378*AVERAGE(Exogenous!AB$30/Exogenous!AA$30,1+Q$29)</f>
        <v>18.111720498260318</v>
      </c>
      <c r="R378" s="16">
        <f ca="1">Q$378*AVERAGE(Exogenous!AC$30/Exogenous!AB$30,1+R$29)</f>
        <v>18.725979665392295</v>
      </c>
      <c r="S378" s="16">
        <f ca="1">R$378*AVERAGE(Exogenous!AD$30/Exogenous!AC$30,1+S$29)</f>
        <v>19.425740029003649</v>
      </c>
      <c r="T378" s="16">
        <f ca="1">S$378*AVERAGE(Exogenous!AE$30/Exogenous!AD$30,1+T$29)</f>
        <v>20.22188365890441</v>
      </c>
      <c r="U378" s="16">
        <f ca="1">T$378*AVERAGE(Exogenous!AF$30/Exogenous!AE$30,1+U$29)</f>
        <v>21.123561363672884</v>
      </c>
      <c r="V378" s="16">
        <f ca="1">U$378*AVERAGE(Exogenous!AG$30/Exogenous!AF$30,1+V$29)</f>
        <v>22.089926716536514</v>
      </c>
      <c r="W378" s="16">
        <f ca="1">V$378*AVERAGE(Exogenous!AH$30/Exogenous!AG$30,1+W$29)</f>
        <v>23.079296710643789</v>
      </c>
      <c r="X378" s="16">
        <f ca="1">W$378*AVERAGE(Exogenous!AI$30/Exogenous!AH$30,1+X$29)</f>
        <v>24.082834679390057</v>
      </c>
    </row>
    <row r="379" spans="1:24" x14ac:dyDescent="0.25">
      <c r="A379" s="11" t="s">
        <v>904</v>
      </c>
      <c r="B379" s="10" t="str">
        <f t="shared" ref="B379:B380" si="225">$B$38</f>
        <v>From Fiscal Forecasts</v>
      </c>
      <c r="D379" s="35">
        <f>'Fiscal Forecasts'!D$217</f>
        <v>0.27900000000000003</v>
      </c>
      <c r="E379" s="35">
        <f>'Fiscal Forecasts'!E$217</f>
        <v>3.7999999999999999E-2</v>
      </c>
      <c r="F379" s="35">
        <f>'Fiscal Forecasts'!F$217</f>
        <v>3.7999999999999999E-2</v>
      </c>
      <c r="G379" s="35">
        <f>'Fiscal Forecasts'!G$217</f>
        <v>3.4000000000000002E-2</v>
      </c>
      <c r="H379" s="35">
        <f>'Fiscal Forecasts'!H$217</f>
        <v>3.5999999999999997E-2</v>
      </c>
      <c r="I379" s="35">
        <f>'Fiscal Forecasts'!I$217</f>
        <v>3.2000000000000001E-2</v>
      </c>
      <c r="J379" s="17">
        <f>'Fiscal Forecasts'!J$217</f>
        <v>3.2000000000000001E-2</v>
      </c>
      <c r="K379" s="17">
        <f>'Fiscal Forecasts'!K$217</f>
        <v>2.1999999999999999E-2</v>
      </c>
      <c r="L379" s="17">
        <f>'Fiscal Forecasts'!L$217</f>
        <v>2.3E-2</v>
      </c>
      <c r="M379" s="17">
        <f>'Fiscal Forecasts'!M$217</f>
        <v>2.3E-2</v>
      </c>
      <c r="N379" s="17">
        <f>'Fiscal Forecasts'!N$217</f>
        <v>2.3E-2</v>
      </c>
      <c r="O379" s="16">
        <f t="shared" ref="O379:X379" si="226">N$379</f>
        <v>2.3E-2</v>
      </c>
      <c r="P379" s="16">
        <f t="shared" si="226"/>
        <v>2.3E-2</v>
      </c>
      <c r="Q379" s="16">
        <f t="shared" si="226"/>
        <v>2.3E-2</v>
      </c>
      <c r="R379" s="16">
        <f t="shared" si="226"/>
        <v>2.3E-2</v>
      </c>
      <c r="S379" s="16">
        <f t="shared" si="226"/>
        <v>2.3E-2</v>
      </c>
      <c r="T379" s="16">
        <f t="shared" si="226"/>
        <v>2.3E-2</v>
      </c>
      <c r="U379" s="16">
        <f t="shared" si="226"/>
        <v>2.3E-2</v>
      </c>
      <c r="V379" s="16">
        <f t="shared" si="226"/>
        <v>2.3E-2</v>
      </c>
      <c r="W379" s="16">
        <f t="shared" si="226"/>
        <v>2.3E-2</v>
      </c>
      <c r="X379" s="16">
        <f t="shared" si="226"/>
        <v>2.3E-2</v>
      </c>
    </row>
    <row r="380" spans="1:24" x14ac:dyDescent="0.25">
      <c r="A380" s="11" t="s">
        <v>866</v>
      </c>
      <c r="B380" s="10" t="str">
        <f t="shared" si="225"/>
        <v>From Fiscal Forecasts</v>
      </c>
      <c r="D380" s="35">
        <f ca="1">'Fiscal Forecasts'!D$123-SUM(D$377:D$379)</f>
        <v>-1.3760000000000048</v>
      </c>
      <c r="E380" s="35">
        <f ca="1">'Fiscal Forecasts'!E$123-SUM(E$377:E$379)</f>
        <v>-1.2420000000000044</v>
      </c>
      <c r="F380" s="35">
        <f ca="1">'Fiscal Forecasts'!F$123-SUM(F$377:F$379)</f>
        <v>-1.664999999999992</v>
      </c>
      <c r="G380" s="35">
        <f ca="1">'Fiscal Forecasts'!G$123-SUM(G$377:G$379)</f>
        <v>-1.5389999999999944</v>
      </c>
      <c r="H380" s="35">
        <f ca="1">'Fiscal Forecasts'!H$123-SUM(H$377:H$379)</f>
        <v>-0.62300000000000466</v>
      </c>
      <c r="I380" s="35">
        <f ca="1">'Fiscal Forecasts'!I$123-SUM(I$377:I$379)</f>
        <v>-0.69399999999999551</v>
      </c>
      <c r="J380" s="17">
        <f ca="1">'Fiscal Forecasts'!J$123-SUM(J$377:J$379)</f>
        <v>-0.67500000000000426</v>
      </c>
      <c r="K380" s="17">
        <f ca="1">'Fiscal Forecasts'!K$123-SUM(K$377:K$379)</f>
        <v>-0.68599999999999994</v>
      </c>
      <c r="L380" s="17">
        <f ca="1">'Fiscal Forecasts'!L$123-SUM(L$377:L$379)</f>
        <v>-0.70199999999999818</v>
      </c>
      <c r="M380" s="17">
        <f ca="1">'Fiscal Forecasts'!M$123-SUM(M$377:M$379)</f>
        <v>-0.72100000000000364</v>
      </c>
      <c r="N380" s="17">
        <f ca="1">'Fiscal Forecasts'!N$123-SUM(N$377:N$379)</f>
        <v>-0.74699999999999989</v>
      </c>
      <c r="O380" s="16">
        <f t="shared" ref="O380:X380" ca="1" si="227">N$380*AVERAGE(O$377/N$377,O$378/N$378)</f>
        <v>-0.79838929682699777</v>
      </c>
      <c r="P380" s="16">
        <f t="shared" ca="1" si="227"/>
        <v>-0.83198613514568998</v>
      </c>
      <c r="Q380" s="16">
        <f t="shared" ca="1" si="227"/>
        <v>-0.86789244467487292</v>
      </c>
      <c r="R380" s="16">
        <f t="shared" ca="1" si="227"/>
        <v>-0.90615059940228104</v>
      </c>
      <c r="S380" s="16">
        <f t="shared" ca="1" si="227"/>
        <v>-0.94692847103303912</v>
      </c>
      <c r="T380" s="16">
        <f t="shared" ca="1" si="227"/>
        <v>-0.99059462348465999</v>
      </c>
      <c r="U380" s="16">
        <f t="shared" ca="1" si="227"/>
        <v>-1.0372739024343125</v>
      </c>
      <c r="V380" s="16">
        <f t="shared" ca="1" si="227"/>
        <v>-1.0860823765602119</v>
      </c>
      <c r="W380" s="16">
        <f t="shared" ca="1" si="227"/>
        <v>-1.1362744757333609</v>
      </c>
      <c r="X380" s="16">
        <f t="shared" ca="1" si="227"/>
        <v>-1.1879407514277145</v>
      </c>
    </row>
    <row r="381" spans="1:24" x14ac:dyDescent="0.25">
      <c r="A381" s="9" t="s">
        <v>1056</v>
      </c>
      <c r="D381" s="65">
        <f t="shared" ref="D381:X381" ca="1" si="228">SUM(D$377:D$380)</f>
        <v>39.552</v>
      </c>
      <c r="E381" s="65">
        <f t="shared" ca="1" si="228"/>
        <v>33.790999999999997</v>
      </c>
      <c r="F381" s="65">
        <f t="shared" ca="1" si="228"/>
        <v>48.539000000000001</v>
      </c>
      <c r="G381" s="65">
        <f t="shared" ca="1" si="228"/>
        <v>46.261000000000003</v>
      </c>
      <c r="H381" s="65">
        <f t="shared" ca="1" si="228"/>
        <v>48.045999999999999</v>
      </c>
      <c r="I381" s="65">
        <f t="shared" ca="1" si="228"/>
        <v>53.494999999999997</v>
      </c>
      <c r="J381" s="66">
        <f t="shared" ca="1" si="228"/>
        <v>59.881999999999998</v>
      </c>
      <c r="K381" s="66">
        <f t="shared" ca="1" si="228"/>
        <v>61.162999999999997</v>
      </c>
      <c r="L381" s="66">
        <f t="shared" ca="1" si="228"/>
        <v>63.186</v>
      </c>
      <c r="M381" s="66">
        <f t="shared" ca="1" si="228"/>
        <v>65.207999999999998</v>
      </c>
      <c r="N381" s="66">
        <f t="shared" ca="1" si="228"/>
        <v>67.191999999999993</v>
      </c>
      <c r="O381" s="67">
        <f t="shared" ca="1" si="228"/>
        <v>73.346024532371445</v>
      </c>
      <c r="P381" s="67">
        <f t="shared" ca="1" si="228"/>
        <v>77.026034110906181</v>
      </c>
      <c r="Q381" s="67">
        <f t="shared" ca="1" si="228"/>
        <v>80.888072934132254</v>
      </c>
      <c r="R381" s="67">
        <f t="shared" ca="1" si="228"/>
        <v>84.915421221628833</v>
      </c>
      <c r="S381" s="67">
        <f t="shared" ca="1" si="228"/>
        <v>89.104701940564482</v>
      </c>
      <c r="T381" s="67">
        <f t="shared" ca="1" si="228"/>
        <v>93.475081588902455</v>
      </c>
      <c r="U381" s="67">
        <f t="shared" ca="1" si="228"/>
        <v>98.015570088633282</v>
      </c>
      <c r="V381" s="67">
        <f t="shared" ca="1" si="228"/>
        <v>102.70074589420406</v>
      </c>
      <c r="W381" s="67">
        <f t="shared" ca="1" si="228"/>
        <v>107.53082814630311</v>
      </c>
      <c r="X381" s="67">
        <f t="shared" ca="1" si="228"/>
        <v>112.54340082557719</v>
      </c>
    </row>
    <row r="383" spans="1:24" x14ac:dyDescent="0.25">
      <c r="A383" s="9" t="s">
        <v>777</v>
      </c>
    </row>
    <row r="384" spans="1:24" x14ac:dyDescent="0.25">
      <c r="A384" s="11" t="s">
        <v>778</v>
      </c>
      <c r="B384" s="10" t="str">
        <f>$B$38</f>
        <v>From Fiscal Forecasts</v>
      </c>
      <c r="D384" s="35">
        <f>'Fiscal Forecasts'!D$358</f>
        <v>0.98199999999999998</v>
      </c>
      <c r="E384" s="35">
        <f>'Fiscal Forecasts'!E$358</f>
        <v>0.80300000000000005</v>
      </c>
      <c r="F384" s="35">
        <f>'Fiscal Forecasts'!F$358</f>
        <v>0.74199999999999999</v>
      </c>
      <c r="G384" s="35">
        <f>'Fiscal Forecasts'!G$358</f>
        <v>1.077</v>
      </c>
      <c r="H384" s="35">
        <f>'Fiscal Forecasts'!H$358</f>
        <v>1.32</v>
      </c>
      <c r="I384" s="35">
        <f>'Fiscal Forecasts'!I$358</f>
        <v>1.659</v>
      </c>
      <c r="J384" s="17">
        <f>'Fiscal Forecasts'!J$358</f>
        <v>1.7050000000000001</v>
      </c>
      <c r="K384" s="17">
        <f>'Fiscal Forecasts'!K$358</f>
        <v>1.7729999999999999</v>
      </c>
      <c r="L384" s="17">
        <f>'Fiscal Forecasts'!L$358</f>
        <v>1.869</v>
      </c>
      <c r="M384" s="17">
        <f>'Fiscal Forecasts'!M$358</f>
        <v>1.9930000000000001</v>
      </c>
      <c r="N384" s="17">
        <f>'Fiscal Forecasts'!N$358</f>
        <v>2.1160000000000001</v>
      </c>
      <c r="O384" s="16">
        <f>Exogenous!Z$7</f>
        <v>2.2436275511311652</v>
      </c>
      <c r="P384" s="16">
        <f>Exogenous!AA$7</f>
        <v>2.3771937241437446</v>
      </c>
      <c r="Q384" s="16">
        <f>Exogenous!AB$7</f>
        <v>2.5157820051435547</v>
      </c>
      <c r="R384" s="16">
        <f>Exogenous!AC$7</f>
        <v>2.6586735928595782</v>
      </c>
      <c r="S384" s="16">
        <f>Exogenous!AD$7</f>
        <v>2.8051359573915953</v>
      </c>
      <c r="T384" s="16">
        <f>Exogenous!AE$7</f>
        <v>2.9550791422774938</v>
      </c>
      <c r="U384" s="16">
        <f>Exogenous!AF$7</f>
        <v>3.1083204302525171</v>
      </c>
      <c r="V384" s="16">
        <f>Exogenous!AG$7</f>
        <v>3.2646774508055842</v>
      </c>
      <c r="W384" s="16">
        <f>Exogenous!AH$7</f>
        <v>3.4252679610365075</v>
      </c>
      <c r="X384" s="16">
        <f>Exogenous!AI$7</f>
        <v>3.5919225641078021</v>
      </c>
    </row>
    <row r="385" spans="1:24" x14ac:dyDescent="0.25">
      <c r="A385" s="11" t="s">
        <v>872</v>
      </c>
      <c r="B385" s="10" t="str">
        <f t="shared" ref="B385:B390" si="229">$B$38</f>
        <v>From Fiscal Forecasts</v>
      </c>
      <c r="D385" s="35">
        <f>'Fiscal Forecasts'!D$359</f>
        <v>0.504</v>
      </c>
      <c r="E385" s="35">
        <f>'Fiscal Forecasts'!E$359</f>
        <v>0.44800000000000001</v>
      </c>
      <c r="F385" s="35">
        <f>'Fiscal Forecasts'!F$359</f>
        <v>2.1560000000000001</v>
      </c>
      <c r="G385" s="35">
        <f>'Fiscal Forecasts'!G$359</f>
        <v>3.5000000000000003E-2</v>
      </c>
      <c r="H385" s="35">
        <f>'Fiscal Forecasts'!H$359</f>
        <v>0.127</v>
      </c>
      <c r="I385" s="35">
        <f>'Fiscal Forecasts'!I$359</f>
        <v>1.29</v>
      </c>
      <c r="J385" s="17">
        <f>'Fiscal Forecasts'!J$359</f>
        <v>1.389</v>
      </c>
      <c r="K385" s="17">
        <f>'Fiscal Forecasts'!K$359</f>
        <v>1.518</v>
      </c>
      <c r="L385" s="17">
        <f>'Fiscal Forecasts'!L$359</f>
        <v>1.6120000000000001</v>
      </c>
      <c r="M385" s="17">
        <f>'Fiscal Forecasts'!M$359</f>
        <v>1.7110000000000001</v>
      </c>
      <c r="N385" s="17">
        <f>'Fiscal Forecasts'!N$359</f>
        <v>1.8169999999999999</v>
      </c>
      <c r="O385" s="16">
        <f>Exogenous!Z$8</f>
        <v>1.9439372284168936</v>
      </c>
      <c r="P385" s="16">
        <f>Exogenous!AA$8</f>
        <v>2.0596624324711144</v>
      </c>
      <c r="Q385" s="16">
        <f>Exogenous!AB$8</f>
        <v>2.1797389214240179</v>
      </c>
      <c r="R385" s="16">
        <f>Exogenous!AC$8</f>
        <v>2.3035439071707531</v>
      </c>
      <c r="S385" s="16">
        <f>Exogenous!AD$8</f>
        <v>2.4304427067652807</v>
      </c>
      <c r="T385" s="16">
        <f>Exogenous!AE$8</f>
        <v>2.5603573795906081</v>
      </c>
      <c r="U385" s="16">
        <f>Exogenous!AF$8</f>
        <v>2.6931296146592203</v>
      </c>
      <c r="V385" s="16">
        <f>Exogenous!AG$8</f>
        <v>2.8286014014200003</v>
      </c>
      <c r="W385" s="16">
        <f>Exogenous!AH$8</f>
        <v>2.9677411936778402</v>
      </c>
      <c r="X385" s="16">
        <f>Exogenous!AI$8</f>
        <v>3.1121350735952071</v>
      </c>
    </row>
    <row r="386" spans="1:24" x14ac:dyDescent="0.25">
      <c r="A386" s="11" t="s">
        <v>873</v>
      </c>
      <c r="B386" s="10" t="str">
        <f t="shared" si="229"/>
        <v>From Fiscal Forecasts</v>
      </c>
      <c r="D386" s="35">
        <f>'Fiscal Forecasts'!D$360</f>
        <v>0.13</v>
      </c>
      <c r="E386" s="35">
        <f>'Fiscal Forecasts'!E$360</f>
        <v>0.15</v>
      </c>
      <c r="F386" s="35">
        <f>'Fiscal Forecasts'!F$360</f>
        <v>0.125</v>
      </c>
      <c r="G386" s="35">
        <f>'Fiscal Forecasts'!G$360</f>
        <v>-0.51700000000000002</v>
      </c>
      <c r="H386" s="35">
        <f>'Fiscal Forecasts'!H$360</f>
        <v>1.054</v>
      </c>
      <c r="I386" s="35">
        <f>'Fiscal Forecasts'!I$360</f>
        <v>0.189</v>
      </c>
      <c r="J386" s="17">
        <f>'Fiscal Forecasts'!J$360</f>
        <v>0.253</v>
      </c>
      <c r="K386" s="17">
        <f>'Fiscal Forecasts'!K$360</f>
        <v>0.314</v>
      </c>
      <c r="L386" s="17">
        <f>'Fiscal Forecasts'!L$360</f>
        <v>0.33600000000000002</v>
      </c>
      <c r="M386" s="17">
        <f>'Fiscal Forecasts'!M$360</f>
        <v>0.36</v>
      </c>
      <c r="N386" s="17">
        <f>'Fiscal Forecasts'!N$360</f>
        <v>0.38700000000000001</v>
      </c>
      <c r="O386" s="16">
        <f>Exogenous!Z$9</f>
        <v>0.40498692258685287</v>
      </c>
      <c r="P386" s="16">
        <f>Exogenous!AA$9</f>
        <v>0.4290963400981489</v>
      </c>
      <c r="Q386" s="16">
        <f>Exogenous!AB$9</f>
        <v>0.45411227529667048</v>
      </c>
      <c r="R386" s="16">
        <f>Exogenous!AC$9</f>
        <v>0.47990498066057363</v>
      </c>
      <c r="S386" s="16">
        <f>Exogenous!AD$9</f>
        <v>0.50634223057610017</v>
      </c>
      <c r="T386" s="16">
        <f>Exogenous!AE$9</f>
        <v>0.53340778741471007</v>
      </c>
      <c r="U386" s="16">
        <f>Exogenous!AF$9</f>
        <v>0.56106866972067093</v>
      </c>
      <c r="V386" s="16">
        <f>Exogenous!AG$9</f>
        <v>0.58929195862916683</v>
      </c>
      <c r="W386" s="16">
        <f>Exogenous!AH$9</f>
        <v>0.61827941534955011</v>
      </c>
      <c r="X386" s="16">
        <f>Exogenous!AI$9</f>
        <v>0.64836147366566821</v>
      </c>
    </row>
    <row r="387" spans="1:24" x14ac:dyDescent="0.25">
      <c r="A387" s="11" t="s">
        <v>868</v>
      </c>
      <c r="B387" s="10" t="str">
        <f t="shared" si="229"/>
        <v>From Fiscal Forecasts</v>
      </c>
      <c r="D387" s="35">
        <f>'Fiscal Forecasts'!D$361</f>
        <v>1.9550000000000001</v>
      </c>
      <c r="E387" s="35">
        <f>'Fiscal Forecasts'!E$361</f>
        <v>1.7000000000000001E-2</v>
      </c>
      <c r="F387" s="35">
        <f>'Fiscal Forecasts'!F$361</f>
        <v>12.786</v>
      </c>
      <c r="G387" s="35">
        <f>'Fiscal Forecasts'!G$361</f>
        <v>-5.133</v>
      </c>
      <c r="H387" s="35">
        <f>'Fiscal Forecasts'!H$361</f>
        <v>5.766</v>
      </c>
      <c r="I387" s="35">
        <f>'Fiscal Forecasts'!I$361</f>
        <v>8.3520000000000003</v>
      </c>
      <c r="J387" s="17">
        <f>'Fiscal Forecasts'!J$361</f>
        <v>6.6360000000000001</v>
      </c>
      <c r="K387" s="17">
        <f>'Fiscal Forecasts'!K$361</f>
        <v>4.9329999999999998</v>
      </c>
      <c r="L387" s="17">
        <f>'Fiscal Forecasts'!L$361</f>
        <v>5.2549999999999999</v>
      </c>
      <c r="M387" s="17">
        <f>'Fiscal Forecasts'!M$361</f>
        <v>5.57</v>
      </c>
      <c r="N387" s="17">
        <f>'Fiscal Forecasts'!N$361</f>
        <v>5.9210000000000003</v>
      </c>
      <c r="O387" s="16">
        <f>Exogenous!Z$10</f>
        <v>6.2610978231927454</v>
      </c>
      <c r="P387" s="16">
        <f>Exogenous!AA$10</f>
        <v>6.6338294179173811</v>
      </c>
      <c r="Q387" s="16">
        <f>Exogenous!AB$10</f>
        <v>7.0205757760865257</v>
      </c>
      <c r="R387" s="16">
        <f>Exogenous!AC$10</f>
        <v>7.419331001012468</v>
      </c>
      <c r="S387" s="16">
        <f>Exogenous!AD$10</f>
        <v>7.8280508847065082</v>
      </c>
      <c r="T387" s="16">
        <f>Exogenous!AE$10</f>
        <v>8.2464843934314178</v>
      </c>
      <c r="U387" s="16">
        <f>Exogenous!AF$10</f>
        <v>8.6741216338815725</v>
      </c>
      <c r="V387" s="16">
        <f>Exogenous!AG$10</f>
        <v>9.1104536804069181</v>
      </c>
      <c r="W387" s="16">
        <f>Exogenous!AH$10</f>
        <v>9.558599761304043</v>
      </c>
      <c r="X387" s="16">
        <f>Exogenous!AI$10</f>
        <v>10.023668382871231</v>
      </c>
    </row>
    <row r="388" spans="1:24" x14ac:dyDescent="0.25">
      <c r="A388" s="9" t="s">
        <v>874</v>
      </c>
      <c r="D388" s="65">
        <f t="shared" ref="D388:X388" si="230">D$384-D$385-D$386+D$387</f>
        <v>2.3029999999999999</v>
      </c>
      <c r="E388" s="65">
        <f t="shared" si="230"/>
        <v>0.22200000000000003</v>
      </c>
      <c r="F388" s="65">
        <f t="shared" si="230"/>
        <v>11.247</v>
      </c>
      <c r="G388" s="65">
        <f t="shared" si="230"/>
        <v>-3.5739999999999998</v>
      </c>
      <c r="H388" s="65">
        <f t="shared" si="230"/>
        <v>5.9050000000000002</v>
      </c>
      <c r="I388" s="65">
        <f t="shared" si="230"/>
        <v>8.532</v>
      </c>
      <c r="J388" s="66">
        <f t="shared" si="230"/>
        <v>6.6989999999999998</v>
      </c>
      <c r="K388" s="66">
        <f t="shared" si="230"/>
        <v>4.8739999999999997</v>
      </c>
      <c r="L388" s="66">
        <f t="shared" si="230"/>
        <v>5.1760000000000002</v>
      </c>
      <c r="M388" s="66">
        <f t="shared" si="230"/>
        <v>5.492</v>
      </c>
      <c r="N388" s="66">
        <f t="shared" si="230"/>
        <v>5.8330000000000002</v>
      </c>
      <c r="O388" s="67">
        <f t="shared" si="230"/>
        <v>6.1558012233201644</v>
      </c>
      <c r="P388" s="67">
        <f t="shared" si="230"/>
        <v>6.5222643694918627</v>
      </c>
      <c r="Q388" s="67">
        <f t="shared" si="230"/>
        <v>6.9025065845093918</v>
      </c>
      <c r="R388" s="67">
        <f t="shared" si="230"/>
        <v>7.2945557060407191</v>
      </c>
      <c r="S388" s="67">
        <f t="shared" si="230"/>
        <v>7.6964019047567227</v>
      </c>
      <c r="T388" s="67">
        <f t="shared" si="230"/>
        <v>8.1077983687035928</v>
      </c>
      <c r="U388" s="67">
        <f t="shared" si="230"/>
        <v>8.5282437797541988</v>
      </c>
      <c r="V388" s="67">
        <f t="shared" si="230"/>
        <v>8.9572377711633351</v>
      </c>
      <c r="W388" s="67">
        <f t="shared" si="230"/>
        <v>9.3978471133131602</v>
      </c>
      <c r="X388" s="67">
        <f t="shared" si="230"/>
        <v>9.8550943997181566</v>
      </c>
    </row>
    <row r="389" spans="1:24" x14ac:dyDescent="0.25">
      <c r="A389" s="11" t="s">
        <v>869</v>
      </c>
      <c r="B389" s="10" t="str">
        <f t="shared" si="229"/>
        <v>From Fiscal Forecasts</v>
      </c>
      <c r="D389" s="35">
        <f>'Fiscal Forecasts'!D$362</f>
        <v>1</v>
      </c>
      <c r="E389" s="35">
        <f>'Fiscal Forecasts'!E$362</f>
        <v>1.46</v>
      </c>
      <c r="F389" s="35">
        <f>'Fiscal Forecasts'!F$362</f>
        <v>2.12</v>
      </c>
      <c r="G389" s="35">
        <f>'Fiscal Forecasts'!G$362</f>
        <v>2.42</v>
      </c>
      <c r="H389" s="35">
        <f>'Fiscal Forecasts'!H$362</f>
        <v>2.5579999999999998</v>
      </c>
      <c r="I389" s="35">
        <f>'Fiscal Forecasts'!I$362</f>
        <v>1.6140000000000001</v>
      </c>
      <c r="J389" s="17">
        <f>'Fiscal Forecasts'!J$362</f>
        <v>0.879</v>
      </c>
      <c r="K389" s="17">
        <f>'Fiscal Forecasts'!K$362</f>
        <v>0</v>
      </c>
      <c r="L389" s="17">
        <f>'Fiscal Forecasts'!L$362</f>
        <v>4.0000000000000001E-3</v>
      </c>
      <c r="M389" s="17">
        <f>'Fiscal Forecasts'!M$362</f>
        <v>-3.2000000000000001E-2</v>
      </c>
      <c r="N389" s="17">
        <f>'Fiscal Forecasts'!N$362</f>
        <v>6.3E-2</v>
      </c>
      <c r="O389" s="16">
        <f>Exogenous!Z$11</f>
        <v>7.8931226568819568E-2</v>
      </c>
      <c r="P389" s="16">
        <f>Exogenous!AA$11</f>
        <v>-3.7546449235872359E-2</v>
      </c>
      <c r="Q389" s="16">
        <f>Exogenous!AB$11</f>
        <v>-0.19270640692964491</v>
      </c>
      <c r="R389" s="16">
        <f>Exogenous!AC$11</f>
        <v>-0.40499215635222185</v>
      </c>
      <c r="S389" s="16">
        <f>Exogenous!AD$11</f>
        <v>-0.64923682824001006</v>
      </c>
      <c r="T389" s="16">
        <f>Exogenous!AE$11</f>
        <v>-0.88575870240245536</v>
      </c>
      <c r="U389" s="16">
        <f>Exogenous!AF$11</f>
        <v>-1.1712854524337715</v>
      </c>
      <c r="V389" s="16">
        <f>Exogenous!AG$11</f>
        <v>-1.4363342055452506</v>
      </c>
      <c r="W389" s="16">
        <f>Exogenous!AH$11</f>
        <v>-1.6308417389458754</v>
      </c>
      <c r="X389" s="16">
        <f>Exogenous!AI$11</f>
        <v>-1.7491417757201475</v>
      </c>
    </row>
    <row r="390" spans="1:24" x14ac:dyDescent="0.25">
      <c r="A390" s="11" t="s">
        <v>468</v>
      </c>
      <c r="B390" s="10" t="str">
        <f t="shared" si="229"/>
        <v>From Fiscal Forecasts</v>
      </c>
      <c r="D390" s="35">
        <f>'Fiscal Forecasts'!D$363</f>
        <v>8.8999999999999996E-2</v>
      </c>
      <c r="E390" s="35">
        <f>'Fiscal Forecasts'!E$363</f>
        <v>-0.13</v>
      </c>
      <c r="F390" s="35">
        <f>'Fiscal Forecasts'!F$363</f>
        <v>1E-3</v>
      </c>
      <c r="G390" s="35">
        <f>'Fiscal Forecasts'!G$363</f>
        <v>-1E-3</v>
      </c>
      <c r="H390" s="35">
        <f>'Fiscal Forecasts'!H$363</f>
        <v>0</v>
      </c>
      <c r="I390" s="35">
        <f>'Fiscal Forecasts'!I$363</f>
        <v>0</v>
      </c>
      <c r="J390" s="17">
        <f>'Fiscal Forecasts'!J$363</f>
        <v>0</v>
      </c>
      <c r="K390" s="17">
        <f>'Fiscal Forecasts'!K$363</f>
        <v>0</v>
      </c>
      <c r="L390" s="17">
        <f>'Fiscal Forecasts'!L$363</f>
        <v>0</v>
      </c>
      <c r="M390" s="17">
        <f>'Fiscal Forecasts'!M$363</f>
        <v>0</v>
      </c>
      <c r="N390" s="17">
        <f>'Fiscal Forecasts'!N$363</f>
        <v>0</v>
      </c>
      <c r="O390" s="16">
        <f>Exogenous!Z$12</f>
        <v>0</v>
      </c>
      <c r="P390" s="16">
        <f>Exogenous!AA$12</f>
        <v>0</v>
      </c>
      <c r="Q390" s="16">
        <f>Exogenous!AB$12</f>
        <v>0</v>
      </c>
      <c r="R390" s="16">
        <f>Exogenous!AC$12</f>
        <v>0</v>
      </c>
      <c r="S390" s="16">
        <f>Exogenous!AD$12</f>
        <v>0</v>
      </c>
      <c r="T390" s="16">
        <f>Exogenous!AE$12</f>
        <v>0</v>
      </c>
      <c r="U390" s="16">
        <f>Exogenous!AF$12</f>
        <v>0</v>
      </c>
      <c r="V390" s="16">
        <f>Exogenous!AG$12</f>
        <v>0</v>
      </c>
      <c r="W390" s="16">
        <f>Exogenous!AH$12</f>
        <v>0</v>
      </c>
      <c r="X390" s="16">
        <f>Exogenous!AI$12</f>
        <v>0</v>
      </c>
    </row>
    <row r="391" spans="1:24" x14ac:dyDescent="0.25">
      <c r="A391" s="9" t="s">
        <v>783</v>
      </c>
      <c r="C391" s="76">
        <f>'Fiscal Forecasts'!$C$364</f>
        <v>39.052999999999997</v>
      </c>
      <c r="D391" s="65">
        <f t="shared" ref="D391:X391" si="231">SUM(C$391,D$388,D$389,D$390)</f>
        <v>42.444999999999993</v>
      </c>
      <c r="E391" s="65">
        <f t="shared" si="231"/>
        <v>43.996999999999993</v>
      </c>
      <c r="F391" s="65">
        <f t="shared" si="231"/>
        <v>57.364999999999988</v>
      </c>
      <c r="G391" s="65">
        <f t="shared" si="231"/>
        <v>56.209999999999994</v>
      </c>
      <c r="H391" s="65">
        <f t="shared" si="231"/>
        <v>64.673000000000002</v>
      </c>
      <c r="I391" s="65">
        <f t="shared" si="231"/>
        <v>74.819000000000003</v>
      </c>
      <c r="J391" s="66">
        <f t="shared" si="231"/>
        <v>82.397000000000006</v>
      </c>
      <c r="K391" s="66">
        <f t="shared" si="231"/>
        <v>87.271000000000001</v>
      </c>
      <c r="L391" s="66">
        <f t="shared" si="231"/>
        <v>92.451000000000008</v>
      </c>
      <c r="M391" s="66">
        <f t="shared" si="231"/>
        <v>97.911000000000016</v>
      </c>
      <c r="N391" s="66">
        <f t="shared" si="231"/>
        <v>103.80700000000002</v>
      </c>
      <c r="O391" s="67">
        <f t="shared" si="231"/>
        <v>110.041732449889</v>
      </c>
      <c r="P391" s="67">
        <f t="shared" si="231"/>
        <v>116.52645037014499</v>
      </c>
      <c r="Q391" s="67">
        <f t="shared" si="231"/>
        <v>123.23625054772474</v>
      </c>
      <c r="R391" s="67">
        <f t="shared" si="231"/>
        <v>130.12581409741324</v>
      </c>
      <c r="S391" s="67">
        <f t="shared" si="231"/>
        <v>137.17297917392995</v>
      </c>
      <c r="T391" s="67">
        <f t="shared" si="231"/>
        <v>144.39501884023107</v>
      </c>
      <c r="U391" s="67">
        <f t="shared" si="231"/>
        <v>151.7519771675515</v>
      </c>
      <c r="V391" s="67">
        <f t="shared" si="231"/>
        <v>159.27288073316959</v>
      </c>
      <c r="W391" s="67">
        <f t="shared" si="231"/>
        <v>167.03988610753686</v>
      </c>
      <c r="X391" s="67">
        <f t="shared" si="231"/>
        <v>175.14583873153487</v>
      </c>
    </row>
    <row r="392" spans="1:24" x14ac:dyDescent="0.25">
      <c r="A392" s="10" t="s">
        <v>870</v>
      </c>
    </row>
    <row r="393" spans="1:24" x14ac:dyDescent="0.25">
      <c r="A393" s="11" t="s">
        <v>784</v>
      </c>
      <c r="B393" s="10" t="str">
        <f>$B$38</f>
        <v>From Fiscal Forecasts</v>
      </c>
      <c r="D393" s="35">
        <f>'Fiscal Forecasts'!D$365</f>
        <v>44.307000000000002</v>
      </c>
      <c r="E393" s="35">
        <f>'Fiscal Forecasts'!E$365</f>
        <v>48.220999999999997</v>
      </c>
      <c r="F393" s="35">
        <f>'Fiscal Forecasts'!F$365</f>
        <v>62.311999999999998</v>
      </c>
      <c r="G393" s="35">
        <f>'Fiscal Forecasts'!G$365</f>
        <v>65.411000000000001</v>
      </c>
      <c r="H393" s="35">
        <f>'Fiscal Forecasts'!H$365</f>
        <v>68.233999999999995</v>
      </c>
      <c r="I393" s="35">
        <f>'Fiscal Forecasts'!I$365</f>
        <v>79.058000000000007</v>
      </c>
      <c r="J393" s="17">
        <f>'Fiscal Forecasts'!J$365</f>
        <v>90.405000000000001</v>
      </c>
      <c r="K393" s="17">
        <f>'Fiscal Forecasts'!K$365</f>
        <v>94.126000000000005</v>
      </c>
      <c r="L393" s="17">
        <f>'Fiscal Forecasts'!L$365</f>
        <v>100.392</v>
      </c>
      <c r="M393" s="17">
        <f>'Fiscal Forecasts'!M$365</f>
        <v>105.19</v>
      </c>
      <c r="N393" s="17">
        <f>'Fiscal Forecasts'!N$365</f>
        <v>110.79600000000001</v>
      </c>
      <c r="O393" s="16">
        <f ca="1">IF(O$6=OFFSET(Assumptions!$B$8,0,$C$1),AVERAGE(L$393/L$391,M$393/M$391,N$393/N$391),N$393/N$391)*O$391</f>
        <v>118.38891290089084</v>
      </c>
      <c r="P393" s="16">
        <f ca="1">IF(P$6=OFFSET(Assumptions!$B$8,0,$C$1),AVERAGE(M$393/M$391,N$393/N$391,O$393/O$391),O$393/O$391)*P$391</f>
        <v>125.36552702678746</v>
      </c>
      <c r="Q393" s="16">
        <f ca="1">IF(Q$6=OFFSET(Assumptions!$B$8,0,$C$1),AVERAGE(N$393/N$391,O$393/O$391,P$393/P$391),P$393/P$391)*Q$391</f>
        <v>132.58429695271181</v>
      </c>
      <c r="R393" s="16">
        <f ca="1">IF(R$6=OFFSET(Assumptions!$B$8,0,$C$1),AVERAGE(O$393/O$391,P$393/P$391,Q$393/Q$391),Q$393/Q$391)*R$391</f>
        <v>139.99646614389258</v>
      </c>
      <c r="S393" s="16">
        <f ca="1">IF(S$6=OFFSET(Assumptions!$B$8,0,$C$1),AVERAGE(P$393/P$391,Q$393/Q$391,R$393/R$391),R$393/R$391)*S$391</f>
        <v>147.57819167535732</v>
      </c>
      <c r="T393" s="16">
        <f ca="1">IF(T$6=OFFSET(Assumptions!$B$8,0,$C$1),AVERAGE(Q$393/Q$391,R$393/R$391,S$393/S$391),S$393/S$391)*T$391</f>
        <v>155.34805685273318</v>
      </c>
      <c r="U393" s="16">
        <f ca="1">IF(U$6=OFFSET(Assumptions!$B$8,0,$C$1),AVERAGE(R$393/R$391,S$393/S$391,T$393/T$391),T$393/T$391)*U$391</f>
        <v>163.26307490304652</v>
      </c>
      <c r="V393" s="16">
        <f ca="1">IF(V$6=OFFSET(Assumptions!$B$8,0,$C$1),AVERAGE(S$393/S$391,T$393/T$391,U$393/U$391),U$393/U$391)*V$391</f>
        <v>171.35447420531963</v>
      </c>
      <c r="W393" s="16">
        <f ca="1">IF(W$6=OFFSET(Assumptions!$B$8,0,$C$1),AVERAGE(T$393/T$391,U$393/U$391,V$393/V$391),V$393/V$391)*W$391</f>
        <v>179.71064329040246</v>
      </c>
      <c r="X393" s="16">
        <f ca="1">IF(X$6=OFFSET(Assumptions!$B$8,0,$C$1),AVERAGE(U$393/U$391,V$393/V$391,W$393/W$391),W$393/W$391)*X$391</f>
        <v>188.43147036042572</v>
      </c>
    </row>
    <row r="394" spans="1:24" x14ac:dyDescent="0.25">
      <c r="A394" s="11" t="s">
        <v>871</v>
      </c>
      <c r="B394" s="10" t="str">
        <f t="shared" ref="B394:B400" si="232">$B$38</f>
        <v>From Fiscal Forecasts</v>
      </c>
      <c r="D394" s="35">
        <f>-'Fiscal Forecasts'!D$366</f>
        <v>1.9910000000000001</v>
      </c>
      <c r="E394" s="35">
        <f>-'Fiscal Forecasts'!E$366</f>
        <v>4.226</v>
      </c>
      <c r="F394" s="35">
        <f>-'Fiscal Forecasts'!F$366</f>
        <v>4.9489999999999998</v>
      </c>
      <c r="G394" s="35">
        <f>-'Fiscal Forecasts'!G$366</f>
        <v>9.1020000000000003</v>
      </c>
      <c r="H394" s="35">
        <f>-'Fiscal Forecasts'!H$366</f>
        <v>3.5009999999999999</v>
      </c>
      <c r="I394" s="35">
        <f>-'Fiscal Forecasts'!I$366</f>
        <v>4.2350000000000003</v>
      </c>
      <c r="J394" s="17">
        <f>-'Fiscal Forecasts'!J$366</f>
        <v>7.984</v>
      </c>
      <c r="K394" s="17">
        <f>-'Fiscal Forecasts'!K$366</f>
        <v>6.8</v>
      </c>
      <c r="L394" s="17">
        <f>-'Fiscal Forecasts'!L$366</f>
        <v>7.8959999999999999</v>
      </c>
      <c r="M394" s="17">
        <f>-'Fiscal Forecasts'!M$366</f>
        <v>7.2270000000000003</v>
      </c>
      <c r="N394" s="17">
        <f>-'Fiscal Forecasts'!N$366</f>
        <v>6.9290000000000003</v>
      </c>
      <c r="O394" s="16">
        <f t="shared" ref="O394:X394" ca="1" si="233">O$393-O$391</f>
        <v>8.3471804510018472</v>
      </c>
      <c r="P394" s="16">
        <f t="shared" ca="1" si="233"/>
        <v>8.8390766566424759</v>
      </c>
      <c r="Q394" s="16">
        <f t="shared" ca="1" si="233"/>
        <v>9.3480464049870733</v>
      </c>
      <c r="R394" s="16">
        <f t="shared" ca="1" si="233"/>
        <v>9.8706520464793357</v>
      </c>
      <c r="S394" s="16">
        <f t="shared" ca="1" si="233"/>
        <v>10.405212501427371</v>
      </c>
      <c r="T394" s="16">
        <f t="shared" ca="1" si="233"/>
        <v>10.953038012502105</v>
      </c>
      <c r="U394" s="16">
        <f t="shared" ca="1" si="233"/>
        <v>11.511097735495014</v>
      </c>
      <c r="V394" s="16">
        <f t="shared" ca="1" si="233"/>
        <v>12.081593472150047</v>
      </c>
      <c r="W394" s="16">
        <f t="shared" ca="1" si="233"/>
        <v>12.6707571828656</v>
      </c>
      <c r="X394" s="16">
        <f t="shared" ca="1" si="233"/>
        <v>13.285631628890854</v>
      </c>
    </row>
    <row r="395" spans="1:24" x14ac:dyDescent="0.25">
      <c r="A395" s="11" t="s">
        <v>786</v>
      </c>
      <c r="B395" s="10" t="str">
        <f t="shared" si="232"/>
        <v>From Fiscal Forecasts</v>
      </c>
      <c r="D395" s="35">
        <f>'Fiscal Forecasts'!D$367</f>
        <v>0</v>
      </c>
      <c r="E395" s="35">
        <f>'Fiscal Forecasts'!E$367</f>
        <v>2E-3</v>
      </c>
      <c r="F395" s="35">
        <f>'Fiscal Forecasts'!F$367</f>
        <v>2E-3</v>
      </c>
      <c r="G395" s="35">
        <f>'Fiscal Forecasts'!G$367</f>
        <v>-9.9000000000000005E-2</v>
      </c>
      <c r="H395" s="35">
        <f>'Fiscal Forecasts'!H$367</f>
        <v>-0.06</v>
      </c>
      <c r="I395" s="35">
        <f>'Fiscal Forecasts'!I$367</f>
        <v>-4.0000000000000001E-3</v>
      </c>
      <c r="J395" s="17">
        <f>'Fiscal Forecasts'!J$367</f>
        <v>-2.4E-2</v>
      </c>
      <c r="K395" s="17">
        <f>'Fiscal Forecasts'!K$367</f>
        <v>-5.5E-2</v>
      </c>
      <c r="L395" s="17">
        <f>'Fiscal Forecasts'!L$367</f>
        <v>-4.4999999999999998E-2</v>
      </c>
      <c r="M395" s="17">
        <f>'Fiscal Forecasts'!M$367</f>
        <v>-5.1999999999999998E-2</v>
      </c>
      <c r="N395" s="17">
        <f>'Fiscal Forecasts'!N$367</f>
        <v>-0.06</v>
      </c>
      <c r="O395" s="16">
        <f ca="1">IF(O$6=OFFSET(Assumptions!$B$8,0,$C$1),OFFSET(Assumptions!$B$9,0,$C$1),N$395)</f>
        <v>0</v>
      </c>
      <c r="P395" s="16">
        <f ca="1">IF(P$6=OFFSET(Assumptions!$B$8,0,$C$1),OFFSET(Assumptions!$B$9,0,$C$1),O$395)</f>
        <v>0</v>
      </c>
      <c r="Q395" s="16">
        <f ca="1">IF(Q$6=OFFSET(Assumptions!$B$8,0,$C$1),OFFSET(Assumptions!$B$9,0,$C$1),P$395)</f>
        <v>0</v>
      </c>
      <c r="R395" s="16">
        <f ca="1">IF(R$6=OFFSET(Assumptions!$B$8,0,$C$1),OFFSET(Assumptions!$B$9,0,$C$1),Q$395)</f>
        <v>0</v>
      </c>
      <c r="S395" s="16">
        <f ca="1">IF(S$6=OFFSET(Assumptions!$B$8,0,$C$1),OFFSET(Assumptions!$B$9,0,$C$1),R$395)</f>
        <v>0</v>
      </c>
      <c r="T395" s="16">
        <f ca="1">IF(T$6=OFFSET(Assumptions!$B$8,0,$C$1),OFFSET(Assumptions!$B$9,0,$C$1),S$395)</f>
        <v>0</v>
      </c>
      <c r="U395" s="16">
        <f ca="1">IF(U$6=OFFSET(Assumptions!$B$8,0,$C$1),OFFSET(Assumptions!$B$9,0,$C$1),T$395)</f>
        <v>0</v>
      </c>
      <c r="V395" s="16">
        <f ca="1">IF(V$6=OFFSET(Assumptions!$B$8,0,$C$1),OFFSET(Assumptions!$B$9,0,$C$1),U$395)</f>
        <v>0</v>
      </c>
      <c r="W395" s="16">
        <f ca="1">IF(W$6=OFFSET(Assumptions!$B$8,0,$C$1),OFFSET(Assumptions!$B$9,0,$C$1),V$395)</f>
        <v>0</v>
      </c>
      <c r="X395" s="16">
        <f ca="1">IF(X$6=OFFSET(Assumptions!$B$8,0,$C$1),OFFSET(Assumptions!$B$9,0,$C$1),W$395)</f>
        <v>0</v>
      </c>
    </row>
    <row r="397" spans="1:24" x14ac:dyDescent="0.25">
      <c r="A397" s="9" t="s">
        <v>1108</v>
      </c>
      <c r="B397" s="10" t="str">
        <f t="shared" si="232"/>
        <v>From Fiscal Forecasts</v>
      </c>
      <c r="D397" s="42">
        <f>'Fiscal Forecasts'!D$125</f>
        <v>3.6880000000000002</v>
      </c>
      <c r="E397" s="42">
        <f>'Fiscal Forecasts'!E$125</f>
        <v>4.22</v>
      </c>
      <c r="F397" s="42">
        <f>'Fiscal Forecasts'!F$125</f>
        <v>4.718</v>
      </c>
      <c r="G397" s="42">
        <f>'Fiscal Forecasts'!G$125</f>
        <v>6.0960000000000001</v>
      </c>
      <c r="H397" s="42">
        <f>'Fiscal Forecasts'!H$125</f>
        <v>7.3170000000000002</v>
      </c>
      <c r="I397" s="42">
        <f>'Fiscal Forecasts'!I$125</f>
        <v>7.1740000000000004</v>
      </c>
      <c r="J397" s="43">
        <f>'Fiscal Forecasts'!J$125</f>
        <v>8.3989999999999991</v>
      </c>
      <c r="K397" s="43">
        <f>'Fiscal Forecasts'!K$125</f>
        <v>9.3089999999999993</v>
      </c>
      <c r="L397" s="43">
        <f>'Fiscal Forecasts'!L$125</f>
        <v>10.826000000000001</v>
      </c>
      <c r="M397" s="43">
        <f>'Fiscal Forecasts'!M$125</f>
        <v>12.381</v>
      </c>
      <c r="N397" s="43">
        <f>'Fiscal Forecasts'!N$125</f>
        <v>14.013999999999999</v>
      </c>
      <c r="O397" s="47">
        <f ca="1">OFFSET(Assumptions!$B$52,0,$C$1)*(O$393-O$359-O$400)</f>
        <v>10.538281498485777</v>
      </c>
      <c r="P397" s="47">
        <f ca="1">OFFSET(Assumptions!$B$52,0,$C$1)*(P$393-P$359-P$400)</f>
        <v>11.15121332063778</v>
      </c>
      <c r="Q397" s="47">
        <f ca="1">OFFSET(Assumptions!$B$52,0,$C$1)*(Q$393-Q$359-Q$400)</f>
        <v>11.78541978878242</v>
      </c>
      <c r="R397" s="47">
        <f ca="1">OFFSET(Assumptions!$B$52,0,$C$1)*(R$393-R$359-R$400)</f>
        <v>12.43661738785638</v>
      </c>
      <c r="S397" s="47">
        <f ca="1">OFFSET(Assumptions!$B$52,0,$C$1)*(S$393-S$359-S$400)</f>
        <v>13.102711392942238</v>
      </c>
      <c r="T397" s="47">
        <f ca="1">OFFSET(Assumptions!$B$52,0,$C$1)*(T$393-T$359-T$400)</f>
        <v>13.785334444053342</v>
      </c>
      <c r="U397" s="47">
        <f ca="1">OFFSET(Assumptions!$B$52,0,$C$1)*(U$393-U$359-U$400)</f>
        <v>14.480709929697113</v>
      </c>
      <c r="V397" s="47">
        <f ca="1">OFFSET(Assumptions!$B$52,0,$C$1)*(V$393-V$359-V$400)</f>
        <v>15.191581425325996</v>
      </c>
      <c r="W397" s="47">
        <f ca="1">OFFSET(Assumptions!$B$52,0,$C$1)*(W$393-W$359-W$400)</f>
        <v>15.925714322904279</v>
      </c>
      <c r="X397" s="47">
        <f ca="1">OFFSET(Assumptions!$B$52,0,$C$1)*(X$393-X$359-X$400)</f>
        <v>16.691884320304688</v>
      </c>
    </row>
    <row r="398" spans="1:24" x14ac:dyDescent="0.25">
      <c r="A398" s="9"/>
      <c r="B398" s="10"/>
      <c r="D398" s="35"/>
      <c r="E398" s="35"/>
      <c r="F398" s="35"/>
      <c r="G398" s="35"/>
      <c r="H398" s="35"/>
      <c r="I398" s="35"/>
      <c r="J398" s="17"/>
      <c r="K398" s="17"/>
      <c r="L398" s="17"/>
      <c r="M398" s="17"/>
      <c r="N398" s="17"/>
    </row>
    <row r="399" spans="1:24" x14ac:dyDescent="0.25">
      <c r="A399" s="9" t="s">
        <v>622</v>
      </c>
    </row>
    <row r="400" spans="1:24" x14ac:dyDescent="0.25">
      <c r="A400" s="11" t="s">
        <v>1036</v>
      </c>
      <c r="B400" s="10" t="str">
        <f t="shared" si="232"/>
        <v>From Fiscal Forecasts</v>
      </c>
      <c r="D400" s="35">
        <f>'Fiscal Forecasts'!D$185-D$77</f>
        <v>2.0030000000000001</v>
      </c>
      <c r="E400" s="35">
        <f>'Fiscal Forecasts'!E$185-E$77</f>
        <v>3.6860000000000017</v>
      </c>
      <c r="F400" s="35">
        <f>'Fiscal Forecasts'!F$185-F$77</f>
        <v>5.4710000000000001</v>
      </c>
      <c r="G400" s="35">
        <f>'Fiscal Forecasts'!G$185-G$77</f>
        <v>4.6139999999999972</v>
      </c>
      <c r="H400" s="35">
        <f>'Fiscal Forecasts'!H$185-H$77</f>
        <v>7.3510000000000062</v>
      </c>
      <c r="I400" s="35">
        <f>'Fiscal Forecasts'!I$185-I$77</f>
        <v>8.9179999999999993</v>
      </c>
      <c r="J400" s="17">
        <f>'Fiscal Forecasts'!J$185-J$77</f>
        <v>9.8170000000000002</v>
      </c>
      <c r="K400" s="17">
        <f>'Fiscal Forecasts'!K$185-K$77</f>
        <v>9.8189999999999991</v>
      </c>
      <c r="L400" s="17">
        <f>'Fiscal Forecasts'!L$185-L$77</f>
        <v>9.8179999999999978</v>
      </c>
      <c r="M400" s="17">
        <f>'Fiscal Forecasts'!M$185-M$77</f>
        <v>9.8170000000000002</v>
      </c>
      <c r="N400" s="17">
        <f>'Fiscal Forecasts'!N$185-N$77</f>
        <v>9.8179999999999978</v>
      </c>
      <c r="O400" s="16">
        <f ca="1">IF(O$6=OFFSET(Assumptions!$B$8,0,$C$1),AVERAGE(L$400/L$393,M$400/M$393,N$400/N$393),N$400/N$393)*O$393</f>
        <v>11.039225735632337</v>
      </c>
      <c r="P400" s="16">
        <f ca="1">IF(P$6=OFFSET(Assumptions!$B$8,0,$C$1),AVERAGE(M$400/M$393,N$400/N$393,O$400/O$393),O$400/O$393)*P$393</f>
        <v>11.689763157752671</v>
      </c>
      <c r="Q400" s="16">
        <f ca="1">IF(Q$6=OFFSET(Assumptions!$B$8,0,$C$1),AVERAGE(N$400/N$393,O$400/O$393,P$400/P$393),P$400/P$393)*Q$393</f>
        <v>12.362880502892793</v>
      </c>
      <c r="R400" s="16">
        <f ca="1">IF(R$6=OFFSET(Assumptions!$B$8,0,$C$1),AVERAGE(O$400/O$393,P$400/P$393,Q$400/Q$393),Q$400/Q$393)*R$393</f>
        <v>13.05403144673703</v>
      </c>
      <c r="S400" s="16">
        <f ca="1">IF(S$6=OFFSET(Assumptions!$B$8,0,$C$1),AVERAGE(P$400/P$393,Q$400/Q$393,R$400/R$393),R$400/R$393)*S$393</f>
        <v>13.760992745363977</v>
      </c>
      <c r="T400" s="16">
        <f ca="1">IF(T$6=OFFSET(Assumptions!$B$8,0,$C$1),AVERAGE(Q$400/Q$393,R$400/R$393,S$400/S$393),S$400/S$393)*T$393</f>
        <v>14.485497207198897</v>
      </c>
      <c r="U400" s="16">
        <f ca="1">IF(U$6=OFFSET(Assumptions!$B$8,0,$C$1),AVERAGE(R$400/R$393,S$400/S$393,T$400/T$393),T$400/T$393)*U$393</f>
        <v>15.223536511877366</v>
      </c>
      <c r="V400" s="16">
        <f ca="1">IF(V$6=OFFSET(Assumptions!$B$8,0,$C$1),AVERAGE(S$400/S$393,T$400/T$393,U$400/U$393),U$400/U$393)*V$393</f>
        <v>15.978022563199652</v>
      </c>
      <c r="W400" s="16">
        <f ca="1">IF(W$6=OFFSET(Assumptions!$B$8,0,$C$1),AVERAGE(T$400/T$393,U$400/U$393,V$400/V$393),V$400/V$393)*W$393</f>
        <v>16.757197188213439</v>
      </c>
      <c r="X400" s="16">
        <f ca="1">IF(X$6=OFFSET(Assumptions!$B$8,0,$C$1),AVERAGE(U$400/U$393,V$400/V$393,W$400/W$393),W$400/W$393)*X$393</f>
        <v>17.570374505822507</v>
      </c>
    </row>
    <row r="401" spans="1:24" x14ac:dyDescent="0.25">
      <c r="A401" s="11" t="s">
        <v>878</v>
      </c>
      <c r="D401" s="35">
        <f t="shared" ref="D401:X401" si="234">D$416</f>
        <v>10.731000000000002</v>
      </c>
      <c r="E401" s="35">
        <f t="shared" si="234"/>
        <v>10.395</v>
      </c>
      <c r="F401" s="35">
        <f t="shared" si="234"/>
        <v>10.840999999999999</v>
      </c>
      <c r="G401" s="35">
        <f t="shared" si="234"/>
        <v>9.2089999999999996</v>
      </c>
      <c r="H401" s="35">
        <f t="shared" si="234"/>
        <v>9.3729999999999993</v>
      </c>
      <c r="I401" s="35">
        <f t="shared" si="234"/>
        <v>9.5960000000000001</v>
      </c>
      <c r="J401" s="17">
        <f t="shared" si="234"/>
        <v>10.012</v>
      </c>
      <c r="K401" s="17">
        <f t="shared" si="234"/>
        <v>10.026000000000002</v>
      </c>
      <c r="L401" s="17">
        <f t="shared" si="234"/>
        <v>9.9530000000000012</v>
      </c>
      <c r="M401" s="17">
        <f t="shared" si="234"/>
        <v>9.8220000000000027</v>
      </c>
      <c r="N401" s="17">
        <f t="shared" si="234"/>
        <v>9.6330000000000027</v>
      </c>
      <c r="O401" s="16">
        <f t="shared" si="234"/>
        <v>9.5700000000000021</v>
      </c>
      <c r="P401" s="16">
        <f t="shared" si="234"/>
        <v>9.4880000000000013</v>
      </c>
      <c r="Q401" s="16">
        <f t="shared" si="234"/>
        <v>9.3870000000000005</v>
      </c>
      <c r="R401" s="16">
        <f t="shared" si="234"/>
        <v>9.2650000000000023</v>
      </c>
      <c r="S401" s="16">
        <f t="shared" si="234"/>
        <v>9.1210000000000022</v>
      </c>
      <c r="T401" s="16">
        <f t="shared" si="234"/>
        <v>8.9440000000000008</v>
      </c>
      <c r="U401" s="16">
        <f t="shared" si="234"/>
        <v>8.7349999999999994</v>
      </c>
      <c r="V401" s="16">
        <f t="shared" si="234"/>
        <v>8.4890000000000008</v>
      </c>
      <c r="W401" s="16">
        <f t="shared" si="234"/>
        <v>8.2050000000000018</v>
      </c>
      <c r="X401" s="16">
        <f t="shared" si="234"/>
        <v>7.8840000000000003</v>
      </c>
    </row>
    <row r="402" spans="1:24" x14ac:dyDescent="0.25">
      <c r="A402" s="11" t="s">
        <v>1057</v>
      </c>
      <c r="D402" s="35">
        <f t="shared" ref="D402:N402" si="235">D$77-D$416</f>
        <v>3.113999999999999</v>
      </c>
      <c r="E402" s="35">
        <f t="shared" si="235"/>
        <v>4.1609999999999996</v>
      </c>
      <c r="F402" s="35">
        <f t="shared" si="235"/>
        <v>7.8870000000000022</v>
      </c>
      <c r="G402" s="35">
        <f t="shared" si="235"/>
        <v>16.894000000000002</v>
      </c>
      <c r="H402" s="35">
        <f t="shared" si="235"/>
        <v>27.167999999999999</v>
      </c>
      <c r="I402" s="35">
        <f t="shared" si="235"/>
        <v>30.791999999999998</v>
      </c>
      <c r="J402" s="17">
        <f t="shared" si="235"/>
        <v>25.054000000000002</v>
      </c>
      <c r="K402" s="17">
        <f t="shared" si="235"/>
        <v>19.222000000000001</v>
      </c>
      <c r="L402" s="17">
        <f t="shared" si="235"/>
        <v>22.138999999999996</v>
      </c>
      <c r="M402" s="17">
        <f t="shared" si="235"/>
        <v>23.891999999999996</v>
      </c>
      <c r="N402" s="17">
        <f t="shared" si="235"/>
        <v>25.784999999999997</v>
      </c>
      <c r="O402" s="16">
        <f t="shared" ref="O402:X402" si="236">N$402</f>
        <v>25.784999999999997</v>
      </c>
      <c r="P402" s="16">
        <f t="shared" si="236"/>
        <v>25.784999999999997</v>
      </c>
      <c r="Q402" s="16">
        <f t="shared" si="236"/>
        <v>25.784999999999997</v>
      </c>
      <c r="R402" s="16">
        <f t="shared" si="236"/>
        <v>25.784999999999997</v>
      </c>
      <c r="S402" s="16">
        <f t="shared" si="236"/>
        <v>25.784999999999997</v>
      </c>
      <c r="T402" s="16">
        <f t="shared" si="236"/>
        <v>25.784999999999997</v>
      </c>
      <c r="U402" s="16">
        <f t="shared" si="236"/>
        <v>25.784999999999997</v>
      </c>
      <c r="V402" s="16">
        <f t="shared" si="236"/>
        <v>25.784999999999997</v>
      </c>
      <c r="W402" s="16">
        <f t="shared" si="236"/>
        <v>25.784999999999997</v>
      </c>
      <c r="X402" s="16">
        <f t="shared" si="236"/>
        <v>25.784999999999997</v>
      </c>
    </row>
    <row r="403" spans="1:24" x14ac:dyDescent="0.25">
      <c r="A403" s="9" t="s">
        <v>1058</v>
      </c>
      <c r="D403" s="65">
        <f t="shared" ref="D403:X403" si="237">SUM(D$400:D$402)</f>
        <v>15.848000000000001</v>
      </c>
      <c r="E403" s="65">
        <f t="shared" si="237"/>
        <v>18.242000000000001</v>
      </c>
      <c r="F403" s="65">
        <f t="shared" si="237"/>
        <v>24.198999999999998</v>
      </c>
      <c r="G403" s="65">
        <f t="shared" si="237"/>
        <v>30.716999999999999</v>
      </c>
      <c r="H403" s="65">
        <f t="shared" si="237"/>
        <v>43.892000000000003</v>
      </c>
      <c r="I403" s="65">
        <f t="shared" si="237"/>
        <v>49.305999999999997</v>
      </c>
      <c r="J403" s="66">
        <f t="shared" si="237"/>
        <v>44.883000000000003</v>
      </c>
      <c r="K403" s="66">
        <f t="shared" si="237"/>
        <v>39.067</v>
      </c>
      <c r="L403" s="66">
        <f t="shared" si="237"/>
        <v>41.91</v>
      </c>
      <c r="M403" s="66">
        <f t="shared" si="237"/>
        <v>43.530999999999999</v>
      </c>
      <c r="N403" s="66">
        <f t="shared" si="237"/>
        <v>45.235999999999997</v>
      </c>
      <c r="O403" s="67">
        <f t="shared" ca="1" si="237"/>
        <v>46.394225735632332</v>
      </c>
      <c r="P403" s="67">
        <f t="shared" ca="1" si="237"/>
        <v>46.962763157752669</v>
      </c>
      <c r="Q403" s="67">
        <f t="shared" ca="1" si="237"/>
        <v>47.53488050289279</v>
      </c>
      <c r="R403" s="67">
        <f t="shared" ca="1" si="237"/>
        <v>48.104031446737025</v>
      </c>
      <c r="S403" s="67">
        <f t="shared" ca="1" si="237"/>
        <v>48.666992745363977</v>
      </c>
      <c r="T403" s="67">
        <f t="shared" ca="1" si="237"/>
        <v>49.214497207198896</v>
      </c>
      <c r="U403" s="67">
        <f t="shared" ca="1" si="237"/>
        <v>49.743536511877366</v>
      </c>
      <c r="V403" s="67">
        <f t="shared" ca="1" si="237"/>
        <v>50.252022563199645</v>
      </c>
      <c r="W403" s="67">
        <f t="shared" ca="1" si="237"/>
        <v>50.747197188213434</v>
      </c>
      <c r="X403" s="67">
        <f t="shared" ca="1" si="237"/>
        <v>51.239374505822504</v>
      </c>
    </row>
    <row r="404" spans="1:24" x14ac:dyDescent="0.25">
      <c r="A404" s="11" t="s">
        <v>1059</v>
      </c>
      <c r="B404" s="10" t="str">
        <f t="shared" ref="B404:B405" si="238">$B$38</f>
        <v>From Fiscal Forecasts</v>
      </c>
      <c r="D404" s="35">
        <f>'Fiscal Forecasts'!D$323</f>
        <v>20.411000000000001</v>
      </c>
      <c r="E404" s="35">
        <f>'Fiscal Forecasts'!E$323</f>
        <v>22.189</v>
      </c>
      <c r="F404" s="35">
        <f>'Fiscal Forecasts'!F$323</f>
        <v>25.206</v>
      </c>
      <c r="G404" s="35">
        <f>'Fiscal Forecasts'!G$323</f>
        <v>27.786000000000001</v>
      </c>
      <c r="H404" s="35">
        <f>'Fiscal Forecasts'!H$323</f>
        <v>29.785</v>
      </c>
      <c r="I404" s="35">
        <f>'Fiscal Forecasts'!I$323</f>
        <v>32.487000000000002</v>
      </c>
      <c r="J404" s="17">
        <f>'Fiscal Forecasts'!J$323</f>
        <v>35.345999999999997</v>
      </c>
      <c r="K404" s="17">
        <f>'Fiscal Forecasts'!K$323</f>
        <v>38.869999999999997</v>
      </c>
      <c r="L404" s="17">
        <f>'Fiscal Forecasts'!L$323</f>
        <v>42.386000000000003</v>
      </c>
      <c r="M404" s="17">
        <f>'Fiscal Forecasts'!M$323</f>
        <v>46.438000000000002</v>
      </c>
      <c r="N404" s="17">
        <f>'Fiscal Forecasts'!N$323</f>
        <v>50.116999999999997</v>
      </c>
      <c r="O404" s="16">
        <f t="shared" ref="O404:X404" ca="1" si="239">N$404*(1+O$14)</f>
        <v>52.279425450562982</v>
      </c>
      <c r="P404" s="16">
        <f t="shared" ca="1" si="239"/>
        <v>54.509151233088772</v>
      </c>
      <c r="Q404" s="16">
        <f t="shared" ca="1" si="239"/>
        <v>56.743718359475103</v>
      </c>
      <c r="R404" s="16">
        <f t="shared" ca="1" si="239"/>
        <v>58.978087401571777</v>
      </c>
      <c r="S404" s="16">
        <f t="shared" ca="1" si="239"/>
        <v>61.26172352363735</v>
      </c>
      <c r="T404" s="16">
        <f t="shared" ca="1" si="239"/>
        <v>63.591141692770542</v>
      </c>
      <c r="U404" s="16">
        <f t="shared" ca="1" si="239"/>
        <v>65.951618115721672</v>
      </c>
      <c r="V404" s="16">
        <f t="shared" ca="1" si="239"/>
        <v>68.347583846205168</v>
      </c>
      <c r="W404" s="16">
        <f t="shared" ca="1" si="239"/>
        <v>70.778949618957014</v>
      </c>
      <c r="X404" s="16">
        <f t="shared" ca="1" si="239"/>
        <v>73.264037062229775</v>
      </c>
    </row>
    <row r="405" spans="1:24" x14ac:dyDescent="0.25">
      <c r="A405" s="11" t="s">
        <v>1060</v>
      </c>
      <c r="B405" s="10" t="str">
        <f t="shared" si="238"/>
        <v>From Fiscal Forecasts</v>
      </c>
      <c r="D405" s="35">
        <f>'Fiscal Forecasts'!D$124-SUM(D$403:D$404)</f>
        <v>-2.5690000000000026</v>
      </c>
      <c r="E405" s="35">
        <f>'Fiscal Forecasts'!E$124-SUM(E$403:E$404)</f>
        <v>-2.8019999999999996</v>
      </c>
      <c r="F405" s="35">
        <f>'Fiscal Forecasts'!F$124-SUM(F$403:F$404)</f>
        <v>-3.7929999999999993</v>
      </c>
      <c r="G405" s="35">
        <f>'Fiscal Forecasts'!G$124-SUM(G$403:G$404)</f>
        <v>-3.8440000000000012</v>
      </c>
      <c r="H405" s="35">
        <f>'Fiscal Forecasts'!H$124-SUM(H$403:H$404)</f>
        <v>-7.1880000000000024</v>
      </c>
      <c r="I405" s="35">
        <f>'Fiscal Forecasts'!I$124-SUM(I$403:I$404)</f>
        <v>-12.415000000000006</v>
      </c>
      <c r="J405" s="17">
        <f>'Fiscal Forecasts'!J$124-SUM(J$403:J$404)</f>
        <v>-15.823999999999998</v>
      </c>
      <c r="K405" s="17">
        <f>'Fiscal Forecasts'!K$124-SUM(K$403:K$404)</f>
        <v>-17.169999999999995</v>
      </c>
      <c r="L405" s="17">
        <f>'Fiscal Forecasts'!L$124-SUM(L$403:L$404)</f>
        <v>-19.888999999999996</v>
      </c>
      <c r="M405" s="17">
        <f>'Fiscal Forecasts'!M$124-SUM(M$403:M$404)</f>
        <v>-21.447999999999993</v>
      </c>
      <c r="N405" s="17">
        <f>'Fiscal Forecasts'!N$124-SUM(N$403:N$404)</f>
        <v>-23.143999999999991</v>
      </c>
      <c r="O405" s="16">
        <f t="shared" ref="O405:X405" si="240">N$405*O$402/N$402</f>
        <v>-23.143999999999991</v>
      </c>
      <c r="P405" s="16">
        <f t="shared" si="240"/>
        <v>-23.143999999999991</v>
      </c>
      <c r="Q405" s="16">
        <f t="shared" si="240"/>
        <v>-23.143999999999991</v>
      </c>
      <c r="R405" s="16">
        <f t="shared" si="240"/>
        <v>-23.143999999999991</v>
      </c>
      <c r="S405" s="16">
        <f t="shared" si="240"/>
        <v>-23.143999999999991</v>
      </c>
      <c r="T405" s="16">
        <f t="shared" si="240"/>
        <v>-23.143999999999991</v>
      </c>
      <c r="U405" s="16">
        <f t="shared" si="240"/>
        <v>-23.143999999999991</v>
      </c>
      <c r="V405" s="16">
        <f t="shared" si="240"/>
        <v>-23.143999999999991</v>
      </c>
      <c r="W405" s="16">
        <f t="shared" si="240"/>
        <v>-23.143999999999991</v>
      </c>
      <c r="X405" s="16">
        <f t="shared" si="240"/>
        <v>-23.143999999999991</v>
      </c>
    </row>
    <row r="406" spans="1:24" x14ac:dyDescent="0.25">
      <c r="A406" s="9" t="s">
        <v>1061</v>
      </c>
      <c r="D406" s="65">
        <f t="shared" ref="D406:X406" si="241">SUM(D$403:D$405)</f>
        <v>33.69</v>
      </c>
      <c r="E406" s="65">
        <f t="shared" si="241"/>
        <v>37.628999999999998</v>
      </c>
      <c r="F406" s="65">
        <f t="shared" si="241"/>
        <v>45.612000000000002</v>
      </c>
      <c r="G406" s="65">
        <f t="shared" si="241"/>
        <v>54.658999999999999</v>
      </c>
      <c r="H406" s="65">
        <f t="shared" si="241"/>
        <v>66.489000000000004</v>
      </c>
      <c r="I406" s="65">
        <f t="shared" si="241"/>
        <v>69.378</v>
      </c>
      <c r="J406" s="66">
        <f t="shared" si="241"/>
        <v>64.405000000000001</v>
      </c>
      <c r="K406" s="66">
        <f t="shared" si="241"/>
        <v>60.767000000000003</v>
      </c>
      <c r="L406" s="66">
        <f t="shared" si="241"/>
        <v>64.406999999999996</v>
      </c>
      <c r="M406" s="66">
        <f t="shared" si="241"/>
        <v>68.521000000000001</v>
      </c>
      <c r="N406" s="66">
        <f t="shared" si="241"/>
        <v>72.209000000000003</v>
      </c>
      <c r="O406" s="67">
        <f t="shared" ca="1" si="241"/>
        <v>75.529651186195323</v>
      </c>
      <c r="P406" s="67">
        <f t="shared" ca="1" si="241"/>
        <v>78.327914390841457</v>
      </c>
      <c r="Q406" s="67">
        <f t="shared" ca="1" si="241"/>
        <v>81.134598862367895</v>
      </c>
      <c r="R406" s="67">
        <f t="shared" ca="1" si="241"/>
        <v>83.938118848308804</v>
      </c>
      <c r="S406" s="67">
        <f t="shared" ca="1" si="241"/>
        <v>86.784716269001336</v>
      </c>
      <c r="T406" s="67">
        <f t="shared" ca="1" si="241"/>
        <v>89.661638899969446</v>
      </c>
      <c r="U406" s="67">
        <f t="shared" ca="1" si="241"/>
        <v>92.551154627599047</v>
      </c>
      <c r="V406" s="67">
        <f t="shared" ca="1" si="241"/>
        <v>95.455606409404822</v>
      </c>
      <c r="W406" s="67">
        <f t="shared" ca="1" si="241"/>
        <v>98.382146807170457</v>
      </c>
      <c r="X406" s="67">
        <f t="shared" ca="1" si="241"/>
        <v>101.35941156805229</v>
      </c>
    </row>
    <row r="408" spans="1:24" x14ac:dyDescent="0.25">
      <c r="A408" s="9" t="s">
        <v>878</v>
      </c>
    </row>
    <row r="409" spans="1:24" x14ac:dyDescent="0.25">
      <c r="A409" s="11" t="s">
        <v>471</v>
      </c>
      <c r="B409" s="10" t="str">
        <f>$B$38</f>
        <v>From Fiscal Forecasts</v>
      </c>
      <c r="D409" s="35">
        <f>'Fiscal Forecasts'!D$325</f>
        <v>1.361</v>
      </c>
      <c r="E409" s="35">
        <f>'Fiscal Forecasts'!E$325</f>
        <v>1.413</v>
      </c>
      <c r="F409" s="35">
        <f>'Fiscal Forecasts'!F$325</f>
        <v>1.43</v>
      </c>
      <c r="G409" s="35">
        <f>'Fiscal Forecasts'!G$325</f>
        <v>1.2949999999999999</v>
      </c>
      <c r="H409" s="35">
        <f>'Fiscal Forecasts'!H$325</f>
        <v>1.2709999999999999</v>
      </c>
      <c r="I409" s="35">
        <f>'Fiscal Forecasts'!I$325</f>
        <v>1.3480000000000001</v>
      </c>
      <c r="J409" s="17">
        <f>'Fiscal Forecasts'!J$325</f>
        <v>1.6339999999999999</v>
      </c>
      <c r="K409" s="17">
        <f>'Fiscal Forecasts'!K$325</f>
        <v>1.877</v>
      </c>
      <c r="L409" s="17">
        <f>'Fiscal Forecasts'!L$325</f>
        <v>1.855</v>
      </c>
      <c r="M409" s="17">
        <f>'Fiscal Forecasts'!M$325</f>
        <v>1.8620000000000001</v>
      </c>
      <c r="N409" s="17">
        <f>'Fiscal Forecasts'!N$325</f>
        <v>1.907</v>
      </c>
      <c r="O409" s="16">
        <f>Exogenous!Z$16</f>
        <v>1.9390000000000001</v>
      </c>
      <c r="P409" s="16">
        <f>Exogenous!AA$16</f>
        <v>1.994</v>
      </c>
      <c r="Q409" s="16">
        <f>Exogenous!AB$16</f>
        <v>2.044</v>
      </c>
      <c r="R409" s="16">
        <f>Exogenous!AC$16</f>
        <v>2.0880000000000001</v>
      </c>
      <c r="S409" s="16">
        <f>Exogenous!AD$16</f>
        <v>2.1309999999999998</v>
      </c>
      <c r="T409" s="16">
        <f>Exogenous!AE$16</f>
        <v>2.1709999999999998</v>
      </c>
      <c r="U409" s="16">
        <f>Exogenous!AF$16</f>
        <v>2.21</v>
      </c>
      <c r="V409" s="16">
        <f>Exogenous!AG$16</f>
        <v>2.25</v>
      </c>
      <c r="W409" s="16">
        <f>Exogenous!AH$16</f>
        <v>2.2909999999999999</v>
      </c>
      <c r="X409" s="16">
        <f>Exogenous!AI$16</f>
        <v>2.3340000000000001</v>
      </c>
    </row>
    <row r="410" spans="1:24" x14ac:dyDescent="0.25">
      <c r="A410" s="11" t="s">
        <v>472</v>
      </c>
      <c r="B410" s="10" t="str">
        <f t="shared" ref="B410:B415" si="242">$B$38</f>
        <v>From Fiscal Forecasts</v>
      </c>
      <c r="D410" s="35">
        <f>'Fiscal Forecasts'!D$326</f>
        <v>3.5999999999999997E-2</v>
      </c>
      <c r="E410" s="35">
        <f>'Fiscal Forecasts'!E$326</f>
        <v>3.5999999999999997E-2</v>
      </c>
      <c r="F410" s="35">
        <f>'Fiscal Forecasts'!F$326</f>
        <v>3.7999999999999999E-2</v>
      </c>
      <c r="G410" s="35">
        <f>'Fiscal Forecasts'!G$326</f>
        <v>3.7999999999999999E-2</v>
      </c>
      <c r="H410" s="35">
        <f>'Fiscal Forecasts'!H$326</f>
        <v>0.03</v>
      </c>
      <c r="I410" s="35">
        <f>'Fiscal Forecasts'!I$326</f>
        <v>2.8000000000000001E-2</v>
      </c>
      <c r="J410" s="17">
        <f>'Fiscal Forecasts'!J$326</f>
        <v>2.5999999999999999E-2</v>
      </c>
      <c r="K410" s="17">
        <f>'Fiscal Forecasts'!K$326</f>
        <v>2.5000000000000001E-2</v>
      </c>
      <c r="L410" s="17">
        <f>'Fiscal Forecasts'!L$326</f>
        <v>2.4E-2</v>
      </c>
      <c r="M410" s="17">
        <f>'Fiscal Forecasts'!M$326</f>
        <v>2.5000000000000001E-2</v>
      </c>
      <c r="N410" s="17">
        <f>'Fiscal Forecasts'!N$326</f>
        <v>2.5999999999999999E-2</v>
      </c>
      <c r="O410" s="16">
        <f>Exogenous!Z$17</f>
        <v>2.5999999999999999E-2</v>
      </c>
      <c r="P410" s="16">
        <f>Exogenous!AA$17</f>
        <v>2.7E-2</v>
      </c>
      <c r="Q410" s="16">
        <f>Exogenous!AB$17</f>
        <v>2.8000000000000001E-2</v>
      </c>
      <c r="R410" s="16">
        <f>Exogenous!AC$17</f>
        <v>2.8000000000000001E-2</v>
      </c>
      <c r="S410" s="16">
        <f>Exogenous!AD$17</f>
        <v>2.9000000000000001E-2</v>
      </c>
      <c r="T410" s="16">
        <f>Exogenous!AE$17</f>
        <v>2.7E-2</v>
      </c>
      <c r="U410" s="16">
        <f>Exogenous!AF$17</f>
        <v>3.1E-2</v>
      </c>
      <c r="V410" s="16">
        <f>Exogenous!AG$17</f>
        <v>3.1E-2</v>
      </c>
      <c r="W410" s="16">
        <f>Exogenous!AH$17</f>
        <v>3.2000000000000001E-2</v>
      </c>
      <c r="X410" s="16">
        <f>Exogenous!AI$17</f>
        <v>3.3000000000000002E-2</v>
      </c>
    </row>
    <row r="411" spans="1:24" x14ac:dyDescent="0.25">
      <c r="A411" s="11" t="s">
        <v>879</v>
      </c>
      <c r="B411" s="10" t="str">
        <f t="shared" si="242"/>
        <v>From Fiscal Forecasts</v>
      </c>
      <c r="D411" s="35">
        <f>'Fiscal Forecasts'!D$327</f>
        <v>0.56299999999999994</v>
      </c>
      <c r="E411" s="35">
        <f>'Fiscal Forecasts'!E$327</f>
        <v>0.50600000000000001</v>
      </c>
      <c r="F411" s="35">
        <f>'Fiscal Forecasts'!F$327</f>
        <v>0.46899999999999997</v>
      </c>
      <c r="G411" s="35">
        <f>'Fiscal Forecasts'!G$327</f>
        <v>0.48899999999999999</v>
      </c>
      <c r="H411" s="35">
        <f>'Fiscal Forecasts'!H$327</f>
        <v>0.55100000000000005</v>
      </c>
      <c r="I411" s="35">
        <f>'Fiscal Forecasts'!I$327</f>
        <v>0.54400000000000004</v>
      </c>
      <c r="J411" s="17">
        <f>'Fiscal Forecasts'!J$327</f>
        <v>0.56000000000000005</v>
      </c>
      <c r="K411" s="17">
        <f>'Fiscal Forecasts'!K$327</f>
        <v>0.63600000000000001</v>
      </c>
      <c r="L411" s="17">
        <f>'Fiscal Forecasts'!L$327</f>
        <v>0.628</v>
      </c>
      <c r="M411" s="17">
        <f>'Fiscal Forecasts'!M$327</f>
        <v>0.627</v>
      </c>
      <c r="N411" s="17">
        <f>'Fiscal Forecasts'!N$327</f>
        <v>0.65300000000000002</v>
      </c>
      <c r="O411" s="16">
        <f>Exogenous!Z$18</f>
        <v>0.65600000000000003</v>
      </c>
      <c r="P411" s="16">
        <f>Exogenous!AA$18</f>
        <v>0.67400000000000004</v>
      </c>
      <c r="Q411" s="16">
        <f>Exogenous!AB$18</f>
        <v>0.69299999999999995</v>
      </c>
      <c r="R411" s="16">
        <f>Exogenous!AC$18</f>
        <v>0.71099999999999997</v>
      </c>
      <c r="S411" s="16">
        <f>Exogenous!AD$18</f>
        <v>0.72699999999999998</v>
      </c>
      <c r="T411" s="16">
        <f>Exogenous!AE$18</f>
        <v>0.74199999999999999</v>
      </c>
      <c r="U411" s="16">
        <f>Exogenous!AF$18</f>
        <v>0.75600000000000001</v>
      </c>
      <c r="V411" s="16">
        <f>Exogenous!AG$18</f>
        <v>0.76900000000000002</v>
      </c>
      <c r="W411" s="16">
        <f>Exogenous!AH$18</f>
        <v>0.78300000000000003</v>
      </c>
      <c r="X411" s="16">
        <f>Exogenous!AI$18</f>
        <v>0.79700000000000004</v>
      </c>
    </row>
    <row r="412" spans="1:24" x14ac:dyDescent="0.25">
      <c r="A412" s="11" t="s">
        <v>880</v>
      </c>
      <c r="B412" s="10" t="str">
        <f>$B$38</f>
        <v>From Fiscal Forecasts</v>
      </c>
      <c r="D412" s="35">
        <f>'Fiscal Forecasts'!D$328</f>
        <v>1.371</v>
      </c>
      <c r="E412" s="35">
        <f>'Fiscal Forecasts'!E$328</f>
        <v>1.4770000000000001</v>
      </c>
      <c r="F412" s="35">
        <f>'Fiscal Forecasts'!F$328</f>
        <v>1.4950000000000001</v>
      </c>
      <c r="G412" s="35">
        <f>'Fiscal Forecasts'!G$328</f>
        <v>1.605</v>
      </c>
      <c r="H412" s="35">
        <f>'Fiscal Forecasts'!H$328</f>
        <v>1.6339999999999999</v>
      </c>
      <c r="I412" s="35">
        <f>'Fiscal Forecasts'!I$328</f>
        <v>1.5980000000000001</v>
      </c>
      <c r="J412" s="17">
        <f>'Fiscal Forecasts'!J$328</f>
        <v>1.5669999999999999</v>
      </c>
      <c r="K412" s="17">
        <f>'Fiscal Forecasts'!K$328</f>
        <v>1.631</v>
      </c>
      <c r="L412" s="17">
        <f>'Fiscal Forecasts'!L$328</f>
        <v>1.6890000000000001</v>
      </c>
      <c r="M412" s="17">
        <f>'Fiscal Forecasts'!M$328</f>
        <v>1.736</v>
      </c>
      <c r="N412" s="17">
        <f>'Fiscal Forecasts'!N$328</f>
        <v>1.7869999999999999</v>
      </c>
      <c r="O412" s="16">
        <f>Exogenous!Z$19</f>
        <v>1.6779999999999999</v>
      </c>
      <c r="P412" s="16">
        <f>Exogenous!AA$19</f>
        <v>1.736</v>
      </c>
      <c r="Q412" s="16">
        <f>Exogenous!AB$19</f>
        <v>1.79</v>
      </c>
      <c r="R412" s="16">
        <f>Exogenous!AC$19</f>
        <v>1.839</v>
      </c>
      <c r="S412" s="16">
        <f>Exogenous!AD$19</f>
        <v>1.887</v>
      </c>
      <c r="T412" s="16">
        <f>Exogenous!AE$19</f>
        <v>1.9350000000000001</v>
      </c>
      <c r="U412" s="16">
        <f>Exogenous!AF$19</f>
        <v>1.9810000000000001</v>
      </c>
      <c r="V412" s="16">
        <f>Exogenous!AG$19</f>
        <v>2.0249999999999999</v>
      </c>
      <c r="W412" s="16">
        <f>Exogenous!AH$19</f>
        <v>2.069</v>
      </c>
      <c r="X412" s="16">
        <f>Exogenous!AI$19</f>
        <v>2.1110000000000002</v>
      </c>
    </row>
    <row r="413" spans="1:24" x14ac:dyDescent="0.25">
      <c r="A413" s="11" t="s">
        <v>473</v>
      </c>
      <c r="B413" s="10" t="str">
        <f t="shared" si="242"/>
        <v>From Fiscal Forecasts</v>
      </c>
      <c r="D413" s="35">
        <f>'Fiscal Forecasts'!D$329</f>
        <v>0.39400000000000002</v>
      </c>
      <c r="E413" s="35">
        <f>'Fiscal Forecasts'!E$329</f>
        <v>0.33100000000000002</v>
      </c>
      <c r="F413" s="35">
        <f>'Fiscal Forecasts'!F$329</f>
        <v>0.23499999999999999</v>
      </c>
      <c r="G413" s="35">
        <f>'Fiscal Forecasts'!G$329</f>
        <v>0.28000000000000003</v>
      </c>
      <c r="H413" s="35">
        <f>'Fiscal Forecasts'!H$329</f>
        <v>0.57699999999999996</v>
      </c>
      <c r="I413" s="35">
        <f>'Fiscal Forecasts'!I$329</f>
        <v>0.63400000000000001</v>
      </c>
      <c r="J413" s="17">
        <f>'Fiscal Forecasts'!J$329</f>
        <v>0.502</v>
      </c>
      <c r="K413" s="17">
        <f>'Fiscal Forecasts'!K$329</f>
        <v>0.41299999999999998</v>
      </c>
      <c r="L413" s="17">
        <f>'Fiscal Forecasts'!L$329</f>
        <v>0.42899999999999999</v>
      </c>
      <c r="M413" s="17">
        <f>'Fiscal Forecasts'!M$329</f>
        <v>0.46100000000000002</v>
      </c>
      <c r="N413" s="17">
        <f>'Fiscal Forecasts'!N$329</f>
        <v>0.48599999999999999</v>
      </c>
      <c r="O413" s="16">
        <f>Exogenous!Z$20</f>
        <v>0.50700000000000001</v>
      </c>
      <c r="P413" s="16">
        <f>Exogenous!AA$20</f>
        <v>0.52800000000000002</v>
      </c>
      <c r="Q413" s="16">
        <f>Exogenous!AB$20</f>
        <v>0.54300000000000004</v>
      </c>
      <c r="R413" s="16">
        <f>Exogenous!AC$20</f>
        <v>0.55300000000000005</v>
      </c>
      <c r="S413" s="16">
        <f>Exogenous!AD$20</f>
        <v>0.55800000000000005</v>
      </c>
      <c r="T413" s="16">
        <f>Exogenous!AE$20</f>
        <v>0.55700000000000005</v>
      </c>
      <c r="U413" s="16">
        <f>Exogenous!AF$20</f>
        <v>0.54800000000000004</v>
      </c>
      <c r="V413" s="16">
        <f>Exogenous!AG$20</f>
        <v>0.53400000000000003</v>
      </c>
      <c r="W413" s="16">
        <f>Exogenous!AH$20</f>
        <v>0.51800000000000002</v>
      </c>
      <c r="X413" s="16">
        <f>Exogenous!AI$20</f>
        <v>0.498</v>
      </c>
    </row>
    <row r="414" spans="1:24" x14ac:dyDescent="0.25">
      <c r="A414" s="11" t="s">
        <v>1241</v>
      </c>
      <c r="B414" s="10" t="str">
        <f t="shared" si="242"/>
        <v>From Fiscal Forecasts</v>
      </c>
      <c r="D414" s="35">
        <f>'Fiscal Forecasts'!D$330</f>
        <v>0</v>
      </c>
      <c r="E414" s="35">
        <f>'Fiscal Forecasts'!E$330</f>
        <v>0</v>
      </c>
      <c r="F414" s="35">
        <f>'Fiscal Forecasts'!F$330</f>
        <v>0</v>
      </c>
      <c r="G414" s="35">
        <f>'Fiscal Forecasts'!G$330</f>
        <v>0</v>
      </c>
      <c r="H414" s="35">
        <f>'Fiscal Forecasts'!H$330</f>
        <v>0</v>
      </c>
      <c r="I414" s="35">
        <f>'Fiscal Forecasts'!I$330</f>
        <v>0</v>
      </c>
      <c r="J414" s="17">
        <f>'Fiscal Forecasts'!J$330</f>
        <v>0</v>
      </c>
      <c r="K414" s="17">
        <f>'Fiscal Forecasts'!K$330</f>
        <v>3.4000000000000002E-2</v>
      </c>
      <c r="L414" s="17">
        <f>'Fiscal Forecasts'!L$330</f>
        <v>6.4000000000000001E-2</v>
      </c>
      <c r="M414" s="17">
        <f>'Fiscal Forecasts'!M$330</f>
        <v>0.11600000000000001</v>
      </c>
      <c r="N414" s="17">
        <f>'Fiscal Forecasts'!N$330</f>
        <v>0.16800000000000001</v>
      </c>
      <c r="O414" s="16">
        <f>Exogenous!Z$21</f>
        <v>0.20100000000000001</v>
      </c>
      <c r="P414" s="16">
        <f>Exogenous!AA$21</f>
        <v>0.221</v>
      </c>
      <c r="Q414" s="16">
        <f>Exogenous!AB$21</f>
        <v>0.23300000000000001</v>
      </c>
      <c r="R414" s="16">
        <f>Exogenous!AC$21</f>
        <v>0.24099999999999999</v>
      </c>
      <c r="S414" s="16">
        <f>Exogenous!AD$21</f>
        <v>0.248</v>
      </c>
      <c r="T414" s="16">
        <f>Exogenous!AE$21</f>
        <v>0.255</v>
      </c>
      <c r="U414" s="16">
        <f>Exogenous!AF$21</f>
        <v>0.26100000000000001</v>
      </c>
      <c r="V414" s="16">
        <f>Exogenous!AG$21</f>
        <v>0.26700000000000002</v>
      </c>
      <c r="W414" s="16">
        <f>Exogenous!AH$21</f>
        <v>0.27300000000000002</v>
      </c>
      <c r="X414" s="16">
        <f>Exogenous!AI$21</f>
        <v>0.27800000000000002</v>
      </c>
    </row>
    <row r="415" spans="1:24" x14ac:dyDescent="0.25">
      <c r="A415" s="11" t="s">
        <v>474</v>
      </c>
      <c r="B415" s="10" t="str">
        <f t="shared" si="242"/>
        <v>From Fiscal Forecasts</v>
      </c>
      <c r="D415" s="35">
        <f>'Fiscal Forecasts'!D$331</f>
        <v>0.94499999999999995</v>
      </c>
      <c r="E415" s="35">
        <f>'Fiscal Forecasts'!E$331</f>
        <v>-0.13300000000000001</v>
      </c>
      <c r="F415" s="35">
        <f>'Fiscal Forecasts'!F$331</f>
        <v>0.70699999999999996</v>
      </c>
      <c r="G415" s="35">
        <f>'Fiscal Forecasts'!G$331</f>
        <v>-1.151</v>
      </c>
      <c r="H415" s="35">
        <f>'Fiscal Forecasts'!H$331</f>
        <v>0.47099999999999997</v>
      </c>
      <c r="I415" s="35">
        <f>'Fiscal Forecasts'!I$331</f>
        <v>0.35499999999999998</v>
      </c>
      <c r="J415" s="17">
        <f>'Fiscal Forecasts'!J$331</f>
        <v>0.38100000000000001</v>
      </c>
      <c r="K415" s="17">
        <f>'Fiscal Forecasts'!K$331</f>
        <v>0</v>
      </c>
      <c r="L415" s="17">
        <f>'Fiscal Forecasts'!L$331</f>
        <v>0</v>
      </c>
      <c r="M415" s="17">
        <f>'Fiscal Forecasts'!M$331</f>
        <v>0</v>
      </c>
      <c r="N415" s="17">
        <f>'Fiscal Forecasts'!N$331</f>
        <v>0</v>
      </c>
      <c r="O415" s="16">
        <f>Exogenous!Z$22</f>
        <v>0</v>
      </c>
      <c r="P415" s="16">
        <f>Exogenous!AA$22</f>
        <v>0</v>
      </c>
      <c r="Q415" s="16">
        <f>Exogenous!AB$22</f>
        <v>0</v>
      </c>
      <c r="R415" s="16">
        <f>Exogenous!AC$22</f>
        <v>0</v>
      </c>
      <c r="S415" s="16">
        <f>Exogenous!AD$22</f>
        <v>0</v>
      </c>
      <c r="T415" s="16">
        <f>Exogenous!AE$22</f>
        <v>0</v>
      </c>
      <c r="U415" s="16">
        <f>Exogenous!AF$22</f>
        <v>0</v>
      </c>
      <c r="V415" s="16">
        <f>Exogenous!AG$22</f>
        <v>0</v>
      </c>
      <c r="W415" s="16">
        <f>Exogenous!AH$22</f>
        <v>0</v>
      </c>
      <c r="X415" s="16">
        <f>Exogenous!AI$22</f>
        <v>0</v>
      </c>
    </row>
    <row r="416" spans="1:24" x14ac:dyDescent="0.25">
      <c r="A416" s="9" t="s">
        <v>760</v>
      </c>
      <c r="C416" s="76">
        <f>'Fiscal Forecasts'!$C$332</f>
        <v>9.9290000000000003</v>
      </c>
      <c r="D416" s="65">
        <f>SUM(C$416,D$409,D$410,D$413,D$415)-SUM(D$411,D$412,D$414)</f>
        <v>10.731000000000002</v>
      </c>
      <c r="E416" s="65">
        <f t="shared" ref="E416:X416" si="243">SUM(D$416,E$409,E$410,E$413,E$415)-SUM(E$411,E$412,E$414)</f>
        <v>10.395</v>
      </c>
      <c r="F416" s="65">
        <f t="shared" si="243"/>
        <v>10.840999999999999</v>
      </c>
      <c r="G416" s="65">
        <f t="shared" si="243"/>
        <v>9.2089999999999996</v>
      </c>
      <c r="H416" s="65">
        <f t="shared" si="243"/>
        <v>9.3729999999999993</v>
      </c>
      <c r="I416" s="65">
        <f t="shared" si="243"/>
        <v>9.5960000000000001</v>
      </c>
      <c r="J416" s="66">
        <f t="shared" si="243"/>
        <v>10.012</v>
      </c>
      <c r="K416" s="66">
        <f t="shared" si="243"/>
        <v>10.026000000000002</v>
      </c>
      <c r="L416" s="66">
        <f t="shared" si="243"/>
        <v>9.9530000000000012</v>
      </c>
      <c r="M416" s="66">
        <f t="shared" si="243"/>
        <v>9.8220000000000027</v>
      </c>
      <c r="N416" s="66">
        <f t="shared" si="243"/>
        <v>9.6330000000000027</v>
      </c>
      <c r="O416" s="67">
        <f t="shared" si="243"/>
        <v>9.5700000000000021</v>
      </c>
      <c r="P416" s="67">
        <f t="shared" si="243"/>
        <v>9.4880000000000013</v>
      </c>
      <c r="Q416" s="67">
        <f t="shared" si="243"/>
        <v>9.3870000000000005</v>
      </c>
      <c r="R416" s="67">
        <f t="shared" si="243"/>
        <v>9.2650000000000023</v>
      </c>
      <c r="S416" s="67">
        <f t="shared" si="243"/>
        <v>9.1210000000000022</v>
      </c>
      <c r="T416" s="67">
        <f t="shared" si="243"/>
        <v>8.9440000000000008</v>
      </c>
      <c r="U416" s="67">
        <f t="shared" si="243"/>
        <v>8.7349999999999994</v>
      </c>
      <c r="V416" s="67">
        <f t="shared" si="243"/>
        <v>8.4890000000000008</v>
      </c>
      <c r="W416" s="67">
        <f t="shared" si="243"/>
        <v>8.2050000000000018</v>
      </c>
      <c r="X416" s="67">
        <f t="shared" si="243"/>
        <v>7.8840000000000003</v>
      </c>
    </row>
    <row r="418" spans="1:24" x14ac:dyDescent="0.25">
      <c r="A418" s="9" t="s">
        <v>624</v>
      </c>
    </row>
    <row r="419" spans="1:24" x14ac:dyDescent="0.25">
      <c r="A419" s="9" t="s">
        <v>1062</v>
      </c>
      <c r="B419" s="10" t="str">
        <f t="shared" ref="B419:B420" si="244">$B$38</f>
        <v>From Fiscal Forecasts</v>
      </c>
      <c r="D419" s="42">
        <f>ROUND('Fiscal Forecasts'!D$189*D$420/SUM(D$420,D$424),3)</f>
        <v>0.75700000000000001</v>
      </c>
      <c r="E419" s="42">
        <f>ROUND('Fiscal Forecasts'!E$189*E$420/SUM(E$420,E$424),3)</f>
        <v>1.0569999999999999</v>
      </c>
      <c r="F419" s="42">
        <f>ROUND('Fiscal Forecasts'!F$189*F$420/SUM(F$420,F$424),3)</f>
        <v>1.169</v>
      </c>
      <c r="G419" s="42">
        <f>ROUND('Fiscal Forecasts'!G$189*G$420/SUM(G$420,G$424),3)</f>
        <v>1.7330000000000001</v>
      </c>
      <c r="H419" s="42">
        <f>ROUND('Fiscal Forecasts'!H$189*H$420/SUM(H$420,H$424),3)</f>
        <v>1.5860000000000001</v>
      </c>
      <c r="I419" s="42">
        <f>ROUND('Fiscal Forecasts'!I$189*I$420/SUM(I$420,I$424),3)</f>
        <v>1.6120000000000001</v>
      </c>
      <c r="J419" s="43">
        <f>ROUND('Fiscal Forecasts'!J$189*J$420/SUM(J$420,J$424),3)</f>
        <v>1.899</v>
      </c>
      <c r="K419" s="43">
        <f>ROUND('Fiscal Forecasts'!K$189*K$420/SUM(K$420,K$424),3)</f>
        <v>1.835</v>
      </c>
      <c r="L419" s="43">
        <f>ROUND('Fiscal Forecasts'!L$189*L$420/SUM(L$420,L$424),3)</f>
        <v>1.8320000000000001</v>
      </c>
      <c r="M419" s="43">
        <f>ROUND('Fiscal Forecasts'!M$189*M$420/SUM(M$420,M$424),3)</f>
        <v>1.734</v>
      </c>
      <c r="N419" s="43">
        <f>ROUND('Fiscal Forecasts'!N$189*N$420/SUM(N$420,N$424),3)</f>
        <v>1.649</v>
      </c>
      <c r="O419" s="47">
        <f t="shared" ref="O419:X419" si="245">N$419</f>
        <v>1.649</v>
      </c>
      <c r="P419" s="47">
        <f t="shared" si="245"/>
        <v>1.649</v>
      </c>
      <c r="Q419" s="47">
        <f t="shared" si="245"/>
        <v>1.649</v>
      </c>
      <c r="R419" s="47">
        <f t="shared" si="245"/>
        <v>1.649</v>
      </c>
      <c r="S419" s="47">
        <f t="shared" si="245"/>
        <v>1.649</v>
      </c>
      <c r="T419" s="47">
        <f t="shared" si="245"/>
        <v>1.649</v>
      </c>
      <c r="U419" s="47">
        <f t="shared" si="245"/>
        <v>1.649</v>
      </c>
      <c r="V419" s="47">
        <f t="shared" si="245"/>
        <v>1.649</v>
      </c>
      <c r="W419" s="47">
        <f t="shared" si="245"/>
        <v>1.649</v>
      </c>
      <c r="X419" s="47">
        <f t="shared" si="245"/>
        <v>1.649</v>
      </c>
    </row>
    <row r="420" spans="1:24" x14ac:dyDescent="0.25">
      <c r="A420" s="9" t="s">
        <v>1063</v>
      </c>
      <c r="B420" s="10" t="str">
        <f t="shared" si="244"/>
        <v>From Fiscal Forecasts</v>
      </c>
      <c r="D420" s="42">
        <f>'Fiscal Forecasts'!D$126</f>
        <v>1.5169999999999999</v>
      </c>
      <c r="E420" s="42">
        <f>'Fiscal Forecasts'!E$126</f>
        <v>1.7729999999999999</v>
      </c>
      <c r="F420" s="42">
        <f>'Fiscal Forecasts'!F$126</f>
        <v>2.194</v>
      </c>
      <c r="G420" s="42">
        <f>'Fiscal Forecasts'!G$126</f>
        <v>3.0680000000000001</v>
      </c>
      <c r="H420" s="42">
        <f>'Fiscal Forecasts'!H$126</f>
        <v>3.0409999999999999</v>
      </c>
      <c r="I420" s="42">
        <f>'Fiscal Forecasts'!I$126</f>
        <v>2.8610000000000002</v>
      </c>
      <c r="J420" s="43">
        <f>'Fiscal Forecasts'!J$126</f>
        <v>3.4049999999999998</v>
      </c>
      <c r="K420" s="43">
        <f>'Fiscal Forecasts'!K$126</f>
        <v>3.5169999999999999</v>
      </c>
      <c r="L420" s="43">
        <f>'Fiscal Forecasts'!L$126</f>
        <v>3.5590000000000002</v>
      </c>
      <c r="M420" s="43">
        <f>'Fiscal Forecasts'!M$126</f>
        <v>3.488</v>
      </c>
      <c r="N420" s="43">
        <f>'Fiscal Forecasts'!N$126</f>
        <v>3.395</v>
      </c>
      <c r="O420" s="47">
        <f t="shared" ref="O420:X420" ca="1" si="246">O$419+(N$420-N$419)*(1+O$29)</f>
        <v>3.4299200000000001</v>
      </c>
      <c r="P420" s="47">
        <f t="shared" ca="1" si="246"/>
        <v>3.4655383999999998</v>
      </c>
      <c r="Q420" s="47">
        <f t="shared" ca="1" si="246"/>
        <v>3.5018691679999998</v>
      </c>
      <c r="R420" s="47">
        <f t="shared" ca="1" si="246"/>
        <v>3.5389265513599999</v>
      </c>
      <c r="S420" s="47">
        <f t="shared" ca="1" si="246"/>
        <v>3.5767250823871999</v>
      </c>
      <c r="T420" s="47">
        <f t="shared" ca="1" si="246"/>
        <v>3.6152795840349441</v>
      </c>
      <c r="U420" s="47">
        <f t="shared" ca="1" si="246"/>
        <v>3.654605175715643</v>
      </c>
      <c r="V420" s="47">
        <f t="shared" ca="1" si="246"/>
        <v>3.6947172792299559</v>
      </c>
      <c r="W420" s="47">
        <f t="shared" ca="1" si="246"/>
        <v>3.7356316248145549</v>
      </c>
      <c r="X420" s="47">
        <f t="shared" ca="1" si="246"/>
        <v>3.7773642573108459</v>
      </c>
    </row>
    <row r="422" spans="1:24" x14ac:dyDescent="0.25">
      <c r="A422" s="9" t="s">
        <v>1064</v>
      </c>
    </row>
    <row r="423" spans="1:24" x14ac:dyDescent="0.25">
      <c r="A423" s="9" t="s">
        <v>1062</v>
      </c>
      <c r="B423" s="10" t="str">
        <f t="shared" ref="B423:B424" si="247">$B$38</f>
        <v>From Fiscal Forecasts</v>
      </c>
      <c r="D423" s="42">
        <f>'Fiscal Forecasts'!D$189-D$419</f>
        <v>1.4119999999999999</v>
      </c>
      <c r="E423" s="42">
        <f>'Fiscal Forecasts'!E$189-E$419</f>
        <v>2.153</v>
      </c>
      <c r="F423" s="42">
        <f>'Fiscal Forecasts'!F$189-F$419</f>
        <v>2.0920000000000001</v>
      </c>
      <c r="G423" s="42">
        <f>'Fiscal Forecasts'!G$189-G$419</f>
        <v>2.3759999999999999</v>
      </c>
      <c r="H423" s="42">
        <f>'Fiscal Forecasts'!H$189-H$419</f>
        <v>2.4050000000000002</v>
      </c>
      <c r="I423" s="42">
        <f>'Fiscal Forecasts'!I$189-I$419</f>
        <v>2.8419999999999996</v>
      </c>
      <c r="J423" s="43">
        <f>'Fiscal Forecasts'!J$189-J$419</f>
        <v>3.0019999999999998</v>
      </c>
      <c r="K423" s="43">
        <f>'Fiscal Forecasts'!K$189-K$419</f>
        <v>2.63</v>
      </c>
      <c r="L423" s="43">
        <f>'Fiscal Forecasts'!L$189-L$419</f>
        <v>2.6539999999999999</v>
      </c>
      <c r="M423" s="43">
        <f>'Fiscal Forecasts'!M$189-M$419</f>
        <v>2.6340000000000003</v>
      </c>
      <c r="N423" s="43">
        <f>'Fiscal Forecasts'!N$189-N$419</f>
        <v>2.5919999999999996</v>
      </c>
      <c r="O423" s="47">
        <f t="shared" ref="O423:X423" si="248">N$423</f>
        <v>2.5919999999999996</v>
      </c>
      <c r="P423" s="47">
        <f t="shared" si="248"/>
        <v>2.5919999999999996</v>
      </c>
      <c r="Q423" s="47">
        <f t="shared" si="248"/>
        <v>2.5919999999999996</v>
      </c>
      <c r="R423" s="47">
        <f t="shared" si="248"/>
        <v>2.5919999999999996</v>
      </c>
      <c r="S423" s="47">
        <f t="shared" si="248"/>
        <v>2.5919999999999996</v>
      </c>
      <c r="T423" s="47">
        <f t="shared" si="248"/>
        <v>2.5919999999999996</v>
      </c>
      <c r="U423" s="47">
        <f t="shared" si="248"/>
        <v>2.5919999999999996</v>
      </c>
      <c r="V423" s="47">
        <f t="shared" si="248"/>
        <v>2.5919999999999996</v>
      </c>
      <c r="W423" s="47">
        <f t="shared" si="248"/>
        <v>2.5919999999999996</v>
      </c>
      <c r="X423" s="47">
        <f t="shared" si="248"/>
        <v>2.5919999999999996</v>
      </c>
    </row>
    <row r="424" spans="1:24" x14ac:dyDescent="0.25">
      <c r="A424" s="9" t="s">
        <v>1063</v>
      </c>
      <c r="B424" s="10" t="str">
        <f t="shared" si="247"/>
        <v>From Fiscal Forecasts</v>
      </c>
      <c r="D424" s="42">
        <f>'Fiscal Forecasts'!D$127</f>
        <v>2.8279999999999998</v>
      </c>
      <c r="E424" s="42">
        <f>'Fiscal Forecasts'!E$127</f>
        <v>3.61</v>
      </c>
      <c r="F424" s="42">
        <f>'Fiscal Forecasts'!F$127</f>
        <v>3.9279999999999999</v>
      </c>
      <c r="G424" s="42">
        <f>'Fiscal Forecasts'!G$127</f>
        <v>4.2080000000000002</v>
      </c>
      <c r="H424" s="42">
        <f>'Fiscal Forecasts'!H$127</f>
        <v>4.6120000000000001</v>
      </c>
      <c r="I424" s="42">
        <f>'Fiscal Forecasts'!I$127</f>
        <v>5.0449999999999999</v>
      </c>
      <c r="J424" s="43">
        <f>'Fiscal Forecasts'!J$127</f>
        <v>5.3849999999999998</v>
      </c>
      <c r="K424" s="43">
        <f>'Fiscal Forecasts'!K$127</f>
        <v>5.0410000000000004</v>
      </c>
      <c r="L424" s="43">
        <f>'Fiscal Forecasts'!L$127</f>
        <v>5.1580000000000004</v>
      </c>
      <c r="M424" s="43">
        <f>'Fiscal Forecasts'!M$127</f>
        <v>5.3</v>
      </c>
      <c r="N424" s="43">
        <f>'Fiscal Forecasts'!N$127</f>
        <v>5.3339999999999996</v>
      </c>
      <c r="O424" s="47">
        <f t="shared" ref="O424:X424" ca="1" si="249">O$423+(N$424-N$423)*(1+O$29)</f>
        <v>5.3888400000000001</v>
      </c>
      <c r="P424" s="47">
        <f t="shared" ca="1" si="249"/>
        <v>5.4447767999999996</v>
      </c>
      <c r="Q424" s="47">
        <f t="shared" ca="1" si="249"/>
        <v>5.5018323359999997</v>
      </c>
      <c r="R424" s="47">
        <f t="shared" ca="1" si="249"/>
        <v>5.5600289827199996</v>
      </c>
      <c r="S424" s="47">
        <f t="shared" ca="1" si="249"/>
        <v>5.6193895623743995</v>
      </c>
      <c r="T424" s="47">
        <f t="shared" ca="1" si="249"/>
        <v>5.679937353621888</v>
      </c>
      <c r="U424" s="47">
        <f t="shared" ca="1" si="249"/>
        <v>5.7416961006943259</v>
      </c>
      <c r="V424" s="47">
        <f t="shared" ca="1" si="249"/>
        <v>5.804690022708213</v>
      </c>
      <c r="W424" s="47">
        <f t="shared" ca="1" si="249"/>
        <v>5.8689438231623772</v>
      </c>
      <c r="X424" s="47">
        <f t="shared" ca="1" si="249"/>
        <v>5.9344826996256241</v>
      </c>
    </row>
    <row r="426" spans="1:24" x14ac:dyDescent="0.25">
      <c r="A426" s="9" t="s">
        <v>1065</v>
      </c>
    </row>
    <row r="427" spans="1:24" x14ac:dyDescent="0.25">
      <c r="A427" s="9" t="s">
        <v>1066</v>
      </c>
      <c r="B427" s="10" t="str">
        <f t="shared" ref="B427:B428" si="250">$B$38</f>
        <v>From Fiscal Forecasts</v>
      </c>
      <c r="C427" s="64" cm="1">
        <f t="array" aca="1" ref="C427" ca="1">SUMPRODUCT(OFFSET($N$427,0,0,1,-OFFSET(Assumptions!$B$59,0,$C$1))/OFFSET($N$13,0,0,1,-OFFSET(Assumptions!$B$59,0,$C$1)))/OFFSET(Assumptions!$B$59,0,$C$1)</f>
        <v>0.15052333138299728</v>
      </c>
      <c r="D427" s="42">
        <f>'Fiscal Forecasts'!D$186</f>
        <v>43.683999999999997</v>
      </c>
      <c r="E427" s="42">
        <f>'Fiscal Forecasts'!E$186</f>
        <v>45.167000000000002</v>
      </c>
      <c r="F427" s="42">
        <f>'Fiscal Forecasts'!F$186</f>
        <v>51.92</v>
      </c>
      <c r="G427" s="42">
        <f>'Fiscal Forecasts'!G$186</f>
        <v>56.518999999999998</v>
      </c>
      <c r="H427" s="42">
        <f>'Fiscal Forecasts'!H$186</f>
        <v>63.033999999999999</v>
      </c>
      <c r="I427" s="42">
        <f>'Fiscal Forecasts'!I$186</f>
        <v>67.997</v>
      </c>
      <c r="J427" s="43">
        <f>'Fiscal Forecasts'!J$186</f>
        <v>69.701999999999998</v>
      </c>
      <c r="K427" s="43">
        <f>'Fiscal Forecasts'!K$186</f>
        <v>70.847999999999999</v>
      </c>
      <c r="L427" s="43">
        <f>'Fiscal Forecasts'!L$186</f>
        <v>71.221000000000004</v>
      </c>
      <c r="M427" s="43">
        <f>'Fiscal Forecasts'!M$186</f>
        <v>70.656999999999996</v>
      </c>
      <c r="N427" s="43">
        <f>'Fiscal Forecasts'!N$186</f>
        <v>69.775000000000006</v>
      </c>
      <c r="O427" s="47">
        <f t="shared" ref="O427:X427" ca="1" si="251">N$427+O$430</f>
        <v>69.775000000000006</v>
      </c>
      <c r="P427" s="47">
        <f t="shared" ca="1" si="251"/>
        <v>69.775000000000006</v>
      </c>
      <c r="Q427" s="47">
        <f t="shared" ca="1" si="251"/>
        <v>69.775000000000006</v>
      </c>
      <c r="R427" s="47">
        <f t="shared" ca="1" si="251"/>
        <v>69.775000000000006</v>
      </c>
      <c r="S427" s="47">
        <f t="shared" ca="1" si="251"/>
        <v>69.775000000000006</v>
      </c>
      <c r="T427" s="47">
        <f t="shared" ca="1" si="251"/>
        <v>69.775000000000006</v>
      </c>
      <c r="U427" s="47">
        <f t="shared" ca="1" si="251"/>
        <v>69.775000000000006</v>
      </c>
      <c r="V427" s="47">
        <f t="shared" ca="1" si="251"/>
        <v>69.775000000000006</v>
      </c>
      <c r="W427" s="47">
        <f t="shared" ca="1" si="251"/>
        <v>69.775000000000006</v>
      </c>
      <c r="X427" s="47">
        <f t="shared" ca="1" si="251"/>
        <v>69.775000000000006</v>
      </c>
    </row>
    <row r="428" spans="1:24" x14ac:dyDescent="0.25">
      <c r="A428" s="11" t="s">
        <v>1073</v>
      </c>
      <c r="B428" s="10" t="str">
        <f t="shared" si="250"/>
        <v>From Fiscal Forecasts</v>
      </c>
      <c r="C428" s="64" cm="1">
        <f t="array" aca="1" ref="C428" ca="1">SUMPRODUCT(OFFSET($N$428,0,0,1,-OFFSET(Assumptions!$B$59,0,$C$1))/OFFSET($N$13,0,0,1,-OFFSET(Assumptions!$B$59,0,$C$1)))/OFFSET(Assumptions!$B$59,0,$C$1)</f>
        <v>0.49343205869727769</v>
      </c>
      <c r="D428" s="35">
        <f>SUM('Fiscal Forecasts'!D$335:D$337)</f>
        <v>133.941</v>
      </c>
      <c r="E428" s="35">
        <f>SUM('Fiscal Forecasts'!E$335:E$337)</f>
        <v>141.33499999999998</v>
      </c>
      <c r="F428" s="35">
        <f>SUM('Fiscal Forecasts'!F$335:F$337)</f>
        <v>161.29599999999999</v>
      </c>
      <c r="G428" s="35">
        <f>SUM('Fiscal Forecasts'!G$335:G$337)</f>
        <v>192.66300000000001</v>
      </c>
      <c r="H428" s="35">
        <f>SUM('Fiscal Forecasts'!H$335:H$337)</f>
        <v>204.35599999999999</v>
      </c>
      <c r="I428" s="35">
        <f>SUM('Fiscal Forecasts'!I$335:I$337)</f>
        <v>215.79300000000001</v>
      </c>
      <c r="J428" s="17">
        <f>SUM('Fiscal Forecasts'!J$335:J$337)</f>
        <v>222.494</v>
      </c>
      <c r="K428" s="17">
        <f>SUM('Fiscal Forecasts'!K$335:K$337)</f>
        <v>231.94200000000001</v>
      </c>
      <c r="L428" s="17">
        <f>SUM('Fiscal Forecasts'!L$335:L$337)</f>
        <v>237.44499999999999</v>
      </c>
      <c r="M428" s="17">
        <f>SUM('Fiscal Forecasts'!M$335:M$337)</f>
        <v>242.58699999999999</v>
      </c>
      <c r="N428" s="17">
        <f>SUM('Fiscal Forecasts'!N$335:N$337)</f>
        <v>246.40100000000001</v>
      </c>
      <c r="O428" s="16">
        <f ca="1">SUM(N$428,O$432,O$433-N$433)</f>
        <v>248.88197059077865</v>
      </c>
      <c r="P428" s="16">
        <f t="shared" ref="P428:X428" ca="1" si="252">SUM(O$428,P$432,P$433-O$433)</f>
        <v>251.35879318428604</v>
      </c>
      <c r="Q428" s="16">
        <f t="shared" ca="1" si="252"/>
        <v>253.86807307238067</v>
      </c>
      <c r="R428" s="16">
        <f t="shared" ca="1" si="252"/>
        <v>256.41726550177668</v>
      </c>
      <c r="S428" s="16">
        <f t="shared" ca="1" si="252"/>
        <v>259.00725053048018</v>
      </c>
      <c r="T428" s="16">
        <f t="shared" ca="1" si="252"/>
        <v>261.63884596334356</v>
      </c>
      <c r="U428" s="16">
        <f t="shared" ca="1" si="252"/>
        <v>264.31260659405336</v>
      </c>
      <c r="V428" s="16">
        <f t="shared" ca="1" si="252"/>
        <v>267.02916636822295</v>
      </c>
      <c r="W428" s="16">
        <f t="shared" ca="1" si="252"/>
        <v>269.78915763691987</v>
      </c>
      <c r="X428" s="16">
        <f t="shared" ca="1" si="252"/>
        <v>272.59354003051533</v>
      </c>
    </row>
    <row r="429" spans="1:24" x14ac:dyDescent="0.25">
      <c r="A429" s="9" t="s">
        <v>1070</v>
      </c>
      <c r="D429" s="65">
        <f t="shared" ref="D429:N429" si="253">SUM(D$427:D$428)</f>
        <v>177.625</v>
      </c>
      <c r="E429" s="65">
        <f t="shared" si="253"/>
        <v>186.50199999999998</v>
      </c>
      <c r="F429" s="65">
        <f t="shared" si="253"/>
        <v>213.21600000000001</v>
      </c>
      <c r="G429" s="65">
        <f t="shared" si="253"/>
        <v>249.18200000000002</v>
      </c>
      <c r="H429" s="65">
        <f t="shared" si="253"/>
        <v>267.39</v>
      </c>
      <c r="I429" s="65">
        <f t="shared" si="253"/>
        <v>283.79000000000002</v>
      </c>
      <c r="J429" s="66">
        <f t="shared" si="253"/>
        <v>292.19600000000003</v>
      </c>
      <c r="K429" s="66">
        <f t="shared" si="253"/>
        <v>302.79000000000002</v>
      </c>
      <c r="L429" s="66">
        <f t="shared" si="253"/>
        <v>308.666</v>
      </c>
      <c r="M429" s="66">
        <f t="shared" si="253"/>
        <v>313.24399999999997</v>
      </c>
      <c r="N429" s="66">
        <f t="shared" si="253"/>
        <v>316.17600000000004</v>
      </c>
      <c r="O429" s="67">
        <f t="shared" ref="O429:X429" ca="1" si="254">SUM(O$427:O$428)</f>
        <v>318.65697059077866</v>
      </c>
      <c r="P429" s="67">
        <f t="shared" ca="1" si="254"/>
        <v>321.13379318428605</v>
      </c>
      <c r="Q429" s="67">
        <f t="shared" ca="1" si="254"/>
        <v>323.64307307238067</v>
      </c>
      <c r="R429" s="67">
        <f t="shared" ca="1" si="254"/>
        <v>326.19226550177666</v>
      </c>
      <c r="S429" s="67">
        <f t="shared" ca="1" si="254"/>
        <v>328.78225053048016</v>
      </c>
      <c r="T429" s="67">
        <f t="shared" ca="1" si="254"/>
        <v>331.41384596334353</v>
      </c>
      <c r="U429" s="67">
        <f t="shared" ca="1" si="254"/>
        <v>334.08760659405334</v>
      </c>
      <c r="V429" s="67">
        <f t="shared" ca="1" si="254"/>
        <v>336.80416636822292</v>
      </c>
      <c r="W429" s="67">
        <f t="shared" ca="1" si="254"/>
        <v>339.56415763691984</v>
      </c>
      <c r="X429" s="67">
        <f t="shared" ca="1" si="254"/>
        <v>342.36854003051531</v>
      </c>
    </row>
    <row r="430" spans="1:24" x14ac:dyDescent="0.25">
      <c r="A430" s="11" t="s">
        <v>1067</v>
      </c>
      <c r="D430" s="35">
        <f>D$427-'Fiscal Forecasts'!$C$186</f>
        <v>2.404999999999994</v>
      </c>
      <c r="E430" s="35">
        <f t="shared" ref="E430:N430" si="255">E$427-D$427</f>
        <v>1.4830000000000041</v>
      </c>
      <c r="F430" s="35">
        <f t="shared" si="255"/>
        <v>6.7530000000000001</v>
      </c>
      <c r="G430" s="35">
        <f t="shared" si="255"/>
        <v>4.5989999999999966</v>
      </c>
      <c r="H430" s="35">
        <f t="shared" si="255"/>
        <v>6.5150000000000006</v>
      </c>
      <c r="I430" s="35">
        <f t="shared" si="255"/>
        <v>4.963000000000001</v>
      </c>
      <c r="J430" s="17">
        <f t="shared" si="255"/>
        <v>1.7049999999999983</v>
      </c>
      <c r="K430" s="17">
        <f t="shared" si="255"/>
        <v>1.1460000000000008</v>
      </c>
      <c r="L430" s="17">
        <f t="shared" si="255"/>
        <v>0.37300000000000466</v>
      </c>
      <c r="M430" s="17">
        <f t="shared" si="255"/>
        <v>-0.56400000000000716</v>
      </c>
      <c r="N430" s="17">
        <f t="shared" si="255"/>
        <v>-0.88199999999999079</v>
      </c>
      <c r="O430" s="16">
        <f ca="1">IF(O$6=OFFSET(Assumptions!$B$8,0,$C$1),OFFSET(Assumptions!$B$9,0,$C$1),N$430)</f>
        <v>0</v>
      </c>
      <c r="P430" s="16">
        <f ca="1">IF(P$6=OFFSET(Assumptions!$B$8,0,$C$1),OFFSET(Assumptions!$B$9,0,$C$1),O$430)</f>
        <v>0</v>
      </c>
      <c r="Q430" s="16">
        <f ca="1">IF(Q$6=OFFSET(Assumptions!$B$8,0,$C$1),OFFSET(Assumptions!$B$9,0,$C$1),P$430)</f>
        <v>0</v>
      </c>
      <c r="R430" s="16">
        <f ca="1">IF(R$6=OFFSET(Assumptions!$B$8,0,$C$1),OFFSET(Assumptions!$B$9,0,$C$1),Q$430)</f>
        <v>0</v>
      </c>
      <c r="S430" s="16">
        <f ca="1">IF(S$6=OFFSET(Assumptions!$B$8,0,$C$1),OFFSET(Assumptions!$B$9,0,$C$1),R$430)</f>
        <v>0</v>
      </c>
      <c r="T430" s="16">
        <f ca="1">IF(T$6=OFFSET(Assumptions!$B$8,0,$C$1),OFFSET(Assumptions!$B$9,0,$C$1),S$430)</f>
        <v>0</v>
      </c>
      <c r="U430" s="16">
        <f ca="1">IF(U$6=OFFSET(Assumptions!$B$8,0,$C$1),OFFSET(Assumptions!$B$9,0,$C$1),T$430)</f>
        <v>0</v>
      </c>
      <c r="V430" s="16">
        <f ca="1">IF(V$6=OFFSET(Assumptions!$B$8,0,$C$1),OFFSET(Assumptions!$B$9,0,$C$1),U$430)</f>
        <v>0</v>
      </c>
      <c r="W430" s="16">
        <f ca="1">IF(W$6=OFFSET(Assumptions!$B$8,0,$C$1),OFFSET(Assumptions!$B$9,0,$C$1),V$430)</f>
        <v>0</v>
      </c>
      <c r="X430" s="16">
        <f ca="1">IF(X$6=OFFSET(Assumptions!$B$8,0,$C$1),OFFSET(Assumptions!$B$9,0,$C$1),W$430)</f>
        <v>0</v>
      </c>
    </row>
    <row r="431" spans="1:24" x14ac:dyDescent="0.25">
      <c r="A431" s="11" t="s">
        <v>1071</v>
      </c>
      <c r="D431" s="35">
        <f t="shared" ref="D431:N431" si="256">D$215</f>
        <v>1.5009999999999999</v>
      </c>
      <c r="E431" s="35">
        <f t="shared" si="256"/>
        <v>1.675</v>
      </c>
      <c r="F431" s="35">
        <f t="shared" si="256"/>
        <v>1.883</v>
      </c>
      <c r="G431" s="35">
        <f t="shared" si="256"/>
        <v>2.0019999999999998</v>
      </c>
      <c r="H431" s="35">
        <f t="shared" si="256"/>
        <v>2.4</v>
      </c>
      <c r="I431" s="35">
        <f t="shared" si="256"/>
        <v>2.81</v>
      </c>
      <c r="J431" s="17">
        <f t="shared" si="256"/>
        <v>2.7429999999999999</v>
      </c>
      <c r="K431" s="17">
        <f t="shared" si="256"/>
        <v>2.9079999999999999</v>
      </c>
      <c r="L431" s="17">
        <f t="shared" si="256"/>
        <v>2.9940000000000002</v>
      </c>
      <c r="M431" s="17">
        <f t="shared" si="256"/>
        <v>3.069</v>
      </c>
      <c r="N431" s="17">
        <f t="shared" si="256"/>
        <v>3.073</v>
      </c>
      <c r="O431" s="16">
        <f t="shared" ref="O431:X431" si="257">N$431</f>
        <v>3.073</v>
      </c>
      <c r="P431" s="16">
        <f t="shared" si="257"/>
        <v>3.073</v>
      </c>
      <c r="Q431" s="16">
        <f t="shared" si="257"/>
        <v>3.073</v>
      </c>
      <c r="R431" s="16">
        <f t="shared" si="257"/>
        <v>3.073</v>
      </c>
      <c r="S431" s="16">
        <f t="shared" si="257"/>
        <v>3.073</v>
      </c>
      <c r="T431" s="16">
        <f t="shared" si="257"/>
        <v>3.073</v>
      </c>
      <c r="U431" s="16">
        <f t="shared" si="257"/>
        <v>3.073</v>
      </c>
      <c r="V431" s="16">
        <f t="shared" si="257"/>
        <v>3.073</v>
      </c>
      <c r="W431" s="16">
        <f t="shared" si="257"/>
        <v>3.073</v>
      </c>
      <c r="X431" s="16">
        <f t="shared" si="257"/>
        <v>3.073</v>
      </c>
    </row>
    <row r="432" spans="1:24" x14ac:dyDescent="0.25">
      <c r="A432" s="11" t="s">
        <v>1068</v>
      </c>
      <c r="D432" s="35">
        <f t="shared" ref="D432:X432" si="258">D$138-D$292</f>
        <v>0.99300000000000033</v>
      </c>
      <c r="E432" s="35">
        <f t="shared" si="258"/>
        <v>0.64000000000000012</v>
      </c>
      <c r="F432" s="35">
        <f t="shared" si="258"/>
        <v>-1.3499999999999996</v>
      </c>
      <c r="G432" s="35">
        <f t="shared" si="258"/>
        <v>-0.83400000000000007</v>
      </c>
      <c r="H432" s="35">
        <f t="shared" si="258"/>
        <v>-2.4960000000000004</v>
      </c>
      <c r="I432" s="35">
        <f t="shared" si="258"/>
        <v>-1.4139999999999997</v>
      </c>
      <c r="J432" s="17">
        <f t="shared" si="258"/>
        <v>-1.6440000000000001</v>
      </c>
      <c r="K432" s="17">
        <f t="shared" si="258"/>
        <v>-2.6550000000000002</v>
      </c>
      <c r="L432" s="17">
        <f t="shared" si="258"/>
        <v>3.0000000000000249E-2</v>
      </c>
      <c r="M432" s="17">
        <f t="shared" si="258"/>
        <v>0.9350000000000005</v>
      </c>
      <c r="N432" s="17">
        <f t="shared" si="258"/>
        <v>0.9870000000000001</v>
      </c>
      <c r="O432" s="16">
        <f t="shared" ca="1" si="258"/>
        <v>0.98530392411196743</v>
      </c>
      <c r="P432" s="16">
        <f t="shared" ca="1" si="258"/>
        <v>0.98115592684073771</v>
      </c>
      <c r="Q432" s="16">
        <f t="shared" ca="1" si="258"/>
        <v>1.0136132214279483</v>
      </c>
      <c r="R432" s="16">
        <f t="shared" ca="1" si="258"/>
        <v>1.0535257627293655</v>
      </c>
      <c r="S432" s="16">
        <f t="shared" ca="1" si="258"/>
        <v>1.0943183620368719</v>
      </c>
      <c r="T432" s="16">
        <f t="shared" ca="1" si="258"/>
        <v>1.1359287661966766</v>
      </c>
      <c r="U432" s="16">
        <f t="shared" ca="1" si="258"/>
        <v>1.1780939640431569</v>
      </c>
      <c r="V432" s="16">
        <f t="shared" ca="1" si="258"/>
        <v>1.2208931075028984</v>
      </c>
      <c r="W432" s="16">
        <f t="shared" ca="1" si="258"/>
        <v>1.2643246020302064</v>
      </c>
      <c r="X432" s="16">
        <f t="shared" ca="1" si="258"/>
        <v>1.3087157269287957</v>
      </c>
    </row>
    <row r="433" spans="1:24" x14ac:dyDescent="0.25">
      <c r="A433" s="11" t="s">
        <v>1069</v>
      </c>
      <c r="B433" s="10" t="str">
        <f t="shared" ref="B433:B434" si="259">$B$38</f>
        <v>From Fiscal Forecasts</v>
      </c>
      <c r="D433" s="35">
        <f>'Fiscal Forecasts'!D$336</f>
        <v>40.21</v>
      </c>
      <c r="E433" s="35">
        <f>'Fiscal Forecasts'!E$336</f>
        <v>39.828000000000003</v>
      </c>
      <c r="F433" s="35">
        <f>'Fiscal Forecasts'!F$336</f>
        <v>41.613999999999997</v>
      </c>
      <c r="G433" s="35">
        <f>'Fiscal Forecasts'!G$336</f>
        <v>47.475999999999999</v>
      </c>
      <c r="H433" s="35">
        <f>'Fiscal Forecasts'!H$336</f>
        <v>53.314</v>
      </c>
      <c r="I433" s="35">
        <f>'Fiscal Forecasts'!I$336</f>
        <v>57.723999999999997</v>
      </c>
      <c r="J433" s="17">
        <f>'Fiscal Forecasts'!J$336</f>
        <v>59.405999999999999</v>
      </c>
      <c r="K433" s="17">
        <f>'Fiscal Forecasts'!K$336</f>
        <v>63.405999999999999</v>
      </c>
      <c r="L433" s="17">
        <f>'Fiscal Forecasts'!L$336</f>
        <v>65.626999999999995</v>
      </c>
      <c r="M433" s="17">
        <f>'Fiscal Forecasts'!M$336</f>
        <v>67.17</v>
      </c>
      <c r="N433" s="17">
        <f>'Fiscal Forecasts'!N$336</f>
        <v>67.893000000000001</v>
      </c>
      <c r="O433" s="16">
        <f ca="1">N$433+IF(O$6=OFFSET(Assumptions!$B$8,0,$C$1),AVERAGE(L$433-K$433,M$433-L$433,N$433-M$433),N$433-M$433)</f>
        <v>69.388666666666666</v>
      </c>
      <c r="P433" s="16">
        <f ca="1">O$433+IF(P$6=OFFSET(Assumptions!$B$8,0,$C$1),AVERAGE(M$433-L$433,N$433-M$433,O$433-N$433),O$433-N$433)</f>
        <v>70.884333333333331</v>
      </c>
      <c r="Q433" s="16">
        <f ca="1">P$433+IF(Q$6=OFFSET(Assumptions!$B$8,0,$C$1),AVERAGE(N$433-M$433,O$433-N$433,P$433-O$433),P$433-O$433)</f>
        <v>72.38</v>
      </c>
      <c r="R433" s="16">
        <f ca="1">Q$433+IF(R$6=OFFSET(Assumptions!$B$8,0,$C$1),AVERAGE(O$433-N$433,P$433-O$433,Q$433-P$433),Q$433-P$433)</f>
        <v>73.87566666666666</v>
      </c>
      <c r="S433" s="16">
        <f ca="1">R$433+IF(S$6=OFFSET(Assumptions!$B$8,0,$C$1),AVERAGE(P$433-O$433,Q$433-P$433,R$433-Q$433),R$433-Q$433)</f>
        <v>75.371333333333325</v>
      </c>
      <c r="T433" s="16">
        <f ca="1">S$433+IF(T$6=OFFSET(Assumptions!$B$8,0,$C$1),AVERAGE(Q$433-P$433,R$433-Q$433,S$433-R$433),S$433-R$433)</f>
        <v>76.86699999999999</v>
      </c>
      <c r="U433" s="16">
        <f ca="1">T$433+IF(U$6=OFFSET(Assumptions!$B$8,0,$C$1),AVERAGE(R$433-Q$433,S$433-R$433,T$433-S$433),T$433-S$433)</f>
        <v>78.362666666666655</v>
      </c>
      <c r="V433" s="16">
        <f ca="1">U$433+IF(V$6=OFFSET(Assumptions!$B$8,0,$C$1),AVERAGE(S$433-R$433,T$433-S$433,U$433-T$433),U$433-T$433)</f>
        <v>79.85833333333332</v>
      </c>
      <c r="W433" s="16">
        <f ca="1">V$433+IF(W$6=OFFSET(Assumptions!$B$8,0,$C$1),AVERAGE(T$433-S$433,U$433-T$433,V$433-U$433),V$433-U$433)</f>
        <v>81.353999999999985</v>
      </c>
      <c r="X433" s="16">
        <f ca="1">W$433+IF(X$6=OFFSET(Assumptions!$B$8,0,$C$1),AVERAGE(U$433-T$433,V$433-U$433,W$433-V$433),W$433-V$433)</f>
        <v>82.84966666666665</v>
      </c>
    </row>
    <row r="434" spans="1:24" x14ac:dyDescent="0.25">
      <c r="A434" s="11" t="s">
        <v>1072</v>
      </c>
      <c r="B434" s="10" t="str">
        <f t="shared" si="259"/>
        <v>From Fiscal Forecasts</v>
      </c>
      <c r="D434" s="35">
        <f>'Fiscal Forecasts'!D$348-D$431</f>
        <v>3.0530000000000004</v>
      </c>
      <c r="E434" s="35">
        <f>'Fiscal Forecasts'!E$348-E$431</f>
        <v>3.6189999999999998</v>
      </c>
      <c r="F434" s="35">
        <f>'Fiscal Forecasts'!F$348-F$431</f>
        <v>3.6829999999999998</v>
      </c>
      <c r="G434" s="35">
        <f>'Fiscal Forecasts'!G$348-G$431</f>
        <v>4.1500000000000004</v>
      </c>
      <c r="H434" s="35">
        <f>'Fiscal Forecasts'!H$348-H$431</f>
        <v>4.2010000000000005</v>
      </c>
      <c r="I434" s="35">
        <f>'Fiscal Forecasts'!I$348-I$431</f>
        <v>4.8109999999999999</v>
      </c>
      <c r="J434" s="17">
        <f>'Fiscal Forecasts'!J$348-J$431</f>
        <v>5.3170000000000002</v>
      </c>
      <c r="K434" s="17">
        <f>'Fiscal Forecasts'!K$348-K$431</f>
        <v>5.516</v>
      </c>
      <c r="L434" s="17">
        <f>'Fiscal Forecasts'!L$348-L$431</f>
        <v>5.7230000000000008</v>
      </c>
      <c r="M434" s="17">
        <f>'Fiscal Forecasts'!M$348-M$431</f>
        <v>5.9950000000000001</v>
      </c>
      <c r="N434" s="17">
        <f>'Fiscal Forecasts'!N$348-N$431</f>
        <v>6.1319999999999997</v>
      </c>
      <c r="O434" s="16">
        <f t="shared" ref="O434:X434" ca="1" si="260">SUM(O$216:O$217)</f>
        <v>6.1607767255345767</v>
      </c>
      <c r="P434" s="16">
        <f t="shared" ca="1" si="260"/>
        <v>6.1895053385363266</v>
      </c>
      <c r="Q434" s="16">
        <f t="shared" ca="1" si="260"/>
        <v>6.2186104230131534</v>
      </c>
      <c r="R434" s="16">
        <f t="shared" ca="1" si="260"/>
        <v>6.2481784522143897</v>
      </c>
      <c r="S434" s="16">
        <f t="shared" ca="1" si="260"/>
        <v>6.2782196339142793</v>
      </c>
      <c r="T434" s="16">
        <f t="shared" ca="1" si="260"/>
        <v>6.308743453814051</v>
      </c>
      <c r="U434" s="16">
        <f t="shared" ca="1" si="260"/>
        <v>6.3397563469539673</v>
      </c>
      <c r="V434" s="16">
        <f t="shared" ca="1" si="260"/>
        <v>6.3712656664558232</v>
      </c>
      <c r="W434" s="16">
        <f t="shared" ca="1" si="260"/>
        <v>6.4032787469463068</v>
      </c>
      <c r="X434" s="16">
        <f t="shared" ca="1" si="260"/>
        <v>6.4358067191578474</v>
      </c>
    </row>
    <row r="436" spans="1:24" x14ac:dyDescent="0.25">
      <c r="A436" s="9" t="s">
        <v>627</v>
      </c>
    </row>
    <row r="437" spans="1:24" x14ac:dyDescent="0.25">
      <c r="A437" s="9" t="s">
        <v>1074</v>
      </c>
      <c r="B437" s="10" t="str">
        <f t="shared" ref="B437:B438" si="261">$B$38</f>
        <v>From Fiscal Forecasts</v>
      </c>
      <c r="C437" s="64" cm="1">
        <f t="array" aca="1" ref="C437" ca="1">SUMPRODUCT(OFFSET($N$437,0,0,1,-OFFSET(Assumptions!$B$59,0,$C$1))/OFFSET($N$13,0,0,1,-OFFSET(Assumptions!$B$59,0,$C$1)))/OFFSET(Assumptions!$B$59,0,$C$1)</f>
        <v>0.17001946418798214</v>
      </c>
      <c r="D437" s="42">
        <f>'Fiscal Forecasts'!D$187</f>
        <v>46.601999999999997</v>
      </c>
      <c r="E437" s="42">
        <f>'Fiscal Forecasts'!E$187</f>
        <v>49.604999999999997</v>
      </c>
      <c r="F437" s="42">
        <f>'Fiscal Forecasts'!F$187</f>
        <v>53.877000000000002</v>
      </c>
      <c r="G437" s="42">
        <f>'Fiscal Forecasts'!G$187</f>
        <v>57.801000000000002</v>
      </c>
      <c r="H437" s="42">
        <f>'Fiscal Forecasts'!H$187</f>
        <v>64.816999999999993</v>
      </c>
      <c r="I437" s="42">
        <f>'Fiscal Forecasts'!I$187</f>
        <v>69.174000000000007</v>
      </c>
      <c r="J437" s="43">
        <f>'Fiscal Forecasts'!J$187</f>
        <v>76.697999999999993</v>
      </c>
      <c r="K437" s="43">
        <f>'Fiscal Forecasts'!K$187</f>
        <v>82.582999999999998</v>
      </c>
      <c r="L437" s="43">
        <f>'Fiscal Forecasts'!L$187</f>
        <v>87.412000000000006</v>
      </c>
      <c r="M437" s="43">
        <f>'Fiscal Forecasts'!M$187</f>
        <v>91.539000000000001</v>
      </c>
      <c r="N437" s="43">
        <f>'Fiscal Forecasts'!N$187</f>
        <v>94.503</v>
      </c>
      <c r="O437" s="47">
        <f ca="1">SUM(N$437,O$138-O$292)</f>
        <v>95.48830392411196</v>
      </c>
      <c r="P437" s="47">
        <f t="shared" ref="P437:X437" ca="1" si="262">SUM(O$437,P$138-P$292)</f>
        <v>96.469459850952703</v>
      </c>
      <c r="Q437" s="47">
        <f t="shared" ca="1" si="262"/>
        <v>97.483073072380648</v>
      </c>
      <c r="R437" s="47">
        <f t="shared" ca="1" si="262"/>
        <v>98.536598835110013</v>
      </c>
      <c r="S437" s="47">
        <f t="shared" ca="1" si="262"/>
        <v>99.630917197146886</v>
      </c>
      <c r="T437" s="47">
        <f t="shared" ca="1" si="262"/>
        <v>100.76684596334356</v>
      </c>
      <c r="U437" s="47">
        <f t="shared" ca="1" si="262"/>
        <v>101.94493992738671</v>
      </c>
      <c r="V437" s="47">
        <f t="shared" ca="1" si="262"/>
        <v>103.16583303488962</v>
      </c>
      <c r="W437" s="47">
        <f t="shared" ca="1" si="262"/>
        <v>104.43015763691982</v>
      </c>
      <c r="X437" s="47">
        <f t="shared" ca="1" si="262"/>
        <v>105.73887336384861</v>
      </c>
    </row>
    <row r="438" spans="1:24" x14ac:dyDescent="0.25">
      <c r="A438" s="9" t="s">
        <v>1075</v>
      </c>
      <c r="B438" s="10" t="str">
        <f t="shared" si="261"/>
        <v>From Fiscal Forecasts</v>
      </c>
      <c r="D438" s="42">
        <f>'Fiscal Forecasts'!D$129</f>
        <v>14.65</v>
      </c>
      <c r="E438" s="42">
        <f>'Fiscal Forecasts'!E$129</f>
        <v>14.308</v>
      </c>
      <c r="F438" s="42">
        <f>'Fiscal Forecasts'!F$129</f>
        <v>14.420999999999999</v>
      </c>
      <c r="G438" s="42">
        <f>'Fiscal Forecasts'!G$129</f>
        <v>16.247</v>
      </c>
      <c r="H438" s="42">
        <f>'Fiscal Forecasts'!H$129</f>
        <v>17.033999999999999</v>
      </c>
      <c r="I438" s="42">
        <f>'Fiscal Forecasts'!I$129</f>
        <v>17.951000000000001</v>
      </c>
      <c r="J438" s="43">
        <f>'Fiscal Forecasts'!J$129</f>
        <v>18.553000000000001</v>
      </c>
      <c r="K438" s="43">
        <f>'Fiscal Forecasts'!K$129</f>
        <v>16.738</v>
      </c>
      <c r="L438" s="43">
        <f>'Fiscal Forecasts'!L$129</f>
        <v>17.015000000000001</v>
      </c>
      <c r="M438" s="43">
        <f>'Fiscal Forecasts'!M$129</f>
        <v>17.399000000000001</v>
      </c>
      <c r="N438" s="43">
        <f>'Fiscal Forecasts'!N$129</f>
        <v>17.648</v>
      </c>
      <c r="O438" s="47">
        <f ca="1">N$438*(1+O$29)</f>
        <v>18.000959999999999</v>
      </c>
      <c r="P438" s="47">
        <f t="shared" ref="P438:X438" ca="1" si="263">O$438*(1+P$29)</f>
        <v>18.360979199999999</v>
      </c>
      <c r="Q438" s="47">
        <f t="shared" ca="1" si="263"/>
        <v>18.728198784</v>
      </c>
      <c r="R438" s="47">
        <f t="shared" ca="1" si="263"/>
        <v>19.102762759680001</v>
      </c>
      <c r="S438" s="47">
        <f t="shared" ca="1" si="263"/>
        <v>19.4848180148736</v>
      </c>
      <c r="T438" s="47">
        <f t="shared" ca="1" si="263"/>
        <v>19.874514375171071</v>
      </c>
      <c r="U438" s="47">
        <f t="shared" ca="1" si="263"/>
        <v>20.272004662674494</v>
      </c>
      <c r="V438" s="47">
        <f t="shared" ca="1" si="263"/>
        <v>20.677444755927983</v>
      </c>
      <c r="W438" s="47">
        <f t="shared" ca="1" si="263"/>
        <v>21.090993651046542</v>
      </c>
      <c r="X438" s="47">
        <f t="shared" ca="1" si="263"/>
        <v>21.512813524067472</v>
      </c>
    </row>
    <row r="440" spans="1:24" x14ac:dyDescent="0.25">
      <c r="A440" s="9" t="s">
        <v>628</v>
      </c>
    </row>
    <row r="441" spans="1:24" x14ac:dyDescent="0.25">
      <c r="A441" s="9" t="s">
        <v>1107</v>
      </c>
      <c r="B441" s="10" t="str">
        <f t="shared" ref="B441:B443" si="264">$B$38</f>
        <v>From Fiscal Forecasts</v>
      </c>
      <c r="D441" s="42">
        <f>'Fiscal Forecasts'!D$188</f>
        <v>1.681</v>
      </c>
      <c r="E441" s="42">
        <f>'Fiscal Forecasts'!E$188</f>
        <v>1.57</v>
      </c>
      <c r="F441" s="42">
        <f>'Fiscal Forecasts'!F$188</f>
        <v>1.637</v>
      </c>
      <c r="G441" s="42">
        <f>'Fiscal Forecasts'!G$188</f>
        <v>1.4650000000000001</v>
      </c>
      <c r="H441" s="42">
        <f>'Fiscal Forecasts'!H$188</f>
        <v>1.583</v>
      </c>
      <c r="I441" s="42">
        <f>'Fiscal Forecasts'!I$188</f>
        <v>1.577</v>
      </c>
      <c r="J441" s="43">
        <f>'Fiscal Forecasts'!J$188</f>
        <v>1.7330000000000001</v>
      </c>
      <c r="K441" s="43">
        <f>'Fiscal Forecasts'!K$188</f>
        <v>1.764</v>
      </c>
      <c r="L441" s="43">
        <f>'Fiscal Forecasts'!L$188</f>
        <v>1.72</v>
      </c>
      <c r="M441" s="43">
        <f>'Fiscal Forecasts'!M$188</f>
        <v>1.665</v>
      </c>
      <c r="N441" s="43">
        <f>'Fiscal Forecasts'!N$188</f>
        <v>1.607</v>
      </c>
      <c r="O441" s="47">
        <f t="shared" ref="O441:X441" si="265">N$441</f>
        <v>1.607</v>
      </c>
      <c r="P441" s="47">
        <f t="shared" si="265"/>
        <v>1.607</v>
      </c>
      <c r="Q441" s="47">
        <f t="shared" si="265"/>
        <v>1.607</v>
      </c>
      <c r="R441" s="47">
        <f t="shared" si="265"/>
        <v>1.607</v>
      </c>
      <c r="S441" s="47">
        <f t="shared" si="265"/>
        <v>1.607</v>
      </c>
      <c r="T441" s="47">
        <f t="shared" si="265"/>
        <v>1.607</v>
      </c>
      <c r="U441" s="47">
        <f t="shared" si="265"/>
        <v>1.607</v>
      </c>
      <c r="V441" s="47">
        <f t="shared" si="265"/>
        <v>1.607</v>
      </c>
      <c r="W441" s="47">
        <f t="shared" si="265"/>
        <v>1.607</v>
      </c>
      <c r="X441" s="47">
        <f t="shared" si="265"/>
        <v>1.607</v>
      </c>
    </row>
    <row r="442" spans="1:24" x14ac:dyDescent="0.25">
      <c r="A442" s="11" t="s">
        <v>707</v>
      </c>
      <c r="B442" s="10" t="str">
        <f t="shared" si="264"/>
        <v>From Fiscal Forecasts</v>
      </c>
      <c r="D442" s="35">
        <f>'Fiscal Forecasts'!D$353</f>
        <v>0.69299999999999995</v>
      </c>
      <c r="E442" s="35">
        <f>'Fiscal Forecasts'!E$353</f>
        <v>0.81599999999999995</v>
      </c>
      <c r="F442" s="35">
        <f>'Fiscal Forecasts'!F$353</f>
        <v>0.83299999999999996</v>
      </c>
      <c r="G442" s="35">
        <f>'Fiscal Forecasts'!G$353</f>
        <v>0.72799999999999998</v>
      </c>
      <c r="H442" s="35">
        <f>'Fiscal Forecasts'!H$353</f>
        <v>0.98099999999999998</v>
      </c>
      <c r="I442" s="35">
        <f>'Fiscal Forecasts'!I$353</f>
        <v>1.008</v>
      </c>
      <c r="J442" s="17">
        <f>'Fiscal Forecasts'!J$353</f>
        <v>0.98899999999999999</v>
      </c>
      <c r="K442" s="17">
        <f>'Fiscal Forecasts'!K$353</f>
        <v>1.0009999999999999</v>
      </c>
      <c r="L442" s="17">
        <f>'Fiscal Forecasts'!L$353</f>
        <v>0.98899999999999999</v>
      </c>
      <c r="M442" s="17">
        <f>'Fiscal Forecasts'!M$353</f>
        <v>0.98199999999999998</v>
      </c>
      <c r="N442" s="17">
        <f>'Fiscal Forecasts'!N$353</f>
        <v>0.98699999999999999</v>
      </c>
      <c r="O442" s="16">
        <f t="shared" ref="O442:X442" ca="1" si="266">N$442*(1+O$29)</f>
        <v>1.00674</v>
      </c>
      <c r="P442" s="16">
        <f t="shared" ca="1" si="266"/>
        <v>1.0268748000000001</v>
      </c>
      <c r="Q442" s="16">
        <f t="shared" ca="1" si="266"/>
        <v>1.0474122960000001</v>
      </c>
      <c r="R442" s="16">
        <f t="shared" ca="1" si="266"/>
        <v>1.0683605419200002</v>
      </c>
      <c r="S442" s="16">
        <f t="shared" ca="1" si="266"/>
        <v>1.0897277527584002</v>
      </c>
      <c r="T442" s="16">
        <f t="shared" ca="1" si="266"/>
        <v>1.1115223078135681</v>
      </c>
      <c r="U442" s="16">
        <f t="shared" ca="1" si="266"/>
        <v>1.1337527539698395</v>
      </c>
      <c r="V442" s="16">
        <f t="shared" ca="1" si="266"/>
        <v>1.1564278090492364</v>
      </c>
      <c r="W442" s="16">
        <f t="shared" ca="1" si="266"/>
        <v>1.179556365230221</v>
      </c>
      <c r="X442" s="16">
        <f t="shared" ca="1" si="266"/>
        <v>1.2031474925348253</v>
      </c>
    </row>
    <row r="443" spans="1:24" x14ac:dyDescent="0.25">
      <c r="A443" s="11" t="s">
        <v>1078</v>
      </c>
      <c r="B443" s="10" t="str">
        <f t="shared" si="264"/>
        <v>From Fiscal Forecasts</v>
      </c>
      <c r="D443" s="35">
        <f>SUM('Fiscal Forecasts'!D$354:D$355)</f>
        <v>1.5369999999999999</v>
      </c>
      <c r="E443" s="35">
        <f>SUM('Fiscal Forecasts'!E$354:E$355)</f>
        <v>1.506</v>
      </c>
      <c r="F443" s="35">
        <f>SUM('Fiscal Forecasts'!F$354:F$355)</f>
        <v>1.131</v>
      </c>
      <c r="G443" s="35">
        <f>SUM('Fiscal Forecasts'!G$354:G$355)</f>
        <v>1.504</v>
      </c>
      <c r="H443" s="35">
        <f>SUM('Fiscal Forecasts'!H$354:H$355)</f>
        <v>1.3439999999999999</v>
      </c>
      <c r="I443" s="35">
        <f>SUM('Fiscal Forecasts'!I$354:I$355)</f>
        <v>1.4989999999999999</v>
      </c>
      <c r="J443" s="17">
        <f>SUM('Fiscal Forecasts'!J$354:J$355)</f>
        <v>1.4809999999999999</v>
      </c>
      <c r="K443" s="17">
        <f>SUM('Fiscal Forecasts'!K$354:K$355)</f>
        <v>1.4259999999999999</v>
      </c>
      <c r="L443" s="17">
        <f>SUM('Fiscal Forecasts'!L$354:L$355)</f>
        <v>1.407</v>
      </c>
      <c r="M443" s="17">
        <f>SUM('Fiscal Forecasts'!M$354:M$355)</f>
        <v>1.399</v>
      </c>
      <c r="N443" s="17">
        <f>SUM('Fiscal Forecasts'!N$354:N$355)</f>
        <v>1.4129999999999998</v>
      </c>
      <c r="O443" s="16">
        <f t="shared" ref="O443:X443" ca="1" si="267">N$443*(1+O$29)</f>
        <v>1.4412599999999998</v>
      </c>
      <c r="P443" s="16">
        <f t="shared" ca="1" si="267"/>
        <v>1.4700851999999998</v>
      </c>
      <c r="Q443" s="16">
        <f t="shared" ca="1" si="267"/>
        <v>1.4994869039999998</v>
      </c>
      <c r="R443" s="16">
        <f t="shared" ca="1" si="267"/>
        <v>1.5294766420799999</v>
      </c>
      <c r="S443" s="16">
        <f t="shared" ca="1" si="267"/>
        <v>1.5600661749215998</v>
      </c>
      <c r="T443" s="16">
        <f t="shared" ca="1" si="267"/>
        <v>1.5912674984200319</v>
      </c>
      <c r="U443" s="16">
        <f t="shared" ca="1" si="267"/>
        <v>1.6230928483884326</v>
      </c>
      <c r="V443" s="16">
        <f t="shared" ca="1" si="267"/>
        <v>1.6555547053562012</v>
      </c>
      <c r="W443" s="16">
        <f t="shared" ca="1" si="267"/>
        <v>1.6886657994633252</v>
      </c>
      <c r="X443" s="16">
        <f t="shared" ca="1" si="267"/>
        <v>1.7224391154525918</v>
      </c>
    </row>
    <row r="444" spans="1:24" x14ac:dyDescent="0.25">
      <c r="A444" s="9" t="s">
        <v>1077</v>
      </c>
      <c r="D444" s="65">
        <f t="shared" ref="D444:X444" si="268">SUM(D$441:D$443)</f>
        <v>3.911</v>
      </c>
      <c r="E444" s="65">
        <f t="shared" si="268"/>
        <v>3.8920000000000003</v>
      </c>
      <c r="F444" s="65">
        <f t="shared" si="268"/>
        <v>3.601</v>
      </c>
      <c r="G444" s="65">
        <f t="shared" si="268"/>
        <v>3.6970000000000001</v>
      </c>
      <c r="H444" s="65">
        <f t="shared" si="268"/>
        <v>3.9079999999999999</v>
      </c>
      <c r="I444" s="65">
        <f t="shared" si="268"/>
        <v>4.0839999999999996</v>
      </c>
      <c r="J444" s="66">
        <f t="shared" si="268"/>
        <v>4.2029999999999994</v>
      </c>
      <c r="K444" s="66">
        <f t="shared" si="268"/>
        <v>4.1909999999999998</v>
      </c>
      <c r="L444" s="66">
        <f t="shared" si="268"/>
        <v>4.1159999999999997</v>
      </c>
      <c r="M444" s="66">
        <f t="shared" si="268"/>
        <v>4.0460000000000003</v>
      </c>
      <c r="N444" s="66">
        <f t="shared" si="268"/>
        <v>4.0069999999999997</v>
      </c>
      <c r="O444" s="67">
        <f t="shared" ca="1" si="268"/>
        <v>4.0549999999999997</v>
      </c>
      <c r="P444" s="67">
        <f t="shared" ca="1" si="268"/>
        <v>4.1039599999999998</v>
      </c>
      <c r="Q444" s="67">
        <f t="shared" ca="1" si="268"/>
        <v>4.1538991999999997</v>
      </c>
      <c r="R444" s="67">
        <f t="shared" ca="1" si="268"/>
        <v>4.2048371839999996</v>
      </c>
      <c r="S444" s="67">
        <f t="shared" ca="1" si="268"/>
        <v>4.2567939276800004</v>
      </c>
      <c r="T444" s="67">
        <f t="shared" ca="1" si="268"/>
        <v>4.3097898062336002</v>
      </c>
      <c r="U444" s="67">
        <f t="shared" ca="1" si="268"/>
        <v>4.3638456023582721</v>
      </c>
      <c r="V444" s="67">
        <f t="shared" ca="1" si="268"/>
        <v>4.418982514405438</v>
      </c>
      <c r="W444" s="67">
        <f t="shared" ca="1" si="268"/>
        <v>4.4752221646935464</v>
      </c>
      <c r="X444" s="67">
        <f t="shared" ca="1" si="268"/>
        <v>4.5325866079874171</v>
      </c>
    </row>
    <row r="446" spans="1:24" x14ac:dyDescent="0.25">
      <c r="A446" s="9" t="s">
        <v>1079</v>
      </c>
    </row>
    <row r="447" spans="1:24" x14ac:dyDescent="0.25">
      <c r="A447" s="11" t="s">
        <v>742</v>
      </c>
      <c r="B447" s="10" t="str">
        <f t="shared" ref="B447:B451" si="269">$B$38</f>
        <v>From Fiscal Forecasts</v>
      </c>
      <c r="D447" s="35">
        <f>'Fiscal Forecasts'!D$293</f>
        <v>0</v>
      </c>
      <c r="E447" s="35">
        <f>'Fiscal Forecasts'!E$293</f>
        <v>0</v>
      </c>
      <c r="F447" s="35">
        <f>'Fiscal Forecasts'!F$293</f>
        <v>0</v>
      </c>
      <c r="G447" s="35">
        <f>'Fiscal Forecasts'!G$293</f>
        <v>0</v>
      </c>
      <c r="H447" s="35">
        <f>'Fiscal Forecasts'!H$293</f>
        <v>0</v>
      </c>
      <c r="I447" s="35">
        <f>'Fiscal Forecasts'!I$293</f>
        <v>0</v>
      </c>
      <c r="J447" s="17">
        <f>'Fiscal Forecasts'!J$293</f>
        <v>0</v>
      </c>
      <c r="K447" s="17">
        <f>'Fiscal Forecasts'!K$293</f>
        <v>2.56</v>
      </c>
      <c r="L447" s="17">
        <f>'Fiscal Forecasts'!L$293</f>
        <v>2.4780000000000002</v>
      </c>
      <c r="M447" s="17">
        <f>'Fiscal Forecasts'!M$293</f>
        <v>1.5880000000000001</v>
      </c>
      <c r="N447" s="17">
        <f>'Fiscal Forecasts'!N$293</f>
        <v>1.2010000000000001</v>
      </c>
      <c r="O447" s="16">
        <f ca="1">IF(O$6=OFFSET(Assumptions!$B$8,0,$C$1),OFFSET(Assumptions!$B$9,0,$C$1),N$447)</f>
        <v>0</v>
      </c>
      <c r="P447" s="16">
        <f ca="1">IF(P$6=OFFSET(Assumptions!$B$8,0,$C$1),OFFSET(Assumptions!$B$9,0,$C$1),O$447)</f>
        <v>0</v>
      </c>
      <c r="Q447" s="16">
        <f ca="1">IF(Q$6=OFFSET(Assumptions!$B$8,0,$C$1),OFFSET(Assumptions!$B$9,0,$C$1),P$447)</f>
        <v>0</v>
      </c>
      <c r="R447" s="16">
        <f ca="1">IF(R$6=OFFSET(Assumptions!$B$8,0,$C$1),OFFSET(Assumptions!$B$9,0,$C$1),Q$447)</f>
        <v>0</v>
      </c>
      <c r="S447" s="16">
        <f ca="1">IF(S$6=OFFSET(Assumptions!$B$8,0,$C$1),OFFSET(Assumptions!$B$9,0,$C$1),R$447)</f>
        <v>0</v>
      </c>
      <c r="T447" s="16">
        <f ca="1">IF(T$6=OFFSET(Assumptions!$B$8,0,$C$1),OFFSET(Assumptions!$B$9,0,$C$1),S$447)</f>
        <v>0</v>
      </c>
      <c r="U447" s="16">
        <f ca="1">IF(U$6=OFFSET(Assumptions!$B$8,0,$C$1),OFFSET(Assumptions!$B$9,0,$C$1),T$447)</f>
        <v>0</v>
      </c>
      <c r="V447" s="16">
        <f ca="1">IF(V$6=OFFSET(Assumptions!$B$8,0,$C$1),OFFSET(Assumptions!$B$9,0,$C$1),U$447)</f>
        <v>0</v>
      </c>
      <c r="W447" s="16">
        <f ca="1">IF(W$6=OFFSET(Assumptions!$B$8,0,$C$1),OFFSET(Assumptions!$B$9,0,$C$1),V$447)</f>
        <v>0</v>
      </c>
      <c r="X447" s="16">
        <f ca="1">IF(X$6=OFFSET(Assumptions!$B$8,0,$C$1),OFFSET(Assumptions!$B$9,0,$C$1),W$447)</f>
        <v>0</v>
      </c>
    </row>
    <row r="448" spans="1:24" x14ac:dyDescent="0.25">
      <c r="A448" s="11" t="s">
        <v>1080</v>
      </c>
      <c r="B448" s="10" t="str">
        <f t="shared" si="269"/>
        <v>From Fiscal Forecasts</v>
      </c>
      <c r="D448" s="35">
        <f>SUM('Fiscal Forecasts'!D$294:D$297)</f>
        <v>0</v>
      </c>
      <c r="E448" s="35">
        <f>SUM('Fiscal Forecasts'!E$294:E$297)</f>
        <v>0</v>
      </c>
      <c r="F448" s="35">
        <f>SUM('Fiscal Forecasts'!F$294:F$297)</f>
        <v>0</v>
      </c>
      <c r="G448" s="35">
        <f>SUM('Fiscal Forecasts'!G$294:G$297)</f>
        <v>0</v>
      </c>
      <c r="H448" s="35">
        <f>SUM('Fiscal Forecasts'!H$294:H$297)</f>
        <v>0</v>
      </c>
      <c r="I448" s="35">
        <f>SUM('Fiscal Forecasts'!I$294:I$297)</f>
        <v>0</v>
      </c>
      <c r="J448" s="17">
        <f>SUM('Fiscal Forecasts'!J$294:J$297)</f>
        <v>0</v>
      </c>
      <c r="K448" s="17">
        <f>SUM('Fiscal Forecasts'!K$294:K$297)</f>
        <v>0</v>
      </c>
      <c r="L448" s="17">
        <f>SUM('Fiscal Forecasts'!L$294:L$297)</f>
        <v>0.66400000000000003</v>
      </c>
      <c r="M448" s="17">
        <f>SUM('Fiscal Forecasts'!M$294:M$297)</f>
        <v>1.8890000000000002</v>
      </c>
      <c r="N448" s="17">
        <f>SUM('Fiscal Forecasts'!N$294:N$297)</f>
        <v>2.83</v>
      </c>
      <c r="O448" s="16">
        <f ca="1">IF(O$6=OFFSET(Assumptions!$B$8,0,$C$1),OFFSET(Assumptions!$B$43,0,$C$1),N$448*(1+OFFSET(Assumptions!$B$44,0,$C$1)))</f>
        <v>7</v>
      </c>
      <c r="P448" s="16">
        <f ca="1">IF(P$6=OFFSET(Assumptions!$B$8,0,$C$1),OFFSET(Assumptions!$B$43,0,$C$1),O$448*(1+OFFSET(Assumptions!$B$44,0,$C$1)))</f>
        <v>7.21</v>
      </c>
      <c r="Q448" s="16">
        <f ca="1">IF(Q$6=OFFSET(Assumptions!$B$8,0,$C$1),OFFSET(Assumptions!$B$43,0,$C$1),P$448*(1+OFFSET(Assumptions!$B$44,0,$C$1)))</f>
        <v>7.4263000000000003</v>
      </c>
      <c r="R448" s="16">
        <f ca="1">IF(R$6=OFFSET(Assumptions!$B$8,0,$C$1),OFFSET(Assumptions!$B$43,0,$C$1),Q$448*(1+OFFSET(Assumptions!$B$44,0,$C$1)))</f>
        <v>7.6490890000000009</v>
      </c>
      <c r="S448" s="16">
        <f ca="1">IF(S$6=OFFSET(Assumptions!$B$8,0,$C$1),OFFSET(Assumptions!$B$43,0,$C$1),R$448*(1+OFFSET(Assumptions!$B$44,0,$C$1)))</f>
        <v>7.8785616700000007</v>
      </c>
      <c r="T448" s="16">
        <f ca="1">IF(T$6=OFFSET(Assumptions!$B$8,0,$C$1),OFFSET(Assumptions!$B$43,0,$C$1),S$448*(1+OFFSET(Assumptions!$B$44,0,$C$1)))</f>
        <v>8.1149185201000016</v>
      </c>
      <c r="U448" s="16">
        <f ca="1">IF(U$6=OFFSET(Assumptions!$B$8,0,$C$1),OFFSET(Assumptions!$B$43,0,$C$1),T$448*(1+OFFSET(Assumptions!$B$44,0,$C$1)))</f>
        <v>8.3583660757030014</v>
      </c>
      <c r="V448" s="16">
        <f ca="1">IF(V$6=OFFSET(Assumptions!$B$8,0,$C$1),OFFSET(Assumptions!$B$43,0,$C$1),U$448*(1+OFFSET(Assumptions!$B$44,0,$C$1)))</f>
        <v>8.6091170579740908</v>
      </c>
      <c r="W448" s="16">
        <f ca="1">IF(W$6=OFFSET(Assumptions!$B$8,0,$C$1),OFFSET(Assumptions!$B$43,0,$C$1),V$448*(1+OFFSET(Assumptions!$B$44,0,$C$1)))</f>
        <v>8.8673905697133133</v>
      </c>
      <c r="X448" s="16">
        <f ca="1">IF(X$6=OFFSET(Assumptions!$B$8,0,$C$1),OFFSET(Assumptions!$B$43,0,$C$1),W$448*(1+OFFSET(Assumptions!$B$44,0,$C$1)))</f>
        <v>9.1334122868047132</v>
      </c>
    </row>
    <row r="449" spans="1:24" x14ac:dyDescent="0.25">
      <c r="A449" s="9" t="s">
        <v>1081</v>
      </c>
      <c r="D449" s="65">
        <f t="shared" ref="D449:X449" si="270">SUM(D$447:D$448)</f>
        <v>0</v>
      </c>
      <c r="E449" s="65">
        <f t="shared" si="270"/>
        <v>0</v>
      </c>
      <c r="F449" s="65">
        <f t="shared" si="270"/>
        <v>0</v>
      </c>
      <c r="G449" s="65">
        <f t="shared" si="270"/>
        <v>0</v>
      </c>
      <c r="H449" s="65">
        <f t="shared" si="270"/>
        <v>0</v>
      </c>
      <c r="I449" s="65">
        <f t="shared" si="270"/>
        <v>0</v>
      </c>
      <c r="J449" s="66">
        <f t="shared" si="270"/>
        <v>0</v>
      </c>
      <c r="K449" s="66">
        <f t="shared" si="270"/>
        <v>2.56</v>
      </c>
      <c r="L449" s="66">
        <f t="shared" si="270"/>
        <v>3.1420000000000003</v>
      </c>
      <c r="M449" s="66">
        <f t="shared" si="270"/>
        <v>3.4770000000000003</v>
      </c>
      <c r="N449" s="66">
        <f t="shared" si="270"/>
        <v>4.0310000000000006</v>
      </c>
      <c r="O449" s="67">
        <f t="shared" ca="1" si="270"/>
        <v>7</v>
      </c>
      <c r="P449" s="67">
        <f t="shared" ca="1" si="270"/>
        <v>7.21</v>
      </c>
      <c r="Q449" s="67">
        <f t="shared" ca="1" si="270"/>
        <v>7.4263000000000003</v>
      </c>
      <c r="R449" s="67">
        <f t="shared" ca="1" si="270"/>
        <v>7.6490890000000009</v>
      </c>
      <c r="S449" s="67">
        <f t="shared" ca="1" si="270"/>
        <v>7.8785616700000007</v>
      </c>
      <c r="T449" s="67">
        <f t="shared" ca="1" si="270"/>
        <v>8.1149185201000016</v>
      </c>
      <c r="U449" s="67">
        <f t="shared" ca="1" si="270"/>
        <v>8.3583660757030014</v>
      </c>
      <c r="V449" s="67">
        <f t="shared" ca="1" si="270"/>
        <v>8.6091170579740908</v>
      </c>
      <c r="W449" s="67">
        <f t="shared" ca="1" si="270"/>
        <v>8.8673905697133133</v>
      </c>
      <c r="X449" s="67">
        <f t="shared" ca="1" si="270"/>
        <v>9.1334122868047132</v>
      </c>
    </row>
    <row r="450" spans="1:24" x14ac:dyDescent="0.25">
      <c r="A450" s="9" t="s">
        <v>1082</v>
      </c>
      <c r="B450" s="10" t="str">
        <f t="shared" si="269"/>
        <v>From Fiscal Forecasts</v>
      </c>
      <c r="D450" s="42">
        <f>'Fiscal Forecasts'!D$131</f>
        <v>0</v>
      </c>
      <c r="E450" s="42">
        <f>'Fiscal Forecasts'!E$131</f>
        <v>0</v>
      </c>
      <c r="F450" s="42">
        <f>'Fiscal Forecasts'!F$131</f>
        <v>0</v>
      </c>
      <c r="G450" s="42">
        <f>'Fiscal Forecasts'!G$131</f>
        <v>0</v>
      </c>
      <c r="H450" s="42">
        <f>'Fiscal Forecasts'!H$131</f>
        <v>0</v>
      </c>
      <c r="I450" s="42">
        <f>'Fiscal Forecasts'!I$131</f>
        <v>0</v>
      </c>
      <c r="J450" s="43">
        <f>'Fiscal Forecasts'!J$131</f>
        <v>0</v>
      </c>
      <c r="K450" s="43">
        <f>'Fiscal Forecasts'!K$131</f>
        <v>2.56</v>
      </c>
      <c r="L450" s="43">
        <f>'Fiscal Forecasts'!L$131</f>
        <v>5.702</v>
      </c>
      <c r="M450" s="43">
        <f>'Fiscal Forecasts'!M$131</f>
        <v>9.1790000000000003</v>
      </c>
      <c r="N450" s="43">
        <f>'Fiscal Forecasts'!N$131</f>
        <v>13.21</v>
      </c>
      <c r="O450" s="47">
        <f ca="1">SUM($D$449:O$449)</f>
        <v>20.21</v>
      </c>
      <c r="P450" s="47">
        <f ca="1">SUM($D$449:P$449)</f>
        <v>27.42</v>
      </c>
      <c r="Q450" s="47">
        <f ca="1">SUM($D$449:Q$449)</f>
        <v>34.846299999999999</v>
      </c>
      <c r="R450" s="47">
        <f ca="1">SUM($D$449:R$449)</f>
        <v>42.495389000000003</v>
      </c>
      <c r="S450" s="47">
        <f ca="1">SUM($D$449:S$449)</f>
        <v>50.373950670000006</v>
      </c>
      <c r="T450" s="47">
        <f ca="1">SUM($D$449:T$449)</f>
        <v>58.488869190100004</v>
      </c>
      <c r="U450" s="47">
        <f ca="1">SUM($D$449:U$449)</f>
        <v>66.847235265803008</v>
      </c>
      <c r="V450" s="47">
        <f ca="1">SUM($D$449:V$449)</f>
        <v>75.456352323777097</v>
      </c>
      <c r="W450" s="47">
        <f ca="1">SUM($D$449:W$449)</f>
        <v>84.323742893490405</v>
      </c>
      <c r="X450" s="47">
        <f ca="1">SUM($D$449:X$449)</f>
        <v>93.457155180295118</v>
      </c>
    </row>
    <row r="451" spans="1:24" x14ac:dyDescent="0.25">
      <c r="A451" s="9" t="s">
        <v>1083</v>
      </c>
      <c r="B451" s="10" t="str">
        <f t="shared" si="269"/>
        <v>From Fiscal Forecasts</v>
      </c>
      <c r="D451" s="42">
        <f>'Fiscal Forecasts'!D$132</f>
        <v>0</v>
      </c>
      <c r="E451" s="42">
        <f>'Fiscal Forecasts'!E$132</f>
        <v>0</v>
      </c>
      <c r="F451" s="42">
        <f>'Fiscal Forecasts'!F$132</f>
        <v>0</v>
      </c>
      <c r="G451" s="42">
        <f>'Fiscal Forecasts'!G$132</f>
        <v>0</v>
      </c>
      <c r="H451" s="42">
        <f>'Fiscal Forecasts'!H$132</f>
        <v>0</v>
      </c>
      <c r="I451" s="42">
        <f>'Fiscal Forecasts'!I$132</f>
        <v>0</v>
      </c>
      <c r="J451" s="43">
        <f>'Fiscal Forecasts'!J$132</f>
        <v>-1.5</v>
      </c>
      <c r="K451" s="43">
        <f>'Fiscal Forecasts'!K$132</f>
        <v>-2.4</v>
      </c>
      <c r="L451" s="43">
        <f>'Fiscal Forecasts'!L$132</f>
        <v>-2.5</v>
      </c>
      <c r="M451" s="43">
        <f>'Fiscal Forecasts'!M$132</f>
        <v>-2.6</v>
      </c>
      <c r="N451" s="43">
        <f>'Fiscal Forecasts'!N$132</f>
        <v>-2.7</v>
      </c>
      <c r="O451" s="47">
        <f t="shared" ref="O451:X451" si="271">N$451</f>
        <v>-2.7</v>
      </c>
      <c r="P451" s="47">
        <f t="shared" si="271"/>
        <v>-2.7</v>
      </c>
      <c r="Q451" s="47">
        <f t="shared" si="271"/>
        <v>-2.7</v>
      </c>
      <c r="R451" s="47">
        <f t="shared" si="271"/>
        <v>-2.7</v>
      </c>
      <c r="S451" s="47">
        <f t="shared" si="271"/>
        <v>-2.7</v>
      </c>
      <c r="T451" s="47">
        <f t="shared" si="271"/>
        <v>-2.7</v>
      </c>
      <c r="U451" s="47">
        <f t="shared" si="271"/>
        <v>-2.7</v>
      </c>
      <c r="V451" s="47">
        <f t="shared" si="271"/>
        <v>-2.7</v>
      </c>
      <c r="W451" s="47">
        <f t="shared" si="271"/>
        <v>-2.7</v>
      </c>
      <c r="X451" s="47">
        <f t="shared" si="271"/>
        <v>-2.7</v>
      </c>
    </row>
    <row r="453" spans="1:24" x14ac:dyDescent="0.25">
      <c r="A453" s="9" t="s">
        <v>632</v>
      </c>
    </row>
    <row r="454" spans="1:24" x14ac:dyDescent="0.25">
      <c r="A454" s="9" t="s">
        <v>1084</v>
      </c>
      <c r="B454" s="10" t="str">
        <f t="shared" ref="B454" si="272">$B$38</f>
        <v>From Fiscal Forecasts</v>
      </c>
      <c r="D454" s="42">
        <f>'Fiscal Forecasts'!D$134</f>
        <v>6.8129999999999997</v>
      </c>
      <c r="E454" s="42">
        <f>'Fiscal Forecasts'!E$134</f>
        <v>8.0220000000000002</v>
      </c>
      <c r="F454" s="42">
        <f>'Fiscal Forecasts'!F$134</f>
        <v>8.2560000000000002</v>
      </c>
      <c r="G454" s="42">
        <f>'Fiscal Forecasts'!G$134</f>
        <v>9.0609999999999999</v>
      </c>
      <c r="H454" s="42">
        <f>'Fiscal Forecasts'!H$134</f>
        <v>9.0020000000000007</v>
      </c>
      <c r="I454" s="42">
        <f>'Fiscal Forecasts'!I$134</f>
        <v>8.9770000000000003</v>
      </c>
      <c r="J454" s="43">
        <f>'Fiscal Forecasts'!J$134</f>
        <v>9.0660000000000007</v>
      </c>
      <c r="K454" s="43">
        <f>'Fiscal Forecasts'!K$134</f>
        <v>9.1560000000000006</v>
      </c>
      <c r="L454" s="43">
        <f>'Fiscal Forecasts'!L$134</f>
        <v>9.2479999999999993</v>
      </c>
      <c r="M454" s="43">
        <f>'Fiscal Forecasts'!M$134</f>
        <v>9.34</v>
      </c>
      <c r="N454" s="43">
        <f>'Fiscal Forecasts'!N$134</f>
        <v>9.4339999999999993</v>
      </c>
      <c r="O454" s="47">
        <f t="shared" ref="O454:X454" ca="1" si="273">N$454*(1+O$29)</f>
        <v>9.622679999999999</v>
      </c>
      <c r="P454" s="47">
        <f t="shared" ca="1" si="273"/>
        <v>9.8151335999999993</v>
      </c>
      <c r="Q454" s="47">
        <f t="shared" ca="1" si="273"/>
        <v>10.011436271999999</v>
      </c>
      <c r="R454" s="47">
        <f t="shared" ca="1" si="273"/>
        <v>10.21166499744</v>
      </c>
      <c r="S454" s="47">
        <f t="shared" ca="1" si="273"/>
        <v>10.4158982973888</v>
      </c>
      <c r="T454" s="47">
        <f t="shared" ca="1" si="273"/>
        <v>10.624216263336576</v>
      </c>
      <c r="U454" s="47">
        <f t="shared" ca="1" si="273"/>
        <v>10.836700588603309</v>
      </c>
      <c r="V454" s="47">
        <f t="shared" ca="1" si="273"/>
        <v>11.053434600375375</v>
      </c>
      <c r="W454" s="47">
        <f t="shared" ca="1" si="273"/>
        <v>11.274503292382883</v>
      </c>
      <c r="X454" s="47">
        <f t="shared" ca="1" si="273"/>
        <v>11.499993358230542</v>
      </c>
    </row>
    <row r="456" spans="1:24" x14ac:dyDescent="0.25">
      <c r="A456" s="9" t="s">
        <v>633</v>
      </c>
    </row>
    <row r="457" spans="1:24" x14ac:dyDescent="0.25">
      <c r="A457" s="11" t="s">
        <v>1085</v>
      </c>
      <c r="D457" s="35">
        <f t="shared" ref="D457:X457" si="274">D$394-D$73</f>
        <v>1.0880000000000001</v>
      </c>
      <c r="E457" s="35">
        <f t="shared" si="274"/>
        <v>1.5510000000000002</v>
      </c>
      <c r="F457" s="35">
        <f t="shared" si="274"/>
        <v>2.7319999999999998</v>
      </c>
      <c r="G457" s="35">
        <f t="shared" si="274"/>
        <v>-0.8879999999999999</v>
      </c>
      <c r="H457" s="35">
        <f t="shared" si="274"/>
        <v>0.40799999999999992</v>
      </c>
      <c r="I457" s="35">
        <f t="shared" si="274"/>
        <v>1.4810000000000003</v>
      </c>
      <c r="J457" s="17">
        <f t="shared" si="274"/>
        <v>1.3769999999999998</v>
      </c>
      <c r="K457" s="17">
        <f t="shared" si="274"/>
        <v>0.48899999999999988</v>
      </c>
      <c r="L457" s="17">
        <f t="shared" si="274"/>
        <v>0.53200000000000003</v>
      </c>
      <c r="M457" s="17">
        <f t="shared" si="274"/>
        <v>0.57600000000000051</v>
      </c>
      <c r="N457" s="17">
        <f t="shared" si="274"/>
        <v>0.59400000000000031</v>
      </c>
      <c r="O457" s="16">
        <f t="shared" ca="1" si="274"/>
        <v>3.3388721804007391</v>
      </c>
      <c r="P457" s="16">
        <f t="shared" ca="1" si="274"/>
        <v>3.5356306626569909</v>
      </c>
      <c r="Q457" s="16">
        <f t="shared" ca="1" si="274"/>
        <v>3.7392185619948295</v>
      </c>
      <c r="R457" s="16">
        <f t="shared" ca="1" si="274"/>
        <v>3.9482608185917343</v>
      </c>
      <c r="S457" s="16">
        <f t="shared" ca="1" si="274"/>
        <v>4.1620850005709489</v>
      </c>
      <c r="T457" s="16">
        <f t="shared" ca="1" si="274"/>
        <v>4.3812152050008422</v>
      </c>
      <c r="U457" s="16">
        <f t="shared" ca="1" si="274"/>
        <v>4.604439094198006</v>
      </c>
      <c r="V457" s="16">
        <f t="shared" ca="1" si="274"/>
        <v>4.8326373888600189</v>
      </c>
      <c r="W457" s="16">
        <f t="shared" ca="1" si="274"/>
        <v>5.0683028731462407</v>
      </c>
      <c r="X457" s="16">
        <f t="shared" ca="1" si="274"/>
        <v>5.314252651556342</v>
      </c>
    </row>
    <row r="458" spans="1:24" x14ac:dyDescent="0.25">
      <c r="A458" s="11" t="s">
        <v>789</v>
      </c>
      <c r="B458" s="10" t="str">
        <f t="shared" ref="B458:B461" si="275">$B$38</f>
        <v>From Fiscal Forecasts</v>
      </c>
      <c r="D458" s="35">
        <f>'Fiscal Forecasts'!D$371</f>
        <v>6.2930000000000001</v>
      </c>
      <c r="E458" s="35">
        <f>'Fiscal Forecasts'!E$371</f>
        <v>5.0430000000000001</v>
      </c>
      <c r="F458" s="35">
        <f>'Fiscal Forecasts'!F$371</f>
        <v>5.3979999999999997</v>
      </c>
      <c r="G458" s="35">
        <f>'Fiscal Forecasts'!G$371</f>
        <v>5.4870000000000001</v>
      </c>
      <c r="H458" s="35">
        <f>'Fiscal Forecasts'!H$371</f>
        <v>6.2060000000000004</v>
      </c>
      <c r="I458" s="35">
        <f>'Fiscal Forecasts'!I$371</f>
        <v>6.65</v>
      </c>
      <c r="J458" s="17">
        <f>'Fiscal Forecasts'!J$371</f>
        <v>7.2039999999999997</v>
      </c>
      <c r="K458" s="17">
        <f>'Fiscal Forecasts'!K$371</f>
        <v>7.3639999999999999</v>
      </c>
      <c r="L458" s="17">
        <f>'Fiscal Forecasts'!L$371</f>
        <v>6.9560000000000004</v>
      </c>
      <c r="M458" s="17">
        <f>'Fiscal Forecasts'!M$371</f>
        <v>7.1340000000000003</v>
      </c>
      <c r="N458" s="17">
        <f>'Fiscal Forecasts'!N$371</f>
        <v>7.3280000000000003</v>
      </c>
      <c r="O458" s="16">
        <f t="shared" ref="O458:X458" ca="1" si="276">N$458*O$142/N$142</f>
        <v>7.6089309288847353</v>
      </c>
      <c r="P458" s="16">
        <f t="shared" ca="1" si="276"/>
        <v>7.9212943020391924</v>
      </c>
      <c r="Q458" s="16">
        <f t="shared" ca="1" si="276"/>
        <v>8.2432910504739869</v>
      </c>
      <c r="R458" s="16">
        <f t="shared" ca="1" si="276"/>
        <v>8.5662228729633068</v>
      </c>
      <c r="S458" s="16">
        <f t="shared" ca="1" si="276"/>
        <v>8.8961970908025521</v>
      </c>
      <c r="T458" s="16">
        <f t="shared" ca="1" si="276"/>
        <v>9.2327054814816378</v>
      </c>
      <c r="U458" s="16">
        <f t="shared" ca="1" si="276"/>
        <v>9.5737320543799065</v>
      </c>
      <c r="V458" s="16">
        <f t="shared" ca="1" si="276"/>
        <v>9.9198768805508202</v>
      </c>
      <c r="W458" s="16">
        <f t="shared" ca="1" si="276"/>
        <v>10.271043105515879</v>
      </c>
      <c r="X458" s="16">
        <f t="shared" ca="1" si="276"/>
        <v>10.629894763076283</v>
      </c>
    </row>
    <row r="459" spans="1:24" x14ac:dyDescent="0.25">
      <c r="A459" s="11" t="s">
        <v>1086</v>
      </c>
      <c r="B459" s="10" t="str">
        <f t="shared" si="275"/>
        <v>From Fiscal Forecasts</v>
      </c>
      <c r="D459" s="35">
        <f>'Fiscal Forecasts'!D$192-SUM(D$457:D$458)</f>
        <v>3.0849999999999991</v>
      </c>
      <c r="E459" s="35">
        <f>'Fiscal Forecasts'!E$192-SUM(E$457:E$458)</f>
        <v>4.2559999999999993</v>
      </c>
      <c r="F459" s="35">
        <f>'Fiscal Forecasts'!F$192-SUM(F$457:F$458)</f>
        <v>3.9080000000000013</v>
      </c>
      <c r="G459" s="35">
        <f>'Fiscal Forecasts'!G$192-SUM(G$457:G$458)</f>
        <v>11.707999999999998</v>
      </c>
      <c r="H459" s="35">
        <f>'Fiscal Forecasts'!H$192-SUM(H$457:H$458)</f>
        <v>5.7219999999999995</v>
      </c>
      <c r="I459" s="35">
        <f>'Fiscal Forecasts'!I$192-SUM(I$457:I$458)</f>
        <v>4.6649999999999991</v>
      </c>
      <c r="J459" s="17">
        <f>'Fiscal Forecasts'!J$192-SUM(J$457:J$458)</f>
        <v>8.5300000000000011</v>
      </c>
      <c r="K459" s="17">
        <f>'Fiscal Forecasts'!K$192-SUM(K$457:K$458)</f>
        <v>8.9429999999999996</v>
      </c>
      <c r="L459" s="17">
        <f>'Fiscal Forecasts'!L$192-SUM(L$457:L$458)</f>
        <v>10.146000000000001</v>
      </c>
      <c r="M459" s="17">
        <f>'Fiscal Forecasts'!M$192-SUM(M$457:M$458)</f>
        <v>9.6720000000000006</v>
      </c>
      <c r="N459" s="17">
        <f>'Fiscal Forecasts'!N$192-SUM(N$457:N$458)</f>
        <v>9.4719999999999978</v>
      </c>
      <c r="O459" s="16">
        <f t="shared" ref="O459:X459" ca="1" si="277">N$459*(1+O$29)</f>
        <v>9.6614399999999971</v>
      </c>
      <c r="P459" s="16">
        <f t="shared" ca="1" si="277"/>
        <v>9.8546687999999971</v>
      </c>
      <c r="Q459" s="16">
        <f t="shared" ca="1" si="277"/>
        <v>10.051762175999997</v>
      </c>
      <c r="R459" s="16">
        <f t="shared" ca="1" si="277"/>
        <v>10.252797419519997</v>
      </c>
      <c r="S459" s="16">
        <f t="shared" ca="1" si="277"/>
        <v>10.457853367910397</v>
      </c>
      <c r="T459" s="16">
        <f t="shared" ca="1" si="277"/>
        <v>10.667010435268605</v>
      </c>
      <c r="U459" s="16">
        <f t="shared" ca="1" si="277"/>
        <v>10.880350643973976</v>
      </c>
      <c r="V459" s="16">
        <f t="shared" ca="1" si="277"/>
        <v>11.097957656853456</v>
      </c>
      <c r="W459" s="16">
        <f t="shared" ca="1" si="277"/>
        <v>11.319916809990525</v>
      </c>
      <c r="X459" s="16">
        <f t="shared" ca="1" si="277"/>
        <v>11.546315146190336</v>
      </c>
    </row>
    <row r="460" spans="1:24" x14ac:dyDescent="0.25">
      <c r="A460" s="9" t="s">
        <v>1087</v>
      </c>
      <c r="D460" s="65">
        <f t="shared" ref="D460:X460" si="278">SUM(D$457:D$459)</f>
        <v>10.465999999999999</v>
      </c>
      <c r="E460" s="65">
        <f t="shared" si="278"/>
        <v>10.85</v>
      </c>
      <c r="F460" s="65">
        <f t="shared" si="278"/>
        <v>12.038</v>
      </c>
      <c r="G460" s="65">
        <f t="shared" si="278"/>
        <v>16.306999999999999</v>
      </c>
      <c r="H460" s="65">
        <f t="shared" si="278"/>
        <v>12.336</v>
      </c>
      <c r="I460" s="65">
        <f t="shared" si="278"/>
        <v>12.795999999999999</v>
      </c>
      <c r="J460" s="66">
        <f t="shared" si="278"/>
        <v>17.111000000000001</v>
      </c>
      <c r="K460" s="66">
        <f t="shared" si="278"/>
        <v>16.795999999999999</v>
      </c>
      <c r="L460" s="66">
        <f t="shared" si="278"/>
        <v>17.634</v>
      </c>
      <c r="M460" s="66">
        <f t="shared" si="278"/>
        <v>17.382000000000001</v>
      </c>
      <c r="N460" s="66">
        <f t="shared" si="278"/>
        <v>17.393999999999998</v>
      </c>
      <c r="O460" s="67">
        <f t="shared" ca="1" si="278"/>
        <v>20.609243109285472</v>
      </c>
      <c r="P460" s="67">
        <f t="shared" ca="1" si="278"/>
        <v>21.31159376469618</v>
      </c>
      <c r="Q460" s="67">
        <f t="shared" ca="1" si="278"/>
        <v>22.034271788468814</v>
      </c>
      <c r="R460" s="67">
        <f t="shared" ca="1" si="278"/>
        <v>22.767281111075036</v>
      </c>
      <c r="S460" s="67">
        <f t="shared" ca="1" si="278"/>
        <v>23.516135459283898</v>
      </c>
      <c r="T460" s="67">
        <f t="shared" ca="1" si="278"/>
        <v>24.280931121751085</v>
      </c>
      <c r="U460" s="67">
        <f t="shared" ca="1" si="278"/>
        <v>25.05852179255189</v>
      </c>
      <c r="V460" s="67">
        <f t="shared" ca="1" si="278"/>
        <v>25.850471926264294</v>
      </c>
      <c r="W460" s="67">
        <f t="shared" ca="1" si="278"/>
        <v>26.659262788652647</v>
      </c>
      <c r="X460" s="67">
        <f t="shared" ca="1" si="278"/>
        <v>27.490462560822962</v>
      </c>
    </row>
    <row r="461" spans="1:24" x14ac:dyDescent="0.25">
      <c r="A461" s="9" t="s">
        <v>1088</v>
      </c>
      <c r="B461" s="10" t="str">
        <f t="shared" si="275"/>
        <v>From Fiscal Forecasts</v>
      </c>
      <c r="D461" s="42">
        <f>'Fiscal Forecasts'!D$135</f>
        <v>16.742000000000001</v>
      </c>
      <c r="E461" s="42">
        <f>'Fiscal Forecasts'!E$135</f>
        <v>16.971</v>
      </c>
      <c r="F461" s="42">
        <f>'Fiscal Forecasts'!F$135</f>
        <v>17.577000000000002</v>
      </c>
      <c r="G461" s="42">
        <f>'Fiscal Forecasts'!G$135</f>
        <v>21.42</v>
      </c>
      <c r="H461" s="42">
        <f>'Fiscal Forecasts'!H$135</f>
        <v>18.725999999999999</v>
      </c>
      <c r="I461" s="42">
        <f>'Fiscal Forecasts'!I$135</f>
        <v>19.863</v>
      </c>
      <c r="J461" s="43">
        <f>'Fiscal Forecasts'!J$135</f>
        <v>26.414999999999999</v>
      </c>
      <c r="K461" s="43">
        <f>'Fiscal Forecasts'!K$135</f>
        <v>26.925000000000001</v>
      </c>
      <c r="L461" s="43">
        <f>'Fiscal Forecasts'!L$135</f>
        <v>28.08</v>
      </c>
      <c r="M461" s="43">
        <f>'Fiscal Forecasts'!M$135</f>
        <v>28.029</v>
      </c>
      <c r="N461" s="43">
        <f>'Fiscal Forecasts'!N$135</f>
        <v>28.588999999999999</v>
      </c>
      <c r="O461" s="47">
        <f t="shared" ref="O461:X461" ca="1" si="279">O$460+(N$461-N$460)*(1+O$29)</f>
        <v>32.028143109285473</v>
      </c>
      <c r="P461" s="47">
        <f t="shared" ca="1" si="279"/>
        <v>32.958871764696184</v>
      </c>
      <c r="Q461" s="47">
        <f t="shared" ca="1" si="279"/>
        <v>33.914495348468819</v>
      </c>
      <c r="R461" s="47">
        <f t="shared" ca="1" si="279"/>
        <v>34.885109142275041</v>
      </c>
      <c r="S461" s="47">
        <f t="shared" ca="1" si="279"/>
        <v>35.876320051107903</v>
      </c>
      <c r="T461" s="47">
        <f t="shared" ca="1" si="279"/>
        <v>36.888319405411572</v>
      </c>
      <c r="U461" s="47">
        <f t="shared" ca="1" si="279"/>
        <v>37.918057841885584</v>
      </c>
      <c r="V461" s="47">
        <f t="shared" ca="1" si="279"/>
        <v>38.96719869658466</v>
      </c>
      <c r="W461" s="47">
        <f t="shared" ca="1" si="279"/>
        <v>40.038324094379419</v>
      </c>
      <c r="X461" s="47">
        <f t="shared" ca="1" si="279"/>
        <v>41.137105092664271</v>
      </c>
    </row>
    <row r="463" spans="1:24" x14ac:dyDescent="0.25">
      <c r="A463" s="9" t="s">
        <v>634</v>
      </c>
    </row>
    <row r="464" spans="1:24" x14ac:dyDescent="0.25">
      <c r="A464" s="9" t="s">
        <v>1089</v>
      </c>
      <c r="B464" s="10" t="str">
        <f t="shared" ref="B464:B465" si="280">$B$38</f>
        <v>From Fiscal Forecasts</v>
      </c>
      <c r="D464" s="42">
        <f>'Fiscal Forecasts'!D$193</f>
        <v>0.44900000000000001</v>
      </c>
      <c r="E464" s="42">
        <f>'Fiscal Forecasts'!E$193</f>
        <v>0.39800000000000002</v>
      </c>
      <c r="F464" s="42">
        <f>'Fiscal Forecasts'!F$193</f>
        <v>0.505</v>
      </c>
      <c r="G464" s="42">
        <f>'Fiscal Forecasts'!G$193</f>
        <v>0.56999999999999995</v>
      </c>
      <c r="H464" s="42">
        <f>'Fiscal Forecasts'!H$193</f>
        <v>0.504</v>
      </c>
      <c r="I464" s="42">
        <f>'Fiscal Forecasts'!I$193</f>
        <v>0.498</v>
      </c>
      <c r="J464" s="43">
        <f>'Fiscal Forecasts'!J$193</f>
        <v>0.47199999999999998</v>
      </c>
      <c r="K464" s="43">
        <f>'Fiscal Forecasts'!K$193</f>
        <v>0.47</v>
      </c>
      <c r="L464" s="43">
        <f>'Fiscal Forecasts'!L$193</f>
        <v>0.47</v>
      </c>
      <c r="M464" s="43">
        <f>'Fiscal Forecasts'!M$193</f>
        <v>0.47</v>
      </c>
      <c r="N464" s="43">
        <f>'Fiscal Forecasts'!N$193</f>
        <v>0.47</v>
      </c>
      <c r="O464" s="47">
        <f t="shared" ref="O464:X464" si="281">SUM(N$464,O$419-N$419,O$423-N$423)</f>
        <v>0.47</v>
      </c>
      <c r="P464" s="47">
        <f t="shared" si="281"/>
        <v>0.47</v>
      </c>
      <c r="Q464" s="47">
        <f t="shared" si="281"/>
        <v>0.47</v>
      </c>
      <c r="R464" s="47">
        <f t="shared" si="281"/>
        <v>0.47</v>
      </c>
      <c r="S464" s="47">
        <f t="shared" si="281"/>
        <v>0.47</v>
      </c>
      <c r="T464" s="47">
        <f t="shared" si="281"/>
        <v>0.47</v>
      </c>
      <c r="U464" s="47">
        <f t="shared" si="281"/>
        <v>0.47</v>
      </c>
      <c r="V464" s="47">
        <f t="shared" si="281"/>
        <v>0.47</v>
      </c>
      <c r="W464" s="47">
        <f t="shared" si="281"/>
        <v>0.47</v>
      </c>
      <c r="X464" s="47">
        <f t="shared" si="281"/>
        <v>0.47</v>
      </c>
    </row>
    <row r="465" spans="1:24" x14ac:dyDescent="0.25">
      <c r="A465" s="9" t="s">
        <v>1090</v>
      </c>
      <c r="B465" s="10" t="str">
        <f t="shared" si="280"/>
        <v>From Fiscal Forecasts</v>
      </c>
      <c r="D465" s="42">
        <f>'Fiscal Forecasts'!D$136</f>
        <v>2.5230000000000001</v>
      </c>
      <c r="E465" s="42">
        <f>'Fiscal Forecasts'!E$136</f>
        <v>2.59</v>
      </c>
      <c r="F465" s="42">
        <f>'Fiscal Forecasts'!F$136</f>
        <v>2.5489999999999999</v>
      </c>
      <c r="G465" s="42">
        <f>'Fiscal Forecasts'!G$136</f>
        <v>3.3679999999999999</v>
      </c>
      <c r="H465" s="42">
        <f>'Fiscal Forecasts'!H$136</f>
        <v>3.61</v>
      </c>
      <c r="I465" s="42">
        <f>'Fiscal Forecasts'!I$136</f>
        <v>3.4529999999999998</v>
      </c>
      <c r="J465" s="43">
        <f>'Fiscal Forecasts'!J$136</f>
        <v>3.6360000000000001</v>
      </c>
      <c r="K465" s="43">
        <f>'Fiscal Forecasts'!K$136</f>
        <v>3.6429999999999998</v>
      </c>
      <c r="L465" s="43">
        <f>'Fiscal Forecasts'!L$136</f>
        <v>3.734</v>
      </c>
      <c r="M465" s="43">
        <f>'Fiscal Forecasts'!M$136</f>
        <v>3.758</v>
      </c>
      <c r="N465" s="43">
        <f>'Fiscal Forecasts'!N$136</f>
        <v>3.8220000000000001</v>
      </c>
      <c r="O465" s="47">
        <f t="shared" ref="O465:X465" ca="1" si="282">SUM(N$465,O$420-N$420,O$424-N$424)</f>
        <v>3.9117600000000006</v>
      </c>
      <c r="P465" s="47">
        <f t="shared" ca="1" si="282"/>
        <v>4.0033151999999994</v>
      </c>
      <c r="Q465" s="47">
        <f t="shared" ca="1" si="282"/>
        <v>4.0967015039999994</v>
      </c>
      <c r="R465" s="47">
        <f t="shared" ca="1" si="282"/>
        <v>4.191955534079999</v>
      </c>
      <c r="S465" s="47">
        <f t="shared" ca="1" si="282"/>
        <v>4.2891146447615993</v>
      </c>
      <c r="T465" s="47">
        <f t="shared" ca="1" si="282"/>
        <v>4.3882169376568321</v>
      </c>
      <c r="U465" s="47">
        <f t="shared" ca="1" si="282"/>
        <v>4.4893012764099689</v>
      </c>
      <c r="V465" s="47">
        <f t="shared" ca="1" si="282"/>
        <v>4.5924073019381693</v>
      </c>
      <c r="W465" s="47">
        <f t="shared" ca="1" si="282"/>
        <v>4.6975754479769325</v>
      </c>
      <c r="X465" s="47">
        <f t="shared" ca="1" si="282"/>
        <v>4.8048469569364709</v>
      </c>
    </row>
    <row r="467" spans="1:24" x14ac:dyDescent="0.25">
      <c r="A467" s="9" t="s">
        <v>1091</v>
      </c>
    </row>
    <row r="468" spans="1:24" x14ac:dyDescent="0.25">
      <c r="A468" s="9" t="s">
        <v>1092</v>
      </c>
      <c r="B468" s="10" t="str">
        <f t="shared" ref="B468:B469" si="283">$B$38</f>
        <v>From Fiscal Forecasts</v>
      </c>
      <c r="D468" s="42">
        <f>'Fiscal Forecasts'!D$194</f>
        <v>2.8839999999999999</v>
      </c>
      <c r="E468" s="42">
        <f>'Fiscal Forecasts'!E$194</f>
        <v>3.8039999999999998</v>
      </c>
      <c r="F468" s="42">
        <f>'Fiscal Forecasts'!F$194</f>
        <v>5.8239999999999998</v>
      </c>
      <c r="G468" s="42">
        <f>'Fiscal Forecasts'!G$194</f>
        <v>11.461</v>
      </c>
      <c r="H468" s="42">
        <f>'Fiscal Forecasts'!H$194</f>
        <v>6.093</v>
      </c>
      <c r="I468" s="42">
        <f>'Fiscal Forecasts'!I$194</f>
        <v>6.8659999999999997</v>
      </c>
      <c r="J468" s="43">
        <f>'Fiscal Forecasts'!J$194</f>
        <v>6.77</v>
      </c>
      <c r="K468" s="43">
        <f>'Fiscal Forecasts'!K$194</f>
        <v>5.9660000000000002</v>
      </c>
      <c r="L468" s="43">
        <f>'Fiscal Forecasts'!L$194</f>
        <v>5.4269999999999996</v>
      </c>
      <c r="M468" s="43">
        <f>'Fiscal Forecasts'!M$194</f>
        <v>4.952</v>
      </c>
      <c r="N468" s="43">
        <f>'Fiscal Forecasts'!N$194</f>
        <v>4.4619999999999997</v>
      </c>
      <c r="O468" s="47">
        <f t="shared" ref="O468:X468" ca="1" si="284">SUM(N$468,-O$145,O$151,O$322)</f>
        <v>4.0529599999999997</v>
      </c>
      <c r="P468" s="47">
        <f t="shared" ca="1" si="284"/>
        <v>3.6734591999999999</v>
      </c>
      <c r="Q468" s="47">
        <f t="shared" ca="1" si="284"/>
        <v>3.324088384</v>
      </c>
      <c r="R468" s="47">
        <f t="shared" ca="1" si="284"/>
        <v>3.0054501516799998</v>
      </c>
      <c r="S468" s="47">
        <f t="shared" ca="1" si="284"/>
        <v>2.7181591547136001</v>
      </c>
      <c r="T468" s="47">
        <f t="shared" ca="1" si="284"/>
        <v>2.4628423378078725</v>
      </c>
      <c r="U468" s="47">
        <f t="shared" ca="1" si="284"/>
        <v>2.2401391845640299</v>
      </c>
      <c r="V468" s="47">
        <f t="shared" ca="1" si="284"/>
        <v>2.0507019682553107</v>
      </c>
      <c r="W468" s="47">
        <f t="shared" ca="1" si="284"/>
        <v>1.8951960076204171</v>
      </c>
      <c r="X468" s="47">
        <f t="shared" ca="1" si="284"/>
        <v>1.7742999277728255</v>
      </c>
    </row>
    <row r="469" spans="1:24" x14ac:dyDescent="0.25">
      <c r="A469" s="9" t="s">
        <v>1093</v>
      </c>
      <c r="B469" s="10" t="str">
        <f t="shared" si="283"/>
        <v>From Fiscal Forecasts</v>
      </c>
      <c r="D469" s="42">
        <f>'Fiscal Forecasts'!D$138</f>
        <v>2.8839999999999999</v>
      </c>
      <c r="E469" s="42">
        <f>'Fiscal Forecasts'!E$138</f>
        <v>3.8039999999999998</v>
      </c>
      <c r="F469" s="42">
        <f>'Fiscal Forecasts'!F$138</f>
        <v>5.8239999999999998</v>
      </c>
      <c r="G469" s="42">
        <f>'Fiscal Forecasts'!G$138</f>
        <v>11.308</v>
      </c>
      <c r="H469" s="42">
        <f>'Fiscal Forecasts'!H$138</f>
        <v>6.125</v>
      </c>
      <c r="I469" s="42">
        <f>'Fiscal Forecasts'!I$138</f>
        <v>6.6260000000000003</v>
      </c>
      <c r="J469" s="43">
        <f>'Fiscal Forecasts'!J$138</f>
        <v>6.556</v>
      </c>
      <c r="K469" s="43">
        <f>'Fiscal Forecasts'!K$138</f>
        <v>5.7409999999999997</v>
      </c>
      <c r="L469" s="43">
        <f>'Fiscal Forecasts'!L$138</f>
        <v>5.1379999999999999</v>
      </c>
      <c r="M469" s="43">
        <f>'Fiscal Forecasts'!M$138</f>
        <v>4.7249999999999996</v>
      </c>
      <c r="N469" s="43">
        <f>'Fiscal Forecasts'!N$138</f>
        <v>4.2530000000000001</v>
      </c>
      <c r="O469" s="47">
        <f t="shared" ref="O469:X469" ca="1" si="285">SUM(N$469,-O$145,O$151,O$322)</f>
        <v>3.84396</v>
      </c>
      <c r="P469" s="47">
        <f t="shared" ca="1" si="285"/>
        <v>3.4644592000000003</v>
      </c>
      <c r="Q469" s="47">
        <f t="shared" ca="1" si="285"/>
        <v>3.1150883840000003</v>
      </c>
      <c r="R469" s="47">
        <f t="shared" ca="1" si="285"/>
        <v>2.7964501516800002</v>
      </c>
      <c r="S469" s="47">
        <f t="shared" ca="1" si="285"/>
        <v>2.5091591547136005</v>
      </c>
      <c r="T469" s="47">
        <f t="shared" ca="1" si="285"/>
        <v>2.2538423378078729</v>
      </c>
      <c r="U469" s="47">
        <f t="shared" ca="1" si="285"/>
        <v>2.0311391845640303</v>
      </c>
      <c r="V469" s="47">
        <f t="shared" ca="1" si="285"/>
        <v>1.8417019682553111</v>
      </c>
      <c r="W469" s="47">
        <f t="shared" ca="1" si="285"/>
        <v>1.6861960076204174</v>
      </c>
      <c r="X469" s="47">
        <f t="shared" ca="1" si="285"/>
        <v>1.5652999277728259</v>
      </c>
    </row>
    <row r="471" spans="1:24" x14ac:dyDescent="0.25">
      <c r="A471" s="9" t="s">
        <v>637</v>
      </c>
    </row>
    <row r="472" spans="1:24" x14ac:dyDescent="0.25">
      <c r="A472" s="9" t="s">
        <v>1094</v>
      </c>
      <c r="B472" s="10" t="str">
        <f t="shared" ref="B472:B474" si="286">$B$38</f>
        <v>From Fiscal Forecasts</v>
      </c>
      <c r="D472" s="42">
        <f>'Fiscal Forecasts'!D$195</f>
        <v>4.0000000000000001E-3</v>
      </c>
      <c r="E472" s="42">
        <f>'Fiscal Forecasts'!E$195</f>
        <v>5.0000000000000001E-3</v>
      </c>
      <c r="F472" s="42">
        <f>'Fiscal Forecasts'!F$195</f>
        <v>4.0000000000000001E-3</v>
      </c>
      <c r="G472" s="42">
        <f>'Fiscal Forecasts'!G$195</f>
        <v>2E-3</v>
      </c>
      <c r="H472" s="42">
        <f>'Fiscal Forecasts'!H$195</f>
        <v>3.0000000000000001E-3</v>
      </c>
      <c r="I472" s="42">
        <f>'Fiscal Forecasts'!I$195</f>
        <v>2E-3</v>
      </c>
      <c r="J472" s="43">
        <f>'Fiscal Forecasts'!J$195</f>
        <v>2E-3</v>
      </c>
      <c r="K472" s="43">
        <f>'Fiscal Forecasts'!K$195</f>
        <v>2E-3</v>
      </c>
      <c r="L472" s="43">
        <f>'Fiscal Forecasts'!L$195</f>
        <v>2E-3</v>
      </c>
      <c r="M472" s="43">
        <f>'Fiscal Forecasts'!M$195</f>
        <v>2E-3</v>
      </c>
      <c r="N472" s="43">
        <f>'Fiscal Forecasts'!N$195</f>
        <v>2E-3</v>
      </c>
      <c r="O472" s="47">
        <f ca="1">IF(O$6=OFFSET(Assumptions!$B$8,0,$C$1),OFFSET(Assumptions!$B$9,0,$C$1),N$472)</f>
        <v>0</v>
      </c>
      <c r="P472" s="47">
        <f ca="1">IF(P$6=OFFSET(Assumptions!$B$8,0,$C$1),OFFSET(Assumptions!$B$9,0,$C$1),O$472)</f>
        <v>0</v>
      </c>
      <c r="Q472" s="47">
        <f ca="1">IF(Q$6=OFFSET(Assumptions!$B$8,0,$C$1),OFFSET(Assumptions!$B$9,0,$C$1),P$472)</f>
        <v>0</v>
      </c>
      <c r="R472" s="47">
        <f ca="1">IF(R$6=OFFSET(Assumptions!$B$8,0,$C$1),OFFSET(Assumptions!$B$9,0,$C$1),Q$472)</f>
        <v>0</v>
      </c>
      <c r="S472" s="47">
        <f ca="1">IF(S$6=OFFSET(Assumptions!$B$8,0,$C$1),OFFSET(Assumptions!$B$9,0,$C$1),R$472)</f>
        <v>0</v>
      </c>
      <c r="T472" s="47">
        <f ca="1">IF(T$6=OFFSET(Assumptions!$B$8,0,$C$1),OFFSET(Assumptions!$B$9,0,$C$1),S$472)</f>
        <v>0</v>
      </c>
      <c r="U472" s="47">
        <f ca="1">IF(U$6=OFFSET(Assumptions!$B$8,0,$C$1),OFFSET(Assumptions!$B$9,0,$C$1),T$472)</f>
        <v>0</v>
      </c>
      <c r="V472" s="47">
        <f ca="1">IF(V$6=OFFSET(Assumptions!$B$8,0,$C$1),OFFSET(Assumptions!$B$9,0,$C$1),U$472)</f>
        <v>0</v>
      </c>
      <c r="W472" s="47">
        <f ca="1">IF(W$6=OFFSET(Assumptions!$B$8,0,$C$1),OFFSET(Assumptions!$B$9,0,$C$1),V$472)</f>
        <v>0</v>
      </c>
      <c r="X472" s="47">
        <f ca="1">IF(X$6=OFFSET(Assumptions!$B$8,0,$C$1),OFFSET(Assumptions!$B$9,0,$C$1),W$472)</f>
        <v>0</v>
      </c>
    </row>
    <row r="473" spans="1:24" x14ac:dyDescent="0.25">
      <c r="A473" s="11" t="s">
        <v>1095</v>
      </c>
      <c r="B473" s="10" t="str">
        <f t="shared" si="286"/>
        <v>From Fiscal Forecasts</v>
      </c>
      <c r="D473" s="35">
        <f>'Fiscal Forecasts'!D$381</f>
        <v>56.610999999999997</v>
      </c>
      <c r="E473" s="35">
        <f>'Fiscal Forecasts'!E$381</f>
        <v>64.945999999999998</v>
      </c>
      <c r="F473" s="35">
        <f>'Fiscal Forecasts'!F$381</f>
        <v>59.133000000000003</v>
      </c>
      <c r="G473" s="35">
        <f>'Fiscal Forecasts'!G$381</f>
        <v>54.115000000000002</v>
      </c>
      <c r="H473" s="35">
        <f>'Fiscal Forecasts'!H$381</f>
        <v>55.664000000000001</v>
      </c>
      <c r="I473" s="35">
        <f>'Fiscal Forecasts'!I$381</f>
        <v>65.049000000000007</v>
      </c>
      <c r="J473" s="17">
        <f>'Fiscal Forecasts'!J$381</f>
        <v>68.626999999999995</v>
      </c>
      <c r="K473" s="17">
        <f>'Fiscal Forecasts'!K$381</f>
        <v>71.796999999999997</v>
      </c>
      <c r="L473" s="17">
        <f>'Fiscal Forecasts'!L$381</f>
        <v>75.256</v>
      </c>
      <c r="M473" s="17">
        <f>'Fiscal Forecasts'!M$381</f>
        <v>79.001999999999995</v>
      </c>
      <c r="N473" s="17">
        <f>'Fiscal Forecasts'!N$381</f>
        <v>82.98</v>
      </c>
      <c r="O473" s="16">
        <f>N$473*Exogenous!Z$31/Exogenous!Y$31</f>
        <v>87.232633748189329</v>
      </c>
      <c r="P473" s="16">
        <f>O$473*Exogenous!AA$31/Exogenous!Z$31</f>
        <v>91.859921600249137</v>
      </c>
      <c r="Q473" s="16">
        <f>P$473*Exogenous!AB$31/Exogenous!AA$31</f>
        <v>96.802667925117291</v>
      </c>
      <c r="R473" s="16">
        <f>Q$473*Exogenous!AC$31/Exogenous!AB$31</f>
        <v>102.02138967233698</v>
      </c>
      <c r="S473" s="16">
        <f>R$473*Exogenous!AD$31/Exogenous!AC$31</f>
        <v>107.5116608182833</v>
      </c>
      <c r="T473" s="16">
        <f>S$473*Exogenous!AE$31/Exogenous!AD$31</f>
        <v>113.29291750429732</v>
      </c>
      <c r="U473" s="16">
        <f>T$473*Exogenous!AF$31/Exogenous!AE$31</f>
        <v>119.32125172654598</v>
      </c>
      <c r="V473" s="16">
        <f>U$473*Exogenous!AG$31/Exogenous!AF$31</f>
        <v>125.57045233176501</v>
      </c>
      <c r="W473" s="16">
        <f>V$473*Exogenous!AH$31/Exogenous!AG$31</f>
        <v>132.05084530239904</v>
      </c>
      <c r="X473" s="16">
        <f>W$473*Exogenous!AI$31/Exogenous!AH$31</f>
        <v>138.76543147139884</v>
      </c>
    </row>
    <row r="474" spans="1:24" x14ac:dyDescent="0.25">
      <c r="A474" s="11" t="s">
        <v>1096</v>
      </c>
      <c r="B474" s="10" t="str">
        <f t="shared" si="286"/>
        <v>From Fiscal Forecasts</v>
      </c>
      <c r="D474" s="35">
        <f>SUM('Fiscal Forecasts'!D$382:D$383)-D$472</f>
        <v>1.601</v>
      </c>
      <c r="E474" s="35">
        <f>SUM('Fiscal Forecasts'!E$382:E$383)-E$472</f>
        <v>1.7390000000000001</v>
      </c>
      <c r="F474" s="35">
        <f>SUM('Fiscal Forecasts'!F$382:F$383)-F$472</f>
        <v>1.1990000000000001</v>
      </c>
      <c r="G474" s="35">
        <f>SUM('Fiscal Forecasts'!G$382:G$383)-G$472</f>
        <v>1.1839999999999999</v>
      </c>
      <c r="H474" s="35">
        <f>SUM('Fiscal Forecasts'!H$382:H$383)-H$472</f>
        <v>1.8440000000000001</v>
      </c>
      <c r="I474" s="35">
        <f>SUM('Fiscal Forecasts'!I$382:I$383)-I$472</f>
        <v>1.524</v>
      </c>
      <c r="J474" s="17">
        <f>SUM('Fiscal Forecasts'!J$382:J$383)-J$472</f>
        <v>1.2989999999999999</v>
      </c>
      <c r="K474" s="17">
        <f>SUM('Fiscal Forecasts'!K$382:K$383)-K$472</f>
        <v>1.165</v>
      </c>
      <c r="L474" s="17">
        <f>SUM('Fiscal Forecasts'!L$382:L$383)-L$472</f>
        <v>1.03</v>
      </c>
      <c r="M474" s="17">
        <f>SUM('Fiscal Forecasts'!M$382:M$383)-M$472</f>
        <v>0.97499999999999998</v>
      </c>
      <c r="N474" s="17">
        <f>SUM('Fiscal Forecasts'!N$382:N$383)-N$472</f>
        <v>0.84699999999999998</v>
      </c>
      <c r="O474" s="16">
        <f t="shared" ref="O474:X474" si="287">N$474*O$473/N$473</f>
        <v>0.89040781856732165</v>
      </c>
      <c r="P474" s="16">
        <f t="shared" si="287"/>
        <v>0.93763983604978329</v>
      </c>
      <c r="Q474" s="16">
        <f t="shared" si="287"/>
        <v>0.98809182613369895</v>
      </c>
      <c r="R474" s="16">
        <f t="shared" si="287"/>
        <v>1.0413607743127189</v>
      </c>
      <c r="S474" s="16">
        <f t="shared" si="287"/>
        <v>1.0974015029294522</v>
      </c>
      <c r="T474" s="16">
        <f t="shared" si="287"/>
        <v>1.1564124020985755</v>
      </c>
      <c r="U474" s="16">
        <f t="shared" si="287"/>
        <v>1.2179452905806749</v>
      </c>
      <c r="V474" s="16">
        <f t="shared" si="287"/>
        <v>1.2817326238250772</v>
      </c>
      <c r="W474" s="16">
        <f t="shared" si="287"/>
        <v>1.3478798020141229</v>
      </c>
      <c r="X474" s="16">
        <f t="shared" si="287"/>
        <v>1.4164174554865601</v>
      </c>
    </row>
    <row r="475" spans="1:24" x14ac:dyDescent="0.25">
      <c r="A475" s="9" t="s">
        <v>1097</v>
      </c>
      <c r="D475" s="65">
        <f t="shared" ref="D475:X475" si="288">SUM(D$472:D$474)</f>
        <v>58.215999999999994</v>
      </c>
      <c r="E475" s="65">
        <f t="shared" si="288"/>
        <v>66.69</v>
      </c>
      <c r="F475" s="65">
        <f t="shared" si="288"/>
        <v>60.335999999999999</v>
      </c>
      <c r="G475" s="65">
        <f t="shared" si="288"/>
        <v>55.301000000000002</v>
      </c>
      <c r="H475" s="65">
        <f t="shared" si="288"/>
        <v>57.511000000000003</v>
      </c>
      <c r="I475" s="65">
        <f t="shared" si="288"/>
        <v>66.575000000000003</v>
      </c>
      <c r="J475" s="66">
        <f t="shared" si="288"/>
        <v>69.927999999999997</v>
      </c>
      <c r="K475" s="66">
        <f t="shared" si="288"/>
        <v>72.963999999999999</v>
      </c>
      <c r="L475" s="66">
        <f t="shared" si="288"/>
        <v>76.287999999999997</v>
      </c>
      <c r="M475" s="66">
        <f t="shared" si="288"/>
        <v>79.978999999999985</v>
      </c>
      <c r="N475" s="66">
        <f t="shared" si="288"/>
        <v>83.828999999999994</v>
      </c>
      <c r="O475" s="67">
        <f t="shared" ca="1" si="288"/>
        <v>88.123041566756655</v>
      </c>
      <c r="P475" s="67">
        <f t="shared" ca="1" si="288"/>
        <v>92.797561436298921</v>
      </c>
      <c r="Q475" s="67">
        <f t="shared" ca="1" si="288"/>
        <v>97.790759751250988</v>
      </c>
      <c r="R475" s="67">
        <f t="shared" ca="1" si="288"/>
        <v>103.0627504466497</v>
      </c>
      <c r="S475" s="67">
        <f t="shared" ca="1" si="288"/>
        <v>108.60906232121276</v>
      </c>
      <c r="T475" s="67">
        <f t="shared" ca="1" si="288"/>
        <v>114.4493299063959</v>
      </c>
      <c r="U475" s="67">
        <f t="shared" ca="1" si="288"/>
        <v>120.53919701712665</v>
      </c>
      <c r="V475" s="67">
        <f t="shared" ca="1" si="288"/>
        <v>126.85218495559009</v>
      </c>
      <c r="W475" s="67">
        <f t="shared" ca="1" si="288"/>
        <v>133.39872510441316</v>
      </c>
      <c r="X475" s="67">
        <f t="shared" ca="1" si="288"/>
        <v>140.18184892688541</v>
      </c>
    </row>
    <row r="477" spans="1:24" x14ac:dyDescent="0.25">
      <c r="A477" s="9" t="s">
        <v>1109</v>
      </c>
    </row>
    <row r="478" spans="1:24" x14ac:dyDescent="0.25">
      <c r="A478" s="9" t="s">
        <v>1110</v>
      </c>
      <c r="B478" s="10" t="str">
        <f t="shared" ref="B478:B479" si="289">$B$38</f>
        <v>From Fiscal Forecasts</v>
      </c>
      <c r="D478" s="42">
        <f>'Fiscal Forecasts'!D$196</f>
        <v>13.164999999999999</v>
      </c>
      <c r="E478" s="42">
        <f>'Fiscal Forecasts'!E$196</f>
        <v>13.976000000000001</v>
      </c>
      <c r="F478" s="42">
        <f>'Fiscal Forecasts'!F$196</f>
        <v>11.039</v>
      </c>
      <c r="G478" s="42">
        <f>'Fiscal Forecasts'!G$196</f>
        <v>8.7650000000000006</v>
      </c>
      <c r="H478" s="42">
        <f>'Fiscal Forecasts'!H$196</f>
        <v>8.0380000000000003</v>
      </c>
      <c r="I478" s="42">
        <f>'Fiscal Forecasts'!I$196</f>
        <v>7.3339999999999996</v>
      </c>
      <c r="J478" s="43">
        <f>'Fiscal Forecasts'!J$196</f>
        <v>6.532</v>
      </c>
      <c r="K478" s="43">
        <f>'Fiscal Forecasts'!K$196</f>
        <v>6.0250000000000004</v>
      </c>
      <c r="L478" s="43">
        <f>'Fiscal Forecasts'!L$196</f>
        <v>5.5129999999999999</v>
      </c>
      <c r="M478" s="43">
        <f>'Fiscal Forecasts'!M$196</f>
        <v>5.0270000000000001</v>
      </c>
      <c r="N478" s="43">
        <f>'Fiscal Forecasts'!N$196</f>
        <v>4.5670000000000002</v>
      </c>
      <c r="O478" s="16">
        <f>N$478*Exogenous!Z$35/Exogenous!Y$35</f>
        <v>4.3797723516949159</v>
      </c>
      <c r="P478" s="16">
        <f>O$478*Exogenous!AA$35/Exogenous!Z$35</f>
        <v>4.187706779661017</v>
      </c>
      <c r="Q478" s="16">
        <f>P$478*Exogenous!AB$35/Exogenous!AA$35</f>
        <v>3.9932222457627118</v>
      </c>
      <c r="R478" s="16">
        <f>Q$478*Exogenous!AC$35/Exogenous!AB$35</f>
        <v>3.7943835805084745</v>
      </c>
      <c r="S478" s="16">
        <f>R$478*Exogenous!AD$35/Exogenous!AC$35</f>
        <v>3.5940935381355934</v>
      </c>
      <c r="T478" s="16">
        <f>S$478*Exogenous!AE$35/Exogenous!AD$35</f>
        <v>3.3933197033898308</v>
      </c>
      <c r="U478" s="16">
        <f>T$478*Exogenous!AF$35/Exogenous!AE$35</f>
        <v>3.1993189618644076</v>
      </c>
      <c r="V478" s="16">
        <f>U$478*Exogenous!AG$35/Exogenous!AF$35</f>
        <v>3.0077371822033903</v>
      </c>
      <c r="W478" s="16">
        <f>V$478*Exogenous!AH$35/Exogenous!AG$35</f>
        <v>2.8190581567796613</v>
      </c>
      <c r="X478" s="16">
        <f>W$478*Exogenous!AI$35/Exogenous!AH$35</f>
        <v>2.6337656779661018</v>
      </c>
    </row>
    <row r="479" spans="1:24" x14ac:dyDescent="0.25">
      <c r="A479" s="11" t="s">
        <v>1111</v>
      </c>
      <c r="B479" s="10" t="str">
        <f t="shared" si="289"/>
        <v>From Fiscal Forecasts</v>
      </c>
      <c r="D479" s="35">
        <f>'Fiscal Forecasts'!D$140-D$478</f>
        <v>1.4000000000001123E-2</v>
      </c>
      <c r="E479" s="35">
        <f>'Fiscal Forecasts'!E$140-E$478</f>
        <v>6.9999999999996732E-3</v>
      </c>
      <c r="F479" s="35">
        <f>'Fiscal Forecasts'!F$140-F$478</f>
        <v>-9.9999999999944578E-4</v>
      </c>
      <c r="G479" s="35">
        <f>'Fiscal Forecasts'!G$140-G$478</f>
        <v>3.9999999999995595E-3</v>
      </c>
      <c r="H479" s="35">
        <f>'Fiscal Forecasts'!H$140-H$478</f>
        <v>9.9999999999944578E-4</v>
      </c>
      <c r="I479" s="35">
        <f>'Fiscal Forecasts'!I$140-I$478</f>
        <v>3.0000000000001137E-3</v>
      </c>
      <c r="J479" s="17">
        <f>'Fiscal Forecasts'!J$140-J$478</f>
        <v>3.0000000000001137E-3</v>
      </c>
      <c r="K479" s="17">
        <f>'Fiscal Forecasts'!K$140-K$478</f>
        <v>2.9999999999992255E-3</v>
      </c>
      <c r="L479" s="17">
        <f>'Fiscal Forecasts'!L$140-L$478</f>
        <v>3.0000000000001137E-3</v>
      </c>
      <c r="M479" s="17">
        <f>'Fiscal Forecasts'!M$140-M$478</f>
        <v>3.0000000000001137E-3</v>
      </c>
      <c r="N479" s="17">
        <f>'Fiscal Forecasts'!N$140-N$478</f>
        <v>3.0000000000001137E-3</v>
      </c>
      <c r="O479" s="16">
        <f ca="1">IF(O$6=OFFSET(Assumptions!$B$8,0,$C$1),OFFSET(Assumptions!$B$9,0,$C$1),N$479)</f>
        <v>0</v>
      </c>
      <c r="P479" s="16">
        <f ca="1">IF(P$6=OFFSET(Assumptions!$B$8,0,$C$1),OFFSET(Assumptions!$B$9,0,$C$1),O$479)</f>
        <v>0</v>
      </c>
      <c r="Q479" s="16">
        <f ca="1">IF(Q$6=OFFSET(Assumptions!$B$8,0,$C$1),OFFSET(Assumptions!$B$9,0,$C$1),P$479)</f>
        <v>0</v>
      </c>
      <c r="R479" s="16">
        <f ca="1">IF(R$6=OFFSET(Assumptions!$B$8,0,$C$1),OFFSET(Assumptions!$B$9,0,$C$1),Q$479)</f>
        <v>0</v>
      </c>
      <c r="S479" s="16">
        <f ca="1">IF(S$6=OFFSET(Assumptions!$B$8,0,$C$1),OFFSET(Assumptions!$B$9,0,$C$1),R$479)</f>
        <v>0</v>
      </c>
      <c r="T479" s="16">
        <f ca="1">IF(T$6=OFFSET(Assumptions!$B$8,0,$C$1),OFFSET(Assumptions!$B$9,0,$C$1),S$479)</f>
        <v>0</v>
      </c>
      <c r="U479" s="16">
        <f ca="1">IF(U$6=OFFSET(Assumptions!$B$8,0,$C$1),OFFSET(Assumptions!$B$9,0,$C$1),T$479)</f>
        <v>0</v>
      </c>
      <c r="V479" s="16">
        <f ca="1">IF(V$6=OFFSET(Assumptions!$B$8,0,$C$1),OFFSET(Assumptions!$B$9,0,$C$1),U$479)</f>
        <v>0</v>
      </c>
      <c r="W479" s="16">
        <f ca="1">IF(W$6=OFFSET(Assumptions!$B$8,0,$C$1),OFFSET(Assumptions!$B$9,0,$C$1),V$479)</f>
        <v>0</v>
      </c>
      <c r="X479" s="16">
        <f ca="1">IF(X$6=OFFSET(Assumptions!$B$8,0,$C$1),OFFSET(Assumptions!$B$9,0,$C$1),W$479)</f>
        <v>0</v>
      </c>
    </row>
    <row r="480" spans="1:24" x14ac:dyDescent="0.25">
      <c r="A480" s="9" t="s">
        <v>1112</v>
      </c>
      <c r="D480" s="65">
        <f t="shared" ref="D480:X480" si="290">SUM(D$478:D$479)</f>
        <v>13.179</v>
      </c>
      <c r="E480" s="65">
        <f t="shared" si="290"/>
        <v>13.983000000000001</v>
      </c>
      <c r="F480" s="65">
        <f t="shared" si="290"/>
        <v>11.038</v>
      </c>
      <c r="G480" s="65">
        <f t="shared" si="290"/>
        <v>8.7690000000000001</v>
      </c>
      <c r="H480" s="65">
        <f t="shared" si="290"/>
        <v>8.0389999999999997</v>
      </c>
      <c r="I480" s="65">
        <f t="shared" si="290"/>
        <v>7.3369999999999997</v>
      </c>
      <c r="J480" s="66">
        <f t="shared" si="290"/>
        <v>6.5350000000000001</v>
      </c>
      <c r="K480" s="66">
        <f t="shared" si="290"/>
        <v>6.0279999999999996</v>
      </c>
      <c r="L480" s="66">
        <f t="shared" si="290"/>
        <v>5.516</v>
      </c>
      <c r="M480" s="66">
        <f t="shared" si="290"/>
        <v>5.03</v>
      </c>
      <c r="N480" s="66">
        <f t="shared" si="290"/>
        <v>4.57</v>
      </c>
      <c r="O480" s="67">
        <f t="shared" ca="1" si="290"/>
        <v>4.3797723516949159</v>
      </c>
      <c r="P480" s="67">
        <f t="shared" ca="1" si="290"/>
        <v>4.187706779661017</v>
      </c>
      <c r="Q480" s="67">
        <f t="shared" ca="1" si="290"/>
        <v>3.9932222457627118</v>
      </c>
      <c r="R480" s="67">
        <f t="shared" ca="1" si="290"/>
        <v>3.7943835805084745</v>
      </c>
      <c r="S480" s="67">
        <f t="shared" ca="1" si="290"/>
        <v>3.5940935381355934</v>
      </c>
      <c r="T480" s="67">
        <f t="shared" ca="1" si="290"/>
        <v>3.3933197033898308</v>
      </c>
      <c r="U480" s="67">
        <f t="shared" ca="1" si="290"/>
        <v>3.1993189618644076</v>
      </c>
      <c r="V480" s="67">
        <f t="shared" ca="1" si="290"/>
        <v>3.0077371822033903</v>
      </c>
      <c r="W480" s="67">
        <f t="shared" ca="1" si="290"/>
        <v>2.8190581567796613</v>
      </c>
      <c r="X480" s="67">
        <f t="shared" ca="1" si="290"/>
        <v>2.6337656779661018</v>
      </c>
    </row>
    <row r="482" spans="1:24" x14ac:dyDescent="0.25">
      <c r="A482" s="9" t="s">
        <v>639</v>
      </c>
    </row>
    <row r="483" spans="1:24" x14ac:dyDescent="0.25">
      <c r="A483" s="11" t="s">
        <v>1113</v>
      </c>
      <c r="D483" s="35">
        <f t="shared" ref="D483:N483" si="291">-D$395</f>
        <v>0</v>
      </c>
      <c r="E483" s="35">
        <f t="shared" si="291"/>
        <v>-2E-3</v>
      </c>
      <c r="F483" s="35">
        <f t="shared" si="291"/>
        <v>-2E-3</v>
      </c>
      <c r="G483" s="35">
        <f t="shared" si="291"/>
        <v>9.9000000000000005E-2</v>
      </c>
      <c r="H483" s="35">
        <f t="shared" si="291"/>
        <v>0.06</v>
      </c>
      <c r="I483" s="35">
        <f t="shared" si="291"/>
        <v>4.0000000000000001E-3</v>
      </c>
      <c r="J483" s="17">
        <f t="shared" si="291"/>
        <v>2.4E-2</v>
      </c>
      <c r="K483" s="17">
        <f t="shared" si="291"/>
        <v>5.5E-2</v>
      </c>
      <c r="L483" s="17">
        <f t="shared" si="291"/>
        <v>4.4999999999999998E-2</v>
      </c>
      <c r="M483" s="17">
        <f t="shared" si="291"/>
        <v>5.1999999999999998E-2</v>
      </c>
      <c r="N483" s="17">
        <f t="shared" si="291"/>
        <v>0.06</v>
      </c>
      <c r="O483" s="16">
        <f ca="1">IF(O$6=OFFSET(Assumptions!$B$8,0,$C$1),OFFSET(Assumptions!$B$9,0,$C$1),N$483)</f>
        <v>0</v>
      </c>
      <c r="P483" s="16">
        <f ca="1">IF(P$6=OFFSET(Assumptions!$B$8,0,$C$1),OFFSET(Assumptions!$B$9,0,$C$1),O$483)</f>
        <v>0</v>
      </c>
      <c r="Q483" s="16">
        <f ca="1">IF(Q$6=OFFSET(Assumptions!$B$8,0,$C$1),OFFSET(Assumptions!$B$9,0,$C$1),P$483)</f>
        <v>0</v>
      </c>
      <c r="R483" s="16">
        <f ca="1">IF(R$6=OFFSET(Assumptions!$B$8,0,$C$1),OFFSET(Assumptions!$B$9,0,$C$1),Q$483)</f>
        <v>0</v>
      </c>
      <c r="S483" s="16">
        <f ca="1">IF(S$6=OFFSET(Assumptions!$B$8,0,$C$1),OFFSET(Assumptions!$B$9,0,$C$1),R$483)</f>
        <v>0</v>
      </c>
      <c r="T483" s="16">
        <f ca="1">IF(T$6=OFFSET(Assumptions!$B$8,0,$C$1),OFFSET(Assumptions!$B$9,0,$C$1),S$483)</f>
        <v>0</v>
      </c>
      <c r="U483" s="16">
        <f ca="1">IF(U$6=OFFSET(Assumptions!$B$8,0,$C$1),OFFSET(Assumptions!$B$9,0,$C$1),T$483)</f>
        <v>0</v>
      </c>
      <c r="V483" s="16">
        <f ca="1">IF(V$6=OFFSET(Assumptions!$B$8,0,$C$1),OFFSET(Assumptions!$B$9,0,$C$1),U$483)</f>
        <v>0</v>
      </c>
      <c r="W483" s="16">
        <f ca="1">IF(W$6=OFFSET(Assumptions!$B$8,0,$C$1),OFFSET(Assumptions!$B$9,0,$C$1),V$483)</f>
        <v>0</v>
      </c>
      <c r="X483" s="16">
        <f ca="1">IF(X$6=OFFSET(Assumptions!$B$8,0,$C$1),OFFSET(Assumptions!$B$9,0,$C$1),W$483)</f>
        <v>0</v>
      </c>
    </row>
    <row r="484" spans="1:24" x14ac:dyDescent="0.25">
      <c r="A484" s="11" t="s">
        <v>1114</v>
      </c>
      <c r="B484" s="10" t="str">
        <f t="shared" ref="B484:B486" si="292">$B$38</f>
        <v>From Fiscal Forecasts</v>
      </c>
      <c r="D484" s="35">
        <f>'Fiscal Forecasts'!D$197-D$483</f>
        <v>7.5890000000000004</v>
      </c>
      <c r="E484" s="35">
        <f>'Fiscal Forecasts'!E$197-E$483</f>
        <v>9.3109999999999999</v>
      </c>
      <c r="F484" s="35">
        <f>'Fiscal Forecasts'!F$197-F$483</f>
        <v>8.6100000000000012</v>
      </c>
      <c r="G484" s="35">
        <f>'Fiscal Forecasts'!G$197-G$483</f>
        <v>8.7850000000000001</v>
      </c>
      <c r="H484" s="35">
        <f>'Fiscal Forecasts'!H$197-H$483</f>
        <v>8.2880000000000003</v>
      </c>
      <c r="I484" s="35">
        <f>'Fiscal Forecasts'!I$197-I$483</f>
        <v>8.875</v>
      </c>
      <c r="J484" s="17">
        <f>'Fiscal Forecasts'!J$197-J$483</f>
        <v>11.777000000000001</v>
      </c>
      <c r="K484" s="17">
        <f>'Fiscal Forecasts'!K$197-K$483</f>
        <v>11.204000000000001</v>
      </c>
      <c r="L484" s="17">
        <f>'Fiscal Forecasts'!L$197-L$483</f>
        <v>11.087</v>
      </c>
      <c r="M484" s="17">
        <f>'Fiscal Forecasts'!M$197-M$483</f>
        <v>10.794</v>
      </c>
      <c r="N484" s="17">
        <f>'Fiscal Forecasts'!N$197-N$483</f>
        <v>10.699</v>
      </c>
      <c r="O484" s="16">
        <f t="shared" ref="O484:X484" ca="1" si="293">N$484*(1+O$29)</f>
        <v>10.912979999999999</v>
      </c>
      <c r="P484" s="16">
        <f t="shared" ca="1" si="293"/>
        <v>11.131239599999999</v>
      </c>
      <c r="Q484" s="16">
        <f t="shared" ca="1" si="293"/>
        <v>11.353864391999998</v>
      </c>
      <c r="R484" s="16">
        <f t="shared" ca="1" si="293"/>
        <v>11.580941679839999</v>
      </c>
      <c r="S484" s="16">
        <f t="shared" ca="1" si="293"/>
        <v>11.812560513436798</v>
      </c>
      <c r="T484" s="16">
        <f t="shared" ca="1" si="293"/>
        <v>12.048811723705535</v>
      </c>
      <c r="U484" s="16">
        <f t="shared" ca="1" si="293"/>
        <v>12.289787958179646</v>
      </c>
      <c r="V484" s="16">
        <f t="shared" ca="1" si="293"/>
        <v>12.53558371734324</v>
      </c>
      <c r="W484" s="16">
        <f t="shared" ca="1" si="293"/>
        <v>12.786295391690105</v>
      </c>
      <c r="X484" s="16">
        <f t="shared" ca="1" si="293"/>
        <v>13.042021299523908</v>
      </c>
    </row>
    <row r="485" spans="1:24" x14ac:dyDescent="0.25">
      <c r="A485" s="9" t="s">
        <v>1115</v>
      </c>
      <c r="D485" s="65">
        <f t="shared" ref="D485:X485" si="294">SUM(D$483:D$484)</f>
        <v>7.5890000000000004</v>
      </c>
      <c r="E485" s="65">
        <f t="shared" si="294"/>
        <v>9.3089999999999993</v>
      </c>
      <c r="F485" s="65">
        <f t="shared" si="294"/>
        <v>8.6080000000000005</v>
      </c>
      <c r="G485" s="65">
        <f t="shared" si="294"/>
        <v>8.8840000000000003</v>
      </c>
      <c r="H485" s="65">
        <f t="shared" si="294"/>
        <v>8.3480000000000008</v>
      </c>
      <c r="I485" s="65">
        <f t="shared" si="294"/>
        <v>8.8789999999999996</v>
      </c>
      <c r="J485" s="66">
        <f t="shared" si="294"/>
        <v>11.801</v>
      </c>
      <c r="K485" s="66">
        <f t="shared" si="294"/>
        <v>11.259</v>
      </c>
      <c r="L485" s="66">
        <f t="shared" si="294"/>
        <v>11.132</v>
      </c>
      <c r="M485" s="66">
        <f t="shared" si="294"/>
        <v>10.846</v>
      </c>
      <c r="N485" s="66">
        <f t="shared" si="294"/>
        <v>10.759</v>
      </c>
      <c r="O485" s="67">
        <f t="shared" ca="1" si="294"/>
        <v>10.912979999999999</v>
      </c>
      <c r="P485" s="67">
        <f t="shared" ca="1" si="294"/>
        <v>11.131239599999999</v>
      </c>
      <c r="Q485" s="67">
        <f t="shared" ca="1" si="294"/>
        <v>11.353864391999998</v>
      </c>
      <c r="R485" s="67">
        <f t="shared" ca="1" si="294"/>
        <v>11.580941679839999</v>
      </c>
      <c r="S485" s="67">
        <f t="shared" ca="1" si="294"/>
        <v>11.812560513436798</v>
      </c>
      <c r="T485" s="67">
        <f t="shared" ca="1" si="294"/>
        <v>12.048811723705535</v>
      </c>
      <c r="U485" s="67">
        <f t="shared" ca="1" si="294"/>
        <v>12.289787958179646</v>
      </c>
      <c r="V485" s="67">
        <f t="shared" ca="1" si="294"/>
        <v>12.53558371734324</v>
      </c>
      <c r="W485" s="67">
        <f t="shared" ca="1" si="294"/>
        <v>12.786295391690105</v>
      </c>
      <c r="X485" s="67">
        <f t="shared" ca="1" si="294"/>
        <v>13.042021299523908</v>
      </c>
    </row>
    <row r="486" spans="1:24" x14ac:dyDescent="0.25">
      <c r="A486" s="9" t="s">
        <v>1116</v>
      </c>
      <c r="B486" s="10" t="str">
        <f t="shared" si="292"/>
        <v>From Fiscal Forecasts</v>
      </c>
      <c r="D486" s="42">
        <f>'Fiscal Forecasts'!D$141</f>
        <v>10.708</v>
      </c>
      <c r="E486" s="42">
        <f>'Fiscal Forecasts'!E$141</f>
        <v>12.68</v>
      </c>
      <c r="F486" s="42">
        <f>'Fiscal Forecasts'!F$141</f>
        <v>13.263</v>
      </c>
      <c r="G486" s="42">
        <f>'Fiscal Forecasts'!G$141</f>
        <v>14.333</v>
      </c>
      <c r="H486" s="42">
        <f>'Fiscal Forecasts'!H$141</f>
        <v>15.426</v>
      </c>
      <c r="I486" s="42">
        <f>'Fiscal Forecasts'!I$141</f>
        <v>16.045000000000002</v>
      </c>
      <c r="J486" s="43">
        <f>'Fiscal Forecasts'!J$141</f>
        <v>17.672000000000001</v>
      </c>
      <c r="K486" s="43">
        <f>'Fiscal Forecasts'!K$141</f>
        <v>16.707000000000001</v>
      </c>
      <c r="L486" s="43">
        <f>'Fiscal Forecasts'!L$141</f>
        <v>16.04</v>
      </c>
      <c r="M486" s="43">
        <f>'Fiscal Forecasts'!M$141</f>
        <v>15.742000000000001</v>
      </c>
      <c r="N486" s="43">
        <f>'Fiscal Forecasts'!N$141</f>
        <v>15.646000000000001</v>
      </c>
      <c r="O486" s="47">
        <f t="shared" ref="O486:X486" ca="1" si="295">O$485+(N$486-N$485)*(1+O$29)</f>
        <v>15.89772</v>
      </c>
      <c r="P486" s="47">
        <f t="shared" ca="1" si="295"/>
        <v>16.215674399999997</v>
      </c>
      <c r="Q486" s="47">
        <f t="shared" ca="1" si="295"/>
        <v>16.539987887999999</v>
      </c>
      <c r="R486" s="47">
        <f t="shared" ca="1" si="295"/>
        <v>16.87078764576</v>
      </c>
      <c r="S486" s="47">
        <f t="shared" ca="1" si="295"/>
        <v>17.208203398675199</v>
      </c>
      <c r="T486" s="47">
        <f t="shared" ca="1" si="295"/>
        <v>17.552367466648704</v>
      </c>
      <c r="U486" s="47">
        <f t="shared" ca="1" si="295"/>
        <v>17.903414815981677</v>
      </c>
      <c r="V486" s="47">
        <f t="shared" ca="1" si="295"/>
        <v>18.26148311230131</v>
      </c>
      <c r="W486" s="47">
        <f t="shared" ca="1" si="295"/>
        <v>18.626712774547336</v>
      </c>
      <c r="X486" s="47">
        <f t="shared" ca="1" si="295"/>
        <v>18.999247030038283</v>
      </c>
    </row>
    <row r="488" spans="1:24" x14ac:dyDescent="0.25">
      <c r="A488" s="9" t="s">
        <v>1117</v>
      </c>
    </row>
    <row r="489" spans="1:24" x14ac:dyDescent="0.25">
      <c r="A489" s="11" t="s">
        <v>801</v>
      </c>
      <c r="B489" s="10" t="str">
        <f t="shared" ref="B489:B495" si="296">$B$38</f>
        <v>From Fiscal Forecasts</v>
      </c>
      <c r="D489" s="35">
        <f>'Fiscal Forecasts'!D$387</f>
        <v>83.715999999999994</v>
      </c>
      <c r="E489" s="35">
        <f>'Fiscal Forecasts'!E$387</f>
        <v>84.31</v>
      </c>
      <c r="F489" s="35">
        <f>'Fiscal Forecasts'!F$387</f>
        <v>96.551000000000002</v>
      </c>
      <c r="G489" s="35">
        <f>'Fiscal Forecasts'!G$387</f>
        <v>105.48699999999999</v>
      </c>
      <c r="H489" s="35">
        <f>'Fiscal Forecasts'!H$387</f>
        <v>111.292</v>
      </c>
      <c r="I489" s="35">
        <f>'Fiscal Forecasts'!I$387</f>
        <v>116.73699999999999</v>
      </c>
      <c r="J489" s="17">
        <f>'Fiscal Forecasts'!J$387</f>
        <v>123.553</v>
      </c>
      <c r="K489" s="17">
        <f>'Fiscal Forecasts'!K$387</f>
        <v>125.956</v>
      </c>
      <c r="L489" s="17">
        <f>'Fiscal Forecasts'!L$387</f>
        <v>133.53399999999999</v>
      </c>
      <c r="M489" s="17">
        <f>'Fiscal Forecasts'!M$387</f>
        <v>140.86500000000001</v>
      </c>
      <c r="N489" s="17">
        <f>'Fiscal Forecasts'!N$387</f>
        <v>148.369</v>
      </c>
      <c r="O489" s="16">
        <f t="shared" ref="O489:X489" ca="1" si="297">SUM(O$142,O$385,O$458-N$458)-SUM(O$360-N$360,O$282)</f>
        <v>154.03058814526557</v>
      </c>
      <c r="P489" s="16">
        <f t="shared" ca="1" si="297"/>
        <v>160.35372371483743</v>
      </c>
      <c r="Q489" s="16">
        <f t="shared" ca="1" si="297"/>
        <v>166.91393222973528</v>
      </c>
      <c r="R489" s="16">
        <f t="shared" ca="1" si="297"/>
        <v>173.51239362483147</v>
      </c>
      <c r="S489" s="16">
        <f t="shared" ca="1" si="297"/>
        <v>180.2441093860904</v>
      </c>
      <c r="T489" s="16">
        <f t="shared" ca="1" si="297"/>
        <v>187.11080442961128</v>
      </c>
      <c r="U489" s="16">
        <f t="shared" ca="1" si="297"/>
        <v>194.0746238970938</v>
      </c>
      <c r="V489" s="16">
        <f t="shared" ca="1" si="297"/>
        <v>201.1427007210402</v>
      </c>
      <c r="W489" s="16">
        <f t="shared" ca="1" si="297"/>
        <v>208.31532460548382</v>
      </c>
      <c r="X489" s="16">
        <f t="shared" ca="1" si="297"/>
        <v>215.64250245858591</v>
      </c>
    </row>
    <row r="490" spans="1:24" x14ac:dyDescent="0.25">
      <c r="A490" s="11" t="s">
        <v>575</v>
      </c>
      <c r="B490" s="10" t="str">
        <f t="shared" si="296"/>
        <v>From Fiscal Forecasts</v>
      </c>
      <c r="D490" s="35">
        <f>'Fiscal Forecasts'!D$388</f>
        <v>1.359</v>
      </c>
      <c r="E490" s="35">
        <f>'Fiscal Forecasts'!E$388</f>
        <v>1.226</v>
      </c>
      <c r="F490" s="35">
        <f>'Fiscal Forecasts'!F$388</f>
        <v>2.2869999999999999</v>
      </c>
      <c r="G490" s="35">
        <f>'Fiscal Forecasts'!G$388</f>
        <v>3.3639999999999999</v>
      </c>
      <c r="H490" s="35">
        <f>'Fiscal Forecasts'!H$388</f>
        <v>2.492</v>
      </c>
      <c r="I490" s="35">
        <f>'Fiscal Forecasts'!I$388</f>
        <v>1.79</v>
      </c>
      <c r="J490" s="17">
        <f>'Fiscal Forecasts'!J$388</f>
        <v>1.9770000000000001</v>
      </c>
      <c r="K490" s="17">
        <f>'Fiscal Forecasts'!K$388</f>
        <v>2.2309999999999999</v>
      </c>
      <c r="L490" s="17">
        <f>'Fiscal Forecasts'!L$388</f>
        <v>2.371</v>
      </c>
      <c r="M490" s="17">
        <f>'Fiscal Forecasts'!M$388</f>
        <v>2.367</v>
      </c>
      <c r="N490" s="17">
        <f>'Fiscal Forecasts'!N$388</f>
        <v>2.35</v>
      </c>
      <c r="O490" s="16">
        <f t="shared" ref="O490:X490" ca="1" si="298">SUM(O$146,O$151)</f>
        <v>2.6429340481804928</v>
      </c>
      <c r="P490" s="16">
        <f t="shared" ca="1" si="298"/>
        <v>2.7216053594266576</v>
      </c>
      <c r="Q490" s="16">
        <f t="shared" ca="1" si="298"/>
        <v>2.8012224425256846</v>
      </c>
      <c r="R490" s="16">
        <f t="shared" ca="1" si="298"/>
        <v>2.8810709463860236</v>
      </c>
      <c r="S490" s="16">
        <f t="shared" ca="1" si="298"/>
        <v>2.9615746880905123</v>
      </c>
      <c r="T490" s="16">
        <f t="shared" ca="1" si="298"/>
        <v>3.0425449995930327</v>
      </c>
      <c r="U490" s="16">
        <f t="shared" ca="1" si="298"/>
        <v>3.1250404675093675</v>
      </c>
      <c r="V490" s="16">
        <f t="shared" ca="1" si="298"/>
        <v>3.2086487064120868</v>
      </c>
      <c r="W490" s="16">
        <f t="shared" ca="1" si="298"/>
        <v>3.2921789269818311</v>
      </c>
      <c r="X490" s="16">
        <f t="shared" ca="1" si="298"/>
        <v>3.3765125193692844</v>
      </c>
    </row>
    <row r="491" spans="1:24" x14ac:dyDescent="0.25">
      <c r="A491" s="11" t="s">
        <v>802</v>
      </c>
      <c r="B491" s="10" t="str">
        <f t="shared" si="296"/>
        <v>From Fiscal Forecasts</v>
      </c>
      <c r="D491" s="35">
        <f>'Fiscal Forecasts'!D$389</f>
        <v>0.71199999999999997</v>
      </c>
      <c r="E491" s="35">
        <f>'Fiscal Forecasts'!E$389</f>
        <v>0.42799999999999999</v>
      </c>
      <c r="F491" s="35">
        <f>'Fiscal Forecasts'!F$389</f>
        <v>0.249</v>
      </c>
      <c r="G491" s="35">
        <f>'Fiscal Forecasts'!G$389</f>
        <v>0.39300000000000002</v>
      </c>
      <c r="H491" s="35">
        <f>'Fiscal Forecasts'!H$389</f>
        <v>0.98199999999999998</v>
      </c>
      <c r="I491" s="35">
        <f>'Fiscal Forecasts'!I$389</f>
        <v>1.8779999999999999</v>
      </c>
      <c r="J491" s="17">
        <f>'Fiscal Forecasts'!J$389</f>
        <v>2.7080000000000002</v>
      </c>
      <c r="K491" s="17">
        <f>'Fiscal Forecasts'!K$389</f>
        <v>2.2959999999999998</v>
      </c>
      <c r="L491" s="17">
        <f>'Fiscal Forecasts'!L$389</f>
        <v>1.3180000000000001</v>
      </c>
      <c r="M491" s="17">
        <f>'Fiscal Forecasts'!M$389</f>
        <v>1.2809999999999999</v>
      </c>
      <c r="N491" s="17">
        <f>'Fiscal Forecasts'!N$389</f>
        <v>1.3220000000000001</v>
      </c>
      <c r="O491" s="16">
        <f t="shared" ref="O491:X491" ca="1" si="299">SUM(O$154,O$169,O$177)</f>
        <v>4.4155915525049076</v>
      </c>
      <c r="P491" s="16">
        <f t="shared" ca="1" si="299"/>
        <v>4.5564632751770393</v>
      </c>
      <c r="Q491" s="16">
        <f t="shared" ca="1" si="299"/>
        <v>4.699028531464629</v>
      </c>
      <c r="R491" s="16">
        <f t="shared" ca="1" si="299"/>
        <v>4.8420081782179638</v>
      </c>
      <c r="S491" s="16">
        <f t="shared" ca="1" si="299"/>
        <v>4.9861611177816423</v>
      </c>
      <c r="T491" s="16">
        <f t="shared" ca="1" si="299"/>
        <v>5.1311495142628969</v>
      </c>
      <c r="U491" s="16">
        <f t="shared" ca="1" si="299"/>
        <v>5.278868911511208</v>
      </c>
      <c r="V491" s="16">
        <f t="shared" ca="1" si="299"/>
        <v>5.4285808771215862</v>
      </c>
      <c r="W491" s="16">
        <f t="shared" ca="1" si="299"/>
        <v>5.5781531402560294</v>
      </c>
      <c r="X491" s="16">
        <f t="shared" ca="1" si="299"/>
        <v>5.7291639503031178</v>
      </c>
    </row>
    <row r="492" spans="1:24" x14ac:dyDescent="0.25">
      <c r="A492" s="11" t="s">
        <v>576</v>
      </c>
      <c r="B492" s="10" t="str">
        <f t="shared" si="296"/>
        <v>From Fiscal Forecasts</v>
      </c>
      <c r="D492" s="35">
        <f>'Fiscal Forecasts'!D$390</f>
        <v>3.2</v>
      </c>
      <c r="E492" s="35">
        <f>'Fiscal Forecasts'!E$390</f>
        <v>3.2429999999999999</v>
      </c>
      <c r="F492" s="35">
        <f>'Fiscal Forecasts'!F$390</f>
        <v>2.98</v>
      </c>
      <c r="G492" s="35">
        <f>'Fiscal Forecasts'!G$390</f>
        <v>2.883</v>
      </c>
      <c r="H492" s="35">
        <f>'Fiscal Forecasts'!H$390</f>
        <v>3.9540000000000002</v>
      </c>
      <c r="I492" s="35">
        <f>'Fiscal Forecasts'!I$390</f>
        <v>3.7789999999999999</v>
      </c>
      <c r="J492" s="17">
        <f>'Fiscal Forecasts'!J$390</f>
        <v>3.89</v>
      </c>
      <c r="K492" s="17">
        <f>'Fiscal Forecasts'!K$390</f>
        <v>4.1050000000000004</v>
      </c>
      <c r="L492" s="17">
        <f>'Fiscal Forecasts'!L$390</f>
        <v>4.0579999999999998</v>
      </c>
      <c r="M492" s="17">
        <f>'Fiscal Forecasts'!M$390</f>
        <v>4.1710000000000003</v>
      </c>
      <c r="N492" s="17">
        <f>'Fiscal Forecasts'!N$390</f>
        <v>4.2569999999999997</v>
      </c>
      <c r="O492" s="16">
        <f t="shared" ref="O492:X492" ca="1" si="300">SUM(O$160,O$341)</f>
        <v>3.1799687142148629</v>
      </c>
      <c r="P492" s="16">
        <f t="shared" ca="1" si="300"/>
        <v>3.2225883059503575</v>
      </c>
      <c r="Q492" s="16">
        <f t="shared" ca="1" si="300"/>
        <v>3.2656212012352208</v>
      </c>
      <c r="R492" s="16">
        <f t="shared" ca="1" si="300"/>
        <v>3.309055477854896</v>
      </c>
      <c r="S492" s="16">
        <f t="shared" ca="1" si="300"/>
        <v>3.3530554434049047</v>
      </c>
      <c r="T492" s="16">
        <f t="shared" ca="1" si="300"/>
        <v>3.3921354471533838</v>
      </c>
      <c r="U492" s="16">
        <f t="shared" ca="1" si="300"/>
        <v>3.4316313478063689</v>
      </c>
      <c r="V492" s="16">
        <f t="shared" ca="1" si="300"/>
        <v>3.4715606234926826</v>
      </c>
      <c r="W492" s="16">
        <f t="shared" ca="1" si="300"/>
        <v>3.5119261722492077</v>
      </c>
      <c r="X492" s="16">
        <f t="shared" ca="1" si="300"/>
        <v>3.5527904360154672</v>
      </c>
    </row>
    <row r="493" spans="1:24" x14ac:dyDescent="0.25">
      <c r="A493" s="11" t="s">
        <v>534</v>
      </c>
      <c r="B493" s="10" t="str">
        <f t="shared" si="296"/>
        <v>From Fiscal Forecasts</v>
      </c>
      <c r="D493" s="35">
        <f>'Fiscal Forecasts'!D$391</f>
        <v>28.91</v>
      </c>
      <c r="E493" s="35">
        <f>'Fiscal Forecasts'!E$391</f>
        <v>43.915999999999997</v>
      </c>
      <c r="F493" s="35">
        <f>'Fiscal Forecasts'!F$391</f>
        <v>36.573999999999998</v>
      </c>
      <c r="G493" s="35">
        <f>'Fiscal Forecasts'!G$391</f>
        <v>45.44</v>
      </c>
      <c r="H493" s="35">
        <f>'Fiscal Forecasts'!H$391</f>
        <v>40.417000000000002</v>
      </c>
      <c r="I493" s="35">
        <f>'Fiscal Forecasts'!I$391</f>
        <v>43.494999999999997</v>
      </c>
      <c r="J493" s="17">
        <f>'Fiscal Forecasts'!J$391</f>
        <v>47.723999999999997</v>
      </c>
      <c r="K493" s="17">
        <f>'Fiscal Forecasts'!K$391</f>
        <v>49.08</v>
      </c>
      <c r="L493" s="17">
        <f>'Fiscal Forecasts'!L$391</f>
        <v>50.116</v>
      </c>
      <c r="M493" s="17">
        <f>'Fiscal Forecasts'!M$391</f>
        <v>51.552</v>
      </c>
      <c r="N493" s="17">
        <f>'Fiscal Forecasts'!N$391</f>
        <v>53.042000000000002</v>
      </c>
      <c r="O493" s="16">
        <f t="shared" ref="O493:X493" ca="1" si="301">O$195</f>
        <v>52.716537878014769</v>
      </c>
      <c r="P493" s="16">
        <f t="shared" ca="1" si="301"/>
        <v>54.97496932655698</v>
      </c>
      <c r="Q493" s="16">
        <f t="shared" ca="1" si="301"/>
        <v>57.336481433380918</v>
      </c>
      <c r="R493" s="16">
        <f t="shared" ca="1" si="301"/>
        <v>59.784834344606928</v>
      </c>
      <c r="S493" s="16">
        <f t="shared" ca="1" si="301"/>
        <v>62.321710620668796</v>
      </c>
      <c r="T493" s="16">
        <f t="shared" ca="1" si="301"/>
        <v>64.903902206045629</v>
      </c>
      <c r="U493" s="16">
        <f t="shared" ca="1" si="301"/>
        <v>67.58738423613697</v>
      </c>
      <c r="V493" s="16">
        <f t="shared" ca="1" si="301"/>
        <v>70.30501559046796</v>
      </c>
      <c r="W493" s="16">
        <f t="shared" ca="1" si="301"/>
        <v>72.993209551386627</v>
      </c>
      <c r="X493" s="16">
        <f t="shared" ca="1" si="301"/>
        <v>75.659959432481941</v>
      </c>
    </row>
    <row r="494" spans="1:24" x14ac:dyDescent="0.25">
      <c r="A494" s="11" t="s">
        <v>1124</v>
      </c>
      <c r="B494" s="10" t="str">
        <f t="shared" si="296"/>
        <v>From Fiscal Forecasts</v>
      </c>
      <c r="D494" s="35">
        <f>'Fiscal Forecasts'!D$392</f>
        <v>50.591000000000001</v>
      </c>
      <c r="E494" s="35">
        <f>'Fiscal Forecasts'!E$392</f>
        <v>56.582999999999998</v>
      </c>
      <c r="F494" s="35">
        <f>'Fiscal Forecasts'!F$392</f>
        <v>63.893999999999998</v>
      </c>
      <c r="G494" s="35">
        <f>'Fiscal Forecasts'!G$392</f>
        <v>71.98</v>
      </c>
      <c r="H494" s="35">
        <f>'Fiscal Forecasts'!H$392</f>
        <v>76.433999999999997</v>
      </c>
      <c r="I494" s="35">
        <f>'Fiscal Forecasts'!I$392</f>
        <v>79.747</v>
      </c>
      <c r="J494" s="17">
        <f ca="1">'Fiscal Forecasts'!J$392+IF(OFFSET(Assumptions!$B$56,0,$C$1)="Yes",SUM(Allocation!C$14:C$24),0)</f>
        <v>84.227999999999994</v>
      </c>
      <c r="K494" s="17">
        <f ca="1">'Fiscal Forecasts'!K$392+IF(OFFSET(Assumptions!$B$56,0,$C$1)="Yes",SUM(Allocation!D$14:D$24),0)</f>
        <v>83.905000000000001</v>
      </c>
      <c r="L494" s="17">
        <f ca="1">'Fiscal Forecasts'!L$392+IF(OFFSET(Assumptions!$B$56,0,$C$1)="Yes",SUM(Allocation!E$14:E$24),0)</f>
        <v>84.182000000000002</v>
      </c>
      <c r="M494" s="17">
        <f ca="1">'Fiscal Forecasts'!M$392+IF(OFFSET(Assumptions!$B$56,0,$C$1)="Yes",SUM(Allocation!F$14:F$24),0)</f>
        <v>82.603999999999999</v>
      </c>
      <c r="N494" s="17">
        <f ca="1">'Fiscal Forecasts'!N$392+IF(OFFSET(Assumptions!$B$56,0,$C$1)="Yes",SUM(Allocation!G$14:G$24),0)</f>
        <v>82.471999999999994</v>
      </c>
      <c r="O494" s="16">
        <f t="shared" ref="O494:X494" ca="1" si="302">SUM(O$208,O$222,O$237)-SUM(O$219,O$272,O$280,O$282,O$322,O$472-N$472,O$478-N$478)</f>
        <v>84.020885134545338</v>
      </c>
      <c r="P494" s="16">
        <f t="shared" ca="1" si="302"/>
        <v>84.000317857049339</v>
      </c>
      <c r="Q494" s="16">
        <f t="shared" ca="1" si="302"/>
        <v>84.168700027242323</v>
      </c>
      <c r="R494" s="16">
        <f t="shared" ca="1" si="302"/>
        <v>84.377585238986342</v>
      </c>
      <c r="S494" s="16">
        <f t="shared" ca="1" si="302"/>
        <v>84.588120458579326</v>
      </c>
      <c r="T494" s="16">
        <f t="shared" ca="1" si="302"/>
        <v>84.80180430042617</v>
      </c>
      <c r="U494" s="16">
        <f t="shared" ca="1" si="302"/>
        <v>85.011330352017708</v>
      </c>
      <c r="V494" s="16">
        <f t="shared" ca="1" si="302"/>
        <v>85.228490095554136</v>
      </c>
      <c r="W494" s="16">
        <f t="shared" ca="1" si="302"/>
        <v>85.448322854502706</v>
      </c>
      <c r="X494" s="16">
        <f t="shared" ca="1" si="302"/>
        <v>85.67263623108424</v>
      </c>
    </row>
    <row r="495" spans="1:24" x14ac:dyDescent="0.25">
      <c r="A495" s="11" t="s">
        <v>580</v>
      </c>
      <c r="B495" s="10" t="str">
        <f t="shared" si="296"/>
        <v>From Fiscal Forecasts</v>
      </c>
      <c r="D495" s="35">
        <f>'Fiscal Forecasts'!D$393</f>
        <v>3.45</v>
      </c>
      <c r="E495" s="35">
        <f>'Fiscal Forecasts'!E$393</f>
        <v>3.016</v>
      </c>
      <c r="F495" s="35">
        <f>'Fiscal Forecasts'!F$393</f>
        <v>2.6419999999999999</v>
      </c>
      <c r="G495" s="35">
        <f>'Fiscal Forecasts'!G$393</f>
        <v>2.8410000000000002</v>
      </c>
      <c r="H495" s="35">
        <f>'Fiscal Forecasts'!H$393</f>
        <v>5.3049999999999997</v>
      </c>
      <c r="I495" s="35">
        <f>'Fiscal Forecasts'!I$393</f>
        <v>7.0439999999999996</v>
      </c>
      <c r="J495" s="17">
        <f>'Fiscal Forecasts'!J$393</f>
        <v>6.9340000000000002</v>
      </c>
      <c r="K495" s="17">
        <f>'Fiscal Forecasts'!K$393</f>
        <v>7.6150000000000002</v>
      </c>
      <c r="L495" s="17">
        <f>'Fiscal Forecasts'!L$393</f>
        <v>8.6690000000000005</v>
      </c>
      <c r="M495" s="17">
        <f>'Fiscal Forecasts'!M$393</f>
        <v>9.2949999999999999</v>
      </c>
      <c r="N495" s="17">
        <f>'Fiscal Forecasts'!N$393</f>
        <v>10.396000000000001</v>
      </c>
      <c r="O495" s="16">
        <f t="shared" ref="O495:X495" ca="1" si="303">(2*N$71-SUM(O$489:O$492,O$503,O$509)+SUM(O$493,O$494,O$496,O$508,O$354-N$354))/(2/O$234-1)</f>
        <v>13.07827289201907</v>
      </c>
      <c r="P495" s="16">
        <f t="shared" ca="1" si="303"/>
        <v>13.415408920573645</v>
      </c>
      <c r="Q495" s="16">
        <f t="shared" ca="1" si="303"/>
        <v>13.815336765548881</v>
      </c>
      <c r="R495" s="16">
        <f t="shared" ca="1" si="303"/>
        <v>14.218133813975781</v>
      </c>
      <c r="S495" s="16">
        <f t="shared" ca="1" si="303"/>
        <v>14.628378609417544</v>
      </c>
      <c r="T495" s="16">
        <f t="shared" ca="1" si="303"/>
        <v>14.995231795141924</v>
      </c>
      <c r="U495" s="16">
        <f t="shared" ca="1" si="303"/>
        <v>15.370317814691747</v>
      </c>
      <c r="V495" s="16">
        <f t="shared" ca="1" si="303"/>
        <v>15.757699111683474</v>
      </c>
      <c r="W495" s="16">
        <f t="shared" ca="1" si="303"/>
        <v>16.161637085191455</v>
      </c>
      <c r="X495" s="16">
        <f t="shared" ca="1" si="303"/>
        <v>16.585850314505411</v>
      </c>
    </row>
    <row r="496" spans="1:24" x14ac:dyDescent="0.25">
      <c r="A496" s="11" t="s">
        <v>1125</v>
      </c>
      <c r="D496" s="35">
        <f t="shared" ref="D496:X496" si="304">SUM(D$245,D$248)</f>
        <v>0</v>
      </c>
      <c r="E496" s="35">
        <f t="shared" si="304"/>
        <v>0</v>
      </c>
      <c r="F496" s="35">
        <f t="shared" si="304"/>
        <v>0</v>
      </c>
      <c r="G496" s="35">
        <f t="shared" si="304"/>
        <v>0</v>
      </c>
      <c r="H496" s="35">
        <f t="shared" si="304"/>
        <v>0</v>
      </c>
      <c r="I496" s="35">
        <f t="shared" si="304"/>
        <v>0</v>
      </c>
      <c r="J496" s="17">
        <f t="shared" ca="1" si="304"/>
        <v>-2.7</v>
      </c>
      <c r="K496" s="17">
        <f t="shared" ca="1" si="304"/>
        <v>0.82</v>
      </c>
      <c r="L496" s="17">
        <f t="shared" ca="1" si="304"/>
        <v>2.1190000000000002</v>
      </c>
      <c r="M496" s="17">
        <f t="shared" ca="1" si="304"/>
        <v>4.7690000000000001</v>
      </c>
      <c r="N496" s="17">
        <f t="shared" ca="1" si="304"/>
        <v>7.3029999999999999</v>
      </c>
      <c r="O496" s="16">
        <f t="shared" ca="1" si="304"/>
        <v>11.427999999999999</v>
      </c>
      <c r="P496" s="16">
        <f t="shared" ca="1" si="304"/>
        <v>15.05875</v>
      </c>
      <c r="Q496" s="16">
        <f t="shared" ca="1" si="304"/>
        <v>18.798422500000001</v>
      </c>
      <c r="R496" s="16">
        <f t="shared" ca="1" si="304"/>
        <v>22.650285175</v>
      </c>
      <c r="S496" s="16">
        <f t="shared" ca="1" si="304"/>
        <v>26.61770373025</v>
      </c>
      <c r="T496" s="16">
        <f t="shared" ca="1" si="304"/>
        <v>30.704144842157501</v>
      </c>
      <c r="U496" s="16">
        <f t="shared" ca="1" si="304"/>
        <v>34.91317918742223</v>
      </c>
      <c r="V496" s="16">
        <f t="shared" ca="1" si="304"/>
        <v>39.248484563044897</v>
      </c>
      <c r="W496" s="16">
        <f t="shared" ca="1" si="304"/>
        <v>43.713849099936247</v>
      </c>
      <c r="X496" s="16">
        <f t="shared" ca="1" si="304"/>
        <v>48.313174572934336</v>
      </c>
    </row>
    <row r="497" spans="1:24" x14ac:dyDescent="0.25">
      <c r="A497" s="9" t="s">
        <v>1118</v>
      </c>
      <c r="D497" s="65">
        <f t="shared" ref="D497:I497" si="305">SUM(D$489:D$492)-SUM(D$493:D$496)</f>
        <v>6.0359999999999872</v>
      </c>
      <c r="E497" s="65">
        <f t="shared" si="305"/>
        <v>-14.308000000000007</v>
      </c>
      <c r="F497" s="65">
        <f t="shared" si="305"/>
        <v>-1.0429999999999779</v>
      </c>
      <c r="G497" s="65">
        <f t="shared" si="305"/>
        <v>-8.1340000000000003</v>
      </c>
      <c r="H497" s="65">
        <f t="shared" si="305"/>
        <v>-3.436000000000007</v>
      </c>
      <c r="I497" s="65">
        <f t="shared" si="305"/>
        <v>-6.1020000000000039</v>
      </c>
      <c r="J497" s="66">
        <f t="shared" ref="J497:N497" ca="1" si="306">SUM(J$489:J$492)-SUM(J$493:J$496)</f>
        <v>-4.0580000000000211</v>
      </c>
      <c r="K497" s="66">
        <f t="shared" ca="1" si="306"/>
        <v>-6.8320000000000221</v>
      </c>
      <c r="L497" s="66">
        <f t="shared" ca="1" si="306"/>
        <v>-3.8050000000000068</v>
      </c>
      <c r="M497" s="66">
        <f t="shared" ca="1" si="306"/>
        <v>0.46399999999999864</v>
      </c>
      <c r="N497" s="66">
        <f t="shared" ca="1" si="306"/>
        <v>3.0849999999999795</v>
      </c>
      <c r="O497" s="67">
        <f t="shared" ref="O497:X497" ca="1" si="307">SUM(O$489:O$492)-SUM(O$493:O$496)</f>
        <v>3.0253865555866355</v>
      </c>
      <c r="P497" s="67">
        <f t="shared" ca="1" si="307"/>
        <v>3.404934551211511</v>
      </c>
      <c r="Q497" s="67">
        <f t="shared" ca="1" si="307"/>
        <v>3.560863678788678</v>
      </c>
      <c r="R497" s="67">
        <f t="shared" ca="1" si="307"/>
        <v>3.5136896547212757</v>
      </c>
      <c r="S497" s="67">
        <f t="shared" ca="1" si="307"/>
        <v>3.3889872164517669</v>
      </c>
      <c r="T497" s="67">
        <f t="shared" ca="1" si="307"/>
        <v>3.2715512468493273</v>
      </c>
      <c r="U497" s="67">
        <f t="shared" ca="1" si="307"/>
        <v>3.0279530336520679</v>
      </c>
      <c r="V497" s="67">
        <f t="shared" ca="1" si="307"/>
        <v>2.7118015673160869</v>
      </c>
      <c r="W497" s="67">
        <f t="shared" ca="1" si="307"/>
        <v>2.3805642539538496</v>
      </c>
      <c r="X497" s="67">
        <f t="shared" ca="1" si="307"/>
        <v>2.069348813267851</v>
      </c>
    </row>
    <row r="498" spans="1:24" x14ac:dyDescent="0.25">
      <c r="A498" s="11" t="s">
        <v>1126</v>
      </c>
      <c r="B498" s="10" t="str">
        <f t="shared" ref="B498:B500" si="308">$B$38</f>
        <v>From Fiscal Forecasts</v>
      </c>
      <c r="D498" s="35">
        <f>-'Fiscal Forecasts'!D$395</f>
        <v>3.0019999999999998</v>
      </c>
      <c r="E498" s="35">
        <f>-'Fiscal Forecasts'!E$395</f>
        <v>2.9550000000000001</v>
      </c>
      <c r="F498" s="35">
        <f>-'Fiscal Forecasts'!F$395</f>
        <v>3.137</v>
      </c>
      <c r="G498" s="35">
        <f>-'Fiscal Forecasts'!G$395</f>
        <v>3.4740000000000002</v>
      </c>
      <c r="H498" s="35">
        <f>-'Fiscal Forecasts'!H$395</f>
        <v>4.4349999999999996</v>
      </c>
      <c r="I498" s="35">
        <f>-'Fiscal Forecasts'!I$395</f>
        <v>4.7009999999999996</v>
      </c>
      <c r="J498" s="17">
        <f>-'Fiscal Forecasts'!J$395</f>
        <v>4.242</v>
      </c>
      <c r="K498" s="17">
        <f>-'Fiscal Forecasts'!K$395</f>
        <v>4.3230000000000004</v>
      </c>
      <c r="L498" s="17">
        <f>-'Fiscal Forecasts'!L$395</f>
        <v>3.5950000000000002</v>
      </c>
      <c r="M498" s="17">
        <f>-'Fiscal Forecasts'!M$395</f>
        <v>2.7170000000000001</v>
      </c>
      <c r="N498" s="17">
        <f>-'Fiscal Forecasts'!N$395</f>
        <v>2.4750000000000001</v>
      </c>
      <c r="O498" s="16">
        <f t="shared" ref="O498:X498" ca="1" si="309">SUM(O$427-N$427,O$215,O$441-N$441,O$219)</f>
        <v>3.403850728053635</v>
      </c>
      <c r="P498" s="16">
        <f t="shared" ca="1" si="309"/>
        <v>3.403850728053635</v>
      </c>
      <c r="Q498" s="16">
        <f t="shared" ca="1" si="309"/>
        <v>3.403850728053635</v>
      </c>
      <c r="R498" s="16">
        <f t="shared" ca="1" si="309"/>
        <v>3.403850728053635</v>
      </c>
      <c r="S498" s="16">
        <f t="shared" ca="1" si="309"/>
        <v>3.403850728053635</v>
      </c>
      <c r="T498" s="16">
        <f t="shared" ca="1" si="309"/>
        <v>3.403850728053635</v>
      </c>
      <c r="U498" s="16">
        <f t="shared" ca="1" si="309"/>
        <v>3.403850728053635</v>
      </c>
      <c r="V498" s="16">
        <f t="shared" ca="1" si="309"/>
        <v>3.403850728053635</v>
      </c>
      <c r="W498" s="16">
        <f t="shared" ca="1" si="309"/>
        <v>3.403850728053635</v>
      </c>
      <c r="X498" s="16">
        <f t="shared" ca="1" si="309"/>
        <v>3.403850728053635</v>
      </c>
    </row>
    <row r="499" spans="1:24" x14ac:dyDescent="0.25">
      <c r="A499" s="11" t="s">
        <v>1127</v>
      </c>
      <c r="B499" s="10" t="str">
        <f t="shared" si="308"/>
        <v>From Fiscal Forecasts</v>
      </c>
      <c r="D499" s="35">
        <f>-'Fiscal Forecasts'!D$396</f>
        <v>8.5999999999999993E-2</v>
      </c>
      <c r="E499" s="35">
        <f>-'Fiscal Forecasts'!E$396</f>
        <v>1.798</v>
      </c>
      <c r="F499" s="35">
        <f>-'Fiscal Forecasts'!F$396</f>
        <v>3.8679999999999999</v>
      </c>
      <c r="G499" s="35">
        <f>-'Fiscal Forecasts'!G$396</f>
        <v>9.1920000000000002</v>
      </c>
      <c r="H499" s="35">
        <f>-'Fiscal Forecasts'!H$396</f>
        <v>9.1590000000000007</v>
      </c>
      <c r="I499" s="35">
        <f>-'Fiscal Forecasts'!I$396</f>
        <v>2.5329999999999999</v>
      </c>
      <c r="J499" s="17">
        <f>-'Fiscal Forecasts'!J$396</f>
        <v>-5.3380000000000001</v>
      </c>
      <c r="K499" s="17">
        <f>-'Fiscal Forecasts'!K$396</f>
        <v>-4.7889999999999997</v>
      </c>
      <c r="L499" s="17">
        <f>-'Fiscal Forecasts'!L$396</f>
        <v>2.992</v>
      </c>
      <c r="M499" s="17">
        <f>-'Fiscal Forecasts'!M$396</f>
        <v>1.8180000000000001</v>
      </c>
      <c r="N499" s="17">
        <f>-'Fiscal Forecasts'!N$396</f>
        <v>1.944</v>
      </c>
      <c r="O499" s="16">
        <f t="shared" ref="O499:X499" si="310">SUM(O$401-N$401-O$413+O$411,O$402-N$402)</f>
        <v>8.599999999999941E-2</v>
      </c>
      <c r="P499" s="16">
        <f t="shared" si="310"/>
        <v>6.399999999999928E-2</v>
      </c>
      <c r="Q499" s="16">
        <f t="shared" si="310"/>
        <v>4.8999999999999044E-2</v>
      </c>
      <c r="R499" s="16">
        <f t="shared" si="310"/>
        <v>3.6000000000001808E-2</v>
      </c>
      <c r="S499" s="16">
        <f t="shared" si="310"/>
        <v>2.49999999999998E-2</v>
      </c>
      <c r="T499" s="16">
        <f t="shared" si="310"/>
        <v>7.9999999999985638E-3</v>
      </c>
      <c r="U499" s="16">
        <f t="shared" si="310"/>
        <v>-1.0000000000014442E-3</v>
      </c>
      <c r="V499" s="16">
        <f t="shared" si="310"/>
        <v>-1.0999999999998678E-2</v>
      </c>
      <c r="W499" s="16">
        <f t="shared" si="310"/>
        <v>-1.8999999999998907E-2</v>
      </c>
      <c r="X499" s="16">
        <f t="shared" si="310"/>
        <v>-2.2000000000001463E-2</v>
      </c>
    </row>
    <row r="500" spans="1:24" x14ac:dyDescent="0.25">
      <c r="A500" s="11" t="s">
        <v>1128</v>
      </c>
      <c r="B500" s="10" t="str">
        <f t="shared" si="308"/>
        <v>From Fiscal Forecasts</v>
      </c>
      <c r="D500" s="35">
        <f>-'Fiscal Forecasts'!D$397</f>
        <v>2.6579999999999999</v>
      </c>
      <c r="E500" s="35">
        <f>-'Fiscal Forecasts'!E$397</f>
        <v>3.1709999999999998</v>
      </c>
      <c r="F500" s="35">
        <f>-'Fiscal Forecasts'!F$397</f>
        <v>3.5990000000000002</v>
      </c>
      <c r="G500" s="35">
        <f>-'Fiscal Forecasts'!G$397</f>
        <v>3.823</v>
      </c>
      <c r="H500" s="35">
        <f>-'Fiscal Forecasts'!H$397</f>
        <v>6.06</v>
      </c>
      <c r="I500" s="35">
        <f>-'Fiscal Forecasts'!I$397</f>
        <v>4.3520000000000003</v>
      </c>
      <c r="J500" s="17">
        <f>-'Fiscal Forecasts'!J$397</f>
        <v>7.649</v>
      </c>
      <c r="K500" s="17">
        <f>-'Fiscal Forecasts'!K$397</f>
        <v>6.5069999999999997</v>
      </c>
      <c r="L500" s="17">
        <f>-'Fiscal Forecasts'!L$397</f>
        <v>4.774</v>
      </c>
      <c r="M500" s="17">
        <f>-'Fiscal Forecasts'!M$397</f>
        <v>3.9990000000000001</v>
      </c>
      <c r="N500" s="17">
        <f>-'Fiscal Forecasts'!N$397</f>
        <v>2.8170000000000002</v>
      </c>
      <c r="O500" s="16">
        <f t="shared" ref="O500:X500" ca="1" si="311">SUM(O$437-N$437,-O$349)</f>
        <v>0.97069985849933604</v>
      </c>
      <c r="P500" s="16">
        <f t="shared" ca="1" si="311"/>
        <v>0.96592899551477984</v>
      </c>
      <c r="Q500" s="16">
        <f t="shared" ca="1" si="311"/>
        <v>0.9977620719770075</v>
      </c>
      <c r="R500" s="16">
        <f t="shared" ca="1" si="311"/>
        <v>1.0370504504875699</v>
      </c>
      <c r="S500" s="16">
        <f t="shared" ca="1" si="311"/>
        <v>1.0772051244262628</v>
      </c>
      <c r="T500" s="16">
        <f t="shared" ca="1" si="311"/>
        <v>1.1181648141704357</v>
      </c>
      <c r="U500" s="16">
        <f t="shared" ca="1" si="311"/>
        <v>1.15967062159209</v>
      </c>
      <c r="V500" s="16">
        <f t="shared" ca="1" si="311"/>
        <v>1.201800460819205</v>
      </c>
      <c r="W500" s="16">
        <f t="shared" ca="1" si="311"/>
        <v>1.2445527622419963</v>
      </c>
      <c r="X500" s="16">
        <f t="shared" ca="1" si="311"/>
        <v>1.2882496870846063</v>
      </c>
    </row>
    <row r="501" spans="1:24" x14ac:dyDescent="0.25">
      <c r="A501" s="11" t="s">
        <v>1129</v>
      </c>
      <c r="D501" s="35">
        <f t="shared" ref="D501:X501" si="312">D$389</f>
        <v>1</v>
      </c>
      <c r="E501" s="35">
        <f t="shared" si="312"/>
        <v>1.46</v>
      </c>
      <c r="F501" s="35">
        <f t="shared" si="312"/>
        <v>2.12</v>
      </c>
      <c r="G501" s="35">
        <f t="shared" si="312"/>
        <v>2.42</v>
      </c>
      <c r="H501" s="35">
        <f t="shared" si="312"/>
        <v>2.5579999999999998</v>
      </c>
      <c r="I501" s="35">
        <f t="shared" si="312"/>
        <v>1.6140000000000001</v>
      </c>
      <c r="J501" s="17">
        <f t="shared" si="312"/>
        <v>0.879</v>
      </c>
      <c r="K501" s="17">
        <f t="shared" si="312"/>
        <v>0</v>
      </c>
      <c r="L501" s="17">
        <f t="shared" si="312"/>
        <v>4.0000000000000001E-3</v>
      </c>
      <c r="M501" s="17">
        <f t="shared" si="312"/>
        <v>-3.2000000000000001E-2</v>
      </c>
      <c r="N501" s="17">
        <f t="shared" si="312"/>
        <v>6.3E-2</v>
      </c>
      <c r="O501" s="16">
        <f t="shared" si="312"/>
        <v>7.8931226568819568E-2</v>
      </c>
      <c r="P501" s="16">
        <f t="shared" si="312"/>
        <v>-3.7546449235872359E-2</v>
      </c>
      <c r="Q501" s="16">
        <f t="shared" si="312"/>
        <v>-0.19270640692964491</v>
      </c>
      <c r="R501" s="16">
        <f t="shared" si="312"/>
        <v>-0.40499215635222185</v>
      </c>
      <c r="S501" s="16">
        <f t="shared" si="312"/>
        <v>-0.64923682824001006</v>
      </c>
      <c r="T501" s="16">
        <f t="shared" si="312"/>
        <v>-0.88575870240245536</v>
      </c>
      <c r="U501" s="16">
        <f t="shared" si="312"/>
        <v>-1.1712854524337715</v>
      </c>
      <c r="V501" s="16">
        <f t="shared" si="312"/>
        <v>-1.4363342055452506</v>
      </c>
      <c r="W501" s="16">
        <f t="shared" si="312"/>
        <v>-1.6308417389458754</v>
      </c>
      <c r="X501" s="16">
        <f t="shared" si="312"/>
        <v>-1.7491417757201475</v>
      </c>
    </row>
    <row r="502" spans="1:24" x14ac:dyDescent="0.25">
      <c r="A502" s="11" t="s">
        <v>1130</v>
      </c>
      <c r="D502" s="35">
        <f t="shared" ref="D502:X502" si="313">SUM(D$450-C$450,D$451-C$451)</f>
        <v>0</v>
      </c>
      <c r="E502" s="35">
        <f t="shared" si="313"/>
        <v>0</v>
      </c>
      <c r="F502" s="35">
        <f t="shared" si="313"/>
        <v>0</v>
      </c>
      <c r="G502" s="35">
        <f t="shared" si="313"/>
        <v>0</v>
      </c>
      <c r="H502" s="35">
        <f t="shared" si="313"/>
        <v>0</v>
      </c>
      <c r="I502" s="35">
        <f t="shared" si="313"/>
        <v>0</v>
      </c>
      <c r="J502" s="17">
        <f t="shared" si="313"/>
        <v>-1.5</v>
      </c>
      <c r="K502" s="17">
        <f t="shared" si="313"/>
        <v>1.6600000000000001</v>
      </c>
      <c r="L502" s="17">
        <f t="shared" si="313"/>
        <v>3.0419999999999998</v>
      </c>
      <c r="M502" s="17">
        <f t="shared" si="313"/>
        <v>3.3770000000000002</v>
      </c>
      <c r="N502" s="17">
        <f t="shared" si="313"/>
        <v>3.9310000000000005</v>
      </c>
      <c r="O502" s="16">
        <f t="shared" ca="1" si="313"/>
        <v>7</v>
      </c>
      <c r="P502" s="16">
        <f t="shared" ca="1" si="313"/>
        <v>7.2100000000000009</v>
      </c>
      <c r="Q502" s="16">
        <f t="shared" ca="1" si="313"/>
        <v>7.4262999999999977</v>
      </c>
      <c r="R502" s="16">
        <f t="shared" ca="1" si="313"/>
        <v>7.6490890000000036</v>
      </c>
      <c r="S502" s="16">
        <f t="shared" ca="1" si="313"/>
        <v>7.8785616700000034</v>
      </c>
      <c r="T502" s="16">
        <f t="shared" ca="1" si="313"/>
        <v>8.114918520099998</v>
      </c>
      <c r="U502" s="16">
        <f t="shared" ca="1" si="313"/>
        <v>8.3583660757030032</v>
      </c>
      <c r="V502" s="16">
        <f t="shared" ca="1" si="313"/>
        <v>8.609117057974089</v>
      </c>
      <c r="W502" s="16">
        <f t="shared" ca="1" si="313"/>
        <v>8.867390569713308</v>
      </c>
      <c r="X502" s="16">
        <f t="shared" ca="1" si="313"/>
        <v>9.1334122868047132</v>
      </c>
    </row>
    <row r="503" spans="1:24" x14ac:dyDescent="0.25">
      <c r="A503" s="9" t="s">
        <v>1119</v>
      </c>
      <c r="D503" s="65">
        <f t="shared" ref="D503:I503" si="314">-SUM(D$498:D$502)</f>
        <v>-6.7459999999999996</v>
      </c>
      <c r="E503" s="65">
        <f t="shared" si="314"/>
        <v>-9.3840000000000003</v>
      </c>
      <c r="F503" s="65">
        <f t="shared" si="314"/>
        <v>-12.724</v>
      </c>
      <c r="G503" s="65">
        <f t="shared" si="314"/>
        <v>-18.908999999999999</v>
      </c>
      <c r="H503" s="65">
        <f t="shared" si="314"/>
        <v>-22.212</v>
      </c>
      <c r="I503" s="65">
        <f t="shared" si="314"/>
        <v>-13.200000000000001</v>
      </c>
      <c r="J503" s="66">
        <f t="shared" ref="J503:N503" si="315">-SUM(J$498:J$502)</f>
        <v>-5.9320000000000004</v>
      </c>
      <c r="K503" s="66">
        <f t="shared" si="315"/>
        <v>-7.7010000000000005</v>
      </c>
      <c r="L503" s="66">
        <f t="shared" si="315"/>
        <v>-14.407</v>
      </c>
      <c r="M503" s="66">
        <f t="shared" si="315"/>
        <v>-11.879000000000001</v>
      </c>
      <c r="N503" s="66">
        <f t="shared" si="315"/>
        <v>-11.23</v>
      </c>
      <c r="O503" s="67">
        <f t="shared" ref="O503:X503" ca="1" si="316">-SUM(O$498:O$502)</f>
        <v>-11.539481813121789</v>
      </c>
      <c r="P503" s="67">
        <f t="shared" ca="1" si="316"/>
        <v>-11.606233274332542</v>
      </c>
      <c r="Q503" s="67">
        <f t="shared" ca="1" si="316"/>
        <v>-11.684206393100993</v>
      </c>
      <c r="R503" s="67">
        <f t="shared" ca="1" si="316"/>
        <v>-11.720998022188988</v>
      </c>
      <c r="S503" s="67">
        <f t="shared" ca="1" si="316"/>
        <v>-11.735380694239891</v>
      </c>
      <c r="T503" s="67">
        <f t="shared" ca="1" si="316"/>
        <v>-11.759175359921612</v>
      </c>
      <c r="U503" s="67">
        <f t="shared" ca="1" si="316"/>
        <v>-11.749601972914956</v>
      </c>
      <c r="V503" s="67">
        <f t="shared" ca="1" si="316"/>
        <v>-11.76743404130168</v>
      </c>
      <c r="W503" s="67">
        <f t="shared" ca="1" si="316"/>
        <v>-11.865952321063066</v>
      </c>
      <c r="X503" s="67">
        <f t="shared" ca="1" si="316"/>
        <v>-12.054370926222806</v>
      </c>
    </row>
    <row r="504" spans="1:24" x14ac:dyDescent="0.25">
      <c r="A504" s="9" t="s">
        <v>1120</v>
      </c>
      <c r="D504" s="65">
        <f t="shared" ref="D504:X504" si="317">SUM(D$497,D$503)</f>
        <v>-0.7100000000000124</v>
      </c>
      <c r="E504" s="65">
        <f t="shared" si="317"/>
        <v>-23.692000000000007</v>
      </c>
      <c r="F504" s="65">
        <f t="shared" si="317"/>
        <v>-13.766999999999978</v>
      </c>
      <c r="G504" s="65">
        <f t="shared" si="317"/>
        <v>-27.042999999999999</v>
      </c>
      <c r="H504" s="65">
        <f t="shared" si="317"/>
        <v>-25.648000000000007</v>
      </c>
      <c r="I504" s="65">
        <f t="shared" si="317"/>
        <v>-19.302000000000007</v>
      </c>
      <c r="J504" s="66">
        <f t="shared" ca="1" si="317"/>
        <v>-9.9900000000000215</v>
      </c>
      <c r="K504" s="66">
        <f t="shared" ca="1" si="317"/>
        <v>-14.533000000000023</v>
      </c>
      <c r="L504" s="66">
        <f t="shared" ca="1" si="317"/>
        <v>-18.212000000000007</v>
      </c>
      <c r="M504" s="66">
        <f t="shared" ca="1" si="317"/>
        <v>-11.415000000000003</v>
      </c>
      <c r="N504" s="66">
        <f t="shared" ca="1" si="317"/>
        <v>-8.1450000000000209</v>
      </c>
      <c r="O504" s="67">
        <f t="shared" ca="1" si="317"/>
        <v>-8.5140952575351534</v>
      </c>
      <c r="P504" s="67">
        <f t="shared" ca="1" si="317"/>
        <v>-8.201298723121031</v>
      </c>
      <c r="Q504" s="67">
        <f t="shared" ca="1" si="317"/>
        <v>-8.1233427143123151</v>
      </c>
      <c r="R504" s="67">
        <f t="shared" ca="1" si="317"/>
        <v>-8.2073083674677125</v>
      </c>
      <c r="S504" s="67">
        <f t="shared" ca="1" si="317"/>
        <v>-8.3463934777881246</v>
      </c>
      <c r="T504" s="67">
        <f t="shared" ca="1" si="317"/>
        <v>-8.4876241130722843</v>
      </c>
      <c r="U504" s="67">
        <f t="shared" ca="1" si="317"/>
        <v>-8.721648939262888</v>
      </c>
      <c r="V504" s="67">
        <f t="shared" ca="1" si="317"/>
        <v>-9.0556324739855931</v>
      </c>
      <c r="W504" s="67">
        <f t="shared" ca="1" si="317"/>
        <v>-9.4853880671092163</v>
      </c>
      <c r="X504" s="67">
        <f t="shared" ca="1" si="317"/>
        <v>-9.9850221129549546</v>
      </c>
    </row>
    <row r="505" spans="1:24" x14ac:dyDescent="0.25">
      <c r="A505" s="9" t="s">
        <v>1121</v>
      </c>
      <c r="B505" s="10" t="str">
        <f>$B$62</f>
        <v>Projected Years only</v>
      </c>
      <c r="O505" s="91" t="str">
        <f t="shared" ref="O505:X505" ca="1" si="318">IF(ROUND(SUM(O$504,O$78-N$78,O$509),3)=0,"OK","ERROR")</f>
        <v>OK</v>
      </c>
      <c r="P505" s="91" t="str">
        <f t="shared" ca="1" si="318"/>
        <v>OK</v>
      </c>
      <c r="Q505" s="91" t="str">
        <f t="shared" ca="1" si="318"/>
        <v>OK</v>
      </c>
      <c r="R505" s="91" t="str">
        <f t="shared" ca="1" si="318"/>
        <v>OK</v>
      </c>
      <c r="S505" s="91" t="str">
        <f t="shared" ca="1" si="318"/>
        <v>OK</v>
      </c>
      <c r="T505" s="91" t="str">
        <f t="shared" ca="1" si="318"/>
        <v>OK</v>
      </c>
      <c r="U505" s="91" t="str">
        <f t="shared" ca="1" si="318"/>
        <v>OK</v>
      </c>
      <c r="V505" s="91" t="str">
        <f t="shared" ca="1" si="318"/>
        <v>OK</v>
      </c>
      <c r="W505" s="91" t="str">
        <f t="shared" ca="1" si="318"/>
        <v>OK</v>
      </c>
      <c r="X505" s="91" t="str">
        <f t="shared" ca="1" si="318"/>
        <v>OK</v>
      </c>
    </row>
    <row r="506" spans="1:24" x14ac:dyDescent="0.25">
      <c r="A506" s="9"/>
    </row>
    <row r="507" spans="1:24" x14ac:dyDescent="0.25">
      <c r="A507" s="9" t="s">
        <v>813</v>
      </c>
      <c r="B507" s="10" t="str">
        <f t="shared" ref="B507:B510" si="319">$B$38</f>
        <v>From Fiscal Forecasts</v>
      </c>
      <c r="D507" s="42">
        <f>'Fiscal Forecasts'!D$401</f>
        <v>-4.9580000000000002</v>
      </c>
      <c r="E507" s="42">
        <f>'Fiscal Forecasts'!E$401</f>
        <v>33.061999999999998</v>
      </c>
      <c r="F507" s="42">
        <f>'Fiscal Forecasts'!F$401</f>
        <v>3.8090000000000002</v>
      </c>
      <c r="G507" s="42">
        <f>'Fiscal Forecasts'!G$401</f>
        <v>28.693999999999999</v>
      </c>
      <c r="H507" s="42">
        <f>'Fiscal Forecasts'!H$401</f>
        <v>22.715</v>
      </c>
      <c r="I507" s="42">
        <f>'Fiscal Forecasts'!I$401</f>
        <v>25.202999999999999</v>
      </c>
      <c r="J507" s="43">
        <f>'Fiscal Forecasts'!J$401</f>
        <v>22.451000000000001</v>
      </c>
      <c r="K507" s="43">
        <f>'Fiscal Forecasts'!K$401</f>
        <v>20.768000000000001</v>
      </c>
      <c r="L507" s="43">
        <f>'Fiscal Forecasts'!L$401</f>
        <v>15.787000000000001</v>
      </c>
      <c r="M507" s="43">
        <f>'Fiscal Forecasts'!M$401</f>
        <v>10.113</v>
      </c>
      <c r="N507" s="43">
        <f>'Fiscal Forecasts'!N$401</f>
        <v>6.9329999999999998</v>
      </c>
      <c r="O507" s="47">
        <f t="shared" ref="O507:X507" ca="1" si="320">-SUM(O$497,O$503,O$511)</f>
        <v>8.3254152575351537</v>
      </c>
      <c r="P507" s="47">
        <f t="shared" ca="1" si="320"/>
        <v>8.0088451231210307</v>
      </c>
      <c r="Q507" s="47">
        <f t="shared" ca="1" si="320"/>
        <v>7.9270400423123153</v>
      </c>
      <c r="R507" s="47">
        <f t="shared" ca="1" si="320"/>
        <v>8.0070796420277119</v>
      </c>
      <c r="S507" s="47">
        <f t="shared" ca="1" si="320"/>
        <v>8.1421601778393242</v>
      </c>
      <c r="T507" s="47">
        <f t="shared" ca="1" si="320"/>
        <v>8.2793061471245082</v>
      </c>
      <c r="U507" s="47">
        <f t="shared" ca="1" si="320"/>
        <v>8.5091646139961554</v>
      </c>
      <c r="V507" s="47">
        <f t="shared" ca="1" si="320"/>
        <v>8.8388984622135265</v>
      </c>
      <c r="W507" s="47">
        <f t="shared" ca="1" si="320"/>
        <v>9.2643193751017083</v>
      </c>
      <c r="X507" s="47">
        <f t="shared" ca="1" si="320"/>
        <v>9.7595320471072959</v>
      </c>
    </row>
    <row r="508" spans="1:24" x14ac:dyDescent="0.25">
      <c r="A508" s="11" t="s">
        <v>1131</v>
      </c>
      <c r="B508" s="10" t="str">
        <f t="shared" si="319"/>
        <v>From Fiscal Forecasts</v>
      </c>
      <c r="D508" s="35">
        <f>-'Fiscal Forecasts'!D$402</f>
        <v>-5.1630000000000003</v>
      </c>
      <c r="E508" s="35">
        <f>-'Fiscal Forecasts'!E$402</f>
        <v>14.911</v>
      </c>
      <c r="F508" s="35">
        <f>-'Fiscal Forecasts'!F$402</f>
        <v>-6.0419999999999998</v>
      </c>
      <c r="G508" s="35">
        <f>-'Fiscal Forecasts'!G$402</f>
        <v>2.8000000000000001E-2</v>
      </c>
      <c r="H508" s="35">
        <f>-'Fiscal Forecasts'!H$402</f>
        <v>-2.7749999999999999</v>
      </c>
      <c r="I508" s="35">
        <f>-'Fiscal Forecasts'!I$402</f>
        <v>8.4169999999999998</v>
      </c>
      <c r="J508" s="17">
        <f>-'Fiscal Forecasts'!J$402</f>
        <v>5.7210000000000001</v>
      </c>
      <c r="K508" s="17">
        <f>-'Fiscal Forecasts'!K$402</f>
        <v>6.3159999999999998</v>
      </c>
      <c r="L508" s="17">
        <f>-'Fiscal Forecasts'!L$402</f>
        <v>-2.339</v>
      </c>
      <c r="M508" s="17">
        <f>-'Fiscal Forecasts'!M$402</f>
        <v>-1.2090000000000001</v>
      </c>
      <c r="N508" s="17">
        <f>-'Fiscal Forecasts'!N$402</f>
        <v>-1.113</v>
      </c>
      <c r="O508" s="16">
        <f t="shared" ref="O508:X508" ca="1" si="321">SUM(O$367-N$367,O$376-N$376)</f>
        <v>0</v>
      </c>
      <c r="P508" s="16">
        <f t="shared" ca="1" si="321"/>
        <v>0</v>
      </c>
      <c r="Q508" s="16">
        <f t="shared" ca="1" si="321"/>
        <v>0</v>
      </c>
      <c r="R508" s="16">
        <f t="shared" ca="1" si="321"/>
        <v>0</v>
      </c>
      <c r="S508" s="16">
        <f t="shared" ca="1" si="321"/>
        <v>0</v>
      </c>
      <c r="T508" s="16">
        <f t="shared" ca="1" si="321"/>
        <v>0</v>
      </c>
      <c r="U508" s="16">
        <f t="shared" ca="1" si="321"/>
        <v>0</v>
      </c>
      <c r="V508" s="16">
        <f t="shared" ca="1" si="321"/>
        <v>0</v>
      </c>
      <c r="W508" s="16">
        <f t="shared" ca="1" si="321"/>
        <v>0</v>
      </c>
      <c r="X508" s="16">
        <f t="shared" ca="1" si="321"/>
        <v>0</v>
      </c>
    </row>
    <row r="509" spans="1:24" x14ac:dyDescent="0.25">
      <c r="A509" s="11" t="s">
        <v>590</v>
      </c>
      <c r="D509" s="35">
        <f>D$107</f>
        <v>0.437</v>
      </c>
      <c r="E509" s="35">
        <f t="shared" ref="E509:X509" si="322">E$107</f>
        <v>1.2090000000000001</v>
      </c>
      <c r="F509" s="35">
        <f t="shared" si="322"/>
        <v>0.23400000000000001</v>
      </c>
      <c r="G509" s="35">
        <f t="shared" si="322"/>
        <v>0.80500000000000005</v>
      </c>
      <c r="H509" s="35">
        <f t="shared" si="322"/>
        <v>-5.8999999999999997E-2</v>
      </c>
      <c r="I509" s="35">
        <f t="shared" si="322"/>
        <v>-2.4E-2</v>
      </c>
      <c r="J509" s="17">
        <f t="shared" si="322"/>
        <v>8.8999999999999996E-2</v>
      </c>
      <c r="K509" s="17">
        <f t="shared" si="322"/>
        <v>9.0999999999999998E-2</v>
      </c>
      <c r="L509" s="17">
        <f t="shared" si="322"/>
        <v>9.1999999999999998E-2</v>
      </c>
      <c r="M509" s="17">
        <f t="shared" si="322"/>
        <v>9.1999999999999998E-2</v>
      </c>
      <c r="N509" s="17">
        <f t="shared" si="322"/>
        <v>9.2999999999999999E-2</v>
      </c>
      <c r="O509" s="16">
        <f t="shared" ca="1" si="322"/>
        <v>0.18867999999999974</v>
      </c>
      <c r="P509" s="16">
        <f t="shared" ca="1" si="322"/>
        <v>0.19245360000000034</v>
      </c>
      <c r="Q509" s="16">
        <f t="shared" ca="1" si="322"/>
        <v>0.19630267199999984</v>
      </c>
      <c r="R509" s="16">
        <f t="shared" ca="1" si="322"/>
        <v>0.20022872544000059</v>
      </c>
      <c r="S509" s="16">
        <f t="shared" ca="1" si="322"/>
        <v>0.20423329994880035</v>
      </c>
      <c r="T509" s="16">
        <f t="shared" ca="1" si="322"/>
        <v>0.20831796594777607</v>
      </c>
      <c r="U509" s="16">
        <f t="shared" ca="1" si="322"/>
        <v>0.21248432526673255</v>
      </c>
      <c r="V509" s="16">
        <f t="shared" ca="1" si="322"/>
        <v>0.21673401177206664</v>
      </c>
      <c r="W509" s="16">
        <f t="shared" ca="1" si="322"/>
        <v>0.22106869200750801</v>
      </c>
      <c r="X509" s="16">
        <f t="shared" ca="1" si="322"/>
        <v>0.22549006584765863</v>
      </c>
    </row>
    <row r="510" spans="1:24" x14ac:dyDescent="0.25">
      <c r="A510" s="11" t="s">
        <v>597</v>
      </c>
      <c r="B510" s="10" t="str">
        <f t="shared" si="319"/>
        <v>From Fiscal Forecasts</v>
      </c>
      <c r="D510" s="35">
        <f>-'Fiscal Forecasts'!D$403</f>
        <v>-6.8000000000000005E-2</v>
      </c>
      <c r="E510" s="35">
        <f>-'Fiscal Forecasts'!E$403</f>
        <v>-4.3319999999999999</v>
      </c>
      <c r="F510" s="35">
        <f>-'Fiscal Forecasts'!F$403</f>
        <v>-3.6819999999999999</v>
      </c>
      <c r="G510" s="35">
        <f>-'Fiscal Forecasts'!G$403</f>
        <v>2.4279999999999999</v>
      </c>
      <c r="H510" s="35">
        <f>-'Fiscal Forecasts'!H$403</f>
        <v>-0.217</v>
      </c>
      <c r="I510" s="35">
        <f>-'Fiscal Forecasts'!I$403</f>
        <v>-2.54</v>
      </c>
      <c r="J510" s="17">
        <f>-'Fiscal Forecasts'!J$403</f>
        <v>6.8289999999999997</v>
      </c>
      <c r="K510" s="17">
        <f>-'Fiscal Forecasts'!K$403</f>
        <v>0.01</v>
      </c>
      <c r="L510" s="17">
        <f>-'Fiscal Forecasts'!L$403</f>
        <v>6.0000000000000001E-3</v>
      </c>
      <c r="M510" s="17">
        <f>-'Fiscal Forecasts'!M$403</f>
        <v>-1E-3</v>
      </c>
      <c r="N510" s="17">
        <f>-'Fiscal Forecasts'!N$403</f>
        <v>-6.0000000000000001E-3</v>
      </c>
      <c r="O510" s="16">
        <f t="shared" ref="O510:X510" ca="1" si="323">O$354-N$354</f>
        <v>0</v>
      </c>
      <c r="P510" s="16">
        <f t="shared" ca="1" si="323"/>
        <v>0</v>
      </c>
      <c r="Q510" s="16">
        <f t="shared" ca="1" si="323"/>
        <v>0</v>
      </c>
      <c r="R510" s="16">
        <f t="shared" ca="1" si="323"/>
        <v>0</v>
      </c>
      <c r="S510" s="16">
        <f t="shared" ca="1" si="323"/>
        <v>0</v>
      </c>
      <c r="T510" s="16">
        <f t="shared" ca="1" si="323"/>
        <v>0</v>
      </c>
      <c r="U510" s="16">
        <f t="shared" ca="1" si="323"/>
        <v>0</v>
      </c>
      <c r="V510" s="16">
        <f t="shared" ca="1" si="323"/>
        <v>0</v>
      </c>
      <c r="W510" s="16">
        <f t="shared" ca="1" si="323"/>
        <v>0</v>
      </c>
      <c r="X510" s="16">
        <f t="shared" ca="1" si="323"/>
        <v>0</v>
      </c>
    </row>
    <row r="511" spans="1:24" x14ac:dyDescent="0.25">
      <c r="A511" s="9" t="s">
        <v>1122</v>
      </c>
      <c r="D511" s="65">
        <f t="shared" ref="D511:X511" si="324">SUM(-D$508,D$509,-D$510)</f>
        <v>5.6680000000000001</v>
      </c>
      <c r="E511" s="65">
        <f t="shared" si="324"/>
        <v>-9.370000000000001</v>
      </c>
      <c r="F511" s="65">
        <f t="shared" si="324"/>
        <v>9.9580000000000002</v>
      </c>
      <c r="G511" s="65">
        <f t="shared" si="324"/>
        <v>-1.6509999999999998</v>
      </c>
      <c r="H511" s="65">
        <f t="shared" si="324"/>
        <v>2.9329999999999998</v>
      </c>
      <c r="I511" s="65">
        <f t="shared" si="324"/>
        <v>-5.9009999999999989</v>
      </c>
      <c r="J511" s="66">
        <f t="shared" si="324"/>
        <v>-12.460999999999999</v>
      </c>
      <c r="K511" s="66">
        <f t="shared" si="324"/>
        <v>-6.2349999999999994</v>
      </c>
      <c r="L511" s="66">
        <f t="shared" si="324"/>
        <v>2.4250000000000003</v>
      </c>
      <c r="M511" s="66">
        <f t="shared" si="324"/>
        <v>1.302</v>
      </c>
      <c r="N511" s="66">
        <f t="shared" si="324"/>
        <v>1.212</v>
      </c>
      <c r="O511" s="67">
        <f t="shared" ca="1" si="324"/>
        <v>0.18867999999999974</v>
      </c>
      <c r="P511" s="67">
        <f t="shared" ca="1" si="324"/>
        <v>0.19245360000000034</v>
      </c>
      <c r="Q511" s="67">
        <f t="shared" ca="1" si="324"/>
        <v>0.19630267199999984</v>
      </c>
      <c r="R511" s="67">
        <f t="shared" ca="1" si="324"/>
        <v>0.20022872544000059</v>
      </c>
      <c r="S511" s="67">
        <f t="shared" ca="1" si="324"/>
        <v>0.20423329994880035</v>
      </c>
      <c r="T511" s="67">
        <f t="shared" ca="1" si="324"/>
        <v>0.20831796594777607</v>
      </c>
      <c r="U511" s="67">
        <f t="shared" ca="1" si="324"/>
        <v>0.21248432526673255</v>
      </c>
      <c r="V511" s="67">
        <f t="shared" ca="1" si="324"/>
        <v>0.21673401177206664</v>
      </c>
      <c r="W511" s="67">
        <f t="shared" ca="1" si="324"/>
        <v>0.22106869200750801</v>
      </c>
      <c r="X511" s="67">
        <f t="shared" ca="1" si="324"/>
        <v>0.22549006584765863</v>
      </c>
    </row>
    <row r="512" spans="1:24" x14ac:dyDescent="0.25">
      <c r="A512" s="9" t="s">
        <v>1123</v>
      </c>
      <c r="D512" s="91" t="str">
        <f t="shared" ref="D512:X512" si="325">IF(ROUND(SUM(D$504,D$507,D$511),3)=0,"OK","ERROR")</f>
        <v>OK</v>
      </c>
      <c r="E512" s="91" t="str">
        <f t="shared" si="325"/>
        <v>OK</v>
      </c>
      <c r="F512" s="91" t="str">
        <f t="shared" si="325"/>
        <v>OK</v>
      </c>
      <c r="G512" s="91" t="str">
        <f t="shared" si="325"/>
        <v>OK</v>
      </c>
      <c r="H512" s="91" t="str">
        <f t="shared" si="325"/>
        <v>OK</v>
      </c>
      <c r="I512" s="91" t="str">
        <f t="shared" si="325"/>
        <v>OK</v>
      </c>
      <c r="J512" s="91" t="str">
        <f t="shared" ca="1" si="325"/>
        <v>OK</v>
      </c>
      <c r="K512" s="91" t="str">
        <f t="shared" ca="1" si="325"/>
        <v>OK</v>
      </c>
      <c r="L512" s="91" t="str">
        <f t="shared" ca="1" si="325"/>
        <v>OK</v>
      </c>
      <c r="M512" s="91" t="str">
        <f t="shared" ca="1" si="325"/>
        <v>OK</v>
      </c>
      <c r="N512" s="91" t="str">
        <f t="shared" ca="1" si="325"/>
        <v>OK</v>
      </c>
      <c r="O512" s="91" t="str">
        <f t="shared" ca="1" si="325"/>
        <v>OK</v>
      </c>
      <c r="P512" s="91" t="str">
        <f t="shared" ca="1" si="325"/>
        <v>OK</v>
      </c>
      <c r="Q512" s="91" t="str">
        <f t="shared" ca="1" si="325"/>
        <v>OK</v>
      </c>
      <c r="R512" s="91" t="str">
        <f t="shared" ca="1" si="325"/>
        <v>OK</v>
      </c>
      <c r="S512" s="91" t="str">
        <f t="shared" ca="1" si="325"/>
        <v>OK</v>
      </c>
      <c r="T512" s="91" t="str">
        <f t="shared" ca="1" si="325"/>
        <v>OK</v>
      </c>
      <c r="U512" s="91" t="str">
        <f t="shared" ca="1" si="325"/>
        <v>OK</v>
      </c>
      <c r="V512" s="91" t="str">
        <f t="shared" ca="1" si="325"/>
        <v>OK</v>
      </c>
      <c r="W512" s="91" t="str">
        <f t="shared" ca="1" si="325"/>
        <v>OK</v>
      </c>
      <c r="X512" s="91" t="str">
        <f t="shared" ca="1" si="325"/>
        <v>OK</v>
      </c>
    </row>
    <row r="514" spans="1:24" x14ac:dyDescent="0.25">
      <c r="A514" s="12" t="s">
        <v>1145</v>
      </c>
      <c r="B514" s="10" t="str">
        <f>$B$62</f>
        <v>Projected Years only</v>
      </c>
    </row>
    <row r="515" spans="1:24" x14ac:dyDescent="0.25">
      <c r="A515" s="11" t="s">
        <v>1137</v>
      </c>
      <c r="O515" s="16">
        <f ca="1">O$497-O$385+O$384-O$386</f>
        <v>2.9200899557140541</v>
      </c>
      <c r="P515" s="16">
        <f t="shared" ref="P515:X515" ca="1" si="326">P$497-P$385+P$384-P$386</f>
        <v>3.2933695027859926</v>
      </c>
      <c r="Q515" s="16">
        <f t="shared" ca="1" si="326"/>
        <v>3.4427944872115441</v>
      </c>
      <c r="R515" s="16">
        <f t="shared" ca="1" si="326"/>
        <v>3.3889143597495273</v>
      </c>
      <c r="S515" s="16">
        <f t="shared" ca="1" si="326"/>
        <v>3.2573382365019814</v>
      </c>
      <c r="T515" s="16">
        <f t="shared" ca="1" si="326"/>
        <v>3.1328652221215032</v>
      </c>
      <c r="U515" s="16">
        <f t="shared" ca="1" si="326"/>
        <v>2.8820751795246937</v>
      </c>
      <c r="V515" s="16">
        <f t="shared" ca="1" si="326"/>
        <v>2.5585856580725039</v>
      </c>
      <c r="W515" s="16">
        <f t="shared" ca="1" si="326"/>
        <v>2.2198116059629669</v>
      </c>
      <c r="X515" s="16">
        <f t="shared" ca="1" si="326"/>
        <v>1.9007748301147778</v>
      </c>
    </row>
    <row r="516" spans="1:24" x14ac:dyDescent="0.25">
      <c r="A516" s="11" t="s">
        <v>1138</v>
      </c>
      <c r="O516" s="16">
        <f t="shared" ref="O516:X516" ca="1" si="327">O$503+O$501-SUM(O$366-N$366,O$375-N$375,O$397-N$397,O$400-N$400,-O$340)</f>
        <v>-9.9231527346074397</v>
      </c>
      <c r="P516" s="16">
        <f t="shared" ca="1" si="327"/>
        <v>-11.483340038215404</v>
      </c>
      <c r="Q516" s="16">
        <f t="shared" ca="1" si="327"/>
        <v>-11.554415816458302</v>
      </c>
      <c r="R516" s="16">
        <f t="shared" ca="1" si="327"/>
        <v>-11.584187312575617</v>
      </c>
      <c r="S516" s="16">
        <f t="shared" ca="1" si="327"/>
        <v>-11.591420984715976</v>
      </c>
      <c r="T516" s="16">
        <f t="shared" ca="1" si="327"/>
        <v>-11.607873116283068</v>
      </c>
      <c r="U516" s="16">
        <f t="shared" ca="1" si="327"/>
        <v>-11.590872209761452</v>
      </c>
      <c r="V516" s="16">
        <f t="shared" ca="1" si="327"/>
        <v>-11.601079826236669</v>
      </c>
      <c r="W516" s="16">
        <f t="shared" ca="1" si="327"/>
        <v>-11.691631450712375</v>
      </c>
      <c r="X516" s="16">
        <f t="shared" ca="1" si="327"/>
        <v>-11.871636611984677</v>
      </c>
    </row>
    <row r="517" spans="1:24" x14ac:dyDescent="0.25">
      <c r="A517" s="11" t="s">
        <v>590</v>
      </c>
      <c r="O517" s="16">
        <f t="shared" ref="O517:X517" ca="1" si="328">O$509</f>
        <v>0.18867999999999974</v>
      </c>
      <c r="P517" s="16">
        <f t="shared" ca="1" si="328"/>
        <v>0.19245360000000034</v>
      </c>
      <c r="Q517" s="16">
        <f t="shared" ca="1" si="328"/>
        <v>0.19630267199999984</v>
      </c>
      <c r="R517" s="16">
        <f t="shared" ca="1" si="328"/>
        <v>0.20022872544000059</v>
      </c>
      <c r="S517" s="16">
        <f t="shared" ca="1" si="328"/>
        <v>0.20423329994880035</v>
      </c>
      <c r="T517" s="16">
        <f t="shared" ca="1" si="328"/>
        <v>0.20831796594777607</v>
      </c>
      <c r="U517" s="16">
        <f t="shared" ca="1" si="328"/>
        <v>0.21248432526673255</v>
      </c>
      <c r="V517" s="16">
        <f t="shared" ca="1" si="328"/>
        <v>0.21673401177206664</v>
      </c>
      <c r="W517" s="16">
        <f t="shared" ca="1" si="328"/>
        <v>0.22106869200750801</v>
      </c>
      <c r="X517" s="16">
        <f t="shared" ca="1" si="328"/>
        <v>0.22549006584765863</v>
      </c>
    </row>
    <row r="518" spans="1:24" x14ac:dyDescent="0.25">
      <c r="A518" s="11" t="s">
        <v>1139</v>
      </c>
      <c r="O518" s="16">
        <f t="shared" ref="O518:U518" ca="1" si="329">SUM(O$510,O$353-N$353)-SUM(O$515:O$517)</f>
        <v>6.9987235281362734</v>
      </c>
      <c r="P518" s="16">
        <f t="shared" ca="1" si="329"/>
        <v>8.3039828465054129</v>
      </c>
      <c r="Q518" s="16">
        <f t="shared" ca="1" si="329"/>
        <v>8.2324218913190794</v>
      </c>
      <c r="R518" s="16">
        <f t="shared" ca="1" si="329"/>
        <v>8.3206430269230687</v>
      </c>
      <c r="S518" s="16">
        <f t="shared" ca="1" si="329"/>
        <v>8.4628964508081239</v>
      </c>
      <c r="T518" s="16">
        <f t="shared" ca="1" si="329"/>
        <v>8.6080014537693401</v>
      </c>
      <c r="U518" s="16">
        <f t="shared" ca="1" si="329"/>
        <v>8.8440004477919096</v>
      </c>
      <c r="V518" s="16">
        <f t="shared" ref="V518:X518" ca="1" si="330">SUM(V$510,V$353-U$353)-SUM(V$515:V$517)</f>
        <v>9.1811959042065396</v>
      </c>
      <c r="W518" s="16">
        <f t="shared" ca="1" si="330"/>
        <v>9.6178176015310406</v>
      </c>
      <c r="X518" s="16">
        <f t="shared" ca="1" si="330"/>
        <v>10.128456714722446</v>
      </c>
    </row>
    <row r="519" spans="1:24" x14ac:dyDescent="0.25">
      <c r="A519" s="9" t="s">
        <v>1140</v>
      </c>
      <c r="O519" s="67">
        <f t="shared" ref="O519:X519" ca="1" si="331">SUM(O$515:O$518)</f>
        <v>0.1843407492428879</v>
      </c>
      <c r="P519" s="67">
        <f t="shared" ca="1" si="331"/>
        <v>0.30646591107600152</v>
      </c>
      <c r="Q519" s="67">
        <f t="shared" ca="1" si="331"/>
        <v>0.31710323407232011</v>
      </c>
      <c r="R519" s="67">
        <f t="shared" ca="1" si="331"/>
        <v>0.32559879953698001</v>
      </c>
      <c r="S519" s="67">
        <f t="shared" ca="1" si="331"/>
        <v>0.33304700254292996</v>
      </c>
      <c r="T519" s="67">
        <f t="shared" ca="1" si="331"/>
        <v>0.34131152555555211</v>
      </c>
      <c r="U519" s="67">
        <f t="shared" ca="1" si="331"/>
        <v>0.34768774282188453</v>
      </c>
      <c r="V519" s="67">
        <f t="shared" ca="1" si="331"/>
        <v>0.35543574781444143</v>
      </c>
      <c r="W519" s="67">
        <f t="shared" ca="1" si="331"/>
        <v>0.36706644878914041</v>
      </c>
      <c r="X519" s="67">
        <f t="shared" ca="1" si="331"/>
        <v>0.3830849987002054</v>
      </c>
    </row>
    <row r="520" spans="1:24" x14ac:dyDescent="0.25">
      <c r="A520" s="12" t="s">
        <v>1141</v>
      </c>
    </row>
    <row r="521" spans="1:24" x14ac:dyDescent="0.25">
      <c r="A521" s="9" t="s">
        <v>1142</v>
      </c>
      <c r="O521" s="47">
        <f t="shared" ref="O521:X521" ca="1" si="332">O$515</f>
        <v>2.9200899557140541</v>
      </c>
      <c r="P521" s="47">
        <f t="shared" ca="1" si="332"/>
        <v>3.2933695027859926</v>
      </c>
      <c r="Q521" s="47">
        <f t="shared" ca="1" si="332"/>
        <v>3.4427944872115441</v>
      </c>
      <c r="R521" s="47">
        <f t="shared" ca="1" si="332"/>
        <v>3.3889143597495273</v>
      </c>
      <c r="S521" s="47">
        <f t="shared" ca="1" si="332"/>
        <v>3.2573382365019814</v>
      </c>
      <c r="T521" s="47">
        <f t="shared" ca="1" si="332"/>
        <v>3.1328652221215032</v>
      </c>
      <c r="U521" s="47">
        <f t="shared" ca="1" si="332"/>
        <v>2.8820751795246937</v>
      </c>
      <c r="V521" s="47">
        <f t="shared" ca="1" si="332"/>
        <v>2.5585856580725039</v>
      </c>
      <c r="W521" s="47">
        <f t="shared" ca="1" si="332"/>
        <v>2.2198116059629669</v>
      </c>
      <c r="X521" s="47">
        <f t="shared" ca="1" si="332"/>
        <v>1.9007748301147778</v>
      </c>
    </row>
    <row r="522" spans="1:24" x14ac:dyDescent="0.25">
      <c r="A522" s="9" t="s">
        <v>545</v>
      </c>
      <c r="O522" s="47">
        <f t="shared" ref="O522:X522" ca="1" si="333">O$342</f>
        <v>6.4300877252816813</v>
      </c>
      <c r="P522" s="47">
        <f t="shared" ca="1" si="333"/>
        <v>6.8100267661178</v>
      </c>
      <c r="Q522" s="47">
        <f t="shared" ca="1" si="333"/>
        <v>7.2039962197330922</v>
      </c>
      <c r="R522" s="47">
        <f t="shared" ca="1" si="333"/>
        <v>7.609973899810373</v>
      </c>
      <c r="S522" s="47">
        <f t="shared" ca="1" si="333"/>
        <v>8.0260754913435619</v>
      </c>
      <c r="T522" s="47">
        <f t="shared" ca="1" si="333"/>
        <v>8.4520386954492732</v>
      </c>
      <c r="U522" s="47">
        <f t="shared" ca="1" si="333"/>
        <v>8.8873060251010578</v>
      </c>
      <c r="V522" s="47">
        <f t="shared" ca="1" si="333"/>
        <v>9.3313828777468473</v>
      </c>
      <c r="W522" s="47">
        <f t="shared" ca="1" si="333"/>
        <v>9.7873881931389697</v>
      </c>
      <c r="X522" s="47">
        <f t="shared" ca="1" si="333"/>
        <v>10.260489701068273</v>
      </c>
    </row>
    <row r="523" spans="1:24" x14ac:dyDescent="0.25">
      <c r="A523" s="11" t="s">
        <v>1148</v>
      </c>
      <c r="O523" s="16">
        <f t="shared" ref="O523:X523" ca="1" si="334">SUM(O$215,O$219)</f>
        <v>3.403850728053635</v>
      </c>
      <c r="P523" s="16">
        <f t="shared" ca="1" si="334"/>
        <v>3.403850728053635</v>
      </c>
      <c r="Q523" s="16">
        <f t="shared" ca="1" si="334"/>
        <v>3.403850728053635</v>
      </c>
      <c r="R523" s="16">
        <f t="shared" ca="1" si="334"/>
        <v>3.403850728053635</v>
      </c>
      <c r="S523" s="16">
        <f t="shared" ca="1" si="334"/>
        <v>3.403850728053635</v>
      </c>
      <c r="T523" s="16">
        <f t="shared" ca="1" si="334"/>
        <v>3.403850728053635</v>
      </c>
      <c r="U523" s="16">
        <f t="shared" ca="1" si="334"/>
        <v>3.403850728053635</v>
      </c>
      <c r="V523" s="16">
        <f t="shared" ca="1" si="334"/>
        <v>3.403850728053635</v>
      </c>
      <c r="W523" s="16">
        <f t="shared" ca="1" si="334"/>
        <v>3.403850728053635</v>
      </c>
      <c r="X523" s="16">
        <f t="shared" ca="1" si="334"/>
        <v>3.403850728053635</v>
      </c>
    </row>
    <row r="524" spans="1:24" x14ac:dyDescent="0.25">
      <c r="A524" s="11" t="s">
        <v>1149</v>
      </c>
      <c r="O524" s="16">
        <f t="shared" ref="O524:X524" si="335">O$411</f>
        <v>0.65600000000000003</v>
      </c>
      <c r="P524" s="16">
        <f t="shared" si="335"/>
        <v>0.67400000000000004</v>
      </c>
      <c r="Q524" s="16">
        <f t="shared" si="335"/>
        <v>0.69299999999999995</v>
      </c>
      <c r="R524" s="16">
        <f t="shared" si="335"/>
        <v>0.71099999999999997</v>
      </c>
      <c r="S524" s="16">
        <f t="shared" si="335"/>
        <v>0.72699999999999998</v>
      </c>
      <c r="T524" s="16">
        <f t="shared" si="335"/>
        <v>0.74199999999999999</v>
      </c>
      <c r="U524" s="16">
        <f t="shared" si="335"/>
        <v>0.75600000000000001</v>
      </c>
      <c r="V524" s="16">
        <f t="shared" si="335"/>
        <v>0.76900000000000002</v>
      </c>
      <c r="W524" s="16">
        <f t="shared" si="335"/>
        <v>0.78300000000000003</v>
      </c>
      <c r="X524" s="16">
        <f t="shared" si="335"/>
        <v>0.79700000000000004</v>
      </c>
    </row>
    <row r="525" spans="1:24" x14ac:dyDescent="0.25">
      <c r="A525" s="11" t="s">
        <v>1150</v>
      </c>
      <c r="O525" s="16">
        <f t="shared" ref="O525:X525" ca="1" si="336">O$472-N$472</f>
        <v>-2E-3</v>
      </c>
      <c r="P525" s="16">
        <f t="shared" ca="1" si="336"/>
        <v>0</v>
      </c>
      <c r="Q525" s="16">
        <f t="shared" ca="1" si="336"/>
        <v>0</v>
      </c>
      <c r="R525" s="16">
        <f t="shared" ca="1" si="336"/>
        <v>0</v>
      </c>
      <c r="S525" s="16">
        <f t="shared" ca="1" si="336"/>
        <v>0</v>
      </c>
      <c r="T525" s="16">
        <f t="shared" ca="1" si="336"/>
        <v>0</v>
      </c>
      <c r="U525" s="16">
        <f t="shared" ca="1" si="336"/>
        <v>0</v>
      </c>
      <c r="V525" s="16">
        <f t="shared" ca="1" si="336"/>
        <v>0</v>
      </c>
      <c r="W525" s="16">
        <f t="shared" ca="1" si="336"/>
        <v>0</v>
      </c>
      <c r="X525" s="16">
        <f t="shared" ca="1" si="336"/>
        <v>0</v>
      </c>
    </row>
    <row r="526" spans="1:24" x14ac:dyDescent="0.25">
      <c r="A526" s="11" t="s">
        <v>568</v>
      </c>
      <c r="O526" s="16">
        <f t="shared" ref="O526:X526" ca="1" si="337">-O$349</f>
        <v>-1.460406561262434E-2</v>
      </c>
      <c r="P526" s="16">
        <f t="shared" ca="1" si="337"/>
        <v>-1.522693132596236E-2</v>
      </c>
      <c r="Q526" s="16">
        <f t="shared" ca="1" si="337"/>
        <v>-1.5851149450938101E-2</v>
      </c>
      <c r="R526" s="16">
        <f t="shared" ca="1" si="337"/>
        <v>-1.6475312241794576E-2</v>
      </c>
      <c r="S526" s="16">
        <f t="shared" ca="1" si="337"/>
        <v>-1.711323761060992E-2</v>
      </c>
      <c r="T526" s="16">
        <f t="shared" ca="1" si="337"/>
        <v>-1.7763952026234663E-2</v>
      </c>
      <c r="U526" s="16">
        <f t="shared" ca="1" si="337"/>
        <v>-1.8423342451066884E-2</v>
      </c>
      <c r="V526" s="16">
        <f t="shared" ca="1" si="337"/>
        <v>-1.9092646683697919E-2</v>
      </c>
      <c r="W526" s="16">
        <f t="shared" ca="1" si="337"/>
        <v>-1.9771839788203904E-2</v>
      </c>
      <c r="X526" s="16">
        <f t="shared" ca="1" si="337"/>
        <v>-2.0466039844189283E-2</v>
      </c>
    </row>
    <row r="527" spans="1:24" x14ac:dyDescent="0.25">
      <c r="A527" s="9" t="s">
        <v>1143</v>
      </c>
      <c r="O527" s="67">
        <f t="shared" ref="O527:X527" ca="1" si="338">-SUM(O$523:O$526)</f>
        <v>-4.0432466624410113</v>
      </c>
      <c r="P527" s="67">
        <f t="shared" ca="1" si="338"/>
        <v>-4.0626237967276726</v>
      </c>
      <c r="Q527" s="67">
        <f t="shared" ca="1" si="338"/>
        <v>-4.0809995786026967</v>
      </c>
      <c r="R527" s="67">
        <f t="shared" ca="1" si="338"/>
        <v>-4.09837541581184</v>
      </c>
      <c r="S527" s="67">
        <f t="shared" ca="1" si="338"/>
        <v>-4.1137374904430253</v>
      </c>
      <c r="T527" s="67">
        <f t="shared" ca="1" si="338"/>
        <v>-4.1280867760274003</v>
      </c>
      <c r="U527" s="67">
        <f t="shared" ca="1" si="338"/>
        <v>-4.1414273856025678</v>
      </c>
      <c r="V527" s="67">
        <f t="shared" ca="1" si="338"/>
        <v>-4.1537580813699364</v>
      </c>
      <c r="W527" s="67">
        <f t="shared" ca="1" si="338"/>
        <v>-4.167078888265431</v>
      </c>
      <c r="X527" s="67">
        <f t="shared" ca="1" si="338"/>
        <v>-4.180384688209446</v>
      </c>
    </row>
    <row r="528" spans="1:24" x14ac:dyDescent="0.25">
      <c r="A528" s="11" t="s">
        <v>609</v>
      </c>
      <c r="O528" s="16">
        <f t="shared" ref="O528:X528" ca="1" si="339">O$362-N$362</f>
        <v>3.8786021011101823</v>
      </c>
      <c r="P528" s="16">
        <f t="shared" ca="1" si="339"/>
        <v>1.4869819992839766</v>
      </c>
      <c r="Q528" s="16">
        <f t="shared" ca="1" si="339"/>
        <v>1.5291416253322794</v>
      </c>
      <c r="R528" s="16">
        <f t="shared" ca="1" si="339"/>
        <v>1.5456208797442059</v>
      </c>
      <c r="S528" s="16">
        <f t="shared" ca="1" si="339"/>
        <v>1.5787765978032127</v>
      </c>
      <c r="T528" s="16">
        <f t="shared" ca="1" si="339"/>
        <v>1.6111979353659791</v>
      </c>
      <c r="U528" s="16">
        <f t="shared" ca="1" si="339"/>
        <v>1.6369102559980746</v>
      </c>
      <c r="V528" s="16">
        <f t="shared" ca="1" si="339"/>
        <v>1.6653695699137927</v>
      </c>
      <c r="W528" s="16">
        <f t="shared" ca="1" si="339"/>
        <v>1.6962309252601528</v>
      </c>
      <c r="X528" s="16">
        <f t="shared" ca="1" si="339"/>
        <v>1.7375891589895289</v>
      </c>
    </row>
    <row r="529" spans="1:24" x14ac:dyDescent="0.25">
      <c r="A529" s="11" t="s">
        <v>610</v>
      </c>
      <c r="O529" s="16">
        <f t="shared" ref="O529:X529" ca="1" si="340">O$413-O$341</f>
        <v>0.33801009791106412</v>
      </c>
      <c r="P529" s="16">
        <f t="shared" ca="1" si="340"/>
        <v>0.35180265179958148</v>
      </c>
      <c r="Q529" s="16">
        <f t="shared" ca="1" si="340"/>
        <v>0.35957955635343375</v>
      </c>
      <c r="R529" s="16">
        <f t="shared" ca="1" si="340"/>
        <v>0.36235710120209463</v>
      </c>
      <c r="S529" s="16">
        <f t="shared" ca="1" si="340"/>
        <v>0.35997539336294582</v>
      </c>
      <c r="T529" s="16">
        <f t="shared" ca="1" si="340"/>
        <v>0.35144569798214537</v>
      </c>
      <c r="U529" s="16">
        <f t="shared" ca="1" si="340"/>
        <v>0.33481560878051553</v>
      </c>
      <c r="V529" s="16">
        <f t="shared" ca="1" si="340"/>
        <v>0.31307080266007081</v>
      </c>
      <c r="W529" s="16">
        <f t="shared" ca="1" si="340"/>
        <v>0.28921156816507315</v>
      </c>
      <c r="X529" s="16">
        <f t="shared" ca="1" si="340"/>
        <v>0.26117868180295678</v>
      </c>
    </row>
    <row r="530" spans="1:24" x14ac:dyDescent="0.25">
      <c r="A530" s="11" t="s">
        <v>611</v>
      </c>
      <c r="O530" s="16">
        <f t="shared" ref="O530:X530" si="341">O$419-N$419</f>
        <v>0</v>
      </c>
      <c r="P530" s="16">
        <f t="shared" si="341"/>
        <v>0</v>
      </c>
      <c r="Q530" s="16">
        <f t="shared" si="341"/>
        <v>0</v>
      </c>
      <c r="R530" s="16">
        <f t="shared" si="341"/>
        <v>0</v>
      </c>
      <c r="S530" s="16">
        <f t="shared" si="341"/>
        <v>0</v>
      </c>
      <c r="T530" s="16">
        <f t="shared" si="341"/>
        <v>0</v>
      </c>
      <c r="U530" s="16">
        <f t="shared" si="341"/>
        <v>0</v>
      </c>
      <c r="V530" s="16">
        <f t="shared" si="341"/>
        <v>0</v>
      </c>
      <c r="W530" s="16">
        <f t="shared" si="341"/>
        <v>0</v>
      </c>
      <c r="X530" s="16">
        <f t="shared" si="341"/>
        <v>0</v>
      </c>
    </row>
    <row r="531" spans="1:24" x14ac:dyDescent="0.25">
      <c r="A531" s="11" t="s">
        <v>612</v>
      </c>
      <c r="O531" s="16">
        <f t="shared" ref="O531:X531" si="342">O$423-N$423</f>
        <v>0</v>
      </c>
      <c r="P531" s="16">
        <f t="shared" si="342"/>
        <v>0</v>
      </c>
      <c r="Q531" s="16">
        <f t="shared" si="342"/>
        <v>0</v>
      </c>
      <c r="R531" s="16">
        <f t="shared" si="342"/>
        <v>0</v>
      </c>
      <c r="S531" s="16">
        <f t="shared" si="342"/>
        <v>0</v>
      </c>
      <c r="T531" s="16">
        <f t="shared" si="342"/>
        <v>0</v>
      </c>
      <c r="U531" s="16">
        <f t="shared" si="342"/>
        <v>0</v>
      </c>
      <c r="V531" s="16">
        <f t="shared" si="342"/>
        <v>0</v>
      </c>
      <c r="W531" s="16">
        <f t="shared" si="342"/>
        <v>0</v>
      </c>
      <c r="X531" s="16">
        <f t="shared" si="342"/>
        <v>0</v>
      </c>
    </row>
    <row r="532" spans="1:24" x14ac:dyDescent="0.25">
      <c r="A532" s="11" t="s">
        <v>1151</v>
      </c>
      <c r="O532" s="16">
        <f t="shared" ref="O532:X532" si="343">O$464-N$464</f>
        <v>0</v>
      </c>
      <c r="P532" s="16">
        <f t="shared" si="343"/>
        <v>0</v>
      </c>
      <c r="Q532" s="16">
        <f t="shared" si="343"/>
        <v>0</v>
      </c>
      <c r="R532" s="16">
        <f t="shared" si="343"/>
        <v>0</v>
      </c>
      <c r="S532" s="16">
        <f t="shared" si="343"/>
        <v>0</v>
      </c>
      <c r="T532" s="16">
        <f t="shared" si="343"/>
        <v>0</v>
      </c>
      <c r="U532" s="16">
        <f t="shared" si="343"/>
        <v>0</v>
      </c>
      <c r="V532" s="16">
        <f t="shared" si="343"/>
        <v>0</v>
      </c>
      <c r="W532" s="16">
        <f t="shared" si="343"/>
        <v>0</v>
      </c>
      <c r="X532" s="16">
        <f t="shared" si="343"/>
        <v>0</v>
      </c>
    </row>
    <row r="533" spans="1:24" x14ac:dyDescent="0.25">
      <c r="A533" s="11" t="s">
        <v>1152</v>
      </c>
      <c r="O533" s="16">
        <f t="shared" ref="O533:X533" ca="1" si="344">SUM(O$460-N$460,O$468-N$468,O$485-N$485)</f>
        <v>2.9601831092854729</v>
      </c>
      <c r="P533" s="16">
        <f t="shared" ca="1" si="344"/>
        <v>0.54110945541070787</v>
      </c>
      <c r="Q533" s="16">
        <f t="shared" ca="1" si="344"/>
        <v>0.59593199977263334</v>
      </c>
      <c r="R533" s="16">
        <f t="shared" ca="1" si="344"/>
        <v>0.64144837812622191</v>
      </c>
      <c r="S533" s="16">
        <f t="shared" ca="1" si="344"/>
        <v>0.69318218483926231</v>
      </c>
      <c r="T533" s="16">
        <f t="shared" ca="1" si="344"/>
        <v>0.74573005583019558</v>
      </c>
      <c r="U533" s="16">
        <f t="shared" ca="1" si="344"/>
        <v>0.79586375203107362</v>
      </c>
      <c r="V533" s="16">
        <f t="shared" ca="1" si="344"/>
        <v>0.84830867656727893</v>
      </c>
      <c r="W533" s="16">
        <f t="shared" ca="1" si="344"/>
        <v>0.90399657610032458</v>
      </c>
      <c r="X533" s="16">
        <f t="shared" ca="1" si="344"/>
        <v>0.96602960015652628</v>
      </c>
    </row>
    <row r="534" spans="1:24" x14ac:dyDescent="0.25">
      <c r="A534" s="11" t="s">
        <v>1153</v>
      </c>
      <c r="O534" s="16">
        <f t="shared" ref="O534:X534" si="345">O$478-N$478</f>
        <v>-0.18722764830508432</v>
      </c>
      <c r="P534" s="16">
        <f t="shared" si="345"/>
        <v>-0.19206557203389885</v>
      </c>
      <c r="Q534" s="16">
        <f t="shared" si="345"/>
        <v>-0.19448453389830522</v>
      </c>
      <c r="R534" s="16">
        <f t="shared" si="345"/>
        <v>-0.19883866525423732</v>
      </c>
      <c r="S534" s="16">
        <f t="shared" si="345"/>
        <v>-0.20029004237288106</v>
      </c>
      <c r="T534" s="16">
        <f t="shared" si="345"/>
        <v>-0.2007738347457626</v>
      </c>
      <c r="U534" s="16">
        <f t="shared" si="345"/>
        <v>-0.19400074152542324</v>
      </c>
      <c r="V534" s="16">
        <f t="shared" si="345"/>
        <v>-0.1915817796610173</v>
      </c>
      <c r="W534" s="16">
        <f t="shared" si="345"/>
        <v>-0.18867902542372894</v>
      </c>
      <c r="X534" s="16">
        <f t="shared" si="345"/>
        <v>-0.18529247881355948</v>
      </c>
    </row>
    <row r="535" spans="1:24" x14ac:dyDescent="0.25">
      <c r="A535" s="9" t="s">
        <v>615</v>
      </c>
      <c r="O535" s="67">
        <f t="shared" ref="O535:X535" ca="1" si="346">SUM(O$528:O$531)-SUM(O$532:O$534)</f>
        <v>1.4436567380408576</v>
      </c>
      <c r="P535" s="67">
        <f t="shared" ca="1" si="346"/>
        <v>1.4897407677067491</v>
      </c>
      <c r="Q535" s="67">
        <f t="shared" ca="1" si="346"/>
        <v>1.4872737158113849</v>
      </c>
      <c r="R535" s="67">
        <f t="shared" ca="1" si="346"/>
        <v>1.4653682680743159</v>
      </c>
      <c r="S535" s="67">
        <f t="shared" ca="1" si="346"/>
        <v>1.4458598486997771</v>
      </c>
      <c r="T535" s="67">
        <f t="shared" ca="1" si="346"/>
        <v>1.4176874122636915</v>
      </c>
      <c r="U535" s="67">
        <f t="shared" ca="1" si="346"/>
        <v>1.3698628542729399</v>
      </c>
      <c r="V535" s="67">
        <f t="shared" ca="1" si="346"/>
        <v>1.3217134756676019</v>
      </c>
      <c r="W535" s="67">
        <f t="shared" ca="1" si="346"/>
        <v>1.2701249427486303</v>
      </c>
      <c r="X535" s="67">
        <f t="shared" ca="1" si="346"/>
        <v>1.218030719449519</v>
      </c>
    </row>
    <row r="536" spans="1:24" x14ac:dyDescent="0.25">
      <c r="A536" s="9" t="s">
        <v>1144</v>
      </c>
      <c r="O536" s="67">
        <f t="shared" ref="O536:X536" ca="1" si="347">SUM(O$521,O$522,O$527,O$535)</f>
        <v>6.7505877565955812</v>
      </c>
      <c r="P536" s="67">
        <f t="shared" ca="1" si="347"/>
        <v>7.53051323988287</v>
      </c>
      <c r="Q536" s="67">
        <f t="shared" ca="1" si="347"/>
        <v>8.0530648441533241</v>
      </c>
      <c r="R536" s="67">
        <f t="shared" ca="1" si="347"/>
        <v>8.3658811118223753</v>
      </c>
      <c r="S536" s="67">
        <f t="shared" ca="1" si="347"/>
        <v>8.6155360861022956</v>
      </c>
      <c r="T536" s="67">
        <f t="shared" ca="1" si="347"/>
        <v>8.8745045538070677</v>
      </c>
      <c r="U536" s="67">
        <f t="shared" ca="1" si="347"/>
        <v>8.9978166732961249</v>
      </c>
      <c r="V536" s="67">
        <f t="shared" ca="1" si="347"/>
        <v>9.0579239301170169</v>
      </c>
      <c r="W536" s="67">
        <f t="shared" ca="1" si="347"/>
        <v>9.1102458535851358</v>
      </c>
      <c r="X536" s="67">
        <f t="shared" ca="1" si="347"/>
        <v>9.1989105624231229</v>
      </c>
    </row>
    <row r="537" spans="1:24" x14ac:dyDescent="0.25">
      <c r="A537" s="55" t="s">
        <v>1154</v>
      </c>
      <c r="O537" s="91" t="str">
        <f t="shared" ref="O537:X537" ca="1" si="348">IF(ROUND(O$49-O$536,3)=0,"OK","ERROR")</f>
        <v>OK</v>
      </c>
      <c r="P537" s="91" t="str">
        <f t="shared" ca="1" si="348"/>
        <v>OK</v>
      </c>
      <c r="Q537" s="91" t="str">
        <f t="shared" ca="1" si="348"/>
        <v>OK</v>
      </c>
      <c r="R537" s="91" t="str">
        <f t="shared" ca="1" si="348"/>
        <v>OK</v>
      </c>
      <c r="S537" s="91" t="str">
        <f t="shared" ca="1" si="348"/>
        <v>OK</v>
      </c>
      <c r="T537" s="91" t="str">
        <f t="shared" ca="1" si="348"/>
        <v>OK</v>
      </c>
      <c r="U537" s="91" t="str">
        <f t="shared" ca="1" si="348"/>
        <v>OK</v>
      </c>
      <c r="V537" s="91" t="str">
        <f t="shared" ca="1" si="348"/>
        <v>OK</v>
      </c>
      <c r="W537" s="91" t="str">
        <f t="shared" ca="1" si="348"/>
        <v>OK</v>
      </c>
      <c r="X537" s="91" t="str">
        <f t="shared" ca="1" si="348"/>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mc:AlternateContent xmlns:mc="http://schemas.openxmlformats.org/markup-compatibility/2006">
          <mc:Choice Requires="x14">
            <control shapeId="163842" r:id="rId5" name="Drop Down 2">
              <controlPr defaultSize="0" autoLine="0" autoPict="0">
                <anchor moveWithCells="1">
                  <from>
                    <xdr:col>0</xdr:col>
                    <xdr:colOff>47625</xdr:colOff>
                    <xdr:row>6</xdr:row>
                    <xdr:rowOff>0</xdr:rowOff>
                  </from>
                  <to>
                    <xdr:col>1</xdr:col>
                    <xdr:colOff>19050</xdr:colOff>
                    <xdr:row>7</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A766F-43B5-4B19-9556-13DF4C5415BC}">
  <dimension ref="A1:X537"/>
  <sheetViews>
    <sheetView zoomScaleNormal="100" workbookViewId="0">
      <pane xSplit="2" ySplit="8" topLeftCell="H9" activePane="bottomRight" state="frozen"/>
      <selection pane="topRight" activeCell="C1" sqref="C1"/>
      <selection pane="bottomLeft" activeCell="A9" sqref="A9"/>
      <selection pane="bottomRight"/>
    </sheetView>
  </sheetViews>
  <sheetFormatPr defaultRowHeight="15" x14ac:dyDescent="0.25"/>
  <cols>
    <col min="1" max="1" width="85.7109375" customWidth="1"/>
    <col min="2" max="2" width="25.7109375" customWidth="1"/>
    <col min="3" max="3" width="7.7109375" customWidth="1"/>
    <col min="4" max="24" width="10.7109375" customWidth="1"/>
  </cols>
  <sheetData>
    <row r="1" spans="1:24" x14ac:dyDescent="0.25">
      <c r="A1" s="9" t="s">
        <v>141</v>
      </c>
      <c r="B1" s="13" t="s">
        <v>1430</v>
      </c>
      <c r="C1" s="13">
        <f>MATCH($B$1,Assumptions!$C$7:$L$7,0)</f>
        <v>4</v>
      </c>
      <c r="D1" s="10" t="s">
        <v>142</v>
      </c>
      <c r="E1" s="11"/>
      <c r="F1" s="11"/>
      <c r="G1" s="11"/>
      <c r="H1" s="11"/>
      <c r="I1" s="11"/>
      <c r="J1" s="11"/>
      <c r="K1" s="11"/>
      <c r="L1" s="11"/>
      <c r="M1" s="11"/>
      <c r="N1" s="11"/>
      <c r="O1" s="11"/>
      <c r="P1" s="11"/>
    </row>
    <row r="2" spans="1:24" x14ac:dyDescent="0.25">
      <c r="A2" s="10" t="s">
        <v>143</v>
      </c>
      <c r="B2" s="13"/>
      <c r="C2" s="13"/>
      <c r="D2" s="10"/>
      <c r="E2" s="11"/>
      <c r="F2" s="11"/>
      <c r="G2" s="11"/>
      <c r="H2" s="11"/>
      <c r="I2" s="11"/>
      <c r="J2" s="11"/>
      <c r="K2" s="11"/>
      <c r="L2" s="11"/>
      <c r="M2" s="11"/>
      <c r="N2" s="11"/>
      <c r="O2" s="11"/>
      <c r="P2" s="11"/>
    </row>
    <row r="3" spans="1:24" x14ac:dyDescent="0.25">
      <c r="A3" s="10"/>
      <c r="B3" s="10"/>
      <c r="C3" s="13"/>
      <c r="D3" s="32" t="s">
        <v>144</v>
      </c>
      <c r="E3" s="32" t="s">
        <v>144</v>
      </c>
      <c r="F3" s="32" t="s">
        <v>144</v>
      </c>
      <c r="G3" s="32" t="s">
        <v>144</v>
      </c>
      <c r="H3" s="32" t="s">
        <v>144</v>
      </c>
      <c r="I3" s="32" t="s">
        <v>144</v>
      </c>
      <c r="J3" s="15" t="s">
        <v>1424</v>
      </c>
      <c r="K3" s="11"/>
      <c r="L3" s="11"/>
      <c r="M3" s="11"/>
      <c r="N3" s="9"/>
      <c r="O3" s="9" t="s">
        <v>1425</v>
      </c>
      <c r="P3" s="11"/>
    </row>
    <row r="4" spans="1:24" x14ac:dyDescent="0.25">
      <c r="A4" s="11"/>
      <c r="B4" s="11"/>
      <c r="C4" s="13"/>
      <c r="D4" s="32" t="s">
        <v>145</v>
      </c>
      <c r="E4" s="32" t="s">
        <v>145</v>
      </c>
      <c r="F4" s="32" t="s">
        <v>145</v>
      </c>
      <c r="G4" s="32" t="s">
        <v>145</v>
      </c>
      <c r="H4" s="32" t="s">
        <v>145</v>
      </c>
      <c r="I4" s="32" t="s">
        <v>145</v>
      </c>
      <c r="J4" s="33" t="s">
        <v>146</v>
      </c>
      <c r="K4" s="11"/>
      <c r="L4" s="11"/>
      <c r="M4" s="11"/>
      <c r="N4" s="11"/>
      <c r="O4" s="11" t="s">
        <v>147</v>
      </c>
      <c r="P4" s="11"/>
    </row>
    <row r="5" spans="1:24" x14ac:dyDescent="0.25">
      <c r="A5" s="9" t="s">
        <v>826</v>
      </c>
      <c r="B5" s="9"/>
      <c r="C5" s="13"/>
      <c r="D5" s="34" t="s">
        <v>37</v>
      </c>
      <c r="E5" s="34" t="s">
        <v>38</v>
      </c>
      <c r="F5" s="34" t="s">
        <v>39</v>
      </c>
      <c r="G5" s="34" t="s">
        <v>40</v>
      </c>
      <c r="H5" s="34" t="s">
        <v>41</v>
      </c>
      <c r="I5" s="34" t="s">
        <v>42</v>
      </c>
      <c r="J5" s="14" t="s">
        <v>43</v>
      </c>
      <c r="K5" s="14" t="s">
        <v>44</v>
      </c>
      <c r="L5" s="14" t="s">
        <v>45</v>
      </c>
      <c r="M5" s="14" t="s">
        <v>46</v>
      </c>
      <c r="N5" s="14" t="s">
        <v>47</v>
      </c>
      <c r="O5" s="13" t="s">
        <v>48</v>
      </c>
      <c r="P5" s="13" t="s">
        <v>49</v>
      </c>
      <c r="Q5" s="13" t="s">
        <v>50</v>
      </c>
      <c r="R5" s="13" t="s">
        <v>51</v>
      </c>
      <c r="S5" s="13" t="s">
        <v>52</v>
      </c>
      <c r="T5" s="13" t="s">
        <v>53</v>
      </c>
      <c r="U5" s="13" t="s">
        <v>54</v>
      </c>
      <c r="V5" s="13" t="s">
        <v>55</v>
      </c>
      <c r="W5" s="13" t="s">
        <v>56</v>
      </c>
      <c r="X5" s="13" t="s">
        <v>57</v>
      </c>
    </row>
    <row r="6" spans="1:24" x14ac:dyDescent="0.25">
      <c r="A6" s="11"/>
      <c r="B6" s="11"/>
      <c r="C6" s="13"/>
      <c r="D6" s="32">
        <v>2019</v>
      </c>
      <c r="E6" s="32">
        <v>2020</v>
      </c>
      <c r="F6" s="32">
        <v>2021</v>
      </c>
      <c r="G6" s="32">
        <v>2022</v>
      </c>
      <c r="H6" s="32">
        <v>2023</v>
      </c>
      <c r="I6" s="32">
        <v>2024</v>
      </c>
      <c r="J6" s="15">
        <v>2025</v>
      </c>
      <c r="K6" s="15">
        <v>2026</v>
      </c>
      <c r="L6" s="15">
        <v>2027</v>
      </c>
      <c r="M6" s="15">
        <v>2028</v>
      </c>
      <c r="N6" s="15">
        <v>2029</v>
      </c>
      <c r="O6" s="9">
        <v>2030</v>
      </c>
      <c r="P6" s="9">
        <v>2031</v>
      </c>
      <c r="Q6" s="9">
        <v>2032</v>
      </c>
      <c r="R6" s="9">
        <v>2033</v>
      </c>
      <c r="S6" s="9">
        <v>2034</v>
      </c>
      <c r="T6" s="9">
        <v>2035</v>
      </c>
      <c r="U6" s="9">
        <v>2036</v>
      </c>
      <c r="V6" s="9">
        <v>2037</v>
      </c>
      <c r="W6" s="9">
        <v>2038</v>
      </c>
      <c r="X6" s="9">
        <v>2039</v>
      </c>
    </row>
    <row r="7" spans="1:24" x14ac:dyDescent="0.25">
      <c r="A7" s="11"/>
      <c r="B7" s="11"/>
      <c r="C7" s="13"/>
      <c r="D7" s="42">
        <f ca="1">OFFSET(D$1,Display!$C$1-1,0)</f>
        <v>8.5039999999999907</v>
      </c>
      <c r="E7" s="42">
        <f ca="1">OFFSET(E$1,Display!$C$1-1,0)</f>
        <v>-20.901999999999965</v>
      </c>
      <c r="F7" s="42">
        <f ca="1">OFFSET(F$1,Display!$C$1-1,0)</f>
        <v>-2.5590000000000295</v>
      </c>
      <c r="G7" s="42">
        <f ca="1">OFFSET(G$1,Display!$C$1-1,0)</f>
        <v>-8.6639999999999802</v>
      </c>
      <c r="H7" s="42">
        <f ca="1">OFFSET(H$1,Display!$C$1-1,0)</f>
        <v>-7.1990000000000061</v>
      </c>
      <c r="I7" s="42">
        <f ca="1">OFFSET(I$1,Display!$C$1-1,0)</f>
        <v>-8.7730000000000281</v>
      </c>
      <c r="J7" s="43">
        <f ca="1">OFFSET(J$1,Display!$C$1-1,0)</f>
        <v>-10.175000000000013</v>
      </c>
      <c r="K7" s="43">
        <f ca="1">OFFSET(K$1,Display!$C$1-1,0)</f>
        <v>-12.07500000000001</v>
      </c>
      <c r="L7" s="43">
        <f ca="1">OFFSET(L$1,Display!$C$1-1,0)</f>
        <v>-8.1450000000000315</v>
      </c>
      <c r="M7" s="43">
        <f ca="1">OFFSET(M$1,Display!$C$1-1,0)</f>
        <v>-3.0930000000000701</v>
      </c>
      <c r="N7" s="43">
        <f ca="1">OFFSET(N$1,Display!$C$1-1,0)</f>
        <v>0.21399999999995023</v>
      </c>
      <c r="O7" s="47">
        <f ca="1">OFFSET(O$1,Display!$C$1-1,0)</f>
        <v>-1.3655574462119642</v>
      </c>
      <c r="P7" s="47">
        <f ca="1">OFFSET(P$1,Display!$C$1-1,0)</f>
        <v>-1.9070736526181378</v>
      </c>
      <c r="Q7" s="47">
        <f ca="1">OFFSET(Q$1,Display!$C$1-1,0)</f>
        <v>-2.6875574140606915</v>
      </c>
      <c r="R7" s="47">
        <f ca="1">OFFSET(R$1,Display!$C$1-1,0)</f>
        <v>-3.6241807461919482</v>
      </c>
      <c r="S7" s="47">
        <f ca="1">OFFSET(S$1,Display!$C$1-1,0)</f>
        <v>-4.4868512339433293</v>
      </c>
      <c r="T7" s="47">
        <f ca="1">OFFSET(T$1,Display!$C$1-1,0)</f>
        <v>-5.3796218752364684</v>
      </c>
      <c r="U7" s="47">
        <f ca="1">OFFSET(U$1,Display!$C$1-1,0)</f>
        <v>-6.1969847924363766</v>
      </c>
      <c r="V7" s="47">
        <f ca="1">OFFSET(V$1,Display!$C$1-1,0)</f>
        <v>-7.1806085207664392</v>
      </c>
      <c r="W7" s="47">
        <f ca="1">OFFSET(W$1,Display!$C$1-1,0)</f>
        <v>-8.2436240686453512</v>
      </c>
      <c r="X7" s="47">
        <f ca="1">OFFSET(X$1,Display!$C$1-1,0)</f>
        <v>-9.3029912683497145</v>
      </c>
    </row>
    <row r="8" spans="1:24" x14ac:dyDescent="0.25">
      <c r="A8" s="63" t="s">
        <v>841</v>
      </c>
      <c r="B8" s="11"/>
      <c r="C8" s="13"/>
      <c r="D8" s="93">
        <f t="shared" ref="D8:X8" ca="1" si="0">D$7/D$13</f>
        <v>2.7387025300149401E-2</v>
      </c>
      <c r="E8" s="93">
        <f t="shared" ca="1" si="0"/>
        <v>-6.5805919447409003E-2</v>
      </c>
      <c r="F8" s="93">
        <f t="shared" ca="1" si="0"/>
        <v>-7.4521029840446066E-3</v>
      </c>
      <c r="G8" s="93">
        <f t="shared" ca="1" si="0"/>
        <v>-2.3690513950715801E-2</v>
      </c>
      <c r="H8" s="93">
        <f t="shared" ca="1" si="0"/>
        <v>-1.7928162830254005E-2</v>
      </c>
      <c r="I8" s="93">
        <f t="shared" ca="1" si="0"/>
        <v>-2.0857206708160839E-2</v>
      </c>
      <c r="J8" s="94">
        <f t="shared" ca="1" si="0"/>
        <v>-2.3382849053655338E-2</v>
      </c>
      <c r="K8" s="94">
        <f t="shared" ca="1" si="0"/>
        <v>-2.6453345718391835E-2</v>
      </c>
      <c r="L8" s="94">
        <f t="shared" ca="1" si="0"/>
        <v>-1.7047951943403798E-2</v>
      </c>
      <c r="M8" s="94">
        <f t="shared" ca="1" si="0"/>
        <v>-6.1753043728264055E-3</v>
      </c>
      <c r="N8" s="94">
        <f t="shared" ca="1" si="0"/>
        <v>4.0830188391242927E-4</v>
      </c>
      <c r="O8" s="95">
        <f t="shared" ca="1" si="0"/>
        <v>-2.4976515269561736E-3</v>
      </c>
      <c r="P8" s="95">
        <f t="shared" ca="1" si="0"/>
        <v>-3.3454205720569886E-3</v>
      </c>
      <c r="Q8" s="95">
        <f t="shared" ca="1" si="0"/>
        <v>-4.5288990076574852E-3</v>
      </c>
      <c r="R8" s="95">
        <f t="shared" ca="1" si="0"/>
        <v>-5.8758654275131829E-3</v>
      </c>
      <c r="S8" s="95">
        <f t="shared" ca="1" si="0"/>
        <v>-7.0033387889225389E-3</v>
      </c>
      <c r="T8" s="95">
        <f t="shared" ca="1" si="0"/>
        <v>-8.0892415766898856E-3</v>
      </c>
      <c r="U8" s="95">
        <f t="shared" ca="1" si="0"/>
        <v>-8.9847842241421172E-3</v>
      </c>
      <c r="V8" s="95">
        <f t="shared" ca="1" si="0"/>
        <v>-1.0045944171948649E-2</v>
      </c>
      <c r="W8" s="95">
        <f t="shared" ca="1" si="0"/>
        <v>-1.1136962106160319E-2</v>
      </c>
      <c r="X8" s="95">
        <f t="shared" ca="1" si="0"/>
        <v>-1.2141838280942324E-2</v>
      </c>
    </row>
    <row r="9" spans="1:24" ht="16.5" x14ac:dyDescent="0.25">
      <c r="A9" s="41" t="s">
        <v>825</v>
      </c>
      <c r="B9" s="9"/>
      <c r="C9" s="13"/>
      <c r="N9" s="47"/>
    </row>
    <row r="10" spans="1:24" x14ac:dyDescent="0.25">
      <c r="A10" s="12" t="s">
        <v>148</v>
      </c>
      <c r="B10" s="9"/>
      <c r="C10" s="13"/>
    </row>
    <row r="11" spans="1:24" x14ac:dyDescent="0.25">
      <c r="A11" s="9" t="s">
        <v>149</v>
      </c>
      <c r="B11" s="9"/>
      <c r="C11" s="13"/>
      <c r="D11" s="35">
        <f>'Economic Forecasts'!Q$6</f>
        <v>254.887</v>
      </c>
      <c r="E11" s="35">
        <f>'Economic Forecasts'!R$6</f>
        <v>252.81299999999999</v>
      </c>
      <c r="F11" s="35">
        <f>'Economic Forecasts'!S$6</f>
        <v>268.59800000000001</v>
      </c>
      <c r="G11" s="35">
        <f>'Economic Forecasts'!T$6</f>
        <v>270.51100000000002</v>
      </c>
      <c r="H11" s="35">
        <f>'Economic Forecasts'!U$6</f>
        <v>281.255</v>
      </c>
      <c r="I11" s="35">
        <f>'Economic Forecasts'!V$6</f>
        <v>283.03100000000001</v>
      </c>
      <c r="J11" s="17">
        <f>'Economic Forecasts'!W$6</f>
        <v>280.76</v>
      </c>
      <c r="K11" s="17">
        <f>'Economic Forecasts'!X$6</f>
        <v>288.976</v>
      </c>
      <c r="L11" s="17">
        <f>'Economic Forecasts'!Y$6</f>
        <v>297.50799999999998</v>
      </c>
      <c r="M11" s="17">
        <f>'Economic Forecasts'!Z$6</f>
        <v>306.02300000000002</v>
      </c>
      <c r="N11" s="17">
        <f>'Economic Forecasts'!AA$6</f>
        <v>313.94099999999997</v>
      </c>
      <c r="O11" s="16">
        <f t="shared" ref="O11:X11" ca="1" si="1">N$11*O$16*(1-O$23)*O$24/(N$16*(1-N$23)*N$24)*(1+O$25)</f>
        <v>321.06547356392304</v>
      </c>
      <c r="P11" s="16">
        <f t="shared" ca="1" si="1"/>
        <v>328.19506559316949</v>
      </c>
      <c r="Q11" s="16">
        <f t="shared" ca="1" si="1"/>
        <v>334.95020430738737</v>
      </c>
      <c r="R11" s="16">
        <f t="shared" ca="1" si="1"/>
        <v>341.31310894354965</v>
      </c>
      <c r="S11" s="16">
        <f t="shared" ca="1" si="1"/>
        <v>347.57723432799349</v>
      </c>
      <c r="T11" s="16">
        <f t="shared" ca="1" si="1"/>
        <v>353.71914183142206</v>
      </c>
      <c r="U11" s="16">
        <f t="shared" ca="1" si="1"/>
        <v>359.65592896560497</v>
      </c>
      <c r="V11" s="16">
        <f t="shared" ca="1" si="1"/>
        <v>365.41364749828614</v>
      </c>
      <c r="W11" s="16">
        <f t="shared" ca="1" si="1"/>
        <v>370.9928489415197</v>
      </c>
      <c r="X11" s="16">
        <f t="shared" ca="1" si="1"/>
        <v>376.48883312198507</v>
      </c>
    </row>
    <row r="12" spans="1:24" x14ac:dyDescent="0.25">
      <c r="A12" s="10" t="s">
        <v>150</v>
      </c>
      <c r="B12" s="9"/>
      <c r="C12" s="13"/>
      <c r="D12" s="35"/>
      <c r="E12" s="36">
        <f>E$11/D$11-1</f>
        <v>-8.1369391141957736E-3</v>
      </c>
      <c r="F12" s="36">
        <f t="shared" ref="F12:X12" si="2">F$11/E$11-1</f>
        <v>6.2437453770177953E-2</v>
      </c>
      <c r="G12" s="36">
        <f t="shared" si="2"/>
        <v>7.1221677004296158E-3</v>
      </c>
      <c r="H12" s="36">
        <f t="shared" si="2"/>
        <v>3.9717423690718512E-2</v>
      </c>
      <c r="I12" s="36">
        <f t="shared" si="2"/>
        <v>6.3145544079217242E-3</v>
      </c>
      <c r="J12" s="19">
        <f t="shared" si="2"/>
        <v>-8.0238560440376583E-3</v>
      </c>
      <c r="K12" s="19">
        <f t="shared" si="2"/>
        <v>2.9263427838723599E-2</v>
      </c>
      <c r="L12" s="19">
        <f t="shared" si="2"/>
        <v>2.9524943247882129E-2</v>
      </c>
      <c r="M12" s="19">
        <f t="shared" si="2"/>
        <v>2.8621079097032931E-2</v>
      </c>
      <c r="N12" s="19">
        <f t="shared" si="2"/>
        <v>2.5873872225290029E-2</v>
      </c>
      <c r="O12" s="18">
        <f t="shared" ca="1" si="2"/>
        <v>2.2693670351827455E-2</v>
      </c>
      <c r="P12" s="18">
        <f t="shared" ca="1" si="2"/>
        <v>2.2206037759544328E-2</v>
      </c>
      <c r="Q12" s="18">
        <f t="shared" ca="1" si="2"/>
        <v>2.0582694325427697E-2</v>
      </c>
      <c r="R12" s="18">
        <f t="shared" ca="1" si="2"/>
        <v>1.8996568905875311E-2</v>
      </c>
      <c r="S12" s="18">
        <f t="shared" ca="1" si="2"/>
        <v>1.8353017274469474E-2</v>
      </c>
      <c r="T12" s="18">
        <f t="shared" ca="1" si="2"/>
        <v>1.7670626545214674E-2</v>
      </c>
      <c r="U12" s="18">
        <f t="shared" ca="1" si="2"/>
        <v>1.6783901214518782E-2</v>
      </c>
      <c r="V12" s="18">
        <f t="shared" ca="1" si="2"/>
        <v>1.6008963203361537E-2</v>
      </c>
      <c r="W12" s="18">
        <f t="shared" ca="1" si="2"/>
        <v>1.5268180270305187E-2</v>
      </c>
      <c r="X12" s="18">
        <f t="shared" ca="1" si="2"/>
        <v>1.4814259078432368E-2</v>
      </c>
    </row>
    <row r="13" spans="1:24" x14ac:dyDescent="0.25">
      <c r="A13" s="9" t="s">
        <v>151</v>
      </c>
      <c r="B13" s="9"/>
      <c r="C13" s="13"/>
      <c r="D13" s="42">
        <f>'Economic Forecasts'!Q$7</f>
        <v>310.512</v>
      </c>
      <c r="E13" s="42">
        <f>'Economic Forecasts'!R$7</f>
        <v>317.63099999999997</v>
      </c>
      <c r="F13" s="42">
        <f>'Economic Forecasts'!S$7</f>
        <v>343.39299999999997</v>
      </c>
      <c r="G13" s="42">
        <f>'Economic Forecasts'!T$7</f>
        <v>365.71600000000001</v>
      </c>
      <c r="H13" s="42">
        <f>'Economic Forecasts'!U$7</f>
        <v>401.54700000000003</v>
      </c>
      <c r="I13" s="42">
        <f>'Economic Forecasts'!V$7</f>
        <v>420.62200000000001</v>
      </c>
      <c r="J13" s="43">
        <f>'Economic Forecasts'!W$7</f>
        <v>435.14800000000002</v>
      </c>
      <c r="K13" s="43">
        <f>'Economic Forecasts'!X$7</f>
        <v>456.464</v>
      </c>
      <c r="L13" s="43">
        <f>'Economic Forecasts'!Y$7</f>
        <v>477.77</v>
      </c>
      <c r="M13" s="43">
        <f>'Economic Forecasts'!Z$7</f>
        <v>500.86599999999999</v>
      </c>
      <c r="N13" s="43">
        <f>'Economic Forecasts'!AA$7</f>
        <v>524.12199999999996</v>
      </c>
      <c r="O13" s="47">
        <f t="shared" ref="O13:X13" ca="1" si="3">N$13*O$11/N$11*(1+O$29)</f>
        <v>546.73657692998324</v>
      </c>
      <c r="P13" s="47">
        <f t="shared" ca="1" si="3"/>
        <v>570.05497860185073</v>
      </c>
      <c r="Q13" s="47">
        <f t="shared" ca="1" si="3"/>
        <v>593.42401089460282</v>
      </c>
      <c r="R13" s="47">
        <f t="shared" ca="1" si="3"/>
        <v>616.79097162812229</v>
      </c>
      <c r="S13" s="47">
        <f t="shared" ca="1" si="3"/>
        <v>640.67316592485304</v>
      </c>
      <c r="T13" s="47">
        <f t="shared" ca="1" si="3"/>
        <v>665.03414742100063</v>
      </c>
      <c r="U13" s="47">
        <f t="shared" ca="1" si="3"/>
        <v>689.71993515270822</v>
      </c>
      <c r="V13" s="47">
        <f t="shared" ca="1" si="3"/>
        <v>714.77686893949658</v>
      </c>
      <c r="W13" s="47">
        <f t="shared" ca="1" si="3"/>
        <v>740.20401524805936</v>
      </c>
      <c r="X13" s="47">
        <f t="shared" ca="1" si="3"/>
        <v>766.19298108685666</v>
      </c>
    </row>
    <row r="14" spans="1:24" x14ac:dyDescent="0.25">
      <c r="A14" s="10" t="str">
        <f>$A$12</f>
        <v>Annual percentage growth</v>
      </c>
      <c r="B14" s="9"/>
      <c r="C14" s="13"/>
      <c r="D14" s="36"/>
      <c r="E14" s="36">
        <f>E$13/D$13-1</f>
        <v>2.2926650177770735E-2</v>
      </c>
      <c r="F14" s="36">
        <f t="shared" ref="F14:X14" si="4">F$13/E$13-1</f>
        <v>8.1106692986515849E-2</v>
      </c>
      <c r="G14" s="36">
        <f t="shared" si="4"/>
        <v>6.5007149242995776E-2</v>
      </c>
      <c r="H14" s="36">
        <f t="shared" si="4"/>
        <v>9.7974931367509344E-2</v>
      </c>
      <c r="I14" s="36">
        <f t="shared" si="4"/>
        <v>4.7503779134198565E-2</v>
      </c>
      <c r="J14" s="19">
        <f t="shared" si="4"/>
        <v>3.4534570231704587E-2</v>
      </c>
      <c r="K14" s="19">
        <f t="shared" si="4"/>
        <v>4.898563247446841E-2</v>
      </c>
      <c r="L14" s="19">
        <f t="shared" si="4"/>
        <v>4.6676189140874236E-2</v>
      </c>
      <c r="M14" s="19">
        <f t="shared" si="4"/>
        <v>4.8341252066894214E-2</v>
      </c>
      <c r="N14" s="19">
        <f t="shared" si="4"/>
        <v>4.6431580502569458E-2</v>
      </c>
      <c r="O14" s="18">
        <f t="shared" ca="1" si="4"/>
        <v>4.3147543758863982E-2</v>
      </c>
      <c r="P14" s="18">
        <f t="shared" ca="1" si="4"/>
        <v>4.2650158514735192E-2</v>
      </c>
      <c r="Q14" s="18">
        <f t="shared" ca="1" si="4"/>
        <v>4.0994348211936149E-2</v>
      </c>
      <c r="R14" s="18">
        <f t="shared" ca="1" si="4"/>
        <v>3.9376500283992755E-2</v>
      </c>
      <c r="S14" s="18">
        <f t="shared" ca="1" si="4"/>
        <v>3.872007761995877E-2</v>
      </c>
      <c r="T14" s="18">
        <f t="shared" ca="1" si="4"/>
        <v>3.8024039076119065E-2</v>
      </c>
      <c r="U14" s="18">
        <f t="shared" ca="1" si="4"/>
        <v>3.7119579238809042E-2</v>
      </c>
      <c r="V14" s="18">
        <f t="shared" ca="1" si="4"/>
        <v>3.6329142467428577E-2</v>
      </c>
      <c r="W14" s="18">
        <f t="shared" ca="1" si="4"/>
        <v>3.5573543875711433E-2</v>
      </c>
      <c r="X14" s="18">
        <f t="shared" ca="1" si="4"/>
        <v>3.511054426000082E-2</v>
      </c>
    </row>
    <row r="15" spans="1:24" x14ac:dyDescent="0.25">
      <c r="A15" s="12" t="s">
        <v>152</v>
      </c>
      <c r="B15" s="9"/>
      <c r="C15" s="13"/>
      <c r="D15" s="35"/>
    </row>
    <row r="16" spans="1:24" x14ac:dyDescent="0.25">
      <c r="A16" s="9" t="s">
        <v>153</v>
      </c>
      <c r="B16" s="9"/>
      <c r="C16" s="13"/>
      <c r="D16" s="35">
        <f>'Economic Forecasts'!Q$8</f>
        <v>2.7963</v>
      </c>
      <c r="E16" s="35">
        <f>'Economic Forecasts'!R$8</f>
        <v>2.8405</v>
      </c>
      <c r="F16" s="35">
        <f>'Economic Forecasts'!S$8</f>
        <v>2.875</v>
      </c>
      <c r="G16" s="35">
        <f>'Economic Forecasts'!T$8</f>
        <v>2.9104999999999999</v>
      </c>
      <c r="H16" s="35">
        <f>'Economic Forecasts'!U$8</f>
        <v>2.9918</v>
      </c>
      <c r="I16" s="35">
        <f>'Economic Forecasts'!V$8</f>
        <v>3.0680000000000001</v>
      </c>
      <c r="J16" s="17">
        <f>'Economic Forecasts'!W$8</f>
        <v>3.0784000000000002</v>
      </c>
      <c r="K16" s="17">
        <f>'Economic Forecasts'!X$8</f>
        <v>3.1261000000000001</v>
      </c>
      <c r="L16" s="17">
        <f>'Economic Forecasts'!Y$8</f>
        <v>3.1818</v>
      </c>
      <c r="M16" s="17">
        <f>'Economic Forecasts'!Z$8</f>
        <v>3.2342</v>
      </c>
      <c r="N16" s="17">
        <f>'Economic Forecasts'!AA$8</f>
        <v>3.2824</v>
      </c>
      <c r="O16" s="16">
        <f>N$16*'Labour Force Treasury'!L$4/'Labour Force Treasury'!K$4</f>
        <v>3.318559068561679</v>
      </c>
      <c r="P16" s="16">
        <f>O$16*'Labour Force Treasury'!M$4/'Labour Force Treasury'!L$4</f>
        <v>3.3528826048258424</v>
      </c>
      <c r="Q16" s="16">
        <f>P$16*'Labour Force Treasury'!N$4/'Labour Force Treasury'!M$4</f>
        <v>3.3853211958213336</v>
      </c>
      <c r="R16" s="16">
        <f>Q$16*'Labour Force Treasury'!O$4/'Labour Force Treasury'!N$4</f>
        <v>3.415814123364961</v>
      </c>
      <c r="S16" s="16">
        <f>R$16*'Labour Force Treasury'!P$4/'Labour Force Treasury'!O$4</f>
        <v>3.4440639791855983</v>
      </c>
      <c r="T16" s="16">
        <f>S$16*'Labour Force Treasury'!Q$4/'Labour Force Treasury'!P$4</f>
        <v>3.4702205421382302</v>
      </c>
      <c r="U16" s="16">
        <f>T$16*'Labour Force Treasury'!R$4/'Labour Force Treasury'!Q$4</f>
        <v>3.4945670802318225</v>
      </c>
      <c r="V16" s="16">
        <f>U$16*'Labour Force Treasury'!S$4/'Labour Force Treasury'!R$4</f>
        <v>3.517447469814674</v>
      </c>
      <c r="W16" s="16">
        <f>V$16*'Labour Force Treasury'!T$4/'Labour Force Treasury'!S$4</f>
        <v>3.5389480644882889</v>
      </c>
      <c r="X16" s="16">
        <f>W$16*'Labour Force Treasury'!U$4/'Labour Force Treasury'!T$4</f>
        <v>3.5593408899709962</v>
      </c>
    </row>
    <row r="17" spans="1:24" x14ac:dyDescent="0.25">
      <c r="A17" s="10" t="str">
        <f>$A$12</f>
        <v>Annual percentage growth</v>
      </c>
      <c r="B17" s="9"/>
      <c r="C17" s="13"/>
      <c r="D17" s="38"/>
      <c r="E17" s="36">
        <f>E$16/D$16-1</f>
        <v>1.5806601580660162E-2</v>
      </c>
      <c r="F17" s="36">
        <f t="shared" ref="F17:X17" si="5">F$16/E$16-1</f>
        <v>1.2145748987854255E-2</v>
      </c>
      <c r="G17" s="36">
        <f t="shared" si="5"/>
        <v>1.2347826086956504E-2</v>
      </c>
      <c r="H17" s="36">
        <f t="shared" si="5"/>
        <v>2.7933344786119196E-2</v>
      </c>
      <c r="I17" s="36">
        <f t="shared" si="5"/>
        <v>2.546961695300487E-2</v>
      </c>
      <c r="J17" s="19">
        <f t="shared" si="5"/>
        <v>3.3898305084747449E-3</v>
      </c>
      <c r="K17" s="19">
        <f t="shared" si="5"/>
        <v>1.5495062370062263E-2</v>
      </c>
      <c r="L17" s="19">
        <f t="shared" si="5"/>
        <v>1.7817728159687851E-2</v>
      </c>
      <c r="M17" s="19">
        <f t="shared" si="5"/>
        <v>1.6468665535231741E-2</v>
      </c>
      <c r="N17" s="19">
        <f t="shared" si="5"/>
        <v>1.4903221816832568E-2</v>
      </c>
      <c r="O17" s="18">
        <f t="shared" si="5"/>
        <v>1.1016045747525904E-2</v>
      </c>
      <c r="P17" s="18">
        <f t="shared" si="5"/>
        <v>1.0342903517772895E-2</v>
      </c>
      <c r="Q17" s="18">
        <f t="shared" si="5"/>
        <v>9.6748364970493661E-3</v>
      </c>
      <c r="R17" s="18">
        <f t="shared" si="5"/>
        <v>9.0073956885587947E-3</v>
      </c>
      <c r="S17" s="18">
        <f t="shared" si="5"/>
        <v>8.2703141331379459E-3</v>
      </c>
      <c r="T17" s="18">
        <f t="shared" si="5"/>
        <v>7.5946797477370875E-3</v>
      </c>
      <c r="U17" s="18">
        <f t="shared" si="5"/>
        <v>7.0158474938284421E-3</v>
      </c>
      <c r="V17" s="18">
        <f t="shared" si="5"/>
        <v>6.5474174790582929E-3</v>
      </c>
      <c r="W17" s="18">
        <f t="shared" si="5"/>
        <v>6.1125560106083388E-3</v>
      </c>
      <c r="X17" s="18">
        <f t="shared" si="5"/>
        <v>5.7623975009239992E-3</v>
      </c>
    </row>
    <row r="18" spans="1:24" x14ac:dyDescent="0.25">
      <c r="A18" s="9" t="s">
        <v>154</v>
      </c>
      <c r="B18" s="9"/>
      <c r="C18" s="13"/>
      <c r="D18" s="35">
        <f>'Economic Forecasts'!Q$9</f>
        <v>3.9466000000000001</v>
      </c>
      <c r="E18" s="35">
        <f>'Economic Forecasts'!R$9</f>
        <v>4.0335999999999999</v>
      </c>
      <c r="F18" s="35">
        <f>'Economic Forecasts'!S$9</f>
        <v>4.0891999999999999</v>
      </c>
      <c r="G18" s="35">
        <f>'Economic Forecasts'!T$9</f>
        <v>4.1008000000000004</v>
      </c>
      <c r="H18" s="35">
        <f>'Economic Forecasts'!U$9</f>
        <v>4.1555</v>
      </c>
      <c r="I18" s="35">
        <f>'Economic Forecasts'!V$9</f>
        <v>4.2751000000000001</v>
      </c>
      <c r="J18" s="17">
        <f>'Economic Forecasts'!W$9</f>
        <v>4.3324999999999996</v>
      </c>
      <c r="K18" s="17">
        <f>'Economic Forecasts'!X$9</f>
        <v>4.3881999999999994</v>
      </c>
      <c r="L18" s="17">
        <f>'Economic Forecasts'!Y$9</f>
        <v>4.4468000000000005</v>
      </c>
      <c r="M18" s="17">
        <f>'Economic Forecasts'!Z$9</f>
        <v>4.5060000000000002</v>
      </c>
      <c r="N18" s="17">
        <f>'Economic Forecasts'!AA$9</f>
        <v>4.5653000000000006</v>
      </c>
      <c r="O18" s="16">
        <f>N$18*'Population Treasury'!Z$6/'Population Treasury'!Y$6</f>
        <v>4.6218546614438232</v>
      </c>
      <c r="P18" s="16">
        <f>O$18*'Population Treasury'!AA$6/'Population Treasury'!Z$6</f>
        <v>4.6757910271716634</v>
      </c>
      <c r="Q18" s="16">
        <f>P$18*'Population Treasury'!AB$6/'Population Treasury'!AA$6</f>
        <v>4.7275390971835236</v>
      </c>
      <c r="R18" s="16">
        <f>Q$18*'Population Treasury'!AC$6/'Population Treasury'!AB$6</f>
        <v>4.7758688714794006</v>
      </c>
      <c r="S18" s="16">
        <f>R$18*'Population Treasury'!AD$6/'Population Treasury'!AC$6</f>
        <v>4.8216203500592991</v>
      </c>
      <c r="T18" s="16">
        <f>S$18*'Population Treasury'!AE$6/'Population Treasury'!AD$6</f>
        <v>4.8645335329232227</v>
      </c>
      <c r="U18" s="16">
        <f>T$18*'Population Treasury'!AF$6/'Population Treasury'!AE$6</f>
        <v>4.9064484200711611</v>
      </c>
      <c r="V18" s="16">
        <f>U$18*'Population Treasury'!AG$6/'Population Treasury'!AF$6</f>
        <v>4.9466650115031188</v>
      </c>
      <c r="W18" s="16">
        <f>V$18*'Population Treasury'!AH$6/'Population Treasury'!AG$6</f>
        <v>4.9832933072191006</v>
      </c>
      <c r="X18" s="16">
        <f>W$18*'Population Treasury'!AI$6/'Population Treasury'!AH$6</f>
        <v>5.0178433072191009</v>
      </c>
    </row>
    <row r="19" spans="1:24" x14ac:dyDescent="0.25">
      <c r="A19" s="10" t="str">
        <f>$A$12</f>
        <v>Annual percentage growth</v>
      </c>
      <c r="B19" s="9"/>
      <c r="C19" s="13"/>
      <c r="D19" s="36"/>
      <c r="E19" s="36">
        <f>E$18/D$18-1</f>
        <v>2.2044291288704221E-2</v>
      </c>
      <c r="F19" s="36">
        <f t="shared" ref="F19:X19" si="6">F$18/E$18-1</f>
        <v>1.3784212614042168E-2</v>
      </c>
      <c r="G19" s="36">
        <f t="shared" si="6"/>
        <v>2.8367406827742858E-3</v>
      </c>
      <c r="H19" s="36">
        <f t="shared" si="6"/>
        <v>1.333886071010526E-2</v>
      </c>
      <c r="I19" s="36">
        <f t="shared" si="6"/>
        <v>2.8781133437612905E-2</v>
      </c>
      <c r="J19" s="19">
        <f t="shared" si="6"/>
        <v>1.3426586512595984E-2</v>
      </c>
      <c r="K19" s="19">
        <f t="shared" si="6"/>
        <v>1.2856318522792787E-2</v>
      </c>
      <c r="L19" s="19">
        <f t="shared" si="6"/>
        <v>1.3353994804248037E-2</v>
      </c>
      <c r="M19" s="19">
        <f t="shared" si="6"/>
        <v>1.3312944139606042E-2</v>
      </c>
      <c r="N19" s="19">
        <f t="shared" si="6"/>
        <v>1.3160230803373363E-2</v>
      </c>
      <c r="O19" s="18">
        <f t="shared" si="6"/>
        <v>1.2387939772593892E-2</v>
      </c>
      <c r="P19" s="18">
        <f t="shared" si="6"/>
        <v>1.166985326859904E-2</v>
      </c>
      <c r="Q19" s="18">
        <f t="shared" si="6"/>
        <v>1.1067233268370114E-2</v>
      </c>
      <c r="R19" s="18">
        <f t="shared" si="6"/>
        <v>1.0223030059057558E-2</v>
      </c>
      <c r="S19" s="18">
        <f t="shared" si="6"/>
        <v>9.5797183321171264E-3</v>
      </c>
      <c r="T19" s="18">
        <f t="shared" si="6"/>
        <v>8.9001579859757651E-3</v>
      </c>
      <c r="U19" s="18">
        <f t="shared" si="6"/>
        <v>8.616424753629115E-3</v>
      </c>
      <c r="V19" s="18">
        <f t="shared" si="6"/>
        <v>8.1966807737019476E-3</v>
      </c>
      <c r="W19" s="18">
        <f t="shared" si="6"/>
        <v>7.4046444687088098E-3</v>
      </c>
      <c r="X19" s="18">
        <f t="shared" si="6"/>
        <v>6.933166055056228E-3</v>
      </c>
    </row>
    <row r="20" spans="1:24" x14ac:dyDescent="0.25">
      <c r="A20" s="9" t="s">
        <v>155</v>
      </c>
      <c r="B20" s="9"/>
      <c r="C20" s="13"/>
      <c r="D20" s="36">
        <f>D$16/D$18</f>
        <v>0.70853392793797187</v>
      </c>
      <c r="E20" s="36">
        <f t="shared" ref="E20:X20" si="7">E$16/E$18</f>
        <v>0.70420963903213019</v>
      </c>
      <c r="F20" s="36">
        <f t="shared" si="7"/>
        <v>0.70307150542893482</v>
      </c>
      <c r="G20" s="36">
        <f t="shared" si="7"/>
        <v>0.70973956301209506</v>
      </c>
      <c r="H20" s="36">
        <f t="shared" si="7"/>
        <v>0.71996149681145472</v>
      </c>
      <c r="I20" s="36">
        <f t="shared" si="7"/>
        <v>0.71764403171855629</v>
      </c>
      <c r="J20" s="19">
        <f t="shared" si="7"/>
        <v>0.71053664166185815</v>
      </c>
      <c r="K20" s="19">
        <f t="shared" si="7"/>
        <v>0.71238776719383812</v>
      </c>
      <c r="L20" s="19">
        <f t="shared" si="7"/>
        <v>0.71552577134118911</v>
      </c>
      <c r="M20" s="19">
        <f t="shared" si="7"/>
        <v>0.71775410563692854</v>
      </c>
      <c r="N20" s="19">
        <f t="shared" si="7"/>
        <v>0.71898889448667114</v>
      </c>
      <c r="O20" s="18">
        <f t="shared" si="7"/>
        <v>0.71801458757359382</v>
      </c>
      <c r="P20" s="18">
        <f t="shared" si="7"/>
        <v>0.71707280871659607</v>
      </c>
      <c r="Q20" s="18">
        <f t="shared" si="7"/>
        <v>0.7160852879753381</v>
      </c>
      <c r="R20" s="18">
        <f t="shared" si="7"/>
        <v>0.71522359915775047</v>
      </c>
      <c r="S20" s="18">
        <f t="shared" si="7"/>
        <v>0.71429596881124024</v>
      </c>
      <c r="T20" s="18">
        <f t="shared" si="7"/>
        <v>0.71337169713226045</v>
      </c>
      <c r="U20" s="18">
        <f t="shared" si="7"/>
        <v>0.71223964485927249</v>
      </c>
      <c r="V20" s="18">
        <f t="shared" si="7"/>
        <v>0.71107452427748785</v>
      </c>
      <c r="W20" s="18">
        <f t="shared" si="7"/>
        <v>0.71016250626098099</v>
      </c>
      <c r="X20" s="18">
        <f t="shared" si="7"/>
        <v>0.70933679512276171</v>
      </c>
    </row>
    <row r="21" spans="1:24" x14ac:dyDescent="0.25">
      <c r="A21" s="9" t="s">
        <v>64</v>
      </c>
      <c r="B21" s="9"/>
      <c r="C21" s="13"/>
      <c r="D21" s="35">
        <f>'Economic Forecasts'!Q$10</f>
        <v>4.9516999999999998</v>
      </c>
      <c r="E21" s="35">
        <f>'Economic Forecasts'!R$10</f>
        <v>5.0551000000000004</v>
      </c>
      <c r="F21" s="35">
        <f>'Economic Forecasts'!S$10</f>
        <v>5.1053999999999995</v>
      </c>
      <c r="G21" s="35">
        <f>'Economic Forecasts'!T$10</f>
        <v>5.1158999999999999</v>
      </c>
      <c r="H21" s="35">
        <f>'Economic Forecasts'!U$10</f>
        <v>5.1861000000000006</v>
      </c>
      <c r="I21" s="35">
        <f>'Economic Forecasts'!V$10</f>
        <v>5.3128000000000002</v>
      </c>
      <c r="J21" s="17">
        <f>'Economic Forecasts'!W$10</f>
        <v>5.3654999999999999</v>
      </c>
      <c r="K21" s="17">
        <f>'Economic Forecasts'!X$10</f>
        <v>5.4257</v>
      </c>
      <c r="L21" s="17">
        <f>'Economic Forecasts'!Y$10</f>
        <v>5.4906999999999995</v>
      </c>
      <c r="M21" s="17">
        <f>'Economic Forecasts'!Z$10</f>
        <v>5.5564</v>
      </c>
      <c r="N21" s="17">
        <f>'Economic Forecasts'!AA$10</f>
        <v>5.6223999999999998</v>
      </c>
      <c r="O21" s="16">
        <f>N$21*'Population Treasury'!Z$4/'Population Treasury'!Y$4</f>
        <v>5.6789399842283865</v>
      </c>
      <c r="P21" s="16">
        <f>O$21*'Population Treasury'!AA$4/'Population Treasury'!Z$4</f>
        <v>5.7330099702091735</v>
      </c>
      <c r="Q21" s="16">
        <f>P$21*'Population Treasury'!AB$4/'Population Treasury'!AA$4</f>
        <v>5.7845499579423612</v>
      </c>
      <c r="R21" s="16">
        <f>Q$21*'Population Treasury'!AC$4/'Population Treasury'!AB$4</f>
        <v>5.8338099474279499</v>
      </c>
      <c r="S21" s="16">
        <f>R$21*'Population Treasury'!AD$4/'Population Treasury'!AC$4</f>
        <v>5.8805699386659374</v>
      </c>
      <c r="T21" s="16">
        <f>S$21*'Population Treasury'!AE$4/'Population Treasury'!AD$4</f>
        <v>5.9250499316563294</v>
      </c>
      <c r="U21" s="16">
        <f>T$21*'Population Treasury'!AF$4/'Population Treasury'!AE$4</f>
        <v>5.9671399263991258</v>
      </c>
      <c r="V21" s="16">
        <f>U$21*'Population Treasury'!AG$4/'Population Treasury'!AF$4</f>
        <v>6.0070199228943171</v>
      </c>
      <c r="W21" s="16">
        <f>V$21*'Population Treasury'!AH$4/'Population Treasury'!AG$4</f>
        <v>6.0447099211419184</v>
      </c>
      <c r="X21" s="16">
        <f>W$21*'Population Treasury'!AI$4/'Population Treasury'!AH$4</f>
        <v>6.0802299211419184</v>
      </c>
    </row>
    <row r="22" spans="1:24" x14ac:dyDescent="0.25">
      <c r="A22" s="10" t="str">
        <f>$A$12</f>
        <v>Annual percentage growth</v>
      </c>
      <c r="B22" s="12"/>
      <c r="C22" s="13"/>
      <c r="D22" s="40"/>
      <c r="E22" s="36">
        <f>E$21/D$21-1</f>
        <v>2.0881717389987342E-2</v>
      </c>
      <c r="F22" s="36">
        <f t="shared" ref="F22:X22" si="8">F$21/E$21-1</f>
        <v>9.9503471741408944E-3</v>
      </c>
      <c r="G22" s="36">
        <f t="shared" si="8"/>
        <v>2.0566459043367402E-3</v>
      </c>
      <c r="H22" s="36">
        <f t="shared" si="8"/>
        <v>1.3721925760863396E-2</v>
      </c>
      <c r="I22" s="36">
        <f t="shared" si="8"/>
        <v>2.4430689728312194E-2</v>
      </c>
      <c r="J22" s="19">
        <f t="shared" si="8"/>
        <v>9.9194398433970488E-3</v>
      </c>
      <c r="K22" s="19">
        <f t="shared" si="8"/>
        <v>1.1219830397912522E-2</v>
      </c>
      <c r="L22" s="19">
        <f t="shared" si="8"/>
        <v>1.1980021011113617E-2</v>
      </c>
      <c r="M22" s="19">
        <f t="shared" si="8"/>
        <v>1.1965687435117722E-2</v>
      </c>
      <c r="N22" s="19">
        <f t="shared" si="8"/>
        <v>1.1878194514433726E-2</v>
      </c>
      <c r="O22" s="18">
        <f t="shared" si="8"/>
        <v>1.0056200951263916E-2</v>
      </c>
      <c r="P22" s="18">
        <f t="shared" si="8"/>
        <v>9.5211405880235578E-3</v>
      </c>
      <c r="Q22" s="18">
        <f t="shared" si="8"/>
        <v>8.9900397873035054E-3</v>
      </c>
      <c r="R22" s="18">
        <f t="shared" si="8"/>
        <v>8.5157859891853427E-3</v>
      </c>
      <c r="S22" s="18">
        <f t="shared" si="8"/>
        <v>8.0153436021006552E-3</v>
      </c>
      <c r="T22" s="18">
        <f t="shared" si="8"/>
        <v>7.5638915027482767E-3</v>
      </c>
      <c r="U22" s="18">
        <f t="shared" si="8"/>
        <v>7.1037367158575115E-3</v>
      </c>
      <c r="V22" s="18">
        <f t="shared" si="8"/>
        <v>6.6832681966713103E-3</v>
      </c>
      <c r="W22" s="18">
        <f t="shared" si="8"/>
        <v>6.274325494402877E-3</v>
      </c>
      <c r="X22" s="18">
        <f t="shared" si="8"/>
        <v>5.8762125004154786E-3</v>
      </c>
    </row>
    <row r="23" spans="1:24" x14ac:dyDescent="0.25">
      <c r="A23" s="9" t="s">
        <v>65</v>
      </c>
      <c r="B23" s="9"/>
      <c r="C23" s="13"/>
      <c r="D23" s="36">
        <f>'Economic Forecasts'!Q$11</f>
        <v>4.1299999999999996E-2</v>
      </c>
      <c r="E23" s="36">
        <f>'Economic Forecasts'!R$11</f>
        <v>4.1299999999999996E-2</v>
      </c>
      <c r="F23" s="36">
        <f>'Economic Forecasts'!S$11</f>
        <v>4.6799999999999994E-2</v>
      </c>
      <c r="G23" s="36">
        <f>'Economic Forecasts'!T$11</f>
        <v>3.2500000000000001E-2</v>
      </c>
      <c r="H23" s="36">
        <f>'Economic Forecasts'!U$11</f>
        <v>3.4300000000000004E-2</v>
      </c>
      <c r="I23" s="36">
        <f>'Economic Forecasts'!V$11</f>
        <v>4.2300000000000004E-2</v>
      </c>
      <c r="J23" s="19">
        <f>'Economic Forecasts'!W$11</f>
        <v>5.16E-2</v>
      </c>
      <c r="K23" s="19">
        <f>'Economic Forecasts'!X$11</f>
        <v>5.1900000000000002E-2</v>
      </c>
      <c r="L23" s="19">
        <f>'Economic Forecasts'!Y$11</f>
        <v>4.8799999999999996E-2</v>
      </c>
      <c r="M23" s="19">
        <f>'Economic Forecasts'!Z$11</f>
        <v>4.5599999999999995E-2</v>
      </c>
      <c r="N23" s="19">
        <f>'Economic Forecasts'!AA$11</f>
        <v>4.3799999999999999E-2</v>
      </c>
      <c r="O23" s="18">
        <f ca="1">N$23+MIN(ABS(OFFSET(Assumptions!$B$12,0,$C$1)-N$23),OFFSET(Assumptions!$B$18,0,$C$1))*SIGN(OFFSET(Assumptions!$B$12,0,$C$1)-N$23)</f>
        <v>4.3099999999999999E-2</v>
      </c>
      <c r="P23" s="18">
        <f ca="1">O$23+MIN(ABS(OFFSET(Assumptions!$B$12,0,$C$1)-O$23),OFFSET(Assumptions!$B$18,0,$C$1))*SIGN(OFFSET(Assumptions!$B$12,0,$C$1)-O$23)</f>
        <v>4.2500000000000003E-2</v>
      </c>
      <c r="Q23" s="18">
        <f ca="1">P$23+MIN(ABS(OFFSET(Assumptions!$B$12,0,$C$1)-P$23),OFFSET(Assumptions!$B$18,0,$C$1))*SIGN(OFFSET(Assumptions!$B$12,0,$C$1)-P$23)</f>
        <v>4.2500000000000003E-2</v>
      </c>
      <c r="R23" s="18">
        <f ca="1">Q$23+MIN(ABS(OFFSET(Assumptions!$B$12,0,$C$1)-Q$23),OFFSET(Assumptions!$B$18,0,$C$1))*SIGN(OFFSET(Assumptions!$B$12,0,$C$1)-Q$23)</f>
        <v>4.2500000000000003E-2</v>
      </c>
      <c r="S23" s="18">
        <f ca="1">R$23+MIN(ABS(OFFSET(Assumptions!$B$12,0,$C$1)-R$23),OFFSET(Assumptions!$B$18,0,$C$1))*SIGN(OFFSET(Assumptions!$B$12,0,$C$1)-R$23)</f>
        <v>4.2500000000000003E-2</v>
      </c>
      <c r="T23" s="18">
        <f ca="1">S$23+MIN(ABS(OFFSET(Assumptions!$B$12,0,$C$1)-S$23),OFFSET(Assumptions!$B$18,0,$C$1))*SIGN(OFFSET(Assumptions!$B$12,0,$C$1)-S$23)</f>
        <v>4.2500000000000003E-2</v>
      </c>
      <c r="U23" s="18">
        <f ca="1">T$23+MIN(ABS(OFFSET(Assumptions!$B$12,0,$C$1)-T$23),OFFSET(Assumptions!$B$18,0,$C$1))*SIGN(OFFSET(Assumptions!$B$12,0,$C$1)-T$23)</f>
        <v>4.2500000000000003E-2</v>
      </c>
      <c r="V23" s="18">
        <f ca="1">U$23+MIN(ABS(OFFSET(Assumptions!$B$12,0,$C$1)-U$23),OFFSET(Assumptions!$B$18,0,$C$1))*SIGN(OFFSET(Assumptions!$B$12,0,$C$1)-U$23)</f>
        <v>4.2500000000000003E-2</v>
      </c>
      <c r="W23" s="18">
        <f ca="1">V$23+MIN(ABS(OFFSET(Assumptions!$B$12,0,$C$1)-V$23),OFFSET(Assumptions!$B$18,0,$C$1))*SIGN(OFFSET(Assumptions!$B$12,0,$C$1)-V$23)</f>
        <v>4.2500000000000003E-2</v>
      </c>
      <c r="X23" s="18">
        <f ca="1">W$23+MIN(ABS(OFFSET(Assumptions!$B$12,0,$C$1)-W$23),OFFSET(Assumptions!$B$18,0,$C$1))*SIGN(OFFSET(Assumptions!$B$12,0,$C$1)-W$23)</f>
        <v>4.2500000000000003E-2</v>
      </c>
    </row>
    <row r="24" spans="1:24" x14ac:dyDescent="0.25">
      <c r="A24" s="9" t="s">
        <v>66</v>
      </c>
      <c r="B24" s="9"/>
      <c r="C24" s="13"/>
      <c r="D24" s="37">
        <f>'Economic Forecasts'!Q$12</f>
        <v>34.119999999999997</v>
      </c>
      <c r="E24" s="37">
        <f>'Economic Forecasts'!R$12</f>
        <v>33.18</v>
      </c>
      <c r="F24" s="37">
        <f>'Economic Forecasts'!S$12</f>
        <v>34.119999999999997</v>
      </c>
      <c r="G24" s="37">
        <f>'Economic Forecasts'!T$12</f>
        <v>32.94</v>
      </c>
      <c r="H24" s="37">
        <f>'Economic Forecasts'!U$12</f>
        <v>33.729999999999997</v>
      </c>
      <c r="I24" s="37">
        <f>'Economic Forecasts'!V$12</f>
        <v>33.549999999999997</v>
      </c>
      <c r="J24" s="21">
        <f>'Economic Forecasts'!W$12</f>
        <v>33.29</v>
      </c>
      <c r="K24" s="21">
        <f>'Economic Forecasts'!X$12</f>
        <v>33.380000000000003</v>
      </c>
      <c r="L24" s="21">
        <f>'Economic Forecasts'!Y$12</f>
        <v>33.409999999999997</v>
      </c>
      <c r="M24" s="21">
        <f>'Economic Forecasts'!Z$12</f>
        <v>33.44</v>
      </c>
      <c r="N24" s="21">
        <f>'Economic Forecasts'!AA$12</f>
        <v>33.44</v>
      </c>
      <c r="O24" s="20">
        <f ca="1">N$24+MIN(ABS(OFFSET(Assumptions!$B$13,0,$C$1)-N$24),OFFSET(Assumptions!$B$19,0,$C$1))*SIGN(OFFSET(Assumptions!$B$13,0,$C$1)-N$24)</f>
        <v>33.5</v>
      </c>
      <c r="P24" s="20">
        <f ca="1">O$24+MIN(ABS(OFFSET(Assumptions!$B$13,0,$C$1)-O$24),OFFSET(Assumptions!$B$19,0,$C$1))*SIGN(OFFSET(Assumptions!$B$13,0,$C$1)-O$24)</f>
        <v>33.56</v>
      </c>
      <c r="Q24" s="20">
        <f ca="1">P$24+MIN(ABS(OFFSET(Assumptions!$B$13,0,$C$1)-P$24),OFFSET(Assumptions!$B$19,0,$C$1))*SIGN(OFFSET(Assumptions!$B$13,0,$C$1)-P$24)</f>
        <v>33.6</v>
      </c>
      <c r="R24" s="20">
        <f ca="1">Q$24+MIN(ABS(OFFSET(Assumptions!$B$13,0,$C$1)-Q$24),OFFSET(Assumptions!$B$19,0,$C$1))*SIGN(OFFSET(Assumptions!$B$13,0,$C$1)-Q$24)</f>
        <v>33.6</v>
      </c>
      <c r="S24" s="20">
        <f ca="1">R$24+MIN(ABS(OFFSET(Assumptions!$B$13,0,$C$1)-R$24),OFFSET(Assumptions!$B$19,0,$C$1))*SIGN(OFFSET(Assumptions!$B$13,0,$C$1)-R$24)</f>
        <v>33.6</v>
      </c>
      <c r="T24" s="20">
        <f ca="1">S$24+MIN(ABS(OFFSET(Assumptions!$B$13,0,$C$1)-S$24),OFFSET(Assumptions!$B$19,0,$C$1))*SIGN(OFFSET(Assumptions!$B$13,0,$C$1)-S$24)</f>
        <v>33.6</v>
      </c>
      <c r="U24" s="20">
        <f ca="1">T$24+MIN(ABS(OFFSET(Assumptions!$B$13,0,$C$1)-T$24),OFFSET(Assumptions!$B$19,0,$C$1))*SIGN(OFFSET(Assumptions!$B$13,0,$C$1)-T$24)</f>
        <v>33.6</v>
      </c>
      <c r="V24" s="20">
        <f ca="1">U$24+MIN(ABS(OFFSET(Assumptions!$B$13,0,$C$1)-U$24),OFFSET(Assumptions!$B$19,0,$C$1))*SIGN(OFFSET(Assumptions!$B$13,0,$C$1)-U$24)</f>
        <v>33.6</v>
      </c>
      <c r="W24" s="20">
        <f ca="1">V$24+MIN(ABS(OFFSET(Assumptions!$B$13,0,$C$1)-V$24),OFFSET(Assumptions!$B$19,0,$C$1))*SIGN(OFFSET(Assumptions!$B$13,0,$C$1)-V$24)</f>
        <v>33.6</v>
      </c>
      <c r="X24" s="20">
        <f ca="1">W$24+MIN(ABS(OFFSET(Assumptions!$B$13,0,$C$1)-W$24),OFFSET(Assumptions!$B$19,0,$C$1))*SIGN(OFFSET(Assumptions!$B$13,0,$C$1)-W$24)</f>
        <v>33.6</v>
      </c>
    </row>
    <row r="25" spans="1:24" x14ac:dyDescent="0.25">
      <c r="A25" s="9" t="s">
        <v>67</v>
      </c>
      <c r="B25" s="9"/>
      <c r="C25" s="13"/>
      <c r="D25" s="36">
        <f>'Economic Forecasts'!Q$13</f>
        <v>6.7000000000000002E-3</v>
      </c>
      <c r="E25" s="36">
        <f>'Economic Forecasts'!R$13</f>
        <v>3.7000000000000002E-3</v>
      </c>
      <c r="F25" s="36">
        <f>'Economic Forecasts'!S$13</f>
        <v>2.6800000000000001E-2</v>
      </c>
      <c r="G25" s="36">
        <f>'Economic Forecasts'!T$13</f>
        <v>1.54E-2</v>
      </c>
      <c r="H25" s="36">
        <f>'Economic Forecasts'!U$13</f>
        <v>-1.0500000000000001E-2</v>
      </c>
      <c r="I25" s="36">
        <f>'Economic Forecasts'!V$13</f>
        <v>-5.4000000000000003E-3</v>
      </c>
      <c r="J25" s="19">
        <f>'Economic Forecasts'!W$13</f>
        <v>6.3E-3</v>
      </c>
      <c r="K25" s="19">
        <f>'Economic Forecasts'!X$13</f>
        <v>1.0999999999999999E-2</v>
      </c>
      <c r="L25" s="19">
        <f>'Economic Forecasts'!Y$13</f>
        <v>7.3000000000000001E-3</v>
      </c>
      <c r="M25" s="19">
        <f>'Economic Forecasts'!Z$13</f>
        <v>8.0000000000000002E-3</v>
      </c>
      <c r="N25" s="19">
        <f>'Economic Forecasts'!AA$13</f>
        <v>8.6999999999999994E-3</v>
      </c>
      <c r="O25" s="18">
        <f ca="1">N$25+IF(O$6&lt;OFFSET(Assumptions!$B$8,0,$C$1)+OFFSET(Assumptions!$B$24,0,$C$1),MIN(ABS(OFFSET(Assumptions!$B$14,0,$C$1)+OFFSET(Assumptions!$B$25,0,$C$1)-N$25),OFFSET(Assumptions!$B$20,0,$C$1))*SIGN(OFFSET(Assumptions!$B$14,0,$C$1)+OFFSET(Assumptions!$B$25,0,$C$1)-N$25),MIN(ABS(OFFSET(Assumptions!$B$14,0,$C$1)-N$25),OFFSET(Assumptions!$B$20,0,$C$1))*SIGN(OFFSET(Assumptions!$B$14,0,$C$1)-N$25))</f>
        <v>8.9999999999999993E-3</v>
      </c>
      <c r="P25" s="18">
        <f ca="1">O$25+IF(P$6&lt;OFFSET(Assumptions!$B$8,0,$C$1)+OFFSET(Assumptions!$B$24,0,$C$1),MIN(ABS(OFFSET(Assumptions!$B$14,0,$C$1)+OFFSET(Assumptions!$B$25,0,$C$1)-O$25),OFFSET(Assumptions!$B$20,0,$C$1))*SIGN(OFFSET(Assumptions!$B$14,0,$C$1)+OFFSET(Assumptions!$B$25,0,$C$1)-O$25),MIN(ABS(OFFSET(Assumptions!$B$14,0,$C$1)-O$25),OFFSET(Assumptions!$B$20,0,$C$1))*SIGN(OFFSET(Assumptions!$B$14,0,$C$1)-O$25))</f>
        <v>9.2999999999999992E-3</v>
      </c>
      <c r="Q25" s="18">
        <f ca="1">P$25+IF(Q$6&lt;OFFSET(Assumptions!$B$8,0,$C$1)+OFFSET(Assumptions!$B$24,0,$C$1),MIN(ABS(OFFSET(Assumptions!$B$14,0,$C$1)+OFFSET(Assumptions!$B$25,0,$C$1)-P$25),OFFSET(Assumptions!$B$20,0,$C$1))*SIGN(OFFSET(Assumptions!$B$14,0,$C$1)+OFFSET(Assumptions!$B$25,0,$C$1)-P$25),MIN(ABS(OFFSET(Assumptions!$B$14,0,$C$1)-P$25),OFFSET(Assumptions!$B$20,0,$C$1))*SIGN(OFFSET(Assumptions!$B$14,0,$C$1)-P$25))</f>
        <v>9.5999999999999992E-3</v>
      </c>
      <c r="R25" s="18">
        <f ca="1">Q$25+IF(R$6&lt;OFFSET(Assumptions!$B$8,0,$C$1)+OFFSET(Assumptions!$B$24,0,$C$1),MIN(ABS(OFFSET(Assumptions!$B$14,0,$C$1)+OFFSET(Assumptions!$B$25,0,$C$1)-Q$25),OFFSET(Assumptions!$B$20,0,$C$1))*SIGN(OFFSET(Assumptions!$B$14,0,$C$1)+OFFSET(Assumptions!$B$25,0,$C$1)-Q$25),MIN(ABS(OFFSET(Assumptions!$B$14,0,$C$1)-Q$25),OFFSET(Assumptions!$B$20,0,$C$1))*SIGN(OFFSET(Assumptions!$B$14,0,$C$1)-Q$25))</f>
        <v>9.8999999999999991E-3</v>
      </c>
      <c r="S25" s="18">
        <f ca="1">R$25+IF(S$6&lt;OFFSET(Assumptions!$B$8,0,$C$1)+OFFSET(Assumptions!$B$24,0,$C$1),MIN(ABS(OFFSET(Assumptions!$B$14,0,$C$1)+OFFSET(Assumptions!$B$25,0,$C$1)-R$25),OFFSET(Assumptions!$B$20,0,$C$1))*SIGN(OFFSET(Assumptions!$B$14,0,$C$1)+OFFSET(Assumptions!$B$25,0,$C$1)-R$25),MIN(ABS(OFFSET(Assumptions!$B$14,0,$C$1)-R$25),OFFSET(Assumptions!$B$20,0,$C$1))*SIGN(OFFSET(Assumptions!$B$14,0,$C$1)-R$25))</f>
        <v>9.9999999999999985E-3</v>
      </c>
      <c r="T25" s="18">
        <f ca="1">S$25+IF(T$6&lt;OFFSET(Assumptions!$B$8,0,$C$1)+OFFSET(Assumptions!$B$24,0,$C$1),MIN(ABS(OFFSET(Assumptions!$B$14,0,$C$1)+OFFSET(Assumptions!$B$25,0,$C$1)-S$25),OFFSET(Assumptions!$B$20,0,$C$1))*SIGN(OFFSET(Assumptions!$B$14,0,$C$1)+OFFSET(Assumptions!$B$25,0,$C$1)-S$25),MIN(ABS(OFFSET(Assumptions!$B$14,0,$C$1)-S$25),OFFSET(Assumptions!$B$20,0,$C$1))*SIGN(OFFSET(Assumptions!$B$14,0,$C$1)-S$25))</f>
        <v>9.9999999999999985E-3</v>
      </c>
      <c r="U25" s="18">
        <f ca="1">T$25+IF(U$6&lt;OFFSET(Assumptions!$B$8,0,$C$1)+OFFSET(Assumptions!$B$24,0,$C$1),MIN(ABS(OFFSET(Assumptions!$B$14,0,$C$1)+OFFSET(Assumptions!$B$25,0,$C$1)-T$25),OFFSET(Assumptions!$B$20,0,$C$1))*SIGN(OFFSET(Assumptions!$B$14,0,$C$1)+OFFSET(Assumptions!$B$25,0,$C$1)-T$25),MIN(ABS(OFFSET(Assumptions!$B$14,0,$C$1)-T$25),OFFSET(Assumptions!$B$20,0,$C$1))*SIGN(OFFSET(Assumptions!$B$14,0,$C$1)-T$25))</f>
        <v>9.6999999999999986E-3</v>
      </c>
      <c r="V25" s="18">
        <f ca="1">U$25+IF(V$6&lt;OFFSET(Assumptions!$B$8,0,$C$1)+OFFSET(Assumptions!$B$24,0,$C$1),MIN(ABS(OFFSET(Assumptions!$B$14,0,$C$1)+OFFSET(Assumptions!$B$25,0,$C$1)-U$25),OFFSET(Assumptions!$B$20,0,$C$1))*SIGN(OFFSET(Assumptions!$B$14,0,$C$1)+OFFSET(Assumptions!$B$25,0,$C$1)-U$25),MIN(ABS(OFFSET(Assumptions!$B$14,0,$C$1)-U$25),OFFSET(Assumptions!$B$20,0,$C$1))*SIGN(OFFSET(Assumptions!$B$14,0,$C$1)-U$25))</f>
        <v>9.3999999999999986E-3</v>
      </c>
      <c r="W25" s="18">
        <f ca="1">V$25+IF(W$6&lt;OFFSET(Assumptions!$B$8,0,$C$1)+OFFSET(Assumptions!$B$24,0,$C$1),MIN(ABS(OFFSET(Assumptions!$B$14,0,$C$1)+OFFSET(Assumptions!$B$25,0,$C$1)-V$25),OFFSET(Assumptions!$B$20,0,$C$1))*SIGN(OFFSET(Assumptions!$B$14,0,$C$1)+OFFSET(Assumptions!$B$25,0,$C$1)-V$25),MIN(ABS(OFFSET(Assumptions!$B$14,0,$C$1)-V$25),OFFSET(Assumptions!$B$20,0,$C$1))*SIGN(OFFSET(Assumptions!$B$14,0,$C$1)-V$25))</f>
        <v>9.0999999999999987E-3</v>
      </c>
      <c r="X25" s="18">
        <f ca="1">W$25+IF(X$6&lt;OFFSET(Assumptions!$B$8,0,$C$1)+OFFSET(Assumptions!$B$24,0,$C$1),MIN(ABS(OFFSET(Assumptions!$B$14,0,$C$1)+OFFSET(Assumptions!$B$25,0,$C$1)-W$25),OFFSET(Assumptions!$B$20,0,$C$1))*SIGN(OFFSET(Assumptions!$B$14,0,$C$1)+OFFSET(Assumptions!$B$25,0,$C$1)-W$25),MIN(ABS(OFFSET(Assumptions!$B$14,0,$C$1)-W$25),OFFSET(Assumptions!$B$20,0,$C$1))*SIGN(OFFSET(Assumptions!$B$14,0,$C$1)-W$25))</f>
        <v>8.9999999999999993E-3</v>
      </c>
    </row>
    <row r="26" spans="1:24" x14ac:dyDescent="0.25">
      <c r="A26" s="9" t="s">
        <v>69</v>
      </c>
      <c r="B26" s="12"/>
      <c r="C26" s="13"/>
      <c r="D26" s="36">
        <f>'Economic Forecasts'!Q$15</f>
        <v>3.3700000000000001E-2</v>
      </c>
      <c r="E26" s="36">
        <f>'Economic Forecasts'!R$15</f>
        <v>3.3300000000000003E-2</v>
      </c>
      <c r="F26" s="36">
        <f>'Economic Forecasts'!S$15</f>
        <v>4.1200000000000001E-2</v>
      </c>
      <c r="G26" s="36">
        <f>'Economic Forecasts'!T$15</f>
        <v>4.6100000000000002E-2</v>
      </c>
      <c r="H26" s="36">
        <f>'Economic Forecasts'!U$15</f>
        <v>7.2900000000000006E-2</v>
      </c>
      <c r="I26" s="36">
        <f>'Economic Forecasts'!V$15</f>
        <v>5.96E-2</v>
      </c>
      <c r="J26" s="19">
        <f>'Economic Forecasts'!W$15</f>
        <v>4.1200000000000001E-2</v>
      </c>
      <c r="K26" s="19">
        <f>'Economic Forecasts'!X$15</f>
        <v>3.0099999999999998E-2</v>
      </c>
      <c r="L26" s="19">
        <f>'Economic Forecasts'!Y$15</f>
        <v>2.6499999999999999E-2</v>
      </c>
      <c r="M26" s="19">
        <f>'Economic Forecasts'!Z$15</f>
        <v>2.6800000000000001E-2</v>
      </c>
      <c r="N26" s="19">
        <f>'Economic Forecasts'!AA$15</f>
        <v>2.7199999999999998E-2</v>
      </c>
      <c r="O26" s="18">
        <f t="shared" ref="O26:X26" ca="1" si="9">(1+O$25)*(1+O$29)-1</f>
        <v>2.9179999999999984E-2</v>
      </c>
      <c r="P26" s="18">
        <f t="shared" ca="1" si="9"/>
        <v>2.9486000000000123E-2</v>
      </c>
      <c r="Q26" s="18">
        <f t="shared" ca="1" si="9"/>
        <v>2.9792000000000041E-2</v>
      </c>
      <c r="R26" s="18">
        <f t="shared" ca="1" si="9"/>
        <v>3.0097999999999958E-2</v>
      </c>
      <c r="S26" s="18">
        <f t="shared" ca="1" si="9"/>
        <v>3.0200000000000005E-2</v>
      </c>
      <c r="T26" s="18">
        <f t="shared" ca="1" si="9"/>
        <v>3.0200000000000005E-2</v>
      </c>
      <c r="U26" s="18">
        <f t="shared" ca="1" si="9"/>
        <v>2.9894000000000087E-2</v>
      </c>
      <c r="V26" s="18">
        <f t="shared" ca="1" si="9"/>
        <v>2.958800000000017E-2</v>
      </c>
      <c r="W26" s="18">
        <f t="shared" ca="1" si="9"/>
        <v>2.928200000000003E-2</v>
      </c>
      <c r="X26" s="18">
        <f t="shared" ca="1" si="9"/>
        <v>2.9179999999999984E-2</v>
      </c>
    </row>
    <row r="27" spans="1:24" x14ac:dyDescent="0.25">
      <c r="A27" s="12" t="s">
        <v>156</v>
      </c>
      <c r="B27" s="9"/>
      <c r="C27" s="13"/>
    </row>
    <row r="28" spans="1:24" x14ac:dyDescent="0.25">
      <c r="A28" s="9" t="s">
        <v>157</v>
      </c>
      <c r="B28" s="9"/>
      <c r="C28" s="13"/>
      <c r="D28" s="44">
        <f>'Economic Forecasts'!Q$14</f>
        <v>1032</v>
      </c>
      <c r="E28" s="44">
        <f>'Economic Forecasts'!R$14</f>
        <v>1047</v>
      </c>
      <c r="F28" s="44">
        <f>'Economic Forecasts'!S$14</f>
        <v>1082</v>
      </c>
      <c r="G28" s="44">
        <f>'Economic Forecasts'!T$14</f>
        <v>1161</v>
      </c>
      <c r="H28" s="44">
        <f>'Economic Forecasts'!U$14</f>
        <v>1231</v>
      </c>
      <c r="I28" s="44">
        <f>'Economic Forecasts'!V$14</f>
        <v>1272</v>
      </c>
      <c r="J28" s="45">
        <f>'Economic Forecasts'!W$14</f>
        <v>1299.5999999999999</v>
      </c>
      <c r="K28" s="45">
        <f>'Economic Forecasts'!X$14</f>
        <v>1326.7</v>
      </c>
      <c r="L28" s="45">
        <f>'Economic Forecasts'!Y$14</f>
        <v>1352.9</v>
      </c>
      <c r="M28" s="45">
        <f>'Economic Forecasts'!Z$14</f>
        <v>1379.7</v>
      </c>
      <c r="N28" s="45">
        <f>'Economic Forecasts'!AA$14</f>
        <v>1407.3</v>
      </c>
      <c r="O28" s="46">
        <f t="shared" ref="O28:X28" ca="1" si="10">N$28*(1+O$29)</f>
        <v>1435.4459999999999</v>
      </c>
      <c r="P28" s="46">
        <f t="shared" ca="1" si="10"/>
        <v>1464.1549199999999</v>
      </c>
      <c r="Q28" s="46">
        <f t="shared" ca="1" si="10"/>
        <v>1493.4380183999999</v>
      </c>
      <c r="R28" s="46">
        <f t="shared" ca="1" si="10"/>
        <v>1523.306778768</v>
      </c>
      <c r="S28" s="46">
        <f t="shared" ca="1" si="10"/>
        <v>1553.7729143433601</v>
      </c>
      <c r="T28" s="46">
        <f t="shared" ca="1" si="10"/>
        <v>1584.8483726302272</v>
      </c>
      <c r="U28" s="46">
        <f t="shared" ca="1" si="10"/>
        <v>1616.5453400828319</v>
      </c>
      <c r="V28" s="46">
        <f t="shared" ca="1" si="10"/>
        <v>1648.8762468844886</v>
      </c>
      <c r="W28" s="46">
        <f t="shared" ca="1" si="10"/>
        <v>1681.8537718221785</v>
      </c>
      <c r="X28" s="46">
        <f t="shared" ca="1" si="10"/>
        <v>1715.4908472586221</v>
      </c>
    </row>
    <row r="29" spans="1:24" x14ac:dyDescent="0.25">
      <c r="A29" s="10" t="str">
        <f>$A$12</f>
        <v>Annual percentage growth</v>
      </c>
      <c r="B29" s="9"/>
      <c r="C29" s="13"/>
      <c r="D29" s="39"/>
      <c r="E29" s="36">
        <f>E$28/D$28-1</f>
        <v>1.4534883720930258E-2</v>
      </c>
      <c r="F29" s="36">
        <f t="shared" ref="F29:N29" si="11">F$28/E$28-1</f>
        <v>3.3428844317096473E-2</v>
      </c>
      <c r="G29" s="36">
        <f t="shared" si="11"/>
        <v>7.3012939001848354E-2</v>
      </c>
      <c r="H29" s="36">
        <f t="shared" si="11"/>
        <v>6.0292850990525393E-2</v>
      </c>
      <c r="I29" s="36">
        <f t="shared" si="11"/>
        <v>3.3306255077172997E-2</v>
      </c>
      <c r="J29" s="19">
        <f t="shared" si="11"/>
        <v>2.1698113207547109E-2</v>
      </c>
      <c r="K29" s="19">
        <f t="shared" si="11"/>
        <v>2.0852570021545169E-2</v>
      </c>
      <c r="L29" s="19">
        <f t="shared" si="11"/>
        <v>1.9748247531469199E-2</v>
      </c>
      <c r="M29" s="19">
        <f t="shared" si="11"/>
        <v>1.9809298543868703E-2</v>
      </c>
      <c r="N29" s="19">
        <f t="shared" si="11"/>
        <v>2.0004348771472058E-2</v>
      </c>
      <c r="O29" s="18">
        <f ca="1">N$29+MIN(ABS(OFFSET(Assumptions!$B$15,0,$C$1)-N$29),OFFSET(Assumptions!$B$21,0,$C$1))*SIGN(OFFSET(Assumptions!$B$15,0,$C$1)-N$29)</f>
        <v>0.02</v>
      </c>
      <c r="P29" s="18">
        <f ca="1">O$29+MIN(ABS(OFFSET(Assumptions!$B$15,0,$C$1)-O$29),OFFSET(Assumptions!$B$21,0,$C$1))*SIGN(OFFSET(Assumptions!$B$15,0,$C$1)-O$29)</f>
        <v>0.02</v>
      </c>
      <c r="Q29" s="18">
        <f ca="1">P$29+MIN(ABS(OFFSET(Assumptions!$B$15,0,$C$1)-P$29),OFFSET(Assumptions!$B$21,0,$C$1))*SIGN(OFFSET(Assumptions!$B$15,0,$C$1)-P$29)</f>
        <v>0.02</v>
      </c>
      <c r="R29" s="18">
        <f ca="1">Q$29+MIN(ABS(OFFSET(Assumptions!$B$15,0,$C$1)-Q$29),OFFSET(Assumptions!$B$21,0,$C$1))*SIGN(OFFSET(Assumptions!$B$15,0,$C$1)-Q$29)</f>
        <v>0.02</v>
      </c>
      <c r="S29" s="18">
        <f ca="1">R$29+MIN(ABS(OFFSET(Assumptions!$B$15,0,$C$1)-R$29),OFFSET(Assumptions!$B$21,0,$C$1))*SIGN(OFFSET(Assumptions!$B$15,0,$C$1)-R$29)</f>
        <v>0.02</v>
      </c>
      <c r="T29" s="18">
        <f ca="1">S$29+MIN(ABS(OFFSET(Assumptions!$B$15,0,$C$1)-S$29),OFFSET(Assumptions!$B$21,0,$C$1))*SIGN(OFFSET(Assumptions!$B$15,0,$C$1)-S$29)</f>
        <v>0.02</v>
      </c>
      <c r="U29" s="18">
        <f ca="1">T$29+MIN(ABS(OFFSET(Assumptions!$B$15,0,$C$1)-T$29),OFFSET(Assumptions!$B$21,0,$C$1))*SIGN(OFFSET(Assumptions!$B$15,0,$C$1)-T$29)</f>
        <v>0.02</v>
      </c>
      <c r="V29" s="18">
        <f ca="1">U$29+MIN(ABS(OFFSET(Assumptions!$B$15,0,$C$1)-U$29),OFFSET(Assumptions!$B$21,0,$C$1))*SIGN(OFFSET(Assumptions!$B$15,0,$C$1)-U$29)</f>
        <v>0.02</v>
      </c>
      <c r="W29" s="18">
        <f ca="1">V$29+MIN(ABS(OFFSET(Assumptions!$B$15,0,$C$1)-V$29),OFFSET(Assumptions!$B$21,0,$C$1))*SIGN(OFFSET(Assumptions!$B$15,0,$C$1)-V$29)</f>
        <v>0.02</v>
      </c>
      <c r="X29" s="18">
        <f ca="1">W$29+MIN(ABS(OFFSET(Assumptions!$B$15,0,$C$1)-W$29),OFFSET(Assumptions!$B$21,0,$C$1))*SIGN(OFFSET(Assumptions!$B$15,0,$C$1)-W$29)</f>
        <v>0.02</v>
      </c>
    </row>
    <row r="30" spans="1:24" x14ac:dyDescent="0.25">
      <c r="A30" s="9" t="s">
        <v>70</v>
      </c>
      <c r="B30" s="9"/>
      <c r="C30" s="13"/>
      <c r="D30" s="36">
        <f>'Economic Forecasts'!Q$16</f>
        <v>2.3099999999999999E-2</v>
      </c>
      <c r="E30" s="36">
        <f>'Economic Forecasts'!R$16</f>
        <v>1.18E-2</v>
      </c>
      <c r="F30" s="36">
        <f>'Economic Forecasts'!S$16</f>
        <v>1.1599999999999999E-2</v>
      </c>
      <c r="G30" s="36">
        <f>'Economic Forecasts'!T$16</f>
        <v>2.6499999999999999E-2</v>
      </c>
      <c r="H30" s="36">
        <f>'Economic Forecasts'!U$16</f>
        <v>4.1500000000000002E-2</v>
      </c>
      <c r="I30" s="36">
        <f>'Economic Forecasts'!V$16</f>
        <v>4.8499999999999995E-2</v>
      </c>
      <c r="J30" s="19">
        <f>'Economic Forecasts'!W$16</f>
        <v>4.4400000000000002E-2</v>
      </c>
      <c r="K30" s="19">
        <f>'Economic Forecasts'!X$16</f>
        <v>4.2999999999999997E-2</v>
      </c>
      <c r="L30" s="19">
        <f>'Economic Forecasts'!Y$16</f>
        <v>4.2900000000000001E-2</v>
      </c>
      <c r="M30" s="19">
        <f>'Economic Forecasts'!Z$16</f>
        <v>4.24E-2</v>
      </c>
      <c r="N30" s="19">
        <f>'Economic Forecasts'!AA$16</f>
        <v>4.2599999999999999E-2</v>
      </c>
      <c r="O30" s="18">
        <f ca="1">N$30+MIN(ABS(OFFSET(Assumptions!$B$16,0,$C$1)-N$30),OFFSET(Assumptions!$B$22,0,$C$1))*SIGN(OFFSET(Assumptions!$B$16,0,$C$1)-N$30)</f>
        <v>4.2999999999999997E-2</v>
      </c>
      <c r="P30" s="18">
        <f ca="1">O$30+MIN(ABS(OFFSET(Assumptions!$B$16,0,$C$1)-O$30),OFFSET(Assumptions!$B$22,0,$C$1))*SIGN(OFFSET(Assumptions!$B$16,0,$C$1)-O$30)</f>
        <v>4.2999999999999997E-2</v>
      </c>
      <c r="Q30" s="18">
        <f ca="1">P$30+MIN(ABS(OFFSET(Assumptions!$B$16,0,$C$1)-P$30),OFFSET(Assumptions!$B$22,0,$C$1))*SIGN(OFFSET(Assumptions!$B$16,0,$C$1)-P$30)</f>
        <v>4.2999999999999997E-2</v>
      </c>
      <c r="R30" s="18">
        <f ca="1">Q$30+MIN(ABS(OFFSET(Assumptions!$B$16,0,$C$1)-Q$30),OFFSET(Assumptions!$B$22,0,$C$1))*SIGN(OFFSET(Assumptions!$B$16,0,$C$1)-Q$30)</f>
        <v>4.2999999999999997E-2</v>
      </c>
      <c r="S30" s="18">
        <f ca="1">R$30+MIN(ABS(OFFSET(Assumptions!$B$16,0,$C$1)-R$30),OFFSET(Assumptions!$B$22,0,$C$1))*SIGN(OFFSET(Assumptions!$B$16,0,$C$1)-R$30)</f>
        <v>4.2999999999999997E-2</v>
      </c>
      <c r="T30" s="18">
        <f ca="1">S$30+MIN(ABS(OFFSET(Assumptions!$B$16,0,$C$1)-S$30),OFFSET(Assumptions!$B$22,0,$C$1))*SIGN(OFFSET(Assumptions!$B$16,0,$C$1)-S$30)</f>
        <v>4.2999999999999997E-2</v>
      </c>
      <c r="U30" s="18">
        <f ca="1">T$30+MIN(ABS(OFFSET(Assumptions!$B$16,0,$C$1)-T$30),OFFSET(Assumptions!$B$22,0,$C$1))*SIGN(OFFSET(Assumptions!$B$16,0,$C$1)-T$30)</f>
        <v>4.2999999999999997E-2</v>
      </c>
      <c r="V30" s="18">
        <f ca="1">U$30+MIN(ABS(OFFSET(Assumptions!$B$16,0,$C$1)-U$30),OFFSET(Assumptions!$B$22,0,$C$1))*SIGN(OFFSET(Assumptions!$B$16,0,$C$1)-U$30)</f>
        <v>4.2999999999999997E-2</v>
      </c>
      <c r="W30" s="18">
        <f ca="1">V$30+MIN(ABS(OFFSET(Assumptions!$B$16,0,$C$1)-V$30),OFFSET(Assumptions!$B$22,0,$C$1))*SIGN(OFFSET(Assumptions!$B$16,0,$C$1)-V$30)</f>
        <v>4.2999999999999997E-2</v>
      </c>
      <c r="X30" s="18">
        <f ca="1">W$30+MIN(ABS(OFFSET(Assumptions!$B$16,0,$C$1)-W$30),OFFSET(Assumptions!$B$22,0,$C$1))*SIGN(OFFSET(Assumptions!$B$16,0,$C$1)-W$30)</f>
        <v>4.2999999999999997E-2</v>
      </c>
    </row>
    <row r="31" spans="1:24" x14ac:dyDescent="0.25">
      <c r="A31" s="9"/>
      <c r="B31" s="9"/>
      <c r="C31" s="13"/>
      <c r="D31" s="36"/>
      <c r="E31" s="36"/>
      <c r="F31" s="36"/>
      <c r="G31" s="36"/>
      <c r="H31" s="36"/>
      <c r="I31" s="36"/>
      <c r="J31" s="19"/>
      <c r="K31" s="19"/>
      <c r="L31" s="19"/>
      <c r="M31" s="19"/>
      <c r="N31" s="18"/>
      <c r="O31" s="18"/>
      <c r="P31" s="18"/>
      <c r="Q31" s="18"/>
      <c r="R31" s="18"/>
      <c r="S31" s="18"/>
      <c r="T31" s="18"/>
      <c r="U31" s="18"/>
      <c r="V31" s="18"/>
      <c r="W31" s="18"/>
      <c r="X31" s="18"/>
    </row>
    <row r="32" spans="1:24" ht="16.5" x14ac:dyDescent="0.25">
      <c r="A32" s="41" t="s">
        <v>842</v>
      </c>
      <c r="B32" s="9"/>
      <c r="C32" s="13"/>
      <c r="D32" s="36"/>
      <c r="E32" s="36"/>
      <c r="F32" s="36"/>
      <c r="G32" s="36"/>
      <c r="H32" s="36"/>
      <c r="I32" s="36"/>
      <c r="J32" s="19"/>
      <c r="K32" s="19"/>
      <c r="L32" s="19"/>
      <c r="M32" s="19"/>
      <c r="N32" s="18"/>
      <c r="O32" s="18"/>
      <c r="P32" s="18"/>
      <c r="Q32" s="18"/>
      <c r="R32" s="18"/>
      <c r="S32" s="18"/>
      <c r="T32" s="18"/>
      <c r="U32" s="18"/>
      <c r="V32" s="18"/>
      <c r="W32" s="18"/>
      <c r="X32" s="18"/>
    </row>
    <row r="33" spans="1:24" x14ac:dyDescent="0.25">
      <c r="A33" s="12" t="s">
        <v>843</v>
      </c>
      <c r="B33" s="9"/>
      <c r="C33" s="13"/>
      <c r="D33" s="36"/>
      <c r="E33" s="36"/>
      <c r="F33" s="36"/>
      <c r="G33" s="36"/>
      <c r="H33" s="36"/>
      <c r="I33" s="36"/>
      <c r="J33" s="19"/>
      <c r="K33" s="19"/>
      <c r="L33" s="19"/>
      <c r="M33" s="19"/>
      <c r="N33" s="18"/>
      <c r="O33" s="18"/>
      <c r="P33" s="18"/>
      <c r="Q33" s="18"/>
      <c r="R33" s="18"/>
      <c r="S33" s="18"/>
      <c r="T33" s="18"/>
      <c r="U33" s="18"/>
      <c r="V33" s="18"/>
      <c r="W33" s="18"/>
      <c r="X33" s="18"/>
    </row>
    <row r="34" spans="1:24" x14ac:dyDescent="0.25">
      <c r="A34" s="9" t="s">
        <v>844</v>
      </c>
      <c r="B34" s="9"/>
      <c r="C34" s="13"/>
      <c r="D34" s="42">
        <f t="shared" ref="D34:X34" ca="1" si="12">SUM(D$140,D$150,D$155,D$165,D$173,D$179)</f>
        <v>119.142</v>
      </c>
      <c r="E34" s="42">
        <f t="shared" ca="1" si="12"/>
        <v>116.003</v>
      </c>
      <c r="F34" s="42">
        <f t="shared" ca="1" si="12"/>
        <v>129.33500000000001</v>
      </c>
      <c r="G34" s="42">
        <f t="shared" ca="1" si="12"/>
        <v>141.62700000000001</v>
      </c>
      <c r="H34" s="42">
        <f t="shared" ca="1" si="12"/>
        <v>153.011</v>
      </c>
      <c r="I34" s="42">
        <f t="shared" ca="1" si="12"/>
        <v>167.34699999999998</v>
      </c>
      <c r="J34" s="43">
        <f t="shared" ca="1" si="12"/>
        <v>169.65100000000001</v>
      </c>
      <c r="K34" s="43">
        <f t="shared" ca="1" si="12"/>
        <v>175.864</v>
      </c>
      <c r="L34" s="43">
        <f t="shared" ca="1" si="12"/>
        <v>184.02299999999997</v>
      </c>
      <c r="M34" s="43">
        <f t="shared" ca="1" si="12"/>
        <v>193.79</v>
      </c>
      <c r="N34" s="43">
        <f t="shared" ca="1" si="12"/>
        <v>203.01099999999997</v>
      </c>
      <c r="O34" s="47">
        <f t="shared" ca="1" si="12"/>
        <v>211.17920690259692</v>
      </c>
      <c r="P34" s="47">
        <f t="shared" ca="1" si="12"/>
        <v>219.86184176463124</v>
      </c>
      <c r="Q34" s="47">
        <f t="shared" ca="1" si="12"/>
        <v>228.82739556661315</v>
      </c>
      <c r="R34" s="47">
        <f t="shared" ca="1" si="12"/>
        <v>237.85179127235949</v>
      </c>
      <c r="S34" s="47">
        <f t="shared" ca="1" si="12"/>
        <v>247.11854101072922</v>
      </c>
      <c r="T34" s="47">
        <f t="shared" ca="1" si="12"/>
        <v>256.57139092455259</v>
      </c>
      <c r="U34" s="47">
        <f t="shared" ca="1" si="12"/>
        <v>266.20661124961805</v>
      </c>
      <c r="V34" s="47">
        <f t="shared" ca="1" si="12"/>
        <v>275.8348465170555</v>
      </c>
      <c r="W34" s="47">
        <f t="shared" ca="1" si="12"/>
        <v>285.35910341546219</v>
      </c>
      <c r="X34" s="47">
        <f t="shared" ca="1" si="12"/>
        <v>295.01516492302488</v>
      </c>
    </row>
    <row r="35" spans="1:24" x14ac:dyDescent="0.25">
      <c r="A35" s="9" t="s">
        <v>914</v>
      </c>
      <c r="B35" s="9"/>
      <c r="C35" s="13"/>
      <c r="D35" s="42">
        <f t="shared" ref="D35:X35" si="13">SUM(D$194,D$212,D$218,D$226,D$233,D$240,D$245,D$248)</f>
        <v>111.376</v>
      </c>
      <c r="E35" s="42">
        <f t="shared" si="13"/>
        <v>138.91599999999997</v>
      </c>
      <c r="F35" s="42">
        <f t="shared" si="13"/>
        <v>133.72200000000004</v>
      </c>
      <c r="G35" s="42">
        <f t="shared" si="13"/>
        <v>150.95599999999999</v>
      </c>
      <c r="H35" s="42">
        <f t="shared" si="13"/>
        <v>161.822</v>
      </c>
      <c r="I35" s="42">
        <f t="shared" si="13"/>
        <v>180.06100000000001</v>
      </c>
      <c r="J35" s="43">
        <f t="shared" ca="1" si="13"/>
        <v>184.11200000000002</v>
      </c>
      <c r="K35" s="43">
        <f t="shared" ca="1" si="13"/>
        <v>191.15800000000002</v>
      </c>
      <c r="L35" s="43">
        <f t="shared" ca="1" si="13"/>
        <v>195.333</v>
      </c>
      <c r="M35" s="43">
        <f t="shared" ca="1" si="13"/>
        <v>199.89400000000006</v>
      </c>
      <c r="N35" s="43">
        <f t="shared" ca="1" si="13"/>
        <v>205.57500000000002</v>
      </c>
      <c r="O35" s="47">
        <f t="shared" ca="1" si="13"/>
        <v>215.25642573408282</v>
      </c>
      <c r="P35" s="47">
        <f t="shared" ca="1" si="13"/>
        <v>224.40763484242933</v>
      </c>
      <c r="Q35" s="47">
        <f t="shared" ca="1" si="13"/>
        <v>233.99136887270217</v>
      </c>
      <c r="R35" s="47">
        <f t="shared" ca="1" si="13"/>
        <v>243.73100111225762</v>
      </c>
      <c r="S35" s="47">
        <f t="shared" ca="1" si="13"/>
        <v>253.55953102179336</v>
      </c>
      <c r="T35" s="47">
        <f t="shared" ca="1" si="13"/>
        <v>263.52622660622438</v>
      </c>
      <c r="U35" s="47">
        <f t="shared" ca="1" si="13"/>
        <v>273.55011582793861</v>
      </c>
      <c r="V35" s="47">
        <f t="shared" ca="1" si="13"/>
        <v>283.84573177034059</v>
      </c>
      <c r="W35" s="47">
        <f t="shared" ca="1" si="13"/>
        <v>294.34524204030998</v>
      </c>
      <c r="X35" s="47">
        <f t="shared" ca="1" si="13"/>
        <v>305.04409253277692</v>
      </c>
    </row>
    <row r="36" spans="1:24" x14ac:dyDescent="0.25">
      <c r="A36" s="11" t="s">
        <v>845</v>
      </c>
      <c r="B36" s="9"/>
      <c r="C36" s="13"/>
      <c r="D36" s="35">
        <f t="shared" ref="D36:X36" si="14">D$346</f>
        <v>-7.1309999999999993</v>
      </c>
      <c r="E36" s="35">
        <f t="shared" si="14"/>
        <v>-8.7219999999999995</v>
      </c>
      <c r="F36" s="35">
        <f t="shared" si="14"/>
        <v>21.023</v>
      </c>
      <c r="G36" s="35">
        <f t="shared" si="14"/>
        <v>-6.7219999999999995</v>
      </c>
      <c r="H36" s="35">
        <f t="shared" si="14"/>
        <v>14.658000000000001</v>
      </c>
      <c r="I36" s="35">
        <f t="shared" si="14"/>
        <v>4.6669999999999998</v>
      </c>
      <c r="J36" s="17">
        <f t="shared" si="14"/>
        <v>9.0810000000000013</v>
      </c>
      <c r="K36" s="17">
        <f t="shared" si="14"/>
        <v>5.6920000000000002</v>
      </c>
      <c r="L36" s="17">
        <f t="shared" si="14"/>
        <v>6.0170000000000003</v>
      </c>
      <c r="M36" s="17">
        <f t="shared" si="14"/>
        <v>6.4740000000000002</v>
      </c>
      <c r="N36" s="17">
        <f t="shared" si="14"/>
        <v>6.9139999999999997</v>
      </c>
      <c r="O36" s="16">
        <f t="shared" ca="1" si="14"/>
        <v>7.2847494645998649</v>
      </c>
      <c r="P36" s="16">
        <f t="shared" ca="1" si="14"/>
        <v>7.6939267867362133</v>
      </c>
      <c r="Q36" s="16">
        <f t="shared" ca="1" si="14"/>
        <v>8.1241988488925561</v>
      </c>
      <c r="R36" s="16">
        <f t="shared" ca="1" si="14"/>
        <v>8.5743334068974093</v>
      </c>
      <c r="S36" s="16">
        <f t="shared" ca="1" si="14"/>
        <v>9.0435037297867016</v>
      </c>
      <c r="T36" s="16">
        <f t="shared" ca="1" si="14"/>
        <v>9.5329538582273425</v>
      </c>
      <c r="U36" s="16">
        <f t="shared" ca="1" si="14"/>
        <v>10.043607348466466</v>
      </c>
      <c r="V36" s="16">
        <f t="shared" ca="1" si="14"/>
        <v>10.571049809250679</v>
      </c>
      <c r="W36" s="16">
        <f t="shared" ca="1" si="14"/>
        <v>11.114002484351417</v>
      </c>
      <c r="X36" s="16">
        <f t="shared" ca="1" si="14"/>
        <v>11.676614644841319</v>
      </c>
    </row>
    <row r="37" spans="1:24" x14ac:dyDescent="0.25">
      <c r="A37" s="11" t="s">
        <v>546</v>
      </c>
      <c r="B37" s="10"/>
      <c r="C37" s="13"/>
      <c r="D37" s="35">
        <f t="shared" ref="D37:X37" si="15">D$350</f>
        <v>0.20599999999999999</v>
      </c>
      <c r="E37" s="35">
        <f t="shared" si="15"/>
        <v>1.1930000000000001</v>
      </c>
      <c r="F37" s="35">
        <f t="shared" si="15"/>
        <v>-0.36</v>
      </c>
      <c r="G37" s="35">
        <f t="shared" si="15"/>
        <v>-0.126</v>
      </c>
      <c r="H37" s="35">
        <f t="shared" si="15"/>
        <v>2.9000000000000001E-2</v>
      </c>
      <c r="I37" s="35">
        <f t="shared" si="15"/>
        <v>0.12</v>
      </c>
      <c r="J37" s="17">
        <f t="shared" si="15"/>
        <v>0.192</v>
      </c>
      <c r="K37" s="17">
        <f t="shared" si="15"/>
        <v>7.0999999999999994E-2</v>
      </c>
      <c r="L37" s="17">
        <f t="shared" si="15"/>
        <v>0.114</v>
      </c>
      <c r="M37" s="17">
        <f t="shared" si="15"/>
        <v>0.14799999999999999</v>
      </c>
      <c r="N37" s="17">
        <f t="shared" si="15"/>
        <v>0.21099999999999999</v>
      </c>
      <c r="O37" s="16">
        <f t="shared" ca="1" si="15"/>
        <v>0.2201041317331203</v>
      </c>
      <c r="P37" s="16">
        <f t="shared" ca="1" si="15"/>
        <v>0.22949160784128603</v>
      </c>
      <c r="Q37" s="16">
        <f t="shared" ca="1" si="15"/>
        <v>0.2388994667248488</v>
      </c>
      <c r="R37" s="16">
        <f t="shared" ca="1" si="15"/>
        <v>0.24830649164418553</v>
      </c>
      <c r="S37" s="16">
        <f t="shared" ca="1" si="15"/>
        <v>0.25792093827418805</v>
      </c>
      <c r="T37" s="16">
        <f t="shared" ca="1" si="15"/>
        <v>0.26772813410967505</v>
      </c>
      <c r="U37" s="16">
        <f t="shared" ca="1" si="15"/>
        <v>0.27766608979821761</v>
      </c>
      <c r="V37" s="16">
        <f t="shared" ca="1" si="15"/>
        <v>0.28775346073287089</v>
      </c>
      <c r="W37" s="16">
        <f t="shared" ca="1" si="15"/>
        <v>0.2979898710936395</v>
      </c>
      <c r="X37" s="16">
        <f t="shared" ca="1" si="15"/>
        <v>0.30845245765170465</v>
      </c>
    </row>
    <row r="38" spans="1:24" x14ac:dyDescent="0.25">
      <c r="A38" s="11" t="s">
        <v>915</v>
      </c>
      <c r="B38" s="10" t="s">
        <v>846</v>
      </c>
      <c r="C38" s="13"/>
      <c r="D38" s="35">
        <f>'Fiscal Forecasts'!D$28</f>
        <v>0.45200000000000001</v>
      </c>
      <c r="E38" s="35">
        <f>'Fiscal Forecasts'!E$28</f>
        <v>-0.40200000000000002</v>
      </c>
      <c r="F38" s="35">
        <f>'Fiscal Forecasts'!F$28</f>
        <v>0.11700000000000001</v>
      </c>
      <c r="G38" s="35">
        <f>'Fiscal Forecasts'!G$28</f>
        <v>0.755</v>
      </c>
      <c r="H38" s="35">
        <f>'Fiscal Forecasts'!H$28</f>
        <v>0.55500000000000005</v>
      </c>
      <c r="I38" s="35">
        <f>'Fiscal Forecasts'!I$28</f>
        <v>0.438</v>
      </c>
      <c r="J38" s="17">
        <f>'Fiscal Forecasts'!J$28</f>
        <v>0.30499999999999999</v>
      </c>
      <c r="K38" s="17">
        <f>'Fiscal Forecasts'!K$28</f>
        <v>0.35299999999999998</v>
      </c>
      <c r="L38" s="17">
        <f>'Fiscal Forecasts'!L$28</f>
        <v>0.48599999999999999</v>
      </c>
      <c r="M38" s="17">
        <f>'Fiscal Forecasts'!M$28</f>
        <v>0.55700000000000005</v>
      </c>
      <c r="N38" s="17">
        <f>'Fiscal Forecasts'!N$28</f>
        <v>0.49</v>
      </c>
      <c r="O38" s="16">
        <f t="shared" ref="O38:X38" ca="1" si="16">N$38*O$59/N$59</f>
        <v>0.51811714493247085</v>
      </c>
      <c r="P38" s="16">
        <f t="shared" ca="1" si="16"/>
        <v>0.54005240882414562</v>
      </c>
      <c r="Q38" s="16">
        <f t="shared" ca="1" si="16"/>
        <v>0.56203530016669512</v>
      </c>
      <c r="R38" s="16">
        <f t="shared" ca="1" si="16"/>
        <v>0.58401624282515063</v>
      </c>
      <c r="S38" s="16">
        <f t="shared" ca="1" si="16"/>
        <v>0.60648185781809638</v>
      </c>
      <c r="T38" s="16">
        <f t="shared" ca="1" si="16"/>
        <v>0.62939786060841152</v>
      </c>
      <c r="U38" s="16">
        <f t="shared" ca="1" si="16"/>
        <v>0.6526194036579146</v>
      </c>
      <c r="V38" s="16">
        <f t="shared" ca="1" si="16"/>
        <v>0.67619007812624776</v>
      </c>
      <c r="W38" s="16">
        <f t="shared" ca="1" si="16"/>
        <v>0.70010900585290448</v>
      </c>
      <c r="X38" s="16">
        <f t="shared" ca="1" si="16"/>
        <v>0.72455642862088554</v>
      </c>
    </row>
    <row r="39" spans="1:24" x14ac:dyDescent="0.25">
      <c r="A39" s="9" t="s">
        <v>835</v>
      </c>
      <c r="B39" s="9"/>
      <c r="C39" s="13"/>
      <c r="D39" s="65">
        <f t="shared" ref="D39:X39" ca="1" si="17">SUM(D$34,D$36,D$37)-SUM(D$35,D$38)</f>
        <v>0.38899999999999579</v>
      </c>
      <c r="E39" s="65">
        <f t="shared" ca="1" si="17"/>
        <v>-30.039999999999978</v>
      </c>
      <c r="F39" s="65">
        <f t="shared" ca="1" si="17"/>
        <v>16.158999999999963</v>
      </c>
      <c r="G39" s="65">
        <f t="shared" ca="1" si="17"/>
        <v>-16.931999999999988</v>
      </c>
      <c r="H39" s="65">
        <f t="shared" ca="1" si="17"/>
        <v>5.3209999999999695</v>
      </c>
      <c r="I39" s="65">
        <f t="shared" ca="1" si="17"/>
        <v>-8.3650000000000091</v>
      </c>
      <c r="J39" s="66">
        <f t="shared" ca="1" si="17"/>
        <v>-5.4930000000000234</v>
      </c>
      <c r="K39" s="66">
        <f t="shared" ca="1" si="17"/>
        <v>-9.8840000000000146</v>
      </c>
      <c r="L39" s="66">
        <f t="shared" ca="1" si="17"/>
        <v>-5.6650000000000205</v>
      </c>
      <c r="M39" s="66">
        <f t="shared" ca="1" si="17"/>
        <v>-3.9000000000072532E-2</v>
      </c>
      <c r="N39" s="66">
        <f t="shared" ca="1" si="17"/>
        <v>4.0709999999999411</v>
      </c>
      <c r="O39" s="67">
        <f t="shared" ca="1" si="17"/>
        <v>2.9095176199145953</v>
      </c>
      <c r="P39" s="67">
        <f t="shared" ca="1" si="17"/>
        <v>2.8375729079552627</v>
      </c>
      <c r="Q39" s="67">
        <f t="shared" ca="1" si="17"/>
        <v>2.6370897093617032</v>
      </c>
      <c r="R39" s="67">
        <f t="shared" ca="1" si="17"/>
        <v>2.3594138158183</v>
      </c>
      <c r="S39" s="67">
        <f t="shared" ca="1" si="17"/>
        <v>2.2539527991786485</v>
      </c>
      <c r="T39" s="67">
        <f t="shared" ca="1" si="17"/>
        <v>2.2164484500568165</v>
      </c>
      <c r="U39" s="67">
        <f t="shared" ca="1" si="17"/>
        <v>2.3251494562862263</v>
      </c>
      <c r="V39" s="67">
        <f t="shared" ca="1" si="17"/>
        <v>2.1717279385721895</v>
      </c>
      <c r="W39" s="67">
        <f t="shared" ca="1" si="17"/>
        <v>1.725744724744402</v>
      </c>
      <c r="X39" s="67">
        <f t="shared" ca="1" si="17"/>
        <v>1.231583064120116</v>
      </c>
    </row>
    <row r="40" spans="1:24" x14ac:dyDescent="0.25">
      <c r="A40" s="11" t="s">
        <v>551</v>
      </c>
      <c r="B40" s="10" t="str">
        <f>$B$38</f>
        <v>From Fiscal Forecasts</v>
      </c>
      <c r="C40" s="13"/>
      <c r="D40" s="35">
        <f>'Fiscal Forecasts'!D$32</f>
        <v>0.115</v>
      </c>
      <c r="E40" s="35">
        <f>'Fiscal Forecasts'!E$32</f>
        <v>-0.54600000000000004</v>
      </c>
      <c r="F40" s="35">
        <f>'Fiscal Forecasts'!F$32</f>
        <v>-5.6000000000000001E-2</v>
      </c>
      <c r="G40" s="35">
        <f>'Fiscal Forecasts'!G$32</f>
        <v>0.39300000000000002</v>
      </c>
      <c r="H40" s="35">
        <f>'Fiscal Forecasts'!H$32</f>
        <v>-0.08</v>
      </c>
      <c r="I40" s="35">
        <f>'Fiscal Forecasts'!I$32</f>
        <v>0.29799999999999999</v>
      </c>
      <c r="J40" s="17">
        <f>'Fiscal Forecasts'!J$32</f>
        <v>2.5999999999999999E-2</v>
      </c>
      <c r="K40" s="17">
        <f>'Fiscal Forecasts'!K$32</f>
        <v>4.4999999999999998E-2</v>
      </c>
      <c r="L40" s="17">
        <f>'Fiscal Forecasts'!L$32</f>
        <v>4.1000000000000002E-2</v>
      </c>
      <c r="M40" s="17">
        <f>'Fiscal Forecasts'!M$32</f>
        <v>4.2000000000000003E-2</v>
      </c>
      <c r="N40" s="17">
        <f>'Fiscal Forecasts'!N$32</f>
        <v>4.3999999999999997E-2</v>
      </c>
      <c r="O40" s="16">
        <f ca="1">IF(O$6=OFFSET(Assumptions!$B$8,0,$C$1),AVERAGE(L$40/L$38,M$40/M$38,N$40/N$38),N$40/N$38)*O$38</f>
        <v>4.3100785025576988E-2</v>
      </c>
      <c r="P40" s="16">
        <f ca="1">IF(P$6=OFFSET(Assumptions!$B$8,0,$C$1),AVERAGE(M$40/M$38,N$40/N$38,O$40/O$38),O$40/O$38)*P$38</f>
        <v>4.4925521193297513E-2</v>
      </c>
      <c r="Q40" s="16">
        <f ca="1">IF(Q$6=OFFSET(Assumptions!$B$8,0,$C$1),AVERAGE(N$40/N$38,O$40/O$38,P$40/P$38),P$40/P$38)*Q$38</f>
        <v>4.6754219361777025E-2</v>
      </c>
      <c r="R40" s="16">
        <f ca="1">IF(R$6=OFFSET(Assumptions!$B$8,0,$C$1),AVERAGE(O$40/O$38,P$40/P$38,Q$40/Q$38),Q$40/Q$38)*R$38</f>
        <v>4.8582755424418041E-2</v>
      </c>
      <c r="S40" s="16">
        <f ca="1">IF(S$6=OFFSET(Assumptions!$B$8,0,$C$1),AVERAGE(P$40/P$38,Q$40/Q$38,R$40/R$38),R$40/R$38)*S$38</f>
        <v>5.0451610087400747E-2</v>
      </c>
      <c r="T40" s="16">
        <f ca="1">IF(T$6=OFFSET(Assumptions!$B$8,0,$C$1),AVERAGE(Q$40/Q$38,R$40/R$38,S$40/S$38),S$40/S$38)*T$38</f>
        <v>5.2357931311415883E-2</v>
      </c>
      <c r="U40" s="16">
        <f ca="1">IF(U$6=OFFSET(Assumptions!$B$8,0,$C$1),AVERAGE(R$40/R$38,S$40/S$38,T$40/T$38),T$40/T$38)*U$38</f>
        <v>5.4289669615635215E-2</v>
      </c>
      <c r="V40" s="16">
        <f ca="1">IF(V$6=OFFSET(Assumptions!$B$8,0,$C$1),AVERAGE(S$40/S$38,T$40/T$38,U$40/U$38),U$40/U$38)*V$38</f>
        <v>5.625045123250276E-2</v>
      </c>
      <c r="W40" s="16">
        <f ca="1">IF(W$6=OFFSET(Assumptions!$B$8,0,$C$1),AVERAGE(T$40/T$38,U$40/U$38,V$40/V$38),V$40/V$38)*W$38</f>
        <v>5.8240203110185379E-2</v>
      </c>
      <c r="X40" s="16">
        <f ca="1">IF(X$6=OFFSET(Assumptions!$B$8,0,$C$1),AVERAGE(U$40/U$38,V$40/V$38,W$40/W$38),W$40/W$38)*X$38</f>
        <v>6.0273919082447759E-2</v>
      </c>
    </row>
    <row r="41" spans="1:24" x14ac:dyDescent="0.25">
      <c r="A41" s="9" t="s">
        <v>922</v>
      </c>
      <c r="B41" s="9"/>
      <c r="C41" s="13"/>
      <c r="D41" s="65">
        <f t="shared" ref="D41:X41" ca="1" si="18">D$34-D$35-(D$38-D$40)</f>
        <v>7.4289999999999914</v>
      </c>
      <c r="E41" s="65">
        <f t="shared" ca="1" si="18"/>
        <v>-23.056999999999967</v>
      </c>
      <c r="F41" s="65">
        <f t="shared" ca="1" si="18"/>
        <v>-4.5600000000000289</v>
      </c>
      <c r="G41" s="65">
        <f t="shared" ca="1" si="18"/>
        <v>-9.6909999999999794</v>
      </c>
      <c r="H41" s="65">
        <f t="shared" ca="1" si="18"/>
        <v>-9.4460000000000068</v>
      </c>
      <c r="I41" s="65">
        <f t="shared" ca="1" si="18"/>
        <v>-12.854000000000028</v>
      </c>
      <c r="J41" s="66">
        <f t="shared" ca="1" si="18"/>
        <v>-14.740000000000013</v>
      </c>
      <c r="K41" s="66">
        <f t="shared" ca="1" si="18"/>
        <v>-15.602000000000011</v>
      </c>
      <c r="L41" s="66">
        <f t="shared" ca="1" si="18"/>
        <v>-11.755000000000031</v>
      </c>
      <c r="M41" s="66">
        <f t="shared" ca="1" si="18"/>
        <v>-6.6190000000000699</v>
      </c>
      <c r="N41" s="66">
        <f t="shared" ca="1" si="18"/>
        <v>-3.01000000000005</v>
      </c>
      <c r="O41" s="67">
        <f t="shared" ca="1" si="18"/>
        <v>-4.5522351913928016</v>
      </c>
      <c r="P41" s="67">
        <f t="shared" ca="1" si="18"/>
        <v>-5.0409199654289427</v>
      </c>
      <c r="Q41" s="67">
        <f t="shared" ca="1" si="18"/>
        <v>-5.6792543868939376</v>
      </c>
      <c r="R41" s="67">
        <f t="shared" ca="1" si="18"/>
        <v>-6.4146433272988563</v>
      </c>
      <c r="S41" s="67">
        <f t="shared" ca="1" si="18"/>
        <v>-6.9970202587948398</v>
      </c>
      <c r="T41" s="67">
        <f t="shared" ca="1" si="18"/>
        <v>-7.5318756109687914</v>
      </c>
      <c r="U41" s="67">
        <f t="shared" ca="1" si="18"/>
        <v>-7.9418343123628414</v>
      </c>
      <c r="V41" s="67">
        <f t="shared" ca="1" si="18"/>
        <v>-8.6308248801788405</v>
      </c>
      <c r="W41" s="67">
        <f t="shared" ca="1" si="18"/>
        <v>-9.6280074275905161</v>
      </c>
      <c r="X41" s="67">
        <f t="shared" ca="1" si="18"/>
        <v>-10.69321011929047</v>
      </c>
    </row>
    <row r="42" spans="1:24" x14ac:dyDescent="0.25">
      <c r="A42" s="55" t="s">
        <v>916</v>
      </c>
      <c r="B42" s="10" t="s">
        <v>1047</v>
      </c>
      <c r="C42" s="13"/>
      <c r="D42" s="91" t="str">
        <f ca="1">IF(ROUND('Fiscal Forecasts'!D$33-D$41,3)=0,"OK","ERROR")</f>
        <v>OK</v>
      </c>
      <c r="E42" s="91" t="str">
        <f ca="1">IF(ROUND('Fiscal Forecasts'!E$33-E$41,3)=0,"OK","ERROR")</f>
        <v>OK</v>
      </c>
      <c r="F42" s="91" t="str">
        <f ca="1">IF(ROUND('Fiscal Forecasts'!F$33-F$41,3)=0,"OK","ERROR")</f>
        <v>OK</v>
      </c>
      <c r="G42" s="91" t="str">
        <f ca="1">IF(ROUND('Fiscal Forecasts'!G$33-G$41,3)=0,"OK","ERROR")</f>
        <v>OK</v>
      </c>
      <c r="H42" s="91" t="str">
        <f ca="1">IF(ROUND('Fiscal Forecasts'!H$33-H$41,3)=0,"OK","ERROR")</f>
        <v>OK</v>
      </c>
      <c r="I42" s="91" t="str">
        <f ca="1">IF(ROUND('Fiscal Forecasts'!I$33-I$41,3)=0,"OK","ERROR")</f>
        <v>OK</v>
      </c>
      <c r="J42" s="91" t="str">
        <f ca="1">IF(ROUND('Fiscal Forecasts'!J$33-J$41,3)=0,"OK","ERROR")</f>
        <v>OK</v>
      </c>
      <c r="K42" s="91" t="str">
        <f ca="1">IF(ROUND('Fiscal Forecasts'!K$33-K$41,3)=0,"OK","ERROR")</f>
        <v>OK</v>
      </c>
      <c r="L42" s="91" t="str">
        <f ca="1">IF(ROUND('Fiscal Forecasts'!L$33-L$41,3)=0,"OK","ERROR")</f>
        <v>OK</v>
      </c>
      <c r="M42" s="91" t="str">
        <f ca="1">IF(ROUND('Fiscal Forecasts'!M$33-M$41,3)=0,"OK","ERROR")</f>
        <v>OK</v>
      </c>
      <c r="N42" s="91" t="str">
        <f ca="1">IF(ROUND('Fiscal Forecasts'!N$33-N$41,3)=0,"OK","ERROR")</f>
        <v>OK</v>
      </c>
      <c r="O42" s="18"/>
      <c r="P42" s="18"/>
      <c r="Q42" s="18"/>
      <c r="R42" s="18"/>
      <c r="S42" s="18"/>
      <c r="T42" s="18"/>
      <c r="U42" s="18"/>
      <c r="V42" s="18"/>
      <c r="W42" s="18"/>
      <c r="X42" s="18"/>
    </row>
    <row r="43" spans="1:24" x14ac:dyDescent="0.25">
      <c r="A43" s="11" t="s">
        <v>1236</v>
      </c>
      <c r="B43" s="10" t="str">
        <f>$B$38</f>
        <v>From Fiscal Forecasts</v>
      </c>
      <c r="C43" s="13"/>
      <c r="D43" s="35">
        <f>'Fiscal Forecasts'!D$35</f>
        <v>5.827</v>
      </c>
      <c r="E43" s="35">
        <f>'Fiscal Forecasts'!E$35</f>
        <v>5.73</v>
      </c>
      <c r="F43" s="35">
        <f>'Fiscal Forecasts'!F$35</f>
        <v>6.1950000000000003</v>
      </c>
      <c r="G43" s="35">
        <f>'Fiscal Forecasts'!G$35</f>
        <v>6.625</v>
      </c>
      <c r="H43" s="35">
        <f>'Fiscal Forecasts'!H$35</f>
        <v>7.39</v>
      </c>
      <c r="I43" s="35">
        <f>'Fiscal Forecasts'!I$35</f>
        <v>7.9290000000000003</v>
      </c>
      <c r="J43" s="17">
        <f>'Fiscal Forecasts'!J$35</f>
        <v>8.5640000000000001</v>
      </c>
      <c r="K43" s="17">
        <f>'Fiscal Forecasts'!K$35</f>
        <v>9.0779999999999994</v>
      </c>
      <c r="L43" s="17">
        <f>'Fiscal Forecasts'!L$35</f>
        <v>9.76</v>
      </c>
      <c r="M43" s="17">
        <f>'Fiscal Forecasts'!M$35</f>
        <v>10.48</v>
      </c>
      <c r="N43" s="17">
        <f>'Fiscal Forecasts'!N$35</f>
        <v>11.268000000000001</v>
      </c>
      <c r="O43" s="16">
        <f>O$148+(N$43-N$148)*(1+Exogenous!Z$29/Exogenous!Y$30)</f>
        <v>12.079439766907566</v>
      </c>
      <c r="P43" s="16">
        <f>P$148+(O$43-O$148)*(1+Exogenous!AA$29/Exogenous!Z$30)</f>
        <v>12.946989239229504</v>
      </c>
      <c r="Q43" s="16">
        <f>Q$148+(P$43-P$148)*(1+Exogenous!AB$29/Exogenous!AA$30)</f>
        <v>13.922100932853603</v>
      </c>
      <c r="R43" s="16">
        <f>R$148+(Q$43-Q$148)*(1+Exogenous!AC$29/Exogenous!AB$30)</f>
        <v>14.959085505266426</v>
      </c>
      <c r="S43" s="16">
        <f>S$148+(R$43-R$148)*(1+Exogenous!AD$29/Exogenous!AC$30)</f>
        <v>16.086716885741083</v>
      </c>
      <c r="T43" s="16">
        <f>T$148+(S$43-S$148)*(1+Exogenous!AE$29/Exogenous!AD$30)</f>
        <v>17.277595530225824</v>
      </c>
      <c r="U43" s="16">
        <f>U$148+(T$43-T$148)*(1+Exogenous!AF$29/Exogenous!AE$30)</f>
        <v>18.56750333007993</v>
      </c>
      <c r="V43" s="16">
        <f>V$148+(U$43-U$148)*(1+Exogenous!AG$29/Exogenous!AF$30)</f>
        <v>19.751970130083862</v>
      </c>
      <c r="W43" s="16">
        <f>W$148+(V$43-V$148)*(1+Exogenous!AH$29/Exogenous!AG$30)</f>
        <v>20.736391036530534</v>
      </c>
      <c r="X43" s="16">
        <f>X$148+(W$43-W$148)*(1+Exogenous!AI$29/Exogenous!AH$30)</f>
        <v>21.688573679744984</v>
      </c>
    </row>
    <row r="44" spans="1:24" x14ac:dyDescent="0.25">
      <c r="A44" s="11" t="s">
        <v>1237</v>
      </c>
      <c r="B44" s="10" t="str">
        <f>$B$38</f>
        <v>From Fiscal Forecasts</v>
      </c>
      <c r="C44" s="13"/>
      <c r="D44" s="35">
        <f>'Fiscal Forecasts'!D$36</f>
        <v>6.9020000000000001</v>
      </c>
      <c r="E44" s="35">
        <f>'Fiscal Forecasts'!E$36</f>
        <v>7.8849999999999998</v>
      </c>
      <c r="F44" s="35">
        <f>'Fiscal Forecasts'!F$36</f>
        <v>8.1959999999999997</v>
      </c>
      <c r="G44" s="35">
        <f>'Fiscal Forecasts'!G$36</f>
        <v>7.6520000000000001</v>
      </c>
      <c r="H44" s="35">
        <f>'Fiscal Forecasts'!H$36</f>
        <v>9.6370000000000005</v>
      </c>
      <c r="I44" s="35">
        <f>'Fiscal Forecasts'!I$36</f>
        <v>12.01</v>
      </c>
      <c r="J44" s="17">
        <f>'Fiscal Forecasts'!J$36</f>
        <v>13.129</v>
      </c>
      <c r="K44" s="17">
        <f>'Fiscal Forecasts'!K$36</f>
        <v>12.605</v>
      </c>
      <c r="L44" s="17">
        <f>'Fiscal Forecasts'!L$36</f>
        <v>13.37</v>
      </c>
      <c r="M44" s="17">
        <f>'Fiscal Forecasts'!M$36</f>
        <v>14.006</v>
      </c>
      <c r="N44" s="17">
        <f>'Fiscal Forecasts'!N$36</f>
        <v>14.492000000000001</v>
      </c>
      <c r="O44" s="16">
        <f ca="1">O$241+(N$44-N$241)*(1+O$19)*(1+O$29)</f>
        <v>15.266117512088403</v>
      </c>
      <c r="P44" s="16">
        <f t="shared" ref="P44:X44" ca="1" si="19">P$241+(O$44-O$241)*(1+P$19)*(1+P$29)</f>
        <v>16.080835552040309</v>
      </c>
      <c r="Q44" s="16">
        <f t="shared" ca="1" si="19"/>
        <v>16.913797905686849</v>
      </c>
      <c r="R44" s="16">
        <f t="shared" ca="1" si="19"/>
        <v>17.749548086373334</v>
      </c>
      <c r="S44" s="16">
        <f t="shared" ca="1" si="19"/>
        <v>18.596885910592594</v>
      </c>
      <c r="T44" s="16">
        <f t="shared" ca="1" si="19"/>
        <v>19.429849265958147</v>
      </c>
      <c r="U44" s="16">
        <f t="shared" ca="1" si="19"/>
        <v>20.312352850006395</v>
      </c>
      <c r="V44" s="16">
        <f t="shared" ca="1" si="19"/>
        <v>21.202186489496263</v>
      </c>
      <c r="W44" s="16">
        <f t="shared" ca="1" si="19"/>
        <v>22.120774395475699</v>
      </c>
      <c r="X44" s="16">
        <f t="shared" ca="1" si="19"/>
        <v>23.078792530685739</v>
      </c>
    </row>
    <row r="45" spans="1:24" x14ac:dyDescent="0.25">
      <c r="A45" s="9" t="s">
        <v>1238</v>
      </c>
      <c r="B45" s="10"/>
      <c r="C45" s="13"/>
      <c r="D45" s="65">
        <f t="shared" ref="D45:X45" ca="1" si="20">D$41-(D$43-D$44)</f>
        <v>8.5039999999999907</v>
      </c>
      <c r="E45" s="65">
        <f t="shared" ca="1" si="20"/>
        <v>-20.901999999999965</v>
      </c>
      <c r="F45" s="65">
        <f t="shared" ca="1" si="20"/>
        <v>-2.5590000000000295</v>
      </c>
      <c r="G45" s="65">
        <f t="shared" ca="1" si="20"/>
        <v>-8.6639999999999802</v>
      </c>
      <c r="H45" s="65">
        <f t="shared" ca="1" si="20"/>
        <v>-7.1990000000000061</v>
      </c>
      <c r="I45" s="65">
        <f t="shared" ca="1" si="20"/>
        <v>-8.7730000000000281</v>
      </c>
      <c r="J45" s="66">
        <f t="shared" ca="1" si="20"/>
        <v>-10.175000000000013</v>
      </c>
      <c r="K45" s="66">
        <f t="shared" ca="1" si="20"/>
        <v>-12.07500000000001</v>
      </c>
      <c r="L45" s="66">
        <f t="shared" ca="1" si="20"/>
        <v>-8.1450000000000315</v>
      </c>
      <c r="M45" s="66">
        <f t="shared" ca="1" si="20"/>
        <v>-3.0930000000000701</v>
      </c>
      <c r="N45" s="66">
        <f t="shared" ca="1" si="20"/>
        <v>0.21399999999995023</v>
      </c>
      <c r="O45" s="67">
        <f t="shared" ca="1" si="20"/>
        <v>-1.3655574462119642</v>
      </c>
      <c r="P45" s="67">
        <f t="shared" ca="1" si="20"/>
        <v>-1.9070736526181378</v>
      </c>
      <c r="Q45" s="67">
        <f t="shared" ca="1" si="20"/>
        <v>-2.6875574140606915</v>
      </c>
      <c r="R45" s="67">
        <f t="shared" ca="1" si="20"/>
        <v>-3.6241807461919482</v>
      </c>
      <c r="S45" s="67">
        <f t="shared" ca="1" si="20"/>
        <v>-4.4868512339433293</v>
      </c>
      <c r="T45" s="67">
        <f t="shared" ca="1" si="20"/>
        <v>-5.3796218752364684</v>
      </c>
      <c r="U45" s="67">
        <f t="shared" ca="1" si="20"/>
        <v>-6.1969847924363766</v>
      </c>
      <c r="V45" s="67">
        <f t="shared" ca="1" si="20"/>
        <v>-7.1806085207664392</v>
      </c>
      <c r="W45" s="67">
        <f t="shared" ca="1" si="20"/>
        <v>-8.2436240686453512</v>
      </c>
      <c r="X45" s="67">
        <f t="shared" ca="1" si="20"/>
        <v>-9.3029912683497145</v>
      </c>
    </row>
    <row r="46" spans="1:24" x14ac:dyDescent="0.25">
      <c r="A46" s="55" t="s">
        <v>917</v>
      </c>
      <c r="B46" s="9"/>
      <c r="C46" s="13"/>
      <c r="D46" s="91" t="str">
        <f t="shared" ref="D46:X46" si="21">IF(ROUND(D$35-SUM(D$200,D$233,D$245,D$248,D$252,D$264,D$277,D$285,D$289,D$296,D$303,D$307,D$311,D$315,D$319,D$325,D$329),3)=0,"OK","ERROR")</f>
        <v>OK</v>
      </c>
      <c r="E46" s="91" t="str">
        <f t="shared" si="21"/>
        <v>OK</v>
      </c>
      <c r="F46" s="91" t="str">
        <f t="shared" si="21"/>
        <v>OK</v>
      </c>
      <c r="G46" s="91" t="str">
        <f t="shared" si="21"/>
        <v>OK</v>
      </c>
      <c r="H46" s="91" t="str">
        <f t="shared" si="21"/>
        <v>OK</v>
      </c>
      <c r="I46" s="91" t="str">
        <f t="shared" si="21"/>
        <v>OK</v>
      </c>
      <c r="J46" s="91" t="str">
        <f t="shared" ca="1" si="21"/>
        <v>OK</v>
      </c>
      <c r="K46" s="91" t="str">
        <f t="shared" ca="1" si="21"/>
        <v>OK</v>
      </c>
      <c r="L46" s="91" t="str">
        <f t="shared" ca="1" si="21"/>
        <v>OK</v>
      </c>
      <c r="M46" s="91" t="str">
        <f t="shared" ca="1" si="21"/>
        <v>OK</v>
      </c>
      <c r="N46" s="91" t="str">
        <f t="shared" ca="1" si="21"/>
        <v>OK</v>
      </c>
      <c r="O46" s="91" t="str">
        <f t="shared" ca="1" si="21"/>
        <v>OK</v>
      </c>
      <c r="P46" s="91" t="str">
        <f t="shared" ca="1" si="21"/>
        <v>OK</v>
      </c>
      <c r="Q46" s="91" t="str">
        <f t="shared" ca="1" si="21"/>
        <v>OK</v>
      </c>
      <c r="R46" s="91" t="str">
        <f t="shared" ca="1" si="21"/>
        <v>OK</v>
      </c>
      <c r="S46" s="91" t="str">
        <f t="shared" ca="1" si="21"/>
        <v>OK</v>
      </c>
      <c r="T46" s="91" t="str">
        <f t="shared" ca="1" si="21"/>
        <v>OK</v>
      </c>
      <c r="U46" s="91" t="str">
        <f t="shared" ca="1" si="21"/>
        <v>OK</v>
      </c>
      <c r="V46" s="91" t="str">
        <f t="shared" ca="1" si="21"/>
        <v>OK</v>
      </c>
      <c r="W46" s="91" t="str">
        <f t="shared" ca="1" si="21"/>
        <v>OK</v>
      </c>
      <c r="X46" s="91" t="str">
        <f t="shared" ca="1" si="21"/>
        <v>OK</v>
      </c>
    </row>
    <row r="47" spans="1:24" x14ac:dyDescent="0.25">
      <c r="A47" s="9" t="s">
        <v>918</v>
      </c>
      <c r="B47" s="9"/>
      <c r="C47" s="13"/>
      <c r="D47" s="42">
        <f t="shared" ref="D47:X47" ca="1" si="22">SUM(D$142,D$147,D$154,D$161,D$170,D$178)</f>
        <v>93.474000000000004</v>
      </c>
      <c r="E47" s="42">
        <f t="shared" ca="1" si="22"/>
        <v>91.923000000000002</v>
      </c>
      <c r="F47" s="42">
        <f t="shared" ca="1" si="22"/>
        <v>104.968</v>
      </c>
      <c r="G47" s="42">
        <f t="shared" ca="1" si="22"/>
        <v>117.515</v>
      </c>
      <c r="H47" s="42">
        <f t="shared" ca="1" si="22"/>
        <v>123.398</v>
      </c>
      <c r="I47" s="42">
        <f t="shared" ca="1" si="22"/>
        <v>133.22</v>
      </c>
      <c r="J47" s="43">
        <f t="shared" ca="1" si="22"/>
        <v>134.18799999999999</v>
      </c>
      <c r="K47" s="43">
        <f t="shared" ca="1" si="22"/>
        <v>139.726</v>
      </c>
      <c r="L47" s="43">
        <f t="shared" ca="1" si="22"/>
        <v>146.42300000000003</v>
      </c>
      <c r="M47" s="43">
        <f t="shared" ca="1" si="22"/>
        <v>154.37099999999998</v>
      </c>
      <c r="N47" s="43">
        <f t="shared" ca="1" si="22"/>
        <v>162.505</v>
      </c>
      <c r="O47" s="47">
        <f t="shared" ca="1" si="22"/>
        <v>168.58762263816709</v>
      </c>
      <c r="P47" s="47">
        <f t="shared" ca="1" si="22"/>
        <v>175.31431810391663</v>
      </c>
      <c r="Q47" s="47">
        <f t="shared" ca="1" si="22"/>
        <v>182.23789608391752</v>
      </c>
      <c r="R47" s="47">
        <f t="shared" ca="1" si="22"/>
        <v>189.18073595333851</v>
      </c>
      <c r="S47" s="47">
        <f t="shared" ca="1" si="22"/>
        <v>196.26680555539977</v>
      </c>
      <c r="T47" s="47">
        <f t="shared" ca="1" si="22"/>
        <v>203.47873585415908</v>
      </c>
      <c r="U47" s="47">
        <f t="shared" ca="1" si="22"/>
        <v>210.7819107258903</v>
      </c>
      <c r="V47" s="47">
        <f t="shared" ca="1" si="22"/>
        <v>218.19013585372778</v>
      </c>
      <c r="W47" s="47">
        <f t="shared" ca="1" si="22"/>
        <v>225.70225035567739</v>
      </c>
      <c r="X47" s="47">
        <f t="shared" ca="1" si="22"/>
        <v>233.37442457734994</v>
      </c>
    </row>
    <row r="48" spans="1:24" x14ac:dyDescent="0.25">
      <c r="A48" s="9" t="s">
        <v>919</v>
      </c>
      <c r="B48" s="9"/>
      <c r="C48" s="13"/>
      <c r="D48" s="42">
        <f t="shared" ref="D48:X48" si="23">SUM(D$195,D$208,D$215,D$222,D$229,D$237,D$245,D$248)</f>
        <v>86.959000000000003</v>
      </c>
      <c r="E48" s="42">
        <f t="shared" si="23"/>
        <v>108.83199999999999</v>
      </c>
      <c r="F48" s="42">
        <f t="shared" si="23"/>
        <v>107.76500000000001</v>
      </c>
      <c r="G48" s="42">
        <f t="shared" si="23"/>
        <v>125.64100000000001</v>
      </c>
      <c r="H48" s="42">
        <f t="shared" si="23"/>
        <v>127.57400000000001</v>
      </c>
      <c r="I48" s="42">
        <f t="shared" si="23"/>
        <v>139.00000000000003</v>
      </c>
      <c r="J48" s="43">
        <f t="shared" ca="1" si="23"/>
        <v>142.208</v>
      </c>
      <c r="K48" s="43">
        <f t="shared" ca="1" si="23"/>
        <v>150.34899999999999</v>
      </c>
      <c r="L48" s="43">
        <f t="shared" ca="1" si="23"/>
        <v>153.142</v>
      </c>
      <c r="M48" s="43">
        <f t="shared" ca="1" si="23"/>
        <v>156.82700000000003</v>
      </c>
      <c r="N48" s="43">
        <f t="shared" ca="1" si="23"/>
        <v>161.95899999999997</v>
      </c>
      <c r="O48" s="47">
        <f t="shared" ca="1" si="23"/>
        <v>169.78881080977982</v>
      </c>
      <c r="P48" s="47">
        <f t="shared" ca="1" si="23"/>
        <v>177.38260949753098</v>
      </c>
      <c r="Q48" s="47">
        <f t="shared" ca="1" si="23"/>
        <v>185.45563834522892</v>
      </c>
      <c r="R48" s="47">
        <f t="shared" ca="1" si="23"/>
        <v>193.72348887684959</v>
      </c>
      <c r="S48" s="47">
        <f t="shared" ca="1" si="23"/>
        <v>202.11072376943932</v>
      </c>
      <c r="T48" s="47">
        <f t="shared" ca="1" si="23"/>
        <v>210.71363489184188</v>
      </c>
      <c r="U48" s="47">
        <f t="shared" ca="1" si="23"/>
        <v>219.36724005974713</v>
      </c>
      <c r="V48" s="47">
        <f t="shared" ca="1" si="23"/>
        <v>228.15739547101751</v>
      </c>
      <c r="W48" s="47">
        <f t="shared" ca="1" si="23"/>
        <v>237.08232322853334</v>
      </c>
      <c r="X48" s="47">
        <f t="shared" ca="1" si="23"/>
        <v>246.18763231419666</v>
      </c>
    </row>
    <row r="49" spans="1:24" x14ac:dyDescent="0.25">
      <c r="A49" s="9" t="s">
        <v>669</v>
      </c>
      <c r="B49" s="9"/>
      <c r="C49" s="13"/>
      <c r="D49" s="42">
        <f t="shared" ref="D49:X49" ca="1" si="24">SUM(D$47,-D$48,D$342,D$349)</f>
        <v>9.7070000000000007</v>
      </c>
      <c r="E49" s="42">
        <f t="shared" ca="1" si="24"/>
        <v>-20.882999999999992</v>
      </c>
      <c r="F49" s="42">
        <f t="shared" ca="1" si="24"/>
        <v>4.7029999999999887</v>
      </c>
      <c r="G49" s="42">
        <f t="shared" ca="1" si="24"/>
        <v>-19.532000000000004</v>
      </c>
      <c r="H49" s="42">
        <f t="shared" ca="1" si="24"/>
        <v>8.2929999999999833</v>
      </c>
      <c r="I49" s="42">
        <f t="shared" ca="1" si="24"/>
        <v>2.1039999999999708</v>
      </c>
      <c r="J49" s="43">
        <f t="shared" ca="1" si="24"/>
        <v>-0.77400000000000979</v>
      </c>
      <c r="K49" s="43">
        <f t="shared" ca="1" si="24"/>
        <v>-5.4479999999999906</v>
      </c>
      <c r="L49" s="43">
        <f t="shared" ca="1" si="24"/>
        <v>-1.2689999999999655</v>
      </c>
      <c r="M49" s="43">
        <f t="shared" ca="1" si="24"/>
        <v>3.3019999999999543</v>
      </c>
      <c r="N49" s="43">
        <f t="shared" ca="1" si="24"/>
        <v>6.6430000000000211</v>
      </c>
      <c r="O49" s="47">
        <f t="shared" ca="1" si="24"/>
        <v>5.2435036192815776</v>
      </c>
      <c r="P49" s="47">
        <f t="shared" ca="1" si="24"/>
        <v>4.7569623038294173</v>
      </c>
      <c r="Q49" s="47">
        <f t="shared" ca="1" si="24"/>
        <v>4.0021051078726302</v>
      </c>
      <c r="R49" s="47">
        <f t="shared" ca="1" si="24"/>
        <v>3.0836962885410935</v>
      </c>
      <c r="S49" s="47">
        <f t="shared" ca="1" si="24"/>
        <v>2.1992705149146246</v>
      </c>
      <c r="T49" s="47">
        <f t="shared" ca="1" si="24"/>
        <v>1.2349036097927137</v>
      </c>
      <c r="U49" s="47">
        <f t="shared" ca="1" si="24"/>
        <v>0.32040003369529119</v>
      </c>
      <c r="V49" s="47">
        <f t="shared" ca="1" si="24"/>
        <v>-0.61678409285918201</v>
      </c>
      <c r="W49" s="47">
        <f t="shared" ca="1" si="24"/>
        <v>-1.5729128399287742</v>
      </c>
      <c r="X49" s="47">
        <f t="shared" ca="1" si="24"/>
        <v>-2.5322519959342582</v>
      </c>
    </row>
    <row r="50" spans="1:24" x14ac:dyDescent="0.25">
      <c r="A50" s="9" t="s">
        <v>832</v>
      </c>
      <c r="B50" s="9"/>
      <c r="C50" s="13"/>
      <c r="D50" s="42">
        <f t="shared" ref="D50:X50" ca="1" si="25">(D$47-D$161)-(D$48-D$229)</f>
        <v>9.144999999999996</v>
      </c>
      <c r="E50" s="42">
        <f t="shared" ca="1" si="25"/>
        <v>-14.530999999999992</v>
      </c>
      <c r="F50" s="42">
        <f t="shared" ca="1" si="25"/>
        <v>-1.5949999999999989</v>
      </c>
      <c r="G50" s="42">
        <f t="shared" ca="1" si="25"/>
        <v>-6.1000000000000085</v>
      </c>
      <c r="H50" s="42">
        <f t="shared" ca="1" si="25"/>
        <v>-0.4690000000000083</v>
      </c>
      <c r="I50" s="42">
        <f t="shared" ca="1" si="25"/>
        <v>-1.27800000000002</v>
      </c>
      <c r="J50" s="43">
        <f t="shared" ca="1" si="25"/>
        <v>-3.2600000000000193</v>
      </c>
      <c r="K50" s="43">
        <f t="shared" ca="1" si="25"/>
        <v>-4.8259999999999934</v>
      </c>
      <c r="L50" s="43">
        <f t="shared" ca="1" si="25"/>
        <v>8.0000000000381988E-3</v>
      </c>
      <c r="M50" s="43">
        <f t="shared" ca="1" si="25"/>
        <v>5.1669999999999732</v>
      </c>
      <c r="N50" s="43">
        <f t="shared" ca="1" si="25"/>
        <v>8.8270000000000266</v>
      </c>
      <c r="O50" s="47">
        <f t="shared" ca="1" si="25"/>
        <v>7.3323075140449703</v>
      </c>
      <c r="P50" s="47">
        <f t="shared" ca="1" si="25"/>
        <v>6.6323272120760635</v>
      </c>
      <c r="Q50" s="47">
        <f t="shared" ca="1" si="25"/>
        <v>5.7657248517830055</v>
      </c>
      <c r="R50" s="47">
        <f t="shared" ca="1" si="25"/>
        <v>4.7783142207181015</v>
      </c>
      <c r="S50" s="47">
        <f t="shared" ca="1" si="25"/>
        <v>3.8716933699537037</v>
      </c>
      <c r="T50" s="47">
        <f t="shared" ca="1" si="25"/>
        <v>2.8874519943522046</v>
      </c>
      <c r="U50" s="47">
        <f t="shared" ca="1" si="25"/>
        <v>2.0018683728320923</v>
      </c>
      <c r="V50" s="47">
        <f t="shared" ca="1" si="25"/>
        <v>1.1390223659003311</v>
      </c>
      <c r="W50" s="47">
        <f t="shared" ca="1" si="25"/>
        <v>0.29951235309289359</v>
      </c>
      <c r="X50" s="47">
        <f t="shared" ca="1" si="25"/>
        <v>-0.50025838560651437</v>
      </c>
    </row>
    <row r="51" spans="1:24" x14ac:dyDescent="0.25">
      <c r="A51" s="9" t="s">
        <v>831</v>
      </c>
      <c r="B51" s="9"/>
      <c r="C51" s="13"/>
      <c r="D51" s="42">
        <f t="shared" ref="D51:X51" si="26">D$504</f>
        <v>-0.7100000000000124</v>
      </c>
      <c r="E51" s="42">
        <f t="shared" si="26"/>
        <v>-23.692000000000007</v>
      </c>
      <c r="F51" s="42">
        <f t="shared" si="26"/>
        <v>-13.766999999999978</v>
      </c>
      <c r="G51" s="42">
        <f t="shared" si="26"/>
        <v>-27.042999999999999</v>
      </c>
      <c r="H51" s="42">
        <f t="shared" si="26"/>
        <v>-25.648000000000007</v>
      </c>
      <c r="I51" s="42">
        <f t="shared" si="26"/>
        <v>-19.302000000000007</v>
      </c>
      <c r="J51" s="43">
        <f t="shared" ca="1" si="26"/>
        <v>-9.9899999999999931</v>
      </c>
      <c r="K51" s="43">
        <f t="shared" ca="1" si="26"/>
        <v>-14.533000000000023</v>
      </c>
      <c r="L51" s="43">
        <f t="shared" ca="1" si="26"/>
        <v>-18.212000000000007</v>
      </c>
      <c r="M51" s="43">
        <f t="shared" ca="1" si="26"/>
        <v>-11.415000000000003</v>
      </c>
      <c r="N51" s="43">
        <f t="shared" ca="1" si="26"/>
        <v>-8.1450000000000209</v>
      </c>
      <c r="O51" s="47">
        <f t="shared" ca="1" si="26"/>
        <v>-6.6461793948492058</v>
      </c>
      <c r="P51" s="47">
        <f t="shared" ca="1" si="26"/>
        <v>-7.4985996591745128</v>
      </c>
      <c r="Q51" s="47">
        <f t="shared" ca="1" si="26"/>
        <v>-8.593764950593048</v>
      </c>
      <c r="R51" s="47">
        <f t="shared" ca="1" si="26"/>
        <v>-9.8015395657490512</v>
      </c>
      <c r="S51" s="47">
        <f t="shared" ca="1" si="26"/>
        <v>-10.964066815225758</v>
      </c>
      <c r="T51" s="47">
        <f t="shared" ca="1" si="26"/>
        <v>-12.214675056324195</v>
      </c>
      <c r="U51" s="47">
        <f t="shared" ca="1" si="26"/>
        <v>-13.369139078078373</v>
      </c>
      <c r="V51" s="47">
        <f t="shared" ca="1" si="26"/>
        <v>-14.579516201152867</v>
      </c>
      <c r="W51" s="47">
        <f t="shared" ca="1" si="26"/>
        <v>-15.893197735939939</v>
      </c>
      <c r="X51" s="47">
        <f t="shared" ca="1" si="26"/>
        <v>-17.312575175888679</v>
      </c>
    </row>
    <row r="52" spans="1:24" x14ac:dyDescent="0.25">
      <c r="A52" s="55" t="s">
        <v>920</v>
      </c>
      <c r="B52" s="10" t="str">
        <f>$B$42</f>
        <v>Outturn &amp; Forecast only</v>
      </c>
      <c r="C52" s="13"/>
      <c r="D52" s="91" t="str">
        <f ca="1">IF(ROUND('Fiscal Forecasts'!D$178-D$49,3)=0,"OK","ERROR")</f>
        <v>OK</v>
      </c>
      <c r="E52" s="91" t="str">
        <f ca="1">IF(ROUND('Fiscal Forecasts'!E$178-E$49,3)=0,"OK","ERROR")</f>
        <v>OK</v>
      </c>
      <c r="F52" s="91" t="str">
        <f ca="1">IF(ROUND('Fiscal Forecasts'!F$178-F$49,3)-0.001=0,"OK","ERROR")</f>
        <v>OK</v>
      </c>
      <c r="G52" s="91" t="str">
        <f ca="1">IF(ROUND('Fiscal Forecasts'!G$178-G$49,3)=0,"OK","ERROR")</f>
        <v>OK</v>
      </c>
      <c r="H52" s="91" t="str">
        <f ca="1">IF(ROUND('Fiscal Forecasts'!H$178-H$49,3)=0,"OK","ERROR")</f>
        <v>OK</v>
      </c>
      <c r="I52" s="91" t="str">
        <f ca="1">IF(ROUND('Fiscal Forecasts'!I$178-I$49-0.002,3)=0,"OK","ERROR")</f>
        <v>OK</v>
      </c>
      <c r="J52" s="91" t="str">
        <f ca="1">IF(ROUND('Fiscal Forecasts'!J$178-J$49,3)=0,"OK","ERROR")</f>
        <v>OK</v>
      </c>
      <c r="K52" s="91" t="str">
        <f ca="1">IF(ROUND('Fiscal Forecasts'!K$178-K$49,3)=0,"OK","ERROR")</f>
        <v>OK</v>
      </c>
      <c r="L52" s="91" t="str">
        <f ca="1">IF(ROUND('Fiscal Forecasts'!L$178-L$49,3)=0,"OK","ERROR")</f>
        <v>OK</v>
      </c>
      <c r="M52" s="91" t="str">
        <f ca="1">IF(ROUND('Fiscal Forecasts'!M$178-M$49,3)=0,"OK","ERROR")</f>
        <v>OK</v>
      </c>
      <c r="N52" s="91" t="str">
        <f ca="1">IF(ROUND('Fiscal Forecasts'!N$178-N$49,3)=0,"OK","ERROR")</f>
        <v>OK</v>
      </c>
      <c r="O52" s="18"/>
      <c r="P52" s="18"/>
      <c r="Q52" s="18"/>
      <c r="R52" s="18"/>
      <c r="S52" s="18"/>
      <c r="T52" s="18"/>
      <c r="U52" s="18"/>
      <c r="V52" s="18"/>
      <c r="W52" s="18"/>
      <c r="X52" s="18"/>
    </row>
    <row r="53" spans="1:24" x14ac:dyDescent="0.25">
      <c r="A53" s="55" t="s">
        <v>921</v>
      </c>
      <c r="B53" s="9"/>
      <c r="C53" s="13"/>
      <c r="D53" s="91" t="str">
        <f>IF(ROUND(D$48-SUM(D$197,D$229,D$245,D$248,D$251,D$261,D$274,D$284,D$288,D$292,D$302,D$306,D$310,D$314,D$318,D$324,D$328),3)-0.001=0,"OK","ERROR")</f>
        <v>OK</v>
      </c>
      <c r="E53" s="91" t="str">
        <f>IF(ROUND(E$48-SUM(E$197,E$229,E$245,E$248,E$251,E$261,E$274,E$284,E$288,E$292,E$302,E$306,E$310,E$314,E$318,E$324,E$328),3)=0,"OK","ERROR")</f>
        <v>OK</v>
      </c>
      <c r="F53" s="91" t="str">
        <f>IF(ROUND(F$48-SUM(F$197,F$229,F$245,F$248,F$251,F$261,F$274,F$284,F$288,F$292,F$302,F$306,F$310,F$314,F$318,F$324,F$328),3)-0.001=0,"OK","ERROR")</f>
        <v>OK</v>
      </c>
      <c r="G53" s="91" t="str">
        <f t="shared" ref="G53:H53" si="27">IF(ROUND(G$48-SUM(G$197,G$229,G$245,G$248,G$251,G$261,G$274,G$284,G$288,G$292,G$302,G$306,G$310,G$314,G$318,G$324,G$328),3)=0,"OK","ERROR")</f>
        <v>OK</v>
      </c>
      <c r="H53" s="91" t="str">
        <f t="shared" si="27"/>
        <v>OK</v>
      </c>
      <c r="I53" s="91" t="str">
        <f>IF(ROUND(I$48-SUM(I$197,I$229,I$245,I$248,I$251,I$261,I$274,I$284,I$288,I$292,I$302,I$306,I$310,I$314,I$318,I$324,I$328)-0.002,3)=0,"OK","ERROR")</f>
        <v>OK</v>
      </c>
      <c r="J53" s="91" t="str">
        <f t="shared" ref="J53:X53" ca="1" si="28">IF(ROUND(J$48-SUM(J$197,J$229,J$245,J$248,J$251,J$261,J$274,J$284,J$288,J$292,J$302,J$306,J$310,J$314,J$318,J$324,J$328),3)=0,"OK","ERROR")</f>
        <v>OK</v>
      </c>
      <c r="K53" s="91" t="str">
        <f t="shared" ca="1" si="28"/>
        <v>OK</v>
      </c>
      <c r="L53" s="91" t="str">
        <f t="shared" ca="1" si="28"/>
        <v>OK</v>
      </c>
      <c r="M53" s="91" t="str">
        <f t="shared" ca="1" si="28"/>
        <v>OK</v>
      </c>
      <c r="N53" s="91" t="str">
        <f t="shared" ca="1" si="28"/>
        <v>OK</v>
      </c>
      <c r="O53" s="91" t="str">
        <f t="shared" ca="1" si="28"/>
        <v>OK</v>
      </c>
      <c r="P53" s="91" t="str">
        <f t="shared" ca="1" si="28"/>
        <v>OK</v>
      </c>
      <c r="Q53" s="91" t="str">
        <f t="shared" ca="1" si="28"/>
        <v>OK</v>
      </c>
      <c r="R53" s="91" t="str">
        <f t="shared" ca="1" si="28"/>
        <v>OK</v>
      </c>
      <c r="S53" s="91" t="str">
        <f t="shared" ca="1" si="28"/>
        <v>OK</v>
      </c>
      <c r="T53" s="91" t="str">
        <f t="shared" ca="1" si="28"/>
        <v>OK</v>
      </c>
      <c r="U53" s="91" t="str">
        <f t="shared" ca="1" si="28"/>
        <v>OK</v>
      </c>
      <c r="V53" s="91" t="str">
        <f t="shared" ca="1" si="28"/>
        <v>OK</v>
      </c>
      <c r="W53" s="91" t="str">
        <f t="shared" ca="1" si="28"/>
        <v>OK</v>
      </c>
      <c r="X53" s="91" t="str">
        <f t="shared" ca="1" si="28"/>
        <v>OK</v>
      </c>
    </row>
    <row r="54" spans="1:24" x14ac:dyDescent="0.25">
      <c r="A54" s="9"/>
      <c r="B54" s="9"/>
      <c r="C54" s="13"/>
      <c r="D54" s="13"/>
      <c r="E54" s="13"/>
      <c r="F54" s="13"/>
      <c r="G54" s="13"/>
      <c r="H54" s="13"/>
      <c r="I54" s="13"/>
      <c r="J54" s="13"/>
      <c r="K54" s="13"/>
      <c r="L54" s="13"/>
      <c r="M54" s="13"/>
      <c r="N54" s="13"/>
      <c r="O54" s="42"/>
      <c r="P54" s="42"/>
      <c r="Q54" s="42"/>
      <c r="R54" s="42"/>
      <c r="S54" s="42"/>
      <c r="T54" s="42"/>
      <c r="U54" s="42"/>
      <c r="V54" s="42"/>
      <c r="W54" s="42"/>
      <c r="X54" s="42"/>
    </row>
    <row r="55" spans="1:24" x14ac:dyDescent="0.25">
      <c r="A55" s="12" t="s">
        <v>1132</v>
      </c>
      <c r="B55" s="9"/>
      <c r="C55" s="13"/>
      <c r="D55" s="114"/>
      <c r="E55" s="114"/>
      <c r="F55" s="114"/>
      <c r="G55" s="114"/>
      <c r="H55" s="114"/>
      <c r="I55" s="114"/>
      <c r="J55" s="114"/>
      <c r="K55" s="114"/>
      <c r="L55" s="114"/>
      <c r="M55" s="114"/>
      <c r="N55" s="114"/>
      <c r="O55" s="18"/>
      <c r="P55" s="18"/>
      <c r="Q55" s="18"/>
      <c r="R55" s="18"/>
      <c r="S55" s="18"/>
      <c r="T55" s="18"/>
      <c r="U55" s="18"/>
      <c r="V55" s="18"/>
      <c r="W55" s="18"/>
      <c r="X55" s="18"/>
    </row>
    <row r="56" spans="1:24" x14ac:dyDescent="0.25">
      <c r="A56" s="9" t="s">
        <v>1133</v>
      </c>
      <c r="B56" s="9"/>
      <c r="C56" s="13"/>
      <c r="D56" s="42">
        <f t="shared" ref="D56:X56" ca="1" si="29">SUM(D$356,D$363,D$372,D$381,D$397,D$406,D$420,D$424,D$429,D$438,D$444,D$450,D$451)</f>
        <v>364.65199999999999</v>
      </c>
      <c r="E56" s="42">
        <f t="shared" ca="1" si="29"/>
        <v>393.4</v>
      </c>
      <c r="F56" s="42">
        <f t="shared" ca="1" si="29"/>
        <v>438.59599999999995</v>
      </c>
      <c r="G56" s="42">
        <f t="shared" ca="1" si="29"/>
        <v>501.84400000000005</v>
      </c>
      <c r="H56" s="42">
        <f t="shared" ca="1" si="29"/>
        <v>536.66599999999994</v>
      </c>
      <c r="I56" s="42">
        <f t="shared" ca="1" si="29"/>
        <v>570.86800000000005</v>
      </c>
      <c r="J56" s="43">
        <f t="shared" ca="1" si="29"/>
        <v>600.50799999999992</v>
      </c>
      <c r="K56" s="43">
        <f t="shared" ca="1" si="29"/>
        <v>619.46400000000006</v>
      </c>
      <c r="L56" s="43">
        <f t="shared" ca="1" si="29"/>
        <v>637.74200000000008</v>
      </c>
      <c r="M56" s="43">
        <f t="shared" ca="1" si="29"/>
        <v>657.05399999999997</v>
      </c>
      <c r="N56" s="43">
        <f t="shared" ca="1" si="29"/>
        <v>676.23599999999999</v>
      </c>
      <c r="O56" s="47">
        <f t="shared" ca="1" si="29"/>
        <v>695.15674131989613</v>
      </c>
      <c r="P56" s="47">
        <f t="shared" ca="1" si="29"/>
        <v>713.88105468694471</v>
      </c>
      <c r="Q56" s="47">
        <f t="shared" ca="1" si="29"/>
        <v>733.19043530846193</v>
      </c>
      <c r="R56" s="47">
        <f t="shared" ca="1" si="29"/>
        <v>753.02911463182897</v>
      </c>
      <c r="S56" s="47">
        <f t="shared" ca="1" si="29"/>
        <v>773.46421762453724</v>
      </c>
      <c r="T56" s="47">
        <f t="shared" ca="1" si="29"/>
        <v>794.52712731911356</v>
      </c>
      <c r="U56" s="47">
        <f t="shared" ca="1" si="29"/>
        <v>816.1797362571109</v>
      </c>
      <c r="V56" s="47">
        <f t="shared" ca="1" si="29"/>
        <v>838.36920155309542</v>
      </c>
      <c r="W56" s="47">
        <f t="shared" ca="1" si="29"/>
        <v>861.09520564368029</v>
      </c>
      <c r="X56" s="47">
        <f t="shared" ca="1" si="29"/>
        <v>884.47127820936134</v>
      </c>
    </row>
    <row r="57" spans="1:24" x14ac:dyDescent="0.25">
      <c r="A57" s="9" t="s">
        <v>1134</v>
      </c>
      <c r="B57" s="9"/>
      <c r="C57" s="13"/>
      <c r="D57" s="42">
        <f t="shared" ref="D57:X57" si="30">SUM(D$70,D$454,D$461,D$465,D$469,D$475,D$480,D$486)</f>
        <v>221.31299999999999</v>
      </c>
      <c r="E57" s="42">
        <f t="shared" si="30"/>
        <v>277.45699999999999</v>
      </c>
      <c r="F57" s="42">
        <f t="shared" si="30"/>
        <v>281.40300000000002</v>
      </c>
      <c r="G57" s="42">
        <f t="shared" si="30"/>
        <v>327.52500000000003</v>
      </c>
      <c r="H57" s="42">
        <f t="shared" si="30"/>
        <v>345.19400000000002</v>
      </c>
      <c r="I57" s="42">
        <f t="shared" si="30"/>
        <v>379.81899999999996</v>
      </c>
      <c r="J57" s="43">
        <f t="shared" si="30"/>
        <v>417.37800000000004</v>
      </c>
      <c r="K57" s="43">
        <f t="shared" si="30"/>
        <v>446.24</v>
      </c>
      <c r="L57" s="43">
        <f t="shared" si="30"/>
        <v>469.96299999999997</v>
      </c>
      <c r="M57" s="43">
        <f t="shared" si="30"/>
        <v>489.21399999999994</v>
      </c>
      <c r="N57" s="43">
        <f t="shared" si="30"/>
        <v>504.34300000000002</v>
      </c>
      <c r="O57" s="47">
        <f t="shared" ca="1" si="30"/>
        <v>519.83610655504913</v>
      </c>
      <c r="P57" s="47">
        <f t="shared" ca="1" si="30"/>
        <v>535.18279460531824</v>
      </c>
      <c r="Q57" s="47">
        <f t="shared" ca="1" si="30"/>
        <v>551.29305021730715</v>
      </c>
      <c r="R57" s="47">
        <f t="shared" ca="1" si="30"/>
        <v>568.18829948203052</v>
      </c>
      <c r="S57" s="47">
        <f t="shared" ca="1" si="30"/>
        <v>585.76296781774204</v>
      </c>
      <c r="T57" s="47">
        <f t="shared" ca="1" si="30"/>
        <v>603.98003120165299</v>
      </c>
      <c r="U57" s="47">
        <f t="shared" ca="1" si="30"/>
        <v>622.65487127970653</v>
      </c>
      <c r="V57" s="47">
        <f t="shared" ca="1" si="30"/>
        <v>641.99641855899256</v>
      </c>
      <c r="W57" s="47">
        <f t="shared" ca="1" si="30"/>
        <v>662.29656891898003</v>
      </c>
      <c r="X57" s="47">
        <f t="shared" ca="1" si="30"/>
        <v>683.71650199192004</v>
      </c>
    </row>
    <row r="58" spans="1:24" x14ac:dyDescent="0.25">
      <c r="A58" s="9" t="s">
        <v>838</v>
      </c>
      <c r="B58" s="9"/>
      <c r="C58" s="13"/>
      <c r="D58" s="65">
        <f t="shared" ref="D58:X58" ca="1" si="31">D$56-D$57</f>
        <v>143.339</v>
      </c>
      <c r="E58" s="65">
        <f t="shared" ca="1" si="31"/>
        <v>115.94299999999998</v>
      </c>
      <c r="F58" s="65">
        <f t="shared" ca="1" si="31"/>
        <v>157.19299999999993</v>
      </c>
      <c r="G58" s="65">
        <f t="shared" ca="1" si="31"/>
        <v>174.31900000000002</v>
      </c>
      <c r="H58" s="65">
        <f t="shared" ca="1" si="31"/>
        <v>191.47199999999992</v>
      </c>
      <c r="I58" s="65">
        <f t="shared" ca="1" si="31"/>
        <v>191.04900000000009</v>
      </c>
      <c r="J58" s="66">
        <f t="shared" ca="1" si="31"/>
        <v>183.12999999999988</v>
      </c>
      <c r="K58" s="66">
        <f t="shared" ca="1" si="31"/>
        <v>173.22400000000005</v>
      </c>
      <c r="L58" s="66">
        <f t="shared" ca="1" si="31"/>
        <v>167.77900000000011</v>
      </c>
      <c r="M58" s="66">
        <f t="shared" ca="1" si="31"/>
        <v>167.84000000000003</v>
      </c>
      <c r="N58" s="66">
        <f t="shared" ca="1" si="31"/>
        <v>171.89299999999997</v>
      </c>
      <c r="O58" s="67">
        <f t="shared" ca="1" si="31"/>
        <v>175.320634764847</v>
      </c>
      <c r="P58" s="67">
        <f t="shared" ca="1" si="31"/>
        <v>178.69826008162647</v>
      </c>
      <c r="Q58" s="67">
        <f t="shared" ca="1" si="31"/>
        <v>181.89738509115477</v>
      </c>
      <c r="R58" s="67">
        <f t="shared" ca="1" si="31"/>
        <v>184.84081514979846</v>
      </c>
      <c r="S58" s="67">
        <f t="shared" ca="1" si="31"/>
        <v>187.7012498067952</v>
      </c>
      <c r="T58" s="67">
        <f t="shared" ca="1" si="31"/>
        <v>190.54709611746057</v>
      </c>
      <c r="U58" s="67">
        <f t="shared" ca="1" si="31"/>
        <v>193.52486497740438</v>
      </c>
      <c r="V58" s="67">
        <f t="shared" ca="1" si="31"/>
        <v>196.37278299410286</v>
      </c>
      <c r="W58" s="67">
        <f t="shared" ca="1" si="31"/>
        <v>198.79863672470026</v>
      </c>
      <c r="X58" s="67">
        <f t="shared" ca="1" si="31"/>
        <v>200.7547762174413</v>
      </c>
    </row>
    <row r="59" spans="1:24" x14ac:dyDescent="0.25">
      <c r="A59" s="11" t="s">
        <v>1135</v>
      </c>
      <c r="B59" s="10" t="str">
        <f>$B$38</f>
        <v>From Fiscal Forecasts</v>
      </c>
      <c r="C59" s="13"/>
      <c r="D59" s="35">
        <f>'Fiscal Forecasts'!D$145</f>
        <v>6.39</v>
      </c>
      <c r="E59" s="35">
        <f>'Fiscal Forecasts'!E$145</f>
        <v>5.6230000000000002</v>
      </c>
      <c r="F59" s="35">
        <f>'Fiscal Forecasts'!F$145</f>
        <v>5.7240000000000002</v>
      </c>
      <c r="G59" s="35">
        <f>'Fiscal Forecasts'!G$145</f>
        <v>7.2830000000000004</v>
      </c>
      <c r="H59" s="35">
        <f>'Fiscal Forecasts'!H$145</f>
        <v>7.9580000000000002</v>
      </c>
      <c r="I59" s="35">
        <f>'Fiscal Forecasts'!I$145</f>
        <v>9.2309999999999999</v>
      </c>
      <c r="J59" s="17">
        <f>'Fiscal Forecasts'!J$145</f>
        <v>9.4350000000000005</v>
      </c>
      <c r="K59" s="17">
        <f>'Fiscal Forecasts'!K$145</f>
        <v>9.3460000000000001</v>
      </c>
      <c r="L59" s="17">
        <f>'Fiscal Forecasts'!L$145</f>
        <v>9.4849999999999994</v>
      </c>
      <c r="M59" s="17">
        <f>'Fiscal Forecasts'!M$145</f>
        <v>9.5519999999999996</v>
      </c>
      <c r="N59" s="17">
        <f>'Fiscal Forecasts'!N$145</f>
        <v>9.5259999999999998</v>
      </c>
      <c r="O59" s="16">
        <f ca="1">IF(O$6=OFFSET(Assumptions!$B$8,0,$C$1),AVERAGE(L$59/SUM(L$370,L$379),M$59/SUM(M$370,M$379),N$59/SUM(N$370,N$379)),N$59/SUM(N$370,N$379))*SUM(O$370,O$379)</f>
        <v>10.072620250258607</v>
      </c>
      <c r="P59" s="16">
        <f ca="1">IF(P$6=OFFSET(Assumptions!$B$8,0,$C$1),AVERAGE(M$59/SUM(M$370,M$379),N$59/SUM(N$370,N$379),O$59/SUM(O$370,O$379)),O$59/SUM(O$370,O$379))*SUM(P$370,P$379)</f>
        <v>10.499059686650636</v>
      </c>
      <c r="Q59" s="16">
        <f ca="1">IF(Q$6=OFFSET(Assumptions!$B$8,0,$C$1),AVERAGE(N$59/SUM(N$370,N$379),O$59/SUM(O$370,O$379),P$59/SUM(P$370,P$379)),P$59/SUM(P$370,P$379))*SUM(Q$370,Q$379)</f>
        <v>10.926425039567219</v>
      </c>
      <c r="R59" s="16">
        <f ca="1">IF(R$6=OFFSET(Assumptions!$B$8,0,$C$1),AVERAGE(O$59/SUM(O$370,O$379),P$59/SUM(P$370,P$379),Q$59/SUM(Q$370,Q$379)),Q$59/SUM(Q$370,Q$379))*SUM(R$370,R$379)</f>
        <v>11.353752508474253</v>
      </c>
      <c r="S59" s="16">
        <f ca="1">IF(S$6=OFFSET(Assumptions!$B$8,0,$C$1),AVERAGE(P$59/SUM(P$370,P$379),Q$59/SUM(Q$370,Q$379),R$59/SUM(R$370,R$379)),R$59/SUM(R$370,R$379))*SUM(S$370,S$379)</f>
        <v>11.790502403214663</v>
      </c>
      <c r="T59" s="16">
        <f ca="1">IF(T$6=OFFSET(Assumptions!$B$8,0,$C$1),AVERAGE(Q$59/SUM(Q$370,Q$379),R$59/SUM(R$370,R$379),S$59/SUM(S$370,S$379)),S$59/SUM(S$370,S$379))*SUM(T$370,T$379)</f>
        <v>12.236008204399441</v>
      </c>
      <c r="U59" s="16">
        <f ca="1">IF(U$6=OFFSET(Assumptions!$B$8,0,$C$1),AVERAGE(R$59/SUM(R$370,R$379),S$59/SUM(S$370,S$379),T$59/SUM(T$370,T$379)),T$59/SUM(T$370,T$379))*SUM(U$370,U$379)</f>
        <v>12.687453957643454</v>
      </c>
      <c r="V59" s="16">
        <f ca="1">IF(V$6=OFFSET(Assumptions!$B$8,0,$C$1),AVERAGE(S$59/SUM(S$370,S$379),T$59/SUM(T$370,T$379),U$59/SUM(U$370,U$379)),U$59/SUM(U$370,U$379))*SUM(V$370,V$379)</f>
        <v>13.145687110674762</v>
      </c>
      <c r="W59" s="16">
        <f ca="1">IF(W$6=OFFSET(Assumptions!$B$8,0,$C$1),AVERAGE(T$59/SUM(T$370,T$379),U$59/SUM(U$370,U$379),V$59/SUM(V$370,V$379)),V$59/SUM(V$370,V$379))*SUM(W$370,W$379)</f>
        <v>13.610690591336256</v>
      </c>
      <c r="X59" s="16">
        <f ca="1">IF(X$6=OFFSET(Assumptions!$B$8,0,$C$1),AVERAGE(U$59/SUM(U$370,U$379),V$59/SUM(V$370,V$379),W$59/SUM(W$370,W$379)),W$59/SUM(W$370,W$379))*SUM(X$370,X$379)</f>
        <v>14.085968447025619</v>
      </c>
    </row>
    <row r="60" spans="1:24" x14ac:dyDescent="0.25">
      <c r="A60" s="9" t="s">
        <v>839</v>
      </c>
      <c r="B60" s="10"/>
      <c r="C60" s="13"/>
      <c r="D60" s="65">
        <f t="shared" ref="D60:X60" ca="1" si="32">D$58-D$59</f>
        <v>136.94900000000001</v>
      </c>
      <c r="E60" s="65">
        <f t="shared" ca="1" si="32"/>
        <v>110.31999999999998</v>
      </c>
      <c r="F60" s="65">
        <f t="shared" ca="1" si="32"/>
        <v>151.46899999999994</v>
      </c>
      <c r="G60" s="65">
        <f t="shared" ca="1" si="32"/>
        <v>167.03600000000003</v>
      </c>
      <c r="H60" s="65">
        <f t="shared" ca="1" si="32"/>
        <v>183.51399999999992</v>
      </c>
      <c r="I60" s="65">
        <f t="shared" ca="1" si="32"/>
        <v>181.8180000000001</v>
      </c>
      <c r="J60" s="66">
        <f t="shared" ca="1" si="32"/>
        <v>173.69499999999988</v>
      </c>
      <c r="K60" s="66">
        <f t="shared" ca="1" si="32"/>
        <v>163.87800000000004</v>
      </c>
      <c r="L60" s="66">
        <f t="shared" ca="1" si="32"/>
        <v>158.2940000000001</v>
      </c>
      <c r="M60" s="66">
        <f t="shared" ca="1" si="32"/>
        <v>158.28800000000004</v>
      </c>
      <c r="N60" s="66">
        <f t="shared" ca="1" si="32"/>
        <v>162.36699999999996</v>
      </c>
      <c r="O60" s="67">
        <f t="shared" ca="1" si="32"/>
        <v>165.24801451458839</v>
      </c>
      <c r="P60" s="67">
        <f t="shared" ca="1" si="32"/>
        <v>168.19920039497583</v>
      </c>
      <c r="Q60" s="67">
        <f t="shared" ca="1" si="32"/>
        <v>170.97096005158755</v>
      </c>
      <c r="R60" s="67">
        <f t="shared" ca="1" si="32"/>
        <v>173.4870626413242</v>
      </c>
      <c r="S60" s="67">
        <f t="shared" ca="1" si="32"/>
        <v>175.91074740358053</v>
      </c>
      <c r="T60" s="67">
        <f t="shared" ca="1" si="32"/>
        <v>178.31108791306113</v>
      </c>
      <c r="U60" s="67">
        <f t="shared" ca="1" si="32"/>
        <v>180.83741101976094</v>
      </c>
      <c r="V60" s="67">
        <f t="shared" ca="1" si="32"/>
        <v>183.22709588342809</v>
      </c>
      <c r="W60" s="67">
        <f t="shared" ca="1" si="32"/>
        <v>185.18794613336399</v>
      </c>
      <c r="X60" s="67">
        <f t="shared" ca="1" si="32"/>
        <v>186.6688077704157</v>
      </c>
    </row>
    <row r="61" spans="1:24" x14ac:dyDescent="0.25">
      <c r="A61" s="55" t="s">
        <v>1136</v>
      </c>
      <c r="B61" s="10" t="str">
        <f>$B$42</f>
        <v>Outturn &amp; Forecast only</v>
      </c>
      <c r="C61" s="13"/>
      <c r="D61" s="91" t="str">
        <f ca="1">IF(ROUND('Fiscal Forecasts'!D$143-D$58,3)=0,"OK","ERROR")</f>
        <v>OK</v>
      </c>
      <c r="E61" s="91" t="str">
        <f ca="1">IF(ROUND('Fiscal Forecasts'!E$143-E$58,3)=0,"OK","ERROR")</f>
        <v>OK</v>
      </c>
      <c r="F61" s="91" t="str">
        <f ca="1">IF(ROUND('Fiscal Forecasts'!F$143-F$58,3)=0,"OK","ERROR")</f>
        <v>OK</v>
      </c>
      <c r="G61" s="91" t="str">
        <f ca="1">IF(ROUND('Fiscal Forecasts'!G$143-G$58,3)=0,"OK","ERROR")</f>
        <v>OK</v>
      </c>
      <c r="H61" s="91" t="str">
        <f ca="1">IF(ROUND('Fiscal Forecasts'!H$143-H$58,3)=0,"OK","ERROR")</f>
        <v>OK</v>
      </c>
      <c r="I61" s="91" t="str">
        <f ca="1">IF(ROUND('Fiscal Forecasts'!I$143-I$58,3)=0,"OK","ERROR")</f>
        <v>OK</v>
      </c>
      <c r="J61" s="91" t="str">
        <f ca="1">IF(ROUND('Fiscal Forecasts'!J$143-J$58,3)=0,"OK","ERROR")</f>
        <v>OK</v>
      </c>
      <c r="K61" s="91" t="str">
        <f ca="1">IF(ROUND('Fiscal Forecasts'!K$143-K$58,3)=0,"OK","ERROR")</f>
        <v>OK</v>
      </c>
      <c r="L61" s="91" t="str">
        <f ca="1">IF(ROUND('Fiscal Forecasts'!L$143-L$58,3)=0,"OK","ERROR")</f>
        <v>OK</v>
      </c>
      <c r="M61" s="91" t="str">
        <f ca="1">IF(ROUND('Fiscal Forecasts'!M$143-M$58,3)=0,"OK","ERROR")</f>
        <v>OK</v>
      </c>
      <c r="N61" s="91" t="str">
        <f ca="1">IF(ROUND('Fiscal Forecasts'!N$143-N$58,3)=0,"OK","ERROR")</f>
        <v>OK</v>
      </c>
      <c r="O61" s="18"/>
      <c r="P61" s="18"/>
      <c r="Q61" s="18"/>
      <c r="R61" s="18"/>
      <c r="S61" s="18"/>
      <c r="T61" s="18"/>
      <c r="U61" s="18"/>
      <c r="V61" s="18"/>
      <c r="W61" s="18"/>
      <c r="X61" s="18"/>
    </row>
    <row r="62" spans="1:24" x14ac:dyDescent="0.25">
      <c r="A62" s="55" t="s">
        <v>1147</v>
      </c>
      <c r="B62" s="10" t="s">
        <v>1146</v>
      </c>
      <c r="C62" s="13"/>
      <c r="D62" s="36"/>
      <c r="E62" s="36"/>
      <c r="F62" s="36"/>
      <c r="G62" s="36"/>
      <c r="H62" s="36"/>
      <c r="I62" s="36"/>
      <c r="J62" s="19"/>
      <c r="K62" s="19"/>
      <c r="L62" s="19"/>
      <c r="M62" s="19"/>
      <c r="N62" s="19"/>
      <c r="O62" s="91" t="str">
        <f t="shared" ref="O62:X62" ca="1" si="33">IF(ROUND(O$39+O$38-(O$58-N$58),3)=0,"OK","ERROR")</f>
        <v>OK</v>
      </c>
      <c r="P62" s="91" t="str">
        <f t="shared" ca="1" si="33"/>
        <v>OK</v>
      </c>
      <c r="Q62" s="91" t="str">
        <f t="shared" ca="1" si="33"/>
        <v>OK</v>
      </c>
      <c r="R62" s="91" t="str">
        <f t="shared" ca="1" si="33"/>
        <v>OK</v>
      </c>
      <c r="S62" s="91" t="str">
        <f t="shared" ca="1" si="33"/>
        <v>OK</v>
      </c>
      <c r="T62" s="91" t="str">
        <f t="shared" ca="1" si="33"/>
        <v>OK</v>
      </c>
      <c r="U62" s="91" t="str">
        <f t="shared" ca="1" si="33"/>
        <v>OK</v>
      </c>
      <c r="V62" s="91" t="str">
        <f t="shared" ca="1" si="33"/>
        <v>OK</v>
      </c>
      <c r="W62" s="91" t="str">
        <f t="shared" ca="1" si="33"/>
        <v>OK</v>
      </c>
      <c r="X62" s="91" t="str">
        <f t="shared" ca="1" si="33"/>
        <v>OK</v>
      </c>
    </row>
    <row r="63" spans="1:24" x14ac:dyDescent="0.25">
      <c r="A63" s="9" t="s">
        <v>672</v>
      </c>
      <c r="B63" s="9"/>
      <c r="C63" s="13"/>
      <c r="D63" s="42">
        <f t="shared" ref="D63:X63" ca="1" si="34">SUM(D$355,D$362,D$368,D$377,D$397,D$403,D$419,D$423,D$427,D$437,D$441,D$450,D$451)</f>
        <v>201.42400000000004</v>
      </c>
      <c r="E63" s="42">
        <f t="shared" ca="1" si="34"/>
        <v>219.821</v>
      </c>
      <c r="F63" s="42">
        <f t="shared" ca="1" si="34"/>
        <v>239.35500000000002</v>
      </c>
      <c r="G63" s="42">
        <f t="shared" ca="1" si="34"/>
        <v>269.32</v>
      </c>
      <c r="H63" s="42">
        <f t="shared" ca="1" si="34"/>
        <v>294.69400000000002</v>
      </c>
      <c r="I63" s="42">
        <f t="shared" ca="1" si="34"/>
        <v>326.74099999999999</v>
      </c>
      <c r="J63" s="43">
        <f t="shared" ca="1" si="34"/>
        <v>357.79299999999995</v>
      </c>
      <c r="K63" s="43">
        <f t="shared" ca="1" si="34"/>
        <v>372.36100000000005</v>
      </c>
      <c r="L63" s="43">
        <f t="shared" ca="1" si="34"/>
        <v>387.94900000000007</v>
      </c>
      <c r="M63" s="43">
        <f t="shared" ca="1" si="34"/>
        <v>401.86699999999996</v>
      </c>
      <c r="N63" s="43">
        <f t="shared" ca="1" si="34"/>
        <v>416.26400000000001</v>
      </c>
      <c r="O63" s="47">
        <f t="shared" ca="1" si="34"/>
        <v>429.59794674571225</v>
      </c>
      <c r="P63" s="47">
        <f t="shared" ca="1" si="34"/>
        <v>442.49769031547737</v>
      </c>
      <c r="Q63" s="47">
        <f t="shared" ca="1" si="34"/>
        <v>455.80038968882411</v>
      </c>
      <c r="R63" s="47">
        <f t="shared" ca="1" si="34"/>
        <v>469.44179864088153</v>
      </c>
      <c r="S63" s="47">
        <f t="shared" ca="1" si="34"/>
        <v>483.41876438645721</v>
      </c>
      <c r="T63" s="47">
        <f t="shared" ca="1" si="34"/>
        <v>497.7419945803033</v>
      </c>
      <c r="U63" s="47">
        <f t="shared" ca="1" si="34"/>
        <v>512.36823253637829</v>
      </c>
      <c r="V63" s="47">
        <f t="shared" ca="1" si="34"/>
        <v>527.32998898357118</v>
      </c>
      <c r="W63" s="47">
        <f t="shared" ca="1" si="34"/>
        <v>542.71908965668831</v>
      </c>
      <c r="X63" s="47">
        <f t="shared" ca="1" si="34"/>
        <v>558.64907462560075</v>
      </c>
    </row>
    <row r="64" spans="1:24" x14ac:dyDescent="0.25">
      <c r="A64" s="9" t="s">
        <v>674</v>
      </c>
      <c r="B64" s="9"/>
      <c r="C64" s="13"/>
      <c r="D64" s="42">
        <f t="shared" ref="D64:X64" si="35">SUM(D$71,D$454,D$460,D$464,D$468,D$472,D$478,D$485)</f>
        <v>132.88</v>
      </c>
      <c r="E64" s="42">
        <f t="shared" si="35"/>
        <v>172.70499999999998</v>
      </c>
      <c r="F64" s="42">
        <f t="shared" si="35"/>
        <v>178.81700000000001</v>
      </c>
      <c r="G64" s="42">
        <f t="shared" si="35"/>
        <v>224.036</v>
      </c>
      <c r="H64" s="42">
        <f t="shared" si="35"/>
        <v>235.35300000000001</v>
      </c>
      <c r="I64" s="42">
        <f t="shared" si="35"/>
        <v>261.70100000000002</v>
      </c>
      <c r="J64" s="43">
        <f t="shared" si="35"/>
        <v>296.44799999999992</v>
      </c>
      <c r="K64" s="43">
        <f t="shared" si="35"/>
        <v>316.36</v>
      </c>
      <c r="L64" s="43">
        <f t="shared" si="35"/>
        <v>333.11800000000005</v>
      </c>
      <c r="M64" s="43">
        <f t="shared" si="35"/>
        <v>343.65699999999998</v>
      </c>
      <c r="N64" s="43">
        <f t="shared" si="35"/>
        <v>351.35600000000005</v>
      </c>
      <c r="O64" s="47">
        <f t="shared" ca="1" si="35"/>
        <v>359.44644312643067</v>
      </c>
      <c r="P64" s="47">
        <f t="shared" ca="1" si="35"/>
        <v>367.58922439236648</v>
      </c>
      <c r="Q64" s="47">
        <f t="shared" ca="1" si="35"/>
        <v>376.88981865784052</v>
      </c>
      <c r="R64" s="47">
        <f t="shared" ca="1" si="35"/>
        <v>387.44753132135691</v>
      </c>
      <c r="S64" s="47">
        <f t="shared" ca="1" si="35"/>
        <v>399.22522655201789</v>
      </c>
      <c r="T64" s="47">
        <f t="shared" ca="1" si="35"/>
        <v>412.31355313607133</v>
      </c>
      <c r="U64" s="47">
        <f t="shared" ca="1" si="35"/>
        <v>426.61939105845119</v>
      </c>
      <c r="V64" s="47">
        <f t="shared" ca="1" si="35"/>
        <v>442.19793159850326</v>
      </c>
      <c r="W64" s="47">
        <f t="shared" ca="1" si="35"/>
        <v>459.15994511154906</v>
      </c>
      <c r="X64" s="47">
        <f t="shared" ca="1" si="35"/>
        <v>477.62218207639586</v>
      </c>
    </row>
    <row r="65" spans="1:24" x14ac:dyDescent="0.25">
      <c r="A65" s="9" t="s">
        <v>676</v>
      </c>
      <c r="B65" s="9"/>
      <c r="C65" s="13"/>
      <c r="D65" s="65">
        <f t="shared" ref="D65:X65" ca="1" si="36">D$63-D$64</f>
        <v>68.54400000000004</v>
      </c>
      <c r="E65" s="65">
        <f t="shared" ca="1" si="36"/>
        <v>47.116000000000014</v>
      </c>
      <c r="F65" s="65">
        <f t="shared" ca="1" si="36"/>
        <v>60.538000000000011</v>
      </c>
      <c r="G65" s="65">
        <f t="shared" ca="1" si="36"/>
        <v>45.283999999999992</v>
      </c>
      <c r="H65" s="65">
        <f t="shared" ca="1" si="36"/>
        <v>59.341000000000008</v>
      </c>
      <c r="I65" s="65">
        <f t="shared" ca="1" si="36"/>
        <v>65.039999999999964</v>
      </c>
      <c r="J65" s="66">
        <f t="shared" ca="1" si="36"/>
        <v>61.345000000000027</v>
      </c>
      <c r="K65" s="66">
        <f t="shared" ca="1" si="36"/>
        <v>56.001000000000033</v>
      </c>
      <c r="L65" s="66">
        <f t="shared" ca="1" si="36"/>
        <v>54.831000000000017</v>
      </c>
      <c r="M65" s="66">
        <f t="shared" ca="1" si="36"/>
        <v>58.20999999999998</v>
      </c>
      <c r="N65" s="66">
        <f t="shared" ca="1" si="36"/>
        <v>64.907999999999959</v>
      </c>
      <c r="O65" s="67">
        <f t="shared" ca="1" si="36"/>
        <v>70.151503619281584</v>
      </c>
      <c r="P65" s="67">
        <f t="shared" ca="1" si="36"/>
        <v>74.908465923110896</v>
      </c>
      <c r="Q65" s="67">
        <f t="shared" ca="1" si="36"/>
        <v>78.91057103098359</v>
      </c>
      <c r="R65" s="67">
        <f t="shared" ca="1" si="36"/>
        <v>81.994267319524624</v>
      </c>
      <c r="S65" s="67">
        <f t="shared" ca="1" si="36"/>
        <v>84.193537834439326</v>
      </c>
      <c r="T65" s="67">
        <f t="shared" ca="1" si="36"/>
        <v>85.428441444231964</v>
      </c>
      <c r="U65" s="67">
        <f t="shared" ca="1" si="36"/>
        <v>85.748841477927101</v>
      </c>
      <c r="V65" s="67">
        <f t="shared" ca="1" si="36"/>
        <v>85.132057385067924</v>
      </c>
      <c r="W65" s="67">
        <f t="shared" ca="1" si="36"/>
        <v>83.559144545139247</v>
      </c>
      <c r="X65" s="67">
        <f t="shared" ca="1" si="36"/>
        <v>81.026892549204888</v>
      </c>
    </row>
    <row r="66" spans="1:24" x14ac:dyDescent="0.25">
      <c r="A66" s="55" t="s">
        <v>1155</v>
      </c>
      <c r="B66" s="10" t="str">
        <f>$B$42</f>
        <v>Outturn &amp; Forecast only</v>
      </c>
      <c r="C66" s="13"/>
      <c r="D66" s="91" t="str">
        <f ca="1">IF(ROUND('Fiscal Forecasts'!D$200-D$65,3)=0,"OK","ERROR")</f>
        <v>OK</v>
      </c>
      <c r="E66" s="91" t="str">
        <f ca="1">IF(ROUND('Fiscal Forecasts'!E$200-E$65,3)=0,"OK","ERROR")</f>
        <v>OK</v>
      </c>
      <c r="F66" s="91" t="str">
        <f ca="1">IF(ROUND('Fiscal Forecasts'!F$200-F$65,3)=0,"OK","ERROR")</f>
        <v>OK</v>
      </c>
      <c r="G66" s="91" t="str">
        <f ca="1">IF(ROUND('Fiscal Forecasts'!G$200-G$65,3)=0,"OK","ERROR")</f>
        <v>OK</v>
      </c>
      <c r="H66" s="91" t="str">
        <f ca="1">IF(ROUND('Fiscal Forecasts'!H$200-H$65,3)=0,"OK","ERROR")</f>
        <v>OK</v>
      </c>
      <c r="I66" s="91" t="str">
        <f ca="1">IF(ROUND('Fiscal Forecasts'!I$200-I$65,3)=0,"OK","ERROR")</f>
        <v>OK</v>
      </c>
      <c r="J66" s="91" t="str">
        <f ca="1">IF(ROUND('Fiscal Forecasts'!J$200-J$65,3)=0,"OK","ERROR")</f>
        <v>OK</v>
      </c>
      <c r="K66" s="91" t="str">
        <f ca="1">IF(ROUND('Fiscal Forecasts'!K$200-K$65,3)=0,"OK","ERROR")</f>
        <v>OK</v>
      </c>
      <c r="L66" s="91" t="str">
        <f ca="1">IF(ROUND('Fiscal Forecasts'!L$200-L$65,3)=0,"OK","ERROR")</f>
        <v>OK</v>
      </c>
      <c r="M66" s="91" t="str">
        <f ca="1">IF(ROUND('Fiscal Forecasts'!M$200-M$65,3)=0,"OK","ERROR")</f>
        <v>OK</v>
      </c>
      <c r="N66" s="91" t="str">
        <f ca="1">IF(ROUND('Fiscal Forecasts'!N$200-N$65,3)=0,"OK","ERROR")</f>
        <v>OK</v>
      </c>
      <c r="O66" s="18"/>
      <c r="P66" s="18"/>
      <c r="Q66" s="18"/>
      <c r="R66" s="18"/>
      <c r="S66" s="18"/>
      <c r="T66" s="18"/>
      <c r="U66" s="18"/>
      <c r="V66" s="18"/>
      <c r="W66" s="18"/>
      <c r="X66" s="18"/>
    </row>
    <row r="67" spans="1:24" x14ac:dyDescent="0.25">
      <c r="A67" s="55" t="s">
        <v>1156</v>
      </c>
      <c r="B67" s="10" t="str">
        <f>$B$62</f>
        <v>Projected Years only</v>
      </c>
      <c r="C67" s="13"/>
      <c r="D67" s="36"/>
      <c r="E67" s="36"/>
      <c r="F67" s="36"/>
      <c r="G67" s="36"/>
      <c r="H67" s="36"/>
      <c r="I67" s="36"/>
      <c r="J67" s="19"/>
      <c r="K67" s="19"/>
      <c r="L67" s="19"/>
      <c r="M67" s="19"/>
      <c r="N67" s="19"/>
      <c r="O67" s="91" t="str">
        <f t="shared" ref="O67:X67" ca="1" si="37">IF(ROUND(O$49-(O$65-N$65),3)=0,"OK","ERROR")</f>
        <v>OK</v>
      </c>
      <c r="P67" s="91" t="str">
        <f t="shared" ca="1" si="37"/>
        <v>OK</v>
      </c>
      <c r="Q67" s="91" t="str">
        <f t="shared" ca="1" si="37"/>
        <v>OK</v>
      </c>
      <c r="R67" s="91" t="str">
        <f t="shared" ca="1" si="37"/>
        <v>OK</v>
      </c>
      <c r="S67" s="91" t="str">
        <f t="shared" ca="1" si="37"/>
        <v>OK</v>
      </c>
      <c r="T67" s="91" t="str">
        <f t="shared" ca="1" si="37"/>
        <v>OK</v>
      </c>
      <c r="U67" s="91" t="str">
        <f t="shared" ca="1" si="37"/>
        <v>OK</v>
      </c>
      <c r="V67" s="91" t="str">
        <f t="shared" ca="1" si="37"/>
        <v>OK</v>
      </c>
      <c r="W67" s="91" t="str">
        <f t="shared" ca="1" si="37"/>
        <v>OK</v>
      </c>
      <c r="X67" s="91" t="str">
        <f t="shared" ca="1" si="37"/>
        <v>OK</v>
      </c>
    </row>
    <row r="68" spans="1:24" x14ac:dyDescent="0.25">
      <c r="A68" s="9"/>
      <c r="B68" s="9"/>
      <c r="C68" s="13"/>
      <c r="D68" s="36"/>
      <c r="E68" s="36"/>
      <c r="F68" s="36"/>
      <c r="G68" s="36"/>
      <c r="H68" s="36"/>
      <c r="I68" s="36"/>
      <c r="J68" s="19"/>
      <c r="K68" s="19"/>
      <c r="L68" s="19"/>
      <c r="M68" s="19"/>
      <c r="N68" s="19"/>
      <c r="O68" s="18"/>
      <c r="P68" s="18"/>
      <c r="Q68" s="18"/>
      <c r="R68" s="18"/>
      <c r="S68" s="18"/>
      <c r="T68" s="18"/>
      <c r="U68" s="18"/>
      <c r="V68" s="18"/>
      <c r="W68" s="18"/>
      <c r="X68" s="18"/>
    </row>
    <row r="69" spans="1:24" x14ac:dyDescent="0.25">
      <c r="A69" s="12" t="s">
        <v>894</v>
      </c>
      <c r="B69" s="9"/>
      <c r="C69" s="13"/>
      <c r="D69" s="36"/>
      <c r="E69" s="36"/>
      <c r="F69" s="36"/>
      <c r="G69" s="36"/>
      <c r="H69" s="36"/>
      <c r="I69" s="36"/>
      <c r="J69" s="36"/>
      <c r="K69" s="36"/>
      <c r="L69" s="36"/>
      <c r="M69" s="36"/>
      <c r="N69" s="36"/>
      <c r="O69" s="13"/>
      <c r="P69" s="13"/>
      <c r="Q69" s="13"/>
      <c r="R69" s="13"/>
      <c r="S69" s="13"/>
      <c r="T69" s="13"/>
      <c r="U69" s="13"/>
      <c r="V69" s="13"/>
      <c r="W69" s="13"/>
      <c r="X69" s="13"/>
    </row>
    <row r="70" spans="1:24" x14ac:dyDescent="0.25">
      <c r="A70" s="9" t="s">
        <v>895</v>
      </c>
      <c r="B70" s="10" t="str">
        <f>$B$38</f>
        <v>From Fiscal Forecasts</v>
      </c>
      <c r="C70" s="13"/>
      <c r="D70" s="42">
        <f>'Fiscal Forecasts'!D$137</f>
        <v>110.248</v>
      </c>
      <c r="E70" s="42">
        <f>'Fiscal Forecasts'!E$137</f>
        <v>152.71700000000001</v>
      </c>
      <c r="F70" s="42">
        <f>'Fiscal Forecasts'!F$137</f>
        <v>162.56</v>
      </c>
      <c r="G70" s="42">
        <f>'Fiscal Forecasts'!G$137</f>
        <v>203.965</v>
      </c>
      <c r="H70" s="42">
        <f>'Fiscal Forecasts'!H$137</f>
        <v>226.755</v>
      </c>
      <c r="I70" s="42">
        <f>'Fiscal Forecasts'!I$137</f>
        <v>250.94300000000001</v>
      </c>
      <c r="J70" s="43">
        <f>'Fiscal Forecasts'!J$137</f>
        <v>277.57</v>
      </c>
      <c r="K70" s="43">
        <f>'Fiscal Forecasts'!K$137</f>
        <v>305.07600000000002</v>
      </c>
      <c r="L70" s="43">
        <f>'Fiscal Forecasts'!L$137</f>
        <v>325.91899999999998</v>
      </c>
      <c r="M70" s="43">
        <f>'Fiscal Forecasts'!M$137</f>
        <v>342.61099999999999</v>
      </c>
      <c r="N70" s="43">
        <f>'Fiscal Forecasts'!N$137</f>
        <v>354.2</v>
      </c>
      <c r="O70" s="47">
        <f t="shared" ref="O70:X70" ca="1" si="38">SUM(N$70,O$108)</f>
        <v>362.0290295273121</v>
      </c>
      <c r="P70" s="47">
        <f t="shared" ca="1" si="38"/>
        <v>371.74007222466213</v>
      </c>
      <c r="Q70" s="47">
        <f t="shared" ca="1" si="38"/>
        <v>381.83135882382453</v>
      </c>
      <c r="R70" s="47">
        <f t="shared" ca="1" si="38"/>
        <v>392.37519798363741</v>
      </c>
      <c r="S70" s="47">
        <f t="shared" ca="1" si="38"/>
        <v>403.26111641174668</v>
      </c>
      <c r="T70" s="47">
        <f t="shared" ca="1" si="38"/>
        <v>414.43041918100585</v>
      </c>
      <c r="U70" s="47">
        <f t="shared" ca="1" si="38"/>
        <v>425.73774159327087</v>
      </c>
      <c r="V70" s="47">
        <f t="shared" ca="1" si="38"/>
        <v>437.4202707417441</v>
      </c>
      <c r="W70" s="47">
        <f t="shared" ca="1" si="38"/>
        <v>449.75547404088036</v>
      </c>
      <c r="X70" s="47">
        <f t="shared" ca="1" si="38"/>
        <v>462.89439502142613</v>
      </c>
    </row>
    <row r="71" spans="1:24" x14ac:dyDescent="0.25">
      <c r="A71" s="11" t="s">
        <v>645</v>
      </c>
      <c r="B71" s="10" t="str">
        <f>$B$38</f>
        <v>From Fiscal Forecasts</v>
      </c>
      <c r="C71" s="13"/>
      <c r="D71" s="42">
        <f>'Fiscal Forecasts'!D$147</f>
        <v>91.51</v>
      </c>
      <c r="E71" s="42">
        <f>'Fiscal Forecasts'!E$147</f>
        <v>126.34099999999999</v>
      </c>
      <c r="F71" s="42">
        <f>'Fiscal Forecasts'!F$147</f>
        <v>132.54300000000001</v>
      </c>
      <c r="G71" s="42">
        <f>'Fiscal Forecasts'!G$147</f>
        <v>168.98599999999999</v>
      </c>
      <c r="H71" s="42">
        <f>'Fiscal Forecasts'!H$147</f>
        <v>191.029</v>
      </c>
      <c r="I71" s="42">
        <f>'Fiscal Forecasts'!I$147</f>
        <v>216.34899999999999</v>
      </c>
      <c r="J71" s="43">
        <f>'Fiscal Forecasts'!J$147</f>
        <v>244.69399999999999</v>
      </c>
      <c r="K71" s="43">
        <f>'Fiscal Forecasts'!K$147</f>
        <v>266.68599999999998</v>
      </c>
      <c r="L71" s="43">
        <f>'Fiscal Forecasts'!L$147</f>
        <v>283.69200000000001</v>
      </c>
      <c r="M71" s="43">
        <f>'Fiscal Forecasts'!M$147</f>
        <v>295.63799999999998</v>
      </c>
      <c r="N71" s="43">
        <f>'Fiscal Forecasts'!N$147</f>
        <v>304.26799999999997</v>
      </c>
      <c r="O71" s="47">
        <f t="shared" ref="O71:X71" ca="1" si="39">SUM(N$71,O$518)</f>
        <v>309.39880766545031</v>
      </c>
      <c r="P71" s="47">
        <f t="shared" ca="1" si="39"/>
        <v>317.00009144800919</v>
      </c>
      <c r="Q71" s="47">
        <f t="shared" ca="1" si="39"/>
        <v>325.70293557560899</v>
      </c>
      <c r="R71" s="47">
        <f t="shared" ca="1" si="39"/>
        <v>335.6178098008134</v>
      </c>
      <c r="S71" s="47">
        <f t="shared" ca="1" si="39"/>
        <v>346.69837958905919</v>
      </c>
      <c r="T71" s="47">
        <f t="shared" ca="1" si="39"/>
        <v>359.03343198608042</v>
      </c>
      <c r="U71" s="47">
        <f t="shared" ca="1" si="39"/>
        <v>372.52492257268779</v>
      </c>
      <c r="V71" s="47">
        <f t="shared" ca="1" si="39"/>
        <v>387.23000220406158</v>
      </c>
      <c r="W71" s="47">
        <f t="shared" ca="1" si="39"/>
        <v>403.25562947442336</v>
      </c>
      <c r="X71" s="47">
        <f t="shared" ca="1" si="39"/>
        <v>420.71163925207952</v>
      </c>
    </row>
    <row r="72" spans="1:24" x14ac:dyDescent="0.25">
      <c r="A72" s="11" t="s">
        <v>646</v>
      </c>
      <c r="B72" s="10" t="str">
        <f t="shared" ref="B72:B80" si="40">$B$38</f>
        <v>From Fiscal Forecasts</v>
      </c>
      <c r="C72" s="13"/>
      <c r="D72" s="35">
        <f>'Fiscal Forecasts'!D$148</f>
        <v>0.251</v>
      </c>
      <c r="E72" s="35">
        <f>'Fiscal Forecasts'!E$148</f>
        <v>5.5E-2</v>
      </c>
      <c r="F72" s="35">
        <f>'Fiscal Forecasts'!F$148</f>
        <v>2.1000000000000001E-2</v>
      </c>
      <c r="G72" s="35">
        <f>'Fiscal Forecasts'!G$148</f>
        <v>0.20799999999999999</v>
      </c>
      <c r="H72" s="35">
        <f>'Fiscal Forecasts'!H$148</f>
        <v>0.96199999999999997</v>
      </c>
      <c r="I72" s="35">
        <f>'Fiscal Forecasts'!I$148</f>
        <v>0.84699999999999998</v>
      </c>
      <c r="J72" s="17">
        <f>'Fiscal Forecasts'!J$148</f>
        <v>5.6289999999999996</v>
      </c>
      <c r="K72" s="17">
        <f>'Fiscal Forecasts'!K$148</f>
        <v>5.2130000000000001</v>
      </c>
      <c r="L72" s="17">
        <f>'Fiscal Forecasts'!L$148</f>
        <v>6.266</v>
      </c>
      <c r="M72" s="17">
        <f>'Fiscal Forecasts'!M$148</f>
        <v>5.5540000000000003</v>
      </c>
      <c r="N72" s="17">
        <f>'Fiscal Forecasts'!N$148</f>
        <v>5.21</v>
      </c>
      <c r="O72" s="16">
        <f t="shared" ref="O72:X72" ca="1" si="41">N$72*(1+O$29)</f>
        <v>5.3142000000000005</v>
      </c>
      <c r="P72" s="16">
        <f t="shared" ca="1" si="41"/>
        <v>5.420484000000001</v>
      </c>
      <c r="Q72" s="16">
        <f t="shared" ca="1" si="41"/>
        <v>5.5288936800000013</v>
      </c>
      <c r="R72" s="16">
        <f t="shared" ca="1" si="41"/>
        <v>5.6394715536000017</v>
      </c>
      <c r="S72" s="16">
        <f t="shared" ca="1" si="41"/>
        <v>5.7522609846720023</v>
      </c>
      <c r="T72" s="16">
        <f t="shared" ca="1" si="41"/>
        <v>5.867306204365442</v>
      </c>
      <c r="U72" s="16">
        <f t="shared" ca="1" si="41"/>
        <v>5.9846523284527509</v>
      </c>
      <c r="V72" s="16">
        <f t="shared" ca="1" si="41"/>
        <v>6.104345375021806</v>
      </c>
      <c r="W72" s="16">
        <f t="shared" ca="1" si="41"/>
        <v>6.226432282522242</v>
      </c>
      <c r="X72" s="16">
        <f t="shared" ca="1" si="41"/>
        <v>6.3509609281726869</v>
      </c>
    </row>
    <row r="73" spans="1:24" x14ac:dyDescent="0.25">
      <c r="A73" s="11" t="s">
        <v>1044</v>
      </c>
      <c r="B73" s="10" t="str">
        <f t="shared" si="40"/>
        <v>From Fiscal Forecasts</v>
      </c>
      <c r="C73" s="13"/>
      <c r="D73" s="35">
        <f>'Fiscal Forecasts'!D$149</f>
        <v>0.90300000000000002</v>
      </c>
      <c r="E73" s="35">
        <f>'Fiscal Forecasts'!E$149</f>
        <v>2.6749999999999998</v>
      </c>
      <c r="F73" s="35">
        <f>'Fiscal Forecasts'!F$149</f>
        <v>2.2170000000000001</v>
      </c>
      <c r="G73" s="35">
        <f>'Fiscal Forecasts'!G$149</f>
        <v>9.99</v>
      </c>
      <c r="H73" s="35">
        <f>'Fiscal Forecasts'!H$149</f>
        <v>3.093</v>
      </c>
      <c r="I73" s="35">
        <f>'Fiscal Forecasts'!I$149</f>
        <v>2.754</v>
      </c>
      <c r="J73" s="17">
        <f>'Fiscal Forecasts'!J$149</f>
        <v>6.6070000000000002</v>
      </c>
      <c r="K73" s="17">
        <f>'Fiscal Forecasts'!K$149</f>
        <v>6.3109999999999999</v>
      </c>
      <c r="L73" s="17">
        <f>'Fiscal Forecasts'!L$149</f>
        <v>7.3639999999999999</v>
      </c>
      <c r="M73" s="17">
        <f>'Fiscal Forecasts'!M$149</f>
        <v>6.6509999999999998</v>
      </c>
      <c r="N73" s="17">
        <f>'Fiscal Forecasts'!N$149</f>
        <v>6.335</v>
      </c>
      <c r="O73" s="16">
        <f ca="1">OFFSET(Assumptions!$B$53,0,$C$1)*O$394</f>
        <v>5.0083082706011082</v>
      </c>
      <c r="P73" s="16">
        <f ca="1">OFFSET(Assumptions!$B$53,0,$C$1)*P$394</f>
        <v>5.303445993985485</v>
      </c>
      <c r="Q73" s="16">
        <f ca="1">OFFSET(Assumptions!$B$53,0,$C$1)*Q$394</f>
        <v>5.6088278429922438</v>
      </c>
      <c r="R73" s="16">
        <f ca="1">OFFSET(Assumptions!$B$53,0,$C$1)*R$394</f>
        <v>5.9223912278876014</v>
      </c>
      <c r="S73" s="16">
        <f ca="1">OFFSET(Assumptions!$B$53,0,$C$1)*S$394</f>
        <v>6.2431275008564224</v>
      </c>
      <c r="T73" s="16">
        <f ca="1">OFFSET(Assumptions!$B$53,0,$C$1)*T$394</f>
        <v>6.5718228075012632</v>
      </c>
      <c r="U73" s="16">
        <f ca="1">OFFSET(Assumptions!$B$53,0,$C$1)*U$394</f>
        <v>6.9066586412970077</v>
      </c>
      <c r="V73" s="16">
        <f ca="1">OFFSET(Assumptions!$B$53,0,$C$1)*V$394</f>
        <v>7.2489560832900279</v>
      </c>
      <c r="W73" s="16">
        <f ca="1">OFFSET(Assumptions!$B$53,0,$C$1)*W$394</f>
        <v>7.6024543097193593</v>
      </c>
      <c r="X73" s="16">
        <f ca="1">OFFSET(Assumptions!$B$53,0,$C$1)*X$394</f>
        <v>7.9713789773345125</v>
      </c>
    </row>
    <row r="74" spans="1:24" x14ac:dyDescent="0.25">
      <c r="A74" s="11" t="s">
        <v>1045</v>
      </c>
      <c r="B74" s="10" t="str">
        <f t="shared" si="40"/>
        <v>From Fiscal Forecasts</v>
      </c>
      <c r="C74" s="13"/>
      <c r="D74" s="35">
        <f>'Fiscal Forecasts'!D$150</f>
        <v>92.590999999999994</v>
      </c>
      <c r="E74" s="35">
        <f>'Fiscal Forecasts'!E$150</f>
        <v>101.77800000000001</v>
      </c>
      <c r="F74" s="35">
        <f>'Fiscal Forecasts'!F$150</f>
        <v>108.423</v>
      </c>
      <c r="G74" s="35">
        <f>'Fiscal Forecasts'!G$150</f>
        <v>121.13800000000001</v>
      </c>
      <c r="H74" s="35">
        <f>'Fiscal Forecasts'!H$150</f>
        <v>135.595</v>
      </c>
      <c r="I74" s="35">
        <f>'Fiscal Forecasts'!I$150</f>
        <v>154.9</v>
      </c>
      <c r="J74" s="17">
        <f>'Fiscal Forecasts'!J$150</f>
        <v>178.327</v>
      </c>
      <c r="K74" s="17">
        <f>'Fiscal Forecasts'!K$150</f>
        <v>184.34800000000001</v>
      </c>
      <c r="L74" s="17">
        <f>'Fiscal Forecasts'!L$150</f>
        <v>192.185</v>
      </c>
      <c r="M74" s="17">
        <f>'Fiscal Forecasts'!M$150</f>
        <v>198.71100000000001</v>
      </c>
      <c r="N74" s="17">
        <f>'Fiscal Forecasts'!N$150</f>
        <v>206.35</v>
      </c>
      <c r="O74" s="16">
        <f t="shared" ref="O74:X74" ca="1" si="42">SUM(O$355,O$368,O$377,O$397,O$403)</f>
        <v>211.19504072049011</v>
      </c>
      <c r="P74" s="16">
        <f t="shared" ca="1" si="42"/>
        <v>217.89289636413051</v>
      </c>
      <c r="Q74" s="16">
        <f t="shared" ca="1" si="42"/>
        <v>224.80707839071698</v>
      </c>
      <c r="R74" s="16">
        <f t="shared" ca="1" si="42"/>
        <v>231.88820532530087</v>
      </c>
      <c r="S74" s="16">
        <f t="shared" ca="1" si="42"/>
        <v>239.11210667478636</v>
      </c>
      <c r="T74" s="16">
        <f t="shared" ca="1" si="42"/>
        <v>246.48584164773231</v>
      </c>
      <c r="U74" s="16">
        <f t="shared" ca="1" si="42"/>
        <v>253.96863580884855</v>
      </c>
      <c r="V74" s="16">
        <f t="shared" ca="1" si="42"/>
        <v>261.58583681645962</v>
      </c>
      <c r="W74" s="16">
        <f t="shared" ca="1" si="42"/>
        <v>269.42234041725624</v>
      </c>
      <c r="X74" s="16">
        <f t="shared" ca="1" si="42"/>
        <v>277.57621770886936</v>
      </c>
    </row>
    <row r="75" spans="1:24" x14ac:dyDescent="0.25">
      <c r="A75" s="11" t="s">
        <v>1046</v>
      </c>
      <c r="B75" s="10" t="str">
        <f t="shared" si="40"/>
        <v>From Fiscal Forecasts</v>
      </c>
      <c r="C75" s="13"/>
      <c r="D75" s="35">
        <f>'Fiscal Forecasts'!D$151</f>
        <v>0.66900000000000004</v>
      </c>
      <c r="E75" s="35">
        <f>'Fiscal Forecasts'!E$151</f>
        <v>1.9E-2</v>
      </c>
      <c r="F75" s="35">
        <f>'Fiscal Forecasts'!F$151</f>
        <v>5.6000000000000001E-2</v>
      </c>
      <c r="G75" s="35">
        <f>'Fiscal Forecasts'!G$151</f>
        <v>0.55100000000000005</v>
      </c>
      <c r="H75" s="35">
        <f>'Fiscal Forecasts'!H$151</f>
        <v>2.5649999999999999</v>
      </c>
      <c r="I75" s="35">
        <f>'Fiscal Forecasts'!I$151</f>
        <v>3.278</v>
      </c>
      <c r="J75" s="17">
        <f>'Fiscal Forecasts'!J$151</f>
        <v>4.8579999999999997</v>
      </c>
      <c r="K75" s="17">
        <f>'Fiscal Forecasts'!K$151</f>
        <v>4.2329999999999997</v>
      </c>
      <c r="L75" s="17">
        <f>'Fiscal Forecasts'!L$151</f>
        <v>4.2619999999999996</v>
      </c>
      <c r="M75" s="17">
        <f>'Fiscal Forecasts'!M$151</f>
        <v>4.2910000000000004</v>
      </c>
      <c r="N75" s="17">
        <f>'Fiscal Forecasts'!N$151</f>
        <v>4.3239999999999998</v>
      </c>
      <c r="O75" s="16">
        <f t="shared" ref="O75:X75" ca="1" si="43">N$75*(1+O$29)</f>
        <v>4.4104799999999997</v>
      </c>
      <c r="P75" s="16">
        <f t="shared" ca="1" si="43"/>
        <v>4.4986895999999996</v>
      </c>
      <c r="Q75" s="16">
        <f t="shared" ca="1" si="43"/>
        <v>4.588663392</v>
      </c>
      <c r="R75" s="16">
        <f t="shared" ca="1" si="43"/>
        <v>4.6804366598399998</v>
      </c>
      <c r="S75" s="16">
        <f t="shared" ca="1" si="43"/>
        <v>4.7740453930367996</v>
      </c>
      <c r="T75" s="16">
        <f t="shared" ca="1" si="43"/>
        <v>4.8695263008975358</v>
      </c>
      <c r="U75" s="16">
        <f t="shared" ca="1" si="43"/>
        <v>4.9669168269154866</v>
      </c>
      <c r="V75" s="16">
        <f t="shared" ca="1" si="43"/>
        <v>5.0662551634537962</v>
      </c>
      <c r="W75" s="16">
        <f t="shared" ca="1" si="43"/>
        <v>5.1675802667228723</v>
      </c>
      <c r="X75" s="16">
        <f t="shared" ca="1" si="43"/>
        <v>5.2709318720573295</v>
      </c>
    </row>
    <row r="76" spans="1:24" x14ac:dyDescent="0.25">
      <c r="A76" s="11" t="s">
        <v>650</v>
      </c>
      <c r="B76" s="10" t="str">
        <f t="shared" si="40"/>
        <v>From Fiscal Forecasts</v>
      </c>
      <c r="C76" s="13"/>
      <c r="D76" s="35">
        <f>'Fiscal Forecasts'!D$152</f>
        <v>46.292999999999999</v>
      </c>
      <c r="E76" s="35">
        <f>'Fiscal Forecasts'!E$152</f>
        <v>46.895000000000003</v>
      </c>
      <c r="F76" s="35">
        <f>'Fiscal Forecasts'!F$152</f>
        <v>61.483999999999995</v>
      </c>
      <c r="G76" s="35">
        <f>'Fiscal Forecasts'!G$152</f>
        <v>65.254999999999995</v>
      </c>
      <c r="H76" s="35">
        <f>'Fiscal Forecasts'!H$152</f>
        <v>67.994000000000014</v>
      </c>
      <c r="I76" s="35">
        <f>'Fiscal Forecasts'!I$152</f>
        <v>78.811999999999998</v>
      </c>
      <c r="J76" s="17">
        <f>'Fiscal Forecasts'!J$152</f>
        <v>90.046999999999997</v>
      </c>
      <c r="K76" s="17">
        <f>'Fiscal Forecasts'!K$152</f>
        <v>93.933000000000007</v>
      </c>
      <c r="L76" s="17">
        <f>'Fiscal Forecasts'!L$152</f>
        <v>100.199</v>
      </c>
      <c r="M76" s="17">
        <f>'Fiscal Forecasts'!M$152</f>
        <v>104.995</v>
      </c>
      <c r="N76" s="17">
        <f>'Fiscal Forecasts'!N$152</f>
        <v>110.628</v>
      </c>
      <c r="O76" s="16">
        <f t="shared" ref="O76:X76" ca="1" si="44">SUM(O$353,O$366,O$375,O$397,O$400,O$75-O$72)</f>
        <v>115.5183207204901</v>
      </c>
      <c r="P76" s="16">
        <f t="shared" ca="1" si="44"/>
        <v>122.28010196413048</v>
      </c>
      <c r="Q76" s="16">
        <f t="shared" ca="1" si="44"/>
        <v>129.27684810271697</v>
      </c>
      <c r="R76" s="16">
        <f t="shared" ca="1" si="44"/>
        <v>136.46117043154086</v>
      </c>
      <c r="S76" s="16">
        <f t="shared" ca="1" si="44"/>
        <v>143.80989108315114</v>
      </c>
      <c r="T76" s="16">
        <f t="shared" ca="1" si="44"/>
        <v>151.34106174426441</v>
      </c>
      <c r="U76" s="16">
        <f t="shared" ca="1" si="44"/>
        <v>159.01290030731127</v>
      </c>
      <c r="V76" s="16">
        <f t="shared" ca="1" si="44"/>
        <v>166.85574660489161</v>
      </c>
      <c r="W76" s="16">
        <f t="shared" ca="1" si="44"/>
        <v>174.95548840145685</v>
      </c>
      <c r="X76" s="16">
        <f t="shared" ca="1" si="44"/>
        <v>183.40918865275401</v>
      </c>
    </row>
    <row r="77" spans="1:24" x14ac:dyDescent="0.25">
      <c r="A77" s="11" t="s">
        <v>651</v>
      </c>
      <c r="B77" s="10" t="str">
        <f t="shared" si="40"/>
        <v>From Fiscal Forecasts</v>
      </c>
      <c r="C77" s="13"/>
      <c r="D77" s="35">
        <f>'Fiscal Forecasts'!D$153</f>
        <v>13.845000000000001</v>
      </c>
      <c r="E77" s="35">
        <f>'Fiscal Forecasts'!E$153</f>
        <v>14.555999999999999</v>
      </c>
      <c r="F77" s="35">
        <f>'Fiscal Forecasts'!F$153</f>
        <v>18.728000000000002</v>
      </c>
      <c r="G77" s="35">
        <f>'Fiscal Forecasts'!G$153</f>
        <v>26.103000000000002</v>
      </c>
      <c r="H77" s="35">
        <f>'Fiscal Forecasts'!H$153</f>
        <v>36.540999999999997</v>
      </c>
      <c r="I77" s="35">
        <f>'Fiscal Forecasts'!I$153</f>
        <v>40.387999999999998</v>
      </c>
      <c r="J77" s="17">
        <f>'Fiscal Forecasts'!J$153</f>
        <v>35.066000000000003</v>
      </c>
      <c r="K77" s="17">
        <f>'Fiscal Forecasts'!K$153</f>
        <v>29.248000000000001</v>
      </c>
      <c r="L77" s="17">
        <f>'Fiscal Forecasts'!L$153</f>
        <v>32.091999999999999</v>
      </c>
      <c r="M77" s="17">
        <f>'Fiscal Forecasts'!M$153</f>
        <v>33.713999999999999</v>
      </c>
      <c r="N77" s="17">
        <f>'Fiscal Forecasts'!N$153</f>
        <v>35.417999999999999</v>
      </c>
      <c r="O77" s="16">
        <f t="shared" ref="O77:X77" si="45">SUM(O$401:O$402)</f>
        <v>35.354999999999997</v>
      </c>
      <c r="P77" s="16">
        <f t="shared" si="45"/>
        <v>35.272999999999996</v>
      </c>
      <c r="Q77" s="16">
        <f t="shared" si="45"/>
        <v>35.171999999999997</v>
      </c>
      <c r="R77" s="16">
        <f t="shared" si="45"/>
        <v>35.049999999999997</v>
      </c>
      <c r="S77" s="16">
        <f t="shared" si="45"/>
        <v>34.905999999999999</v>
      </c>
      <c r="T77" s="16">
        <f t="shared" si="45"/>
        <v>34.728999999999999</v>
      </c>
      <c r="U77" s="16">
        <f t="shared" si="45"/>
        <v>34.519999999999996</v>
      </c>
      <c r="V77" s="16">
        <f t="shared" si="45"/>
        <v>34.274000000000001</v>
      </c>
      <c r="W77" s="16">
        <f t="shared" si="45"/>
        <v>33.989999999999995</v>
      </c>
      <c r="X77" s="16">
        <f t="shared" si="45"/>
        <v>33.668999999999997</v>
      </c>
    </row>
    <row r="78" spans="1:24" x14ac:dyDescent="0.25">
      <c r="A78" s="9" t="s">
        <v>896</v>
      </c>
      <c r="B78" s="9"/>
      <c r="C78" s="13"/>
      <c r="D78" s="65">
        <f>SUM(D$71,D$72,D$76,D$77)-SUM(D$73,D$74,D$75)</f>
        <v>57.736000000000004</v>
      </c>
      <c r="E78" s="65">
        <f t="shared" ref="E78:X78" si="46">SUM(E$71,E$72,E$76,E$77)-SUM(E$73,E$74,E$75)</f>
        <v>83.375</v>
      </c>
      <c r="F78" s="65">
        <f t="shared" si="46"/>
        <v>102.08000000000001</v>
      </c>
      <c r="G78" s="65">
        <f t="shared" si="46"/>
        <v>128.87299999999996</v>
      </c>
      <c r="H78" s="65">
        <f t="shared" si="46"/>
        <v>155.27300000000002</v>
      </c>
      <c r="I78" s="65">
        <f t="shared" si="46"/>
        <v>175.46399999999997</v>
      </c>
      <c r="J78" s="66">
        <f t="shared" si="46"/>
        <v>185.64400000000003</v>
      </c>
      <c r="K78" s="66">
        <f t="shared" si="46"/>
        <v>200.18799999999996</v>
      </c>
      <c r="L78" s="66">
        <f t="shared" si="46"/>
        <v>218.43800000000002</v>
      </c>
      <c r="M78" s="66">
        <f t="shared" si="46"/>
        <v>230.24799999999993</v>
      </c>
      <c r="N78" s="66">
        <f t="shared" si="46"/>
        <v>238.51499999999993</v>
      </c>
      <c r="O78" s="92">
        <f t="shared" ca="1" si="46"/>
        <v>244.97249939484919</v>
      </c>
      <c r="P78" s="92">
        <f t="shared" ca="1" si="46"/>
        <v>252.27864545402363</v>
      </c>
      <c r="Q78" s="92">
        <f t="shared" ca="1" si="46"/>
        <v>260.67610773261674</v>
      </c>
      <c r="R78" s="92">
        <f t="shared" ca="1" si="46"/>
        <v>270.27741857292574</v>
      </c>
      <c r="S78" s="92">
        <f t="shared" ca="1" si="46"/>
        <v>281.03725208820271</v>
      </c>
      <c r="T78" s="92">
        <f t="shared" ca="1" si="46"/>
        <v>293.04360917857917</v>
      </c>
      <c r="U78" s="92">
        <f t="shared" ca="1" si="46"/>
        <v>306.20026393139079</v>
      </c>
      <c r="V78" s="92">
        <f t="shared" ca="1" si="46"/>
        <v>320.56304612077162</v>
      </c>
      <c r="W78" s="92">
        <f t="shared" ca="1" si="46"/>
        <v>336.235175164704</v>
      </c>
      <c r="X78" s="92">
        <f t="shared" ca="1" si="46"/>
        <v>353.32226027474508</v>
      </c>
    </row>
    <row r="79" spans="1:24" x14ac:dyDescent="0.25">
      <c r="A79" s="11" t="s">
        <v>653</v>
      </c>
      <c r="B79" s="10" t="str">
        <f t="shared" si="40"/>
        <v>From Fiscal Forecasts</v>
      </c>
      <c r="C79" s="13"/>
      <c r="D79" s="35">
        <f>'Fiscal Forecasts'!D$155</f>
        <v>6.931</v>
      </c>
      <c r="E79" s="35">
        <f>'Fiscal Forecasts'!E$155</f>
        <v>11.111000000000001</v>
      </c>
      <c r="F79" s="35">
        <f>'Fiscal Forecasts'!F$155</f>
        <v>11.836</v>
      </c>
      <c r="G79" s="35">
        <f>'Fiscal Forecasts'!G$155</f>
        <v>14.345000000000001</v>
      </c>
      <c r="H79" s="35">
        <f>'Fiscal Forecasts'!H$155</f>
        <v>48.11</v>
      </c>
      <c r="I79" s="35">
        <f>'Fiscal Forecasts'!I$155</f>
        <v>56.47</v>
      </c>
      <c r="J79" s="17">
        <f>'Fiscal Forecasts'!J$155</f>
        <v>62.162999999999997</v>
      </c>
      <c r="K79" s="17">
        <f>'Fiscal Forecasts'!K$155</f>
        <v>67.882999999999996</v>
      </c>
      <c r="L79" s="17">
        <f>'Fiscal Forecasts'!L$155</f>
        <v>73.34</v>
      </c>
      <c r="M79" s="17">
        <f>'Fiscal Forecasts'!M$155</f>
        <v>78.39</v>
      </c>
      <c r="N79" s="17">
        <f>'Fiscal Forecasts'!N$155</f>
        <v>82.649000000000001</v>
      </c>
      <c r="O79" s="16">
        <f t="shared" ref="O79:X79" ca="1" si="47">N$79+O$80-N$80</f>
        <v>84.811425450562993</v>
      </c>
      <c r="P79" s="16">
        <f t="shared" ca="1" si="47"/>
        <v>87.041151233088783</v>
      </c>
      <c r="Q79" s="16">
        <f t="shared" ca="1" si="47"/>
        <v>89.275718359475107</v>
      </c>
      <c r="R79" s="16">
        <f t="shared" ca="1" si="47"/>
        <v>91.510087401571781</v>
      </c>
      <c r="S79" s="16">
        <f t="shared" ca="1" si="47"/>
        <v>93.793723523637368</v>
      </c>
      <c r="T79" s="16">
        <f t="shared" ca="1" si="47"/>
        <v>96.12314169277056</v>
      </c>
      <c r="U79" s="16">
        <f t="shared" ca="1" si="47"/>
        <v>98.483618115721697</v>
      </c>
      <c r="V79" s="16">
        <f t="shared" ca="1" si="47"/>
        <v>100.87958384620518</v>
      </c>
      <c r="W79" s="16">
        <f t="shared" ca="1" si="47"/>
        <v>103.31094961895703</v>
      </c>
      <c r="X79" s="16">
        <f t="shared" ca="1" si="47"/>
        <v>105.79603706222977</v>
      </c>
    </row>
    <row r="80" spans="1:24" x14ac:dyDescent="0.25">
      <c r="A80" s="11" t="s">
        <v>1170</v>
      </c>
      <c r="B80" s="10" t="str">
        <f t="shared" si="40"/>
        <v>From Fiscal Forecasts</v>
      </c>
      <c r="C80" s="13"/>
      <c r="D80" s="35">
        <f>'Fiscal Forecasts'!D$156</f>
        <v>0</v>
      </c>
      <c r="E80" s="35">
        <f>'Fiscal Forecasts'!E$156</f>
        <v>0</v>
      </c>
      <c r="F80" s="35">
        <f>'Fiscal Forecasts'!F$156</f>
        <v>0</v>
      </c>
      <c r="G80" s="35">
        <f>'Fiscal Forecasts'!G$156</f>
        <v>0</v>
      </c>
      <c r="H80" s="35">
        <f>'Fiscal Forecasts'!H$156</f>
        <v>30.574000000000002</v>
      </c>
      <c r="I80" s="35">
        <f>'Fiscal Forecasts'!I$156</f>
        <v>33.290999999999997</v>
      </c>
      <c r="J80" s="17">
        <f>'Fiscal Forecasts'!J$156</f>
        <v>36.505000000000003</v>
      </c>
      <c r="K80" s="17">
        <f>'Fiscal Forecasts'!K$156</f>
        <v>40.314999999999998</v>
      </c>
      <c r="L80" s="17">
        <f>'Fiscal Forecasts'!L$156</f>
        <v>44.011000000000003</v>
      </c>
      <c r="M80" s="17">
        <f>'Fiscal Forecasts'!M$156</f>
        <v>48.152999999999999</v>
      </c>
      <c r="N80" s="17">
        <f>'Fiscal Forecasts'!N$156</f>
        <v>51.787999999999997</v>
      </c>
      <c r="O80" s="16">
        <f t="shared" ref="O80:X80" ca="1" si="48">N$80+O$404-N$404</f>
        <v>53.950425450562982</v>
      </c>
      <c r="P80" s="16">
        <f t="shared" ca="1" si="48"/>
        <v>56.180151233088779</v>
      </c>
      <c r="Q80" s="16">
        <f t="shared" ca="1" si="48"/>
        <v>58.414718359475103</v>
      </c>
      <c r="R80" s="16">
        <f t="shared" ca="1" si="48"/>
        <v>60.649087401571769</v>
      </c>
      <c r="S80" s="16">
        <f t="shared" ca="1" si="48"/>
        <v>62.932723523637343</v>
      </c>
      <c r="T80" s="16">
        <f t="shared" ca="1" si="48"/>
        <v>65.262141692770541</v>
      </c>
      <c r="U80" s="16">
        <f t="shared" ca="1" si="48"/>
        <v>67.622618115721679</v>
      </c>
      <c r="V80" s="16">
        <f t="shared" ca="1" si="48"/>
        <v>70.018583846205175</v>
      </c>
      <c r="W80" s="16">
        <f t="shared" ca="1" si="48"/>
        <v>72.449949618957021</v>
      </c>
      <c r="X80" s="16">
        <f t="shared" ca="1" si="48"/>
        <v>74.935037062229767</v>
      </c>
    </row>
    <row r="81" spans="1:24" x14ac:dyDescent="0.25">
      <c r="A81" s="9" t="s">
        <v>830</v>
      </c>
      <c r="B81" s="9"/>
      <c r="C81" s="13"/>
      <c r="D81" s="65">
        <f>SUM(D$78,D$79)-SUM(D$77,D$80)</f>
        <v>50.822000000000003</v>
      </c>
      <c r="E81" s="65">
        <f t="shared" ref="E81:X81" si="49">SUM(E$78,E$79)-SUM(E$77,E$80)</f>
        <v>79.930000000000007</v>
      </c>
      <c r="F81" s="65">
        <f t="shared" si="49"/>
        <v>95.188000000000017</v>
      </c>
      <c r="G81" s="65">
        <f t="shared" si="49"/>
        <v>117.11499999999995</v>
      </c>
      <c r="H81" s="65">
        <f t="shared" si="49"/>
        <v>136.26800000000003</v>
      </c>
      <c r="I81" s="65">
        <f t="shared" si="49"/>
        <v>158.25499999999997</v>
      </c>
      <c r="J81" s="66">
        <f t="shared" si="49"/>
        <v>176.23600000000002</v>
      </c>
      <c r="K81" s="66">
        <f t="shared" si="49"/>
        <v>198.50799999999998</v>
      </c>
      <c r="L81" s="66">
        <f t="shared" si="49"/>
        <v>215.67500000000001</v>
      </c>
      <c r="M81" s="66">
        <f t="shared" si="49"/>
        <v>226.77099999999993</v>
      </c>
      <c r="N81" s="66">
        <f t="shared" si="49"/>
        <v>233.95799999999994</v>
      </c>
      <c r="O81" s="92">
        <f t="shared" ca="1" si="49"/>
        <v>240.47849939484919</v>
      </c>
      <c r="P81" s="92">
        <f t="shared" ca="1" si="49"/>
        <v>247.86664545402368</v>
      </c>
      <c r="Q81" s="92">
        <f t="shared" ca="1" si="49"/>
        <v>256.36510773261671</v>
      </c>
      <c r="R81" s="92">
        <f t="shared" ca="1" si="49"/>
        <v>266.08841857292578</v>
      </c>
      <c r="S81" s="92">
        <f t="shared" ca="1" si="49"/>
        <v>276.99225208820275</v>
      </c>
      <c r="T81" s="92">
        <f t="shared" ca="1" si="49"/>
        <v>289.17560917857918</v>
      </c>
      <c r="U81" s="92">
        <f t="shared" ca="1" si="49"/>
        <v>302.5412639313908</v>
      </c>
      <c r="V81" s="92">
        <f t="shared" ca="1" si="49"/>
        <v>317.15004612077166</v>
      </c>
      <c r="W81" s="92">
        <f t="shared" ca="1" si="49"/>
        <v>333.10617516470398</v>
      </c>
      <c r="X81" s="92">
        <f t="shared" ca="1" si="49"/>
        <v>350.51426027474508</v>
      </c>
    </row>
    <row r="82" spans="1:24" x14ac:dyDescent="0.25">
      <c r="A82" s="9" t="s">
        <v>656</v>
      </c>
      <c r="B82" s="9"/>
      <c r="C82" s="13"/>
      <c r="D82" s="65">
        <f>SUM(D$81,D$73)-D$76</f>
        <v>5.4320000000000022</v>
      </c>
      <c r="E82" s="65">
        <f t="shared" ref="E82:X82" si="50">SUM(E$81,E$73)-E$76</f>
        <v>35.71</v>
      </c>
      <c r="F82" s="65">
        <f t="shared" si="50"/>
        <v>35.921000000000021</v>
      </c>
      <c r="G82" s="65">
        <f t="shared" si="50"/>
        <v>61.849999999999952</v>
      </c>
      <c r="H82" s="65">
        <f t="shared" si="50"/>
        <v>71.367000000000004</v>
      </c>
      <c r="I82" s="65">
        <f t="shared" si="50"/>
        <v>82.19699999999996</v>
      </c>
      <c r="J82" s="66">
        <f t="shared" si="50"/>
        <v>92.796000000000021</v>
      </c>
      <c r="K82" s="66">
        <f t="shared" si="50"/>
        <v>110.88599999999998</v>
      </c>
      <c r="L82" s="66">
        <f t="shared" si="50"/>
        <v>122.84000000000002</v>
      </c>
      <c r="M82" s="66">
        <f t="shared" si="50"/>
        <v>128.42699999999994</v>
      </c>
      <c r="N82" s="66">
        <f t="shared" si="50"/>
        <v>129.66499999999996</v>
      </c>
      <c r="O82" s="92">
        <f t="shared" ca="1" si="50"/>
        <v>129.9684869449602</v>
      </c>
      <c r="P82" s="92">
        <f t="shared" ca="1" si="50"/>
        <v>130.88998948387871</v>
      </c>
      <c r="Q82" s="92">
        <f t="shared" ca="1" si="50"/>
        <v>132.69708747289198</v>
      </c>
      <c r="R82" s="92">
        <f t="shared" ca="1" si="50"/>
        <v>135.54963936927251</v>
      </c>
      <c r="S82" s="92">
        <f t="shared" ca="1" si="50"/>
        <v>139.42548850590802</v>
      </c>
      <c r="T82" s="92">
        <f t="shared" ca="1" si="50"/>
        <v>144.40637024181601</v>
      </c>
      <c r="U82" s="92">
        <f t="shared" ca="1" si="50"/>
        <v>150.43502226537652</v>
      </c>
      <c r="V82" s="92">
        <f t="shared" ca="1" si="50"/>
        <v>157.54325559917007</v>
      </c>
      <c r="W82" s="92">
        <f t="shared" ca="1" si="50"/>
        <v>165.75314107296649</v>
      </c>
      <c r="X82" s="92">
        <f t="shared" ca="1" si="50"/>
        <v>175.07645059932557</v>
      </c>
    </row>
    <row r="83" spans="1:24" x14ac:dyDescent="0.25">
      <c r="A83" s="55" t="s">
        <v>897</v>
      </c>
      <c r="B83" s="10" t="str">
        <f>$B$42</f>
        <v>Outturn &amp; Forecast only</v>
      </c>
      <c r="C83" s="13"/>
      <c r="D83" s="91" t="str">
        <f>IF(ROUND('Fiscal Forecasts'!D$158-D$82,3)=0,"OK","ERROR")</f>
        <v>OK</v>
      </c>
      <c r="E83" s="91" t="str">
        <f>IF(ROUND('Fiscal Forecasts'!E$158-E$82,3)=0,"OK","ERROR")</f>
        <v>OK</v>
      </c>
      <c r="F83" s="91" t="str">
        <f>IF(ROUND('Fiscal Forecasts'!F$158-F$82,3)=0,"OK","ERROR")</f>
        <v>OK</v>
      </c>
      <c r="G83" s="91" t="str">
        <f>IF(ROUND('Fiscal Forecasts'!G$158-G$82,3)=0,"OK","ERROR")</f>
        <v>OK</v>
      </c>
      <c r="H83" s="91" t="str">
        <f>IF(ROUND('Fiscal Forecasts'!H$158-H$82,3)=0,"OK","ERROR")</f>
        <v>OK</v>
      </c>
      <c r="I83" s="91" t="str">
        <f>IF(ROUND('Fiscal Forecasts'!I$158-I$82,3)=0,"OK","ERROR")</f>
        <v>OK</v>
      </c>
      <c r="J83" s="91" t="str">
        <f>IF(ROUND('Fiscal Forecasts'!J$158-J$82,3)=0,"OK","ERROR")</f>
        <v>OK</v>
      </c>
      <c r="K83" s="91" t="str">
        <f>IF(ROUND('Fiscal Forecasts'!K$158-K$82,3)=0,"OK","ERROR")</f>
        <v>OK</v>
      </c>
      <c r="L83" s="91" t="str">
        <f>IF(ROUND('Fiscal Forecasts'!L$158-L$82,3)=0,"OK","ERROR")</f>
        <v>OK</v>
      </c>
      <c r="M83" s="91" t="str">
        <f>IF(ROUND('Fiscal Forecasts'!M$158-M$82,3)=0,"OK","ERROR")</f>
        <v>OK</v>
      </c>
      <c r="N83" s="91" t="str">
        <f>IF(ROUND('Fiscal Forecasts'!N$158-N$82,3)=0,"OK","ERROR")</f>
        <v>OK</v>
      </c>
      <c r="O83" s="18"/>
      <c r="P83" s="18"/>
      <c r="Q83" s="18"/>
      <c r="R83" s="18"/>
      <c r="S83" s="18"/>
      <c r="T83" s="18"/>
      <c r="U83" s="18"/>
      <c r="V83" s="18"/>
      <c r="W83" s="18"/>
      <c r="X83" s="18"/>
    </row>
    <row r="84" spans="1:24" x14ac:dyDescent="0.25">
      <c r="A84" s="11" t="s">
        <v>898</v>
      </c>
      <c r="B84" s="10" t="str">
        <f t="shared" ref="B84" si="51">$B$38</f>
        <v>From Fiscal Forecasts</v>
      </c>
      <c r="C84" s="13"/>
      <c r="D84" s="35">
        <f>'Fiscal Forecasts'!D$160</f>
        <v>6.4809999999999999</v>
      </c>
      <c r="E84" s="35">
        <f>'Fiscal Forecasts'!E$160</f>
        <v>21.887999999999998</v>
      </c>
      <c r="F84" s="35">
        <f>'Fiscal Forecasts'!F$160</f>
        <v>30.420999999999999</v>
      </c>
      <c r="G84" s="35">
        <f>'Fiscal Forecasts'!G$160</f>
        <v>45.088000000000001</v>
      </c>
      <c r="H84" s="35">
        <f>'Fiscal Forecasts'!H$160</f>
        <v>53.109000000000002</v>
      </c>
      <c r="I84" s="35">
        <f>'Fiscal Forecasts'!I$160</f>
        <v>38.475999999999999</v>
      </c>
      <c r="J84" s="17">
        <f>'Fiscal Forecasts'!J$160</f>
        <v>33.716999999999999</v>
      </c>
      <c r="K84" s="17">
        <f>'Fiscal Forecasts'!K$160</f>
        <v>26.771999999999998</v>
      </c>
      <c r="L84" s="17">
        <f>'Fiscal Forecasts'!L$160</f>
        <v>20.100000000000001</v>
      </c>
      <c r="M84" s="17">
        <f>'Fiscal Forecasts'!M$160</f>
        <v>20.100000000000001</v>
      </c>
      <c r="N84" s="17">
        <f>'Fiscal Forecasts'!N$160</f>
        <v>20.100000000000001</v>
      </c>
      <c r="O84" s="16">
        <f t="shared" ref="O84:X84" ca="1" si="52">N$84*(1+O$29)</f>
        <v>20.502000000000002</v>
      </c>
      <c r="P84" s="16">
        <f t="shared" ca="1" si="52"/>
        <v>20.912040000000005</v>
      </c>
      <c r="Q84" s="16">
        <f t="shared" ca="1" si="52"/>
        <v>21.330280800000004</v>
      </c>
      <c r="R84" s="16">
        <f t="shared" ca="1" si="52"/>
        <v>21.756886416000004</v>
      </c>
      <c r="S84" s="16">
        <f t="shared" ca="1" si="52"/>
        <v>22.192024144320005</v>
      </c>
      <c r="T84" s="16">
        <f t="shared" ca="1" si="52"/>
        <v>22.635864627206406</v>
      </c>
      <c r="U84" s="16">
        <f t="shared" ca="1" si="52"/>
        <v>23.088581919750535</v>
      </c>
      <c r="V84" s="16">
        <f t="shared" ca="1" si="52"/>
        <v>23.550353558145545</v>
      </c>
      <c r="W84" s="16">
        <f t="shared" ca="1" si="52"/>
        <v>24.021360629308457</v>
      </c>
      <c r="X84" s="16">
        <f t="shared" ca="1" si="52"/>
        <v>24.501787841894625</v>
      </c>
    </row>
    <row r="85" spans="1:24" x14ac:dyDescent="0.25">
      <c r="A85" s="55" t="s">
        <v>659</v>
      </c>
      <c r="B85" s="9"/>
      <c r="C85" s="13"/>
      <c r="D85" s="65">
        <f>SUM(D$71,D$72)-SUM(D$73,D$84)</f>
        <v>84.37700000000001</v>
      </c>
      <c r="E85" s="65">
        <f t="shared" ref="E85:X85" si="53">SUM(E$71,E$72)-SUM(E$73,E$84)</f>
        <v>101.833</v>
      </c>
      <c r="F85" s="65">
        <f t="shared" si="53"/>
        <v>99.925999999999988</v>
      </c>
      <c r="G85" s="65">
        <f t="shared" si="53"/>
        <v>114.11599999999999</v>
      </c>
      <c r="H85" s="65">
        <f t="shared" si="53"/>
        <v>135.78899999999999</v>
      </c>
      <c r="I85" s="65">
        <f t="shared" si="53"/>
        <v>175.96600000000001</v>
      </c>
      <c r="J85" s="66">
        <f t="shared" si="53"/>
        <v>209.99899999999997</v>
      </c>
      <c r="K85" s="66">
        <f t="shared" si="53"/>
        <v>238.816</v>
      </c>
      <c r="L85" s="66">
        <f t="shared" si="53"/>
        <v>262.49400000000003</v>
      </c>
      <c r="M85" s="66">
        <f t="shared" si="53"/>
        <v>274.44099999999997</v>
      </c>
      <c r="N85" s="66">
        <f t="shared" si="53"/>
        <v>283.04299999999995</v>
      </c>
      <c r="O85" s="92">
        <f t="shared" ca="1" si="53"/>
        <v>289.20269939484922</v>
      </c>
      <c r="P85" s="92">
        <f t="shared" ca="1" si="53"/>
        <v>296.20508945402366</v>
      </c>
      <c r="Q85" s="92">
        <f t="shared" ca="1" si="53"/>
        <v>304.29272061261673</v>
      </c>
      <c r="R85" s="92">
        <f t="shared" ca="1" si="53"/>
        <v>313.57800371052582</v>
      </c>
      <c r="S85" s="92">
        <f t="shared" ca="1" si="53"/>
        <v>324.01548892855476</v>
      </c>
      <c r="T85" s="92">
        <f t="shared" ca="1" si="53"/>
        <v>335.69305075573817</v>
      </c>
      <c r="U85" s="92">
        <f t="shared" ca="1" si="53"/>
        <v>348.514334340093</v>
      </c>
      <c r="V85" s="92">
        <f t="shared" ca="1" si="53"/>
        <v>362.53503793764781</v>
      </c>
      <c r="W85" s="92">
        <f t="shared" ca="1" si="53"/>
        <v>377.8582468179178</v>
      </c>
      <c r="X85" s="92">
        <f t="shared" ca="1" si="53"/>
        <v>394.58943336102311</v>
      </c>
    </row>
    <row r="86" spans="1:24" x14ac:dyDescent="0.25">
      <c r="A86" s="9"/>
      <c r="B86" s="9"/>
      <c r="C86" s="13"/>
      <c r="D86" s="36"/>
      <c r="E86" s="36"/>
      <c r="F86" s="36"/>
      <c r="G86" s="36"/>
      <c r="H86" s="36"/>
      <c r="I86" s="36"/>
      <c r="J86" s="19"/>
      <c r="K86" s="19"/>
      <c r="L86" s="19"/>
      <c r="M86" s="19"/>
      <c r="N86" s="19"/>
      <c r="O86" s="18"/>
      <c r="P86" s="18"/>
      <c r="Q86" s="18"/>
      <c r="R86" s="18"/>
      <c r="S86" s="18"/>
      <c r="T86" s="18"/>
      <c r="U86" s="18"/>
      <c r="V86" s="18"/>
      <c r="W86" s="18"/>
      <c r="X86" s="18"/>
    </row>
    <row r="87" spans="1:24" x14ac:dyDescent="0.25">
      <c r="A87" s="12" t="s">
        <v>1048</v>
      </c>
      <c r="B87" s="9"/>
      <c r="C87" s="13"/>
      <c r="D87" s="36"/>
      <c r="E87" s="36"/>
      <c r="F87" s="36"/>
      <c r="G87" s="36"/>
      <c r="H87" s="36"/>
      <c r="I87" s="36"/>
      <c r="J87" s="19"/>
      <c r="K87" s="19"/>
      <c r="L87" s="19"/>
      <c r="M87" s="19"/>
      <c r="N87" s="19"/>
      <c r="O87" s="18"/>
      <c r="P87" s="18"/>
      <c r="Q87" s="18"/>
      <c r="R87" s="18"/>
      <c r="S87" s="18"/>
      <c r="T87" s="18"/>
      <c r="U87" s="18"/>
      <c r="V87" s="18"/>
      <c r="W87" s="18"/>
      <c r="X87" s="18"/>
    </row>
    <row r="88" spans="1:24" x14ac:dyDescent="0.25">
      <c r="A88" s="11" t="s">
        <v>574</v>
      </c>
      <c r="B88" s="10" t="str">
        <f t="shared" ref="B88:B96" si="54">$B$38</f>
        <v>From Fiscal Forecasts</v>
      </c>
      <c r="C88" s="13"/>
      <c r="D88" s="35">
        <f>'Fiscal Forecasts'!D$74</f>
        <v>83.016999999999996</v>
      </c>
      <c r="E88" s="35">
        <f>'Fiscal Forecasts'!E$74</f>
        <v>83.156000000000006</v>
      </c>
      <c r="F88" s="35">
        <f>'Fiscal Forecasts'!F$74</f>
        <v>95.382000000000005</v>
      </c>
      <c r="G88" s="35">
        <f>'Fiscal Forecasts'!G$74</f>
        <v>102.712</v>
      </c>
      <c r="H88" s="35">
        <f>'Fiscal Forecasts'!H$74</f>
        <v>110.78700000000001</v>
      </c>
      <c r="I88" s="35">
        <f>'Fiscal Forecasts'!I$74</f>
        <v>116.042</v>
      </c>
      <c r="J88" s="17">
        <f>'Fiscal Forecasts'!J$74</f>
        <v>121.328</v>
      </c>
      <c r="K88" s="17">
        <f>'Fiscal Forecasts'!K$74</f>
        <v>122.887</v>
      </c>
      <c r="L88" s="17">
        <f>'Fiscal Forecasts'!L$74</f>
        <v>131.096</v>
      </c>
      <c r="M88" s="17">
        <f>'Fiscal Forecasts'!M$74</f>
        <v>138.239</v>
      </c>
      <c r="N88" s="17">
        <f>'Fiscal Forecasts'!N$74</f>
        <v>145.541</v>
      </c>
      <c r="O88" s="16">
        <f t="shared" ref="O88:X88" ca="1" si="55">(O$489-O$385+O$141)</f>
        <v>151.09837350612511</v>
      </c>
      <c r="P88" s="16">
        <f t="shared" ca="1" si="55"/>
        <v>157.26363368341887</v>
      </c>
      <c r="Q88" s="16">
        <f t="shared" ca="1" si="55"/>
        <v>163.66152400156537</v>
      </c>
      <c r="R88" s="16">
        <f t="shared" ca="1" si="55"/>
        <v>170.09394244765312</v>
      </c>
      <c r="S88" s="16">
        <f t="shared" ca="1" si="55"/>
        <v>176.65559011328375</v>
      </c>
      <c r="T88" s="16">
        <f t="shared" ca="1" si="55"/>
        <v>183.34833573537901</v>
      </c>
      <c r="U88" s="16">
        <f t="shared" ca="1" si="55"/>
        <v>190.13476110159522</v>
      </c>
      <c r="V88" s="16">
        <f t="shared" ca="1" si="55"/>
        <v>197.02207339143527</v>
      </c>
      <c r="W88" s="16">
        <f t="shared" ca="1" si="55"/>
        <v>204.00959554257619</v>
      </c>
      <c r="X88" s="16">
        <f t="shared" ca="1" si="55"/>
        <v>211.14540203345899</v>
      </c>
    </row>
    <row r="89" spans="1:24" x14ac:dyDescent="0.25">
      <c r="A89" s="11" t="s">
        <v>575</v>
      </c>
      <c r="B89" s="10" t="str">
        <f t="shared" si="54"/>
        <v>From Fiscal Forecasts</v>
      </c>
      <c r="C89" s="13"/>
      <c r="D89" s="35">
        <f>'Fiscal Forecasts'!D$75</f>
        <v>5.1870000000000003</v>
      </c>
      <c r="E89" s="35">
        <f>'Fiscal Forecasts'!E$75</f>
        <v>5.2939999999999996</v>
      </c>
      <c r="F89" s="35">
        <f>'Fiscal Forecasts'!F$75</f>
        <v>6.4240000000000004</v>
      </c>
      <c r="G89" s="35">
        <f>'Fiscal Forecasts'!G$75</f>
        <v>7.8029999999999999</v>
      </c>
      <c r="H89" s="35">
        <f>'Fiscal Forecasts'!H$75</f>
        <v>7.6310000000000002</v>
      </c>
      <c r="I89" s="35">
        <f>'Fiscal Forecasts'!I$75</f>
        <v>7.484</v>
      </c>
      <c r="J89" s="17">
        <f>'Fiscal Forecasts'!J$75</f>
        <v>7.9989999999999997</v>
      </c>
      <c r="K89" s="17">
        <f>'Fiscal Forecasts'!K$75</f>
        <v>8.6050000000000004</v>
      </c>
      <c r="L89" s="17">
        <f>'Fiscal Forecasts'!L$75</f>
        <v>9.2100000000000009</v>
      </c>
      <c r="M89" s="17">
        <f>'Fiscal Forecasts'!M$75</f>
        <v>9.8490000000000002</v>
      </c>
      <c r="N89" s="17">
        <f>'Fiscal Forecasts'!N$75</f>
        <v>10.413</v>
      </c>
      <c r="O89" s="16">
        <f t="shared" ref="O89:X89" ca="1" si="56">SUM(O$146,O$148,O$149,O$151)</f>
        <v>11.624343197189001</v>
      </c>
      <c r="P89" s="16">
        <f t="shared" ca="1" si="56"/>
        <v>12.357999630779686</v>
      </c>
      <c r="Q89" s="16">
        <f t="shared" ca="1" si="56"/>
        <v>13.175966787549914</v>
      </c>
      <c r="R89" s="16">
        <f t="shared" ca="1" si="56"/>
        <v>14.032442985481318</v>
      </c>
      <c r="S89" s="16">
        <f t="shared" ca="1" si="56"/>
        <v>14.959409050031137</v>
      </c>
      <c r="T89" s="16">
        <f t="shared" ca="1" si="56"/>
        <v>15.929322116477383</v>
      </c>
      <c r="U89" s="16">
        <f t="shared" ca="1" si="56"/>
        <v>16.978729004015072</v>
      </c>
      <c r="V89" s="16">
        <f t="shared" ca="1" si="56"/>
        <v>17.901857933544228</v>
      </c>
      <c r="W89" s="16">
        <f t="shared" ca="1" si="56"/>
        <v>18.601225007730122</v>
      </c>
      <c r="X89" s="16">
        <f t="shared" ca="1" si="56"/>
        <v>19.244960779862286</v>
      </c>
    </row>
    <row r="90" spans="1:24" x14ac:dyDescent="0.25">
      <c r="A90" s="11" t="s">
        <v>530</v>
      </c>
      <c r="B90" s="10" t="str">
        <f t="shared" si="54"/>
        <v>From Fiscal Forecasts</v>
      </c>
      <c r="C90" s="13"/>
      <c r="D90" s="35">
        <f>'Fiscal Forecasts'!D$76</f>
        <v>19.763999999999999</v>
      </c>
      <c r="E90" s="35">
        <f>'Fiscal Forecasts'!E$76</f>
        <v>18.289000000000001</v>
      </c>
      <c r="F90" s="35">
        <f>'Fiscal Forecasts'!F$76</f>
        <v>17.731999999999999</v>
      </c>
      <c r="G90" s="35">
        <f>'Fiscal Forecasts'!G$76</f>
        <v>17.834</v>
      </c>
      <c r="H90" s="35">
        <f>'Fiscal Forecasts'!H$76</f>
        <v>22.283999999999999</v>
      </c>
      <c r="I90" s="35">
        <f>'Fiscal Forecasts'!I$76</f>
        <v>24.359000000000002</v>
      </c>
      <c r="J90" s="17">
        <f>'Fiscal Forecasts'!J$76</f>
        <v>27.206</v>
      </c>
      <c r="K90" s="17">
        <f>'Fiscal Forecasts'!K$76</f>
        <v>27.605</v>
      </c>
      <c r="L90" s="17">
        <f>'Fiscal Forecasts'!L$76</f>
        <v>28.786999999999999</v>
      </c>
      <c r="M90" s="17">
        <f>'Fiscal Forecasts'!M$76</f>
        <v>29.917000000000002</v>
      </c>
      <c r="N90" s="17">
        <f>'Fiscal Forecasts'!N$76</f>
        <v>30.298999999999999</v>
      </c>
      <c r="O90" s="16">
        <f t="shared" ref="O90:X90" ca="1" si="57">O$155</f>
        <v>31.517025502224552</v>
      </c>
      <c r="P90" s="16">
        <f t="shared" ca="1" si="57"/>
        <v>32.834131196395788</v>
      </c>
      <c r="Q90" s="16">
        <f t="shared" ca="1" si="57"/>
        <v>34.154889165926434</v>
      </c>
      <c r="R90" s="16">
        <f t="shared" ca="1" si="57"/>
        <v>35.475773927409826</v>
      </c>
      <c r="S90" s="16">
        <f t="shared" ca="1" si="57"/>
        <v>36.824653359169588</v>
      </c>
      <c r="T90" s="16">
        <f t="shared" ca="1" si="57"/>
        <v>38.199401650237419</v>
      </c>
      <c r="U90" s="16">
        <f t="shared" ca="1" si="57"/>
        <v>39.59293518274719</v>
      </c>
      <c r="V90" s="16">
        <f t="shared" ca="1" si="57"/>
        <v>41.007289806661774</v>
      </c>
      <c r="W90" s="16">
        <f t="shared" ca="1" si="57"/>
        <v>42.441198296769436</v>
      </c>
      <c r="X90" s="16">
        <f t="shared" ca="1" si="57"/>
        <v>43.90572355563144</v>
      </c>
    </row>
    <row r="91" spans="1:24" x14ac:dyDescent="0.25">
      <c r="A91" s="11" t="s">
        <v>576</v>
      </c>
      <c r="B91" s="10" t="str">
        <f t="shared" si="54"/>
        <v>From Fiscal Forecasts</v>
      </c>
      <c r="C91" s="13"/>
      <c r="D91" s="35">
        <f>'Fiscal Forecasts'!D$77</f>
        <v>2.528</v>
      </c>
      <c r="E91" s="35">
        <f>'Fiscal Forecasts'!E$77</f>
        <v>2.3069999999999999</v>
      </c>
      <c r="F91" s="35">
        <f>'Fiscal Forecasts'!F$77</f>
        <v>1.67</v>
      </c>
      <c r="G91" s="35">
        <f>'Fiscal Forecasts'!G$77</f>
        <v>1.9610000000000001</v>
      </c>
      <c r="H91" s="35">
        <f>'Fiscal Forecasts'!H$77</f>
        <v>3.6110000000000002</v>
      </c>
      <c r="I91" s="35">
        <f>'Fiscal Forecasts'!I$77</f>
        <v>5.2830000000000004</v>
      </c>
      <c r="J91" s="17">
        <f>'Fiscal Forecasts'!J$77</f>
        <v>6.0940000000000003</v>
      </c>
      <c r="K91" s="17">
        <f>'Fiscal Forecasts'!K$77</f>
        <v>5.6040000000000001</v>
      </c>
      <c r="L91" s="17">
        <f>'Fiscal Forecasts'!L$77</f>
        <v>4.6559999999999997</v>
      </c>
      <c r="M91" s="17">
        <f>'Fiscal Forecasts'!M$77</f>
        <v>4.6390000000000002</v>
      </c>
      <c r="N91" s="17">
        <f>'Fiscal Forecasts'!N$77</f>
        <v>4.9080000000000004</v>
      </c>
      <c r="O91" s="16">
        <f t="shared" ref="O91:X91" ca="1" si="58">SUM(O$158,O$160,O$162:O$164,O$341)</f>
        <v>6.9626776990843595</v>
      </c>
      <c r="P91" s="16">
        <f t="shared" ca="1" si="58"/>
        <v>7.096944455830168</v>
      </c>
      <c r="Q91" s="16">
        <f t="shared" ca="1" si="58"/>
        <v>7.2342034416784191</v>
      </c>
      <c r="R91" s="16">
        <f t="shared" ca="1" si="58"/>
        <v>7.3741305167375675</v>
      </c>
      <c r="S91" s="16">
        <f t="shared" ca="1" si="58"/>
        <v>7.5165717741497984</v>
      </c>
      <c r="T91" s="16">
        <f t="shared" ca="1" si="58"/>
        <v>7.6509193443429977</v>
      </c>
      <c r="U91" s="16">
        <f t="shared" ca="1" si="58"/>
        <v>7.7874269024508687</v>
      </c>
      <c r="V91" s="16">
        <f t="shared" ca="1" si="58"/>
        <v>7.926034612833865</v>
      </c>
      <c r="W91" s="16">
        <f t="shared" ca="1" si="58"/>
        <v>8.0672401452018629</v>
      </c>
      <c r="X91" s="16">
        <f t="shared" ca="1" si="58"/>
        <v>8.2119143950204592</v>
      </c>
    </row>
    <row r="92" spans="1:24" x14ac:dyDescent="0.25">
      <c r="A92" s="11" t="s">
        <v>577</v>
      </c>
      <c r="B92" s="10" t="str">
        <f t="shared" si="54"/>
        <v>From Fiscal Forecasts</v>
      </c>
      <c r="C92" s="13"/>
      <c r="D92" s="35">
        <f>'Fiscal Forecasts'!D$78</f>
        <v>4.5629999999999997</v>
      </c>
      <c r="E92" s="35">
        <f>'Fiscal Forecasts'!E$78</f>
        <v>4.5439999999999996</v>
      </c>
      <c r="F92" s="35">
        <f>'Fiscal Forecasts'!F$78</f>
        <v>4.8140000000000001</v>
      </c>
      <c r="G92" s="35">
        <f>'Fiscal Forecasts'!G$78</f>
        <v>4.8019999999999996</v>
      </c>
      <c r="H92" s="35">
        <f>'Fiscal Forecasts'!H$78</f>
        <v>4.9219999999999997</v>
      </c>
      <c r="I92" s="35">
        <f>'Fiscal Forecasts'!I$78</f>
        <v>6.5350000000000001</v>
      </c>
      <c r="J92" s="17">
        <f>'Fiscal Forecasts'!J$78</f>
        <v>6.6260000000000003</v>
      </c>
      <c r="K92" s="17">
        <f>'Fiscal Forecasts'!K$78</f>
        <v>6.0540000000000003</v>
      </c>
      <c r="L92" s="17">
        <f>'Fiscal Forecasts'!L$78</f>
        <v>6.3639999999999999</v>
      </c>
      <c r="M92" s="17">
        <f>'Fiscal Forecasts'!M$78</f>
        <v>6.4029999999999996</v>
      </c>
      <c r="N92" s="17">
        <f>'Fiscal Forecasts'!N$78</f>
        <v>6.6180000000000003</v>
      </c>
      <c r="O92" s="16">
        <f t="shared" ref="O92:X92" ca="1" si="59">SUM(O$173,O$179)</f>
        <v>5.957937142686907</v>
      </c>
      <c r="P92" s="16">
        <f t="shared" ca="1" si="59"/>
        <v>6.1667266413542272</v>
      </c>
      <c r="Q92" s="16">
        <f t="shared" ca="1" si="59"/>
        <v>6.3787635746558369</v>
      </c>
      <c r="R92" s="16">
        <f t="shared" ca="1" si="59"/>
        <v>6.5944233547183666</v>
      </c>
      <c r="S92" s="16">
        <f t="shared" ca="1" si="59"/>
        <v>6.8151050446889379</v>
      </c>
      <c r="T92" s="16">
        <f t="shared" ca="1" si="59"/>
        <v>7.0360323772641662</v>
      </c>
      <c r="U92" s="16">
        <f t="shared" ca="1" si="59"/>
        <v>7.2562037724334445</v>
      </c>
      <c r="V92" s="16">
        <f t="shared" ca="1" si="59"/>
        <v>7.4750218963047637</v>
      </c>
      <c r="W92" s="16">
        <f t="shared" ca="1" si="59"/>
        <v>7.6927036798367174</v>
      </c>
      <c r="X92" s="16">
        <f t="shared" ca="1" si="59"/>
        <v>7.9134964364881988</v>
      </c>
    </row>
    <row r="93" spans="1:24" x14ac:dyDescent="0.25">
      <c r="A93" s="9" t="s">
        <v>578</v>
      </c>
      <c r="B93" s="9"/>
      <c r="C93" s="13"/>
      <c r="D93" s="65">
        <f>SUM(D$88:D$92)</f>
        <v>115.059</v>
      </c>
      <c r="E93" s="65">
        <f t="shared" ref="E93:X93" si="60">SUM(E$88:E$92)</f>
        <v>113.59</v>
      </c>
      <c r="F93" s="65">
        <f t="shared" si="60"/>
        <v>126.02200000000002</v>
      </c>
      <c r="G93" s="65">
        <f t="shared" si="60"/>
        <v>135.11199999999999</v>
      </c>
      <c r="H93" s="65">
        <f t="shared" si="60"/>
        <v>149.23499999999999</v>
      </c>
      <c r="I93" s="65">
        <f t="shared" si="60"/>
        <v>159.70299999999997</v>
      </c>
      <c r="J93" s="66">
        <f t="shared" si="60"/>
        <v>169.25299999999999</v>
      </c>
      <c r="K93" s="66">
        <f t="shared" si="60"/>
        <v>170.755</v>
      </c>
      <c r="L93" s="66">
        <f t="shared" si="60"/>
        <v>180.11300000000003</v>
      </c>
      <c r="M93" s="66">
        <f t="shared" si="60"/>
        <v>189.047</v>
      </c>
      <c r="N93" s="66">
        <f t="shared" si="60"/>
        <v>197.779</v>
      </c>
      <c r="O93" s="92">
        <f t="shared" ca="1" si="60"/>
        <v>207.16035704730996</v>
      </c>
      <c r="P93" s="92">
        <f t="shared" ca="1" si="60"/>
        <v>215.71943560777873</v>
      </c>
      <c r="Q93" s="92">
        <f t="shared" ca="1" si="60"/>
        <v>224.60534697137598</v>
      </c>
      <c r="R93" s="92">
        <f t="shared" ca="1" si="60"/>
        <v>233.5707132320002</v>
      </c>
      <c r="S93" s="92">
        <f t="shared" ca="1" si="60"/>
        <v>242.77132934132322</v>
      </c>
      <c r="T93" s="92">
        <f t="shared" ca="1" si="60"/>
        <v>252.16401122370101</v>
      </c>
      <c r="U93" s="92">
        <f t="shared" ca="1" si="60"/>
        <v>261.75005596324178</v>
      </c>
      <c r="V93" s="92">
        <f t="shared" ca="1" si="60"/>
        <v>271.33227764077992</v>
      </c>
      <c r="W93" s="92">
        <f t="shared" ca="1" si="60"/>
        <v>280.8119626721143</v>
      </c>
      <c r="X93" s="92">
        <f t="shared" ca="1" si="60"/>
        <v>290.42149720046137</v>
      </c>
    </row>
    <row r="94" spans="1:24" x14ac:dyDescent="0.25">
      <c r="A94" s="11" t="s">
        <v>534</v>
      </c>
      <c r="B94" s="10" t="str">
        <f t="shared" si="54"/>
        <v>From Fiscal Forecasts</v>
      </c>
      <c r="C94" s="13"/>
      <c r="D94" s="35">
        <f>'Fiscal Forecasts'!D$80</f>
        <v>27.981999999999999</v>
      </c>
      <c r="E94" s="35">
        <f>'Fiscal Forecasts'!E$80</f>
        <v>42.945</v>
      </c>
      <c r="F94" s="35">
        <f>'Fiscal Forecasts'!F$80</f>
        <v>35.515000000000001</v>
      </c>
      <c r="G94" s="35">
        <f>'Fiscal Forecasts'!G$80</f>
        <v>44.273000000000003</v>
      </c>
      <c r="H94" s="35">
        <f>'Fiscal Forecasts'!H$80</f>
        <v>39.17</v>
      </c>
      <c r="I94" s="35">
        <f>'Fiscal Forecasts'!I$80</f>
        <v>42.335000000000001</v>
      </c>
      <c r="J94" s="17">
        <f>'Fiscal Forecasts'!J$80</f>
        <v>46.25</v>
      </c>
      <c r="K94" s="17">
        <f>'Fiscal Forecasts'!K$80</f>
        <v>47.412999999999997</v>
      </c>
      <c r="L94" s="17">
        <f>'Fiscal Forecasts'!L$80</f>
        <v>48.414999999999999</v>
      </c>
      <c r="M94" s="17">
        <f>'Fiscal Forecasts'!M$80</f>
        <v>49.828000000000003</v>
      </c>
      <c r="N94" s="17">
        <f>'Fiscal Forecasts'!N$80</f>
        <v>51.317</v>
      </c>
      <c r="O94" s="16">
        <f t="shared" ref="O94:X94" ca="1" si="61">O$194</f>
        <v>52.716537878014769</v>
      </c>
      <c r="P94" s="16">
        <f t="shared" ca="1" si="61"/>
        <v>54.97496932655698</v>
      </c>
      <c r="Q94" s="16">
        <f t="shared" ca="1" si="61"/>
        <v>57.336481433380918</v>
      </c>
      <c r="R94" s="16">
        <f t="shared" ca="1" si="61"/>
        <v>59.784834344606928</v>
      </c>
      <c r="S94" s="16">
        <f t="shared" ca="1" si="61"/>
        <v>62.321710620668796</v>
      </c>
      <c r="T94" s="16">
        <f t="shared" ca="1" si="61"/>
        <v>64.903902206045629</v>
      </c>
      <c r="U94" s="16">
        <f t="shared" ca="1" si="61"/>
        <v>67.58738423613697</v>
      </c>
      <c r="V94" s="16">
        <f t="shared" ca="1" si="61"/>
        <v>70.30501559046796</v>
      </c>
      <c r="W94" s="16">
        <f t="shared" ca="1" si="61"/>
        <v>72.993209551386627</v>
      </c>
      <c r="X94" s="16">
        <f t="shared" ca="1" si="61"/>
        <v>75.659959432481941</v>
      </c>
    </row>
    <row r="95" spans="1:24" x14ac:dyDescent="0.25">
      <c r="A95" s="11" t="s">
        <v>579</v>
      </c>
      <c r="B95" s="10" t="str">
        <f t="shared" si="54"/>
        <v>From Fiscal Forecasts</v>
      </c>
      <c r="C95" s="13"/>
      <c r="D95" s="35">
        <f>'Fiscal Forecasts'!D$81</f>
        <v>72.078999999999994</v>
      </c>
      <c r="E95" s="35">
        <f>'Fiscal Forecasts'!E$81</f>
        <v>77.191999999999993</v>
      </c>
      <c r="F95" s="35">
        <f>'Fiscal Forecasts'!F$81</f>
        <v>84.256</v>
      </c>
      <c r="G95" s="35">
        <f>'Fiscal Forecasts'!G$81</f>
        <v>92.965000000000003</v>
      </c>
      <c r="H95" s="35">
        <f>'Fiscal Forecasts'!H$81</f>
        <v>99.414000000000001</v>
      </c>
      <c r="I95" s="35">
        <f>'Fiscal Forecasts'!I$81</f>
        <v>111.095</v>
      </c>
      <c r="J95" s="17">
        <f ca="1">'Fiscal Forecasts'!J$81+IF(OFFSET(Assumptions!$B$56,0,$C$1)="Yes",SUM(Allocation!C$14:C$24),0)</f>
        <v>117.63</v>
      </c>
      <c r="K95" s="17">
        <f ca="1">'Fiscal Forecasts'!K$81+IF(OFFSET(Assumptions!$B$56,0,$C$1)="Yes",SUM(Allocation!D$14:D$24),0)</f>
        <v>117.75399999999999</v>
      </c>
      <c r="L95" s="17">
        <f ca="1">'Fiscal Forecasts'!L$81+IF(OFFSET(Assumptions!$B$56,0,$C$1)="Yes",SUM(Allocation!E$14:E$24),0)</f>
        <v>120.57599999999999</v>
      </c>
      <c r="M95" s="17">
        <f ca="1">'Fiscal Forecasts'!M$81+IF(OFFSET(Assumptions!$B$56,0,$C$1)="Yes",SUM(Allocation!F$14:F$24),0)</f>
        <v>121.95500000000001</v>
      </c>
      <c r="N95" s="17">
        <f ca="1">'Fiscal Forecasts'!N$81+IF(OFFSET(Assumptions!$B$56,0,$C$1)="Yes",SUM(Allocation!G$14:G$24),0)</f>
        <v>124.11</v>
      </c>
      <c r="O95" s="16">
        <f t="shared" ref="O95:X95" ca="1" si="62">SUM(O$212,O$226,O$240)-SUM(O$115,O$272,O$282,O$322,O$475-N$475,O$480-N$480)</f>
        <v>129.77140497308457</v>
      </c>
      <c r="P95" s="16">
        <f t="shared" ca="1" si="62"/>
        <v>135.71950665841212</v>
      </c>
      <c r="Q95" s="16">
        <f t="shared" ca="1" si="62"/>
        <v>142.00471729525307</v>
      </c>
      <c r="R95" s="16">
        <f t="shared" ca="1" si="62"/>
        <v>148.37957847715379</v>
      </c>
      <c r="S95" s="16">
        <f t="shared" ca="1" si="62"/>
        <v>154.73572064311688</v>
      </c>
      <c r="T95" s="16">
        <f t="shared" ca="1" si="62"/>
        <v>161.20708281425942</v>
      </c>
      <c r="U95" s="16">
        <f t="shared" ca="1" si="62"/>
        <v>167.66127574854923</v>
      </c>
      <c r="V95" s="16">
        <f t="shared" ca="1" si="62"/>
        <v>174.37160634624496</v>
      </c>
      <c r="W95" s="16">
        <f t="shared" ca="1" si="62"/>
        <v>181.27900749709849</v>
      </c>
      <c r="X95" s="16">
        <f t="shared" ca="1" si="62"/>
        <v>188.36963621608476</v>
      </c>
    </row>
    <row r="96" spans="1:24" x14ac:dyDescent="0.25">
      <c r="A96" s="11" t="s">
        <v>580</v>
      </c>
      <c r="B96" s="10" t="str">
        <f t="shared" si="54"/>
        <v>From Fiscal Forecasts</v>
      </c>
      <c r="C96" s="13"/>
      <c r="D96" s="35">
        <f>'Fiscal Forecasts'!D$82</f>
        <v>4.0250000000000004</v>
      </c>
      <c r="E96" s="35">
        <f>'Fiscal Forecasts'!E$82</f>
        <v>3.8490000000000002</v>
      </c>
      <c r="F96" s="35">
        <f>'Fiscal Forecasts'!F$82</f>
        <v>3.1469999999999998</v>
      </c>
      <c r="G96" s="35">
        <f>'Fiscal Forecasts'!G$82</f>
        <v>3.2509999999999999</v>
      </c>
      <c r="H96" s="35">
        <f>'Fiscal Forecasts'!H$82</f>
        <v>6.1260000000000003</v>
      </c>
      <c r="I96" s="35">
        <f>'Fiscal Forecasts'!I$82</f>
        <v>8.5790000000000006</v>
      </c>
      <c r="J96" s="17">
        <f>'Fiscal Forecasts'!J$82</f>
        <v>8.5350000000000001</v>
      </c>
      <c r="K96" s="17">
        <f>'Fiscal Forecasts'!K$82</f>
        <v>9.2810000000000006</v>
      </c>
      <c r="L96" s="17">
        <f>'Fiscal Forecasts'!L$82</f>
        <v>10.356999999999999</v>
      </c>
      <c r="M96" s="17">
        <f>'Fiscal Forecasts'!M$82</f>
        <v>10.997</v>
      </c>
      <c r="N96" s="17">
        <f>'Fiscal Forecasts'!N$82</f>
        <v>12.266999999999999</v>
      </c>
      <c r="O96" s="16">
        <f t="shared" ref="O96:X96" ca="1" si="63">(2*N$70-SUM(O$93,O$106,O$107)+SUM(O$94,O$95,O$97,O$109,O$356-N$356))/(2/O$234-1)</f>
        <v>15.195067908427934</v>
      </c>
      <c r="P96" s="16">
        <f t="shared" ca="1" si="63"/>
        <v>15.62219537868423</v>
      </c>
      <c r="Q96" s="16">
        <f t="shared" ca="1" si="63"/>
        <v>16.100246942261364</v>
      </c>
      <c r="R96" s="16">
        <f t="shared" ca="1" si="63"/>
        <v>16.599101749261536</v>
      </c>
      <c r="S96" s="16">
        <f t="shared" ca="1" si="63"/>
        <v>17.118135409826969</v>
      </c>
      <c r="T96" s="16">
        <f t="shared" ca="1" si="63"/>
        <v>17.592774373724065</v>
      </c>
      <c r="U96" s="16">
        <f t="shared" ca="1" si="63"/>
        <v>18.076479545928859</v>
      </c>
      <c r="V96" s="16">
        <f t="shared" ca="1" si="63"/>
        <v>18.571225967181039</v>
      </c>
      <c r="W96" s="16">
        <f t="shared" ca="1" si="63"/>
        <v>19.088078692085393</v>
      </c>
      <c r="X96" s="16">
        <f t="shared" ca="1" si="63"/>
        <v>19.636254258794665</v>
      </c>
    </row>
    <row r="97" spans="1:24" x14ac:dyDescent="0.25">
      <c r="A97" s="11" t="s">
        <v>1125</v>
      </c>
      <c r="B97" s="9"/>
      <c r="C97" s="13"/>
      <c r="D97" s="35">
        <f t="shared" ref="D97:X97" si="64">SUM(D$245,D$248)</f>
        <v>0</v>
      </c>
      <c r="E97" s="35">
        <f t="shared" si="64"/>
        <v>0</v>
      </c>
      <c r="F97" s="35">
        <f t="shared" si="64"/>
        <v>0</v>
      </c>
      <c r="G97" s="35">
        <f t="shared" si="64"/>
        <v>0</v>
      </c>
      <c r="H97" s="35">
        <f t="shared" si="64"/>
        <v>0</v>
      </c>
      <c r="I97" s="35">
        <f t="shared" si="64"/>
        <v>0</v>
      </c>
      <c r="J97" s="17">
        <f t="shared" ca="1" si="64"/>
        <v>0</v>
      </c>
      <c r="K97" s="17">
        <f t="shared" ca="1" si="64"/>
        <v>0</v>
      </c>
      <c r="L97" s="17">
        <f t="shared" ca="1" si="64"/>
        <v>0</v>
      </c>
      <c r="M97" s="17">
        <f t="shared" ca="1" si="64"/>
        <v>0</v>
      </c>
      <c r="N97" s="17">
        <f t="shared" ca="1" si="64"/>
        <v>0</v>
      </c>
      <c r="O97" s="16">
        <f t="shared" ca="1" si="64"/>
        <v>0</v>
      </c>
      <c r="P97" s="16">
        <f t="shared" ca="1" si="64"/>
        <v>0</v>
      </c>
      <c r="Q97" s="16">
        <f t="shared" ca="1" si="64"/>
        <v>0</v>
      </c>
      <c r="R97" s="16">
        <f t="shared" ca="1" si="64"/>
        <v>0</v>
      </c>
      <c r="S97" s="16">
        <f t="shared" ca="1" si="64"/>
        <v>0</v>
      </c>
      <c r="T97" s="16">
        <f t="shared" ca="1" si="64"/>
        <v>0</v>
      </c>
      <c r="U97" s="16">
        <f t="shared" ca="1" si="64"/>
        <v>0</v>
      </c>
      <c r="V97" s="16">
        <f t="shared" ca="1" si="64"/>
        <v>0</v>
      </c>
      <c r="W97" s="16">
        <f t="shared" ca="1" si="64"/>
        <v>0</v>
      </c>
      <c r="X97" s="16">
        <f t="shared" ca="1" si="64"/>
        <v>0</v>
      </c>
    </row>
    <row r="98" spans="1:24" x14ac:dyDescent="0.25">
      <c r="A98" s="9" t="s">
        <v>1157</v>
      </c>
      <c r="B98" s="9"/>
      <c r="C98" s="13"/>
      <c r="D98" s="65">
        <f>SUM(D$94:D$97)</f>
        <v>104.086</v>
      </c>
      <c r="E98" s="65">
        <f t="shared" ref="E98:X98" si="65">SUM(E$94:E$97)</f>
        <v>123.986</v>
      </c>
      <c r="F98" s="65">
        <f t="shared" si="65"/>
        <v>122.91800000000001</v>
      </c>
      <c r="G98" s="65">
        <f t="shared" si="65"/>
        <v>140.489</v>
      </c>
      <c r="H98" s="65">
        <f t="shared" si="65"/>
        <v>144.71</v>
      </c>
      <c r="I98" s="65">
        <f t="shared" si="65"/>
        <v>162.00900000000001</v>
      </c>
      <c r="J98" s="66">
        <f t="shared" ca="1" si="65"/>
        <v>172.41499999999999</v>
      </c>
      <c r="K98" s="66">
        <f t="shared" ca="1" si="65"/>
        <v>174.44799999999998</v>
      </c>
      <c r="L98" s="66">
        <f t="shared" ca="1" si="65"/>
        <v>179.34799999999998</v>
      </c>
      <c r="M98" s="66">
        <f t="shared" ca="1" si="65"/>
        <v>182.78000000000003</v>
      </c>
      <c r="N98" s="66">
        <f t="shared" ca="1" si="65"/>
        <v>187.69399999999999</v>
      </c>
      <c r="O98" s="92">
        <f t="shared" ca="1" si="65"/>
        <v>197.68301075952729</v>
      </c>
      <c r="P98" s="92">
        <f t="shared" ca="1" si="65"/>
        <v>206.31667136365334</v>
      </c>
      <c r="Q98" s="92">
        <f t="shared" ca="1" si="65"/>
        <v>215.44144567089535</v>
      </c>
      <c r="R98" s="92">
        <f t="shared" ca="1" si="65"/>
        <v>224.76351457102226</v>
      </c>
      <c r="S98" s="92">
        <f t="shared" ca="1" si="65"/>
        <v>234.17556667361265</v>
      </c>
      <c r="T98" s="92">
        <f t="shared" ca="1" si="65"/>
        <v>243.70375939402913</v>
      </c>
      <c r="U98" s="92">
        <f t="shared" ca="1" si="65"/>
        <v>253.32513953061505</v>
      </c>
      <c r="V98" s="92">
        <f t="shared" ca="1" si="65"/>
        <v>263.24784790389396</v>
      </c>
      <c r="W98" s="92">
        <f t="shared" ca="1" si="65"/>
        <v>273.36029574057051</v>
      </c>
      <c r="X98" s="92">
        <f t="shared" ca="1" si="65"/>
        <v>283.66584990736135</v>
      </c>
    </row>
    <row r="99" spans="1:24" x14ac:dyDescent="0.25">
      <c r="A99" s="9" t="s">
        <v>1142</v>
      </c>
      <c r="B99" s="9"/>
      <c r="C99" s="13"/>
      <c r="D99" s="65">
        <f>D$93-D$98</f>
        <v>10.972999999999999</v>
      </c>
      <c r="E99" s="65">
        <f t="shared" ref="E99:X99" si="66">E$93-E$98</f>
        <v>-10.396000000000001</v>
      </c>
      <c r="F99" s="65">
        <f t="shared" si="66"/>
        <v>3.1040000000000134</v>
      </c>
      <c r="G99" s="65">
        <f t="shared" si="66"/>
        <v>-5.3770000000000095</v>
      </c>
      <c r="H99" s="65">
        <f t="shared" si="66"/>
        <v>4.5249999999999773</v>
      </c>
      <c r="I99" s="65">
        <f t="shared" si="66"/>
        <v>-2.30600000000004</v>
      </c>
      <c r="J99" s="66">
        <f t="shared" ca="1" si="66"/>
        <v>-3.1620000000000061</v>
      </c>
      <c r="K99" s="66">
        <f t="shared" ca="1" si="66"/>
        <v>-3.6929999999999836</v>
      </c>
      <c r="L99" s="66">
        <f t="shared" ca="1" si="66"/>
        <v>0.7650000000000432</v>
      </c>
      <c r="M99" s="66">
        <f t="shared" ca="1" si="66"/>
        <v>6.2669999999999675</v>
      </c>
      <c r="N99" s="66">
        <f t="shared" ca="1" si="66"/>
        <v>10.085000000000008</v>
      </c>
      <c r="O99" s="92">
        <f t="shared" ca="1" si="66"/>
        <v>9.477346287782666</v>
      </c>
      <c r="P99" s="92">
        <f t="shared" ca="1" si="66"/>
        <v>9.4027642441253931</v>
      </c>
      <c r="Q99" s="92">
        <f t="shared" ca="1" si="66"/>
        <v>9.1639013004806316</v>
      </c>
      <c r="R99" s="92">
        <f t="shared" ca="1" si="66"/>
        <v>8.8071986609779458</v>
      </c>
      <c r="S99" s="92">
        <f t="shared" ca="1" si="66"/>
        <v>8.5957626677105736</v>
      </c>
      <c r="T99" s="92">
        <f t="shared" ca="1" si="66"/>
        <v>8.4602518296718756</v>
      </c>
      <c r="U99" s="92">
        <f t="shared" ca="1" si="66"/>
        <v>8.4249164326267305</v>
      </c>
      <c r="V99" s="92">
        <f t="shared" ca="1" si="66"/>
        <v>8.0844297368859657</v>
      </c>
      <c r="W99" s="92">
        <f t="shared" ca="1" si="66"/>
        <v>7.451666931543798</v>
      </c>
      <c r="X99" s="92">
        <f t="shared" ca="1" si="66"/>
        <v>6.7556472931000258</v>
      </c>
    </row>
    <row r="100" spans="1:24" x14ac:dyDescent="0.25">
      <c r="A100" s="11" t="s">
        <v>1126</v>
      </c>
      <c r="B100" s="10" t="str">
        <f t="shared" ref="B100:B104" si="67">$B$38</f>
        <v>From Fiscal Forecasts</v>
      </c>
      <c r="C100" s="13"/>
      <c r="D100" s="35">
        <f>-'Fiscal Forecasts'!D$85</f>
        <v>8.4640000000000004</v>
      </c>
      <c r="E100" s="35">
        <f>-'Fiscal Forecasts'!E$85</f>
        <v>9.0709999999999997</v>
      </c>
      <c r="F100" s="35">
        <f>-'Fiscal Forecasts'!F$85</f>
        <v>9.3930000000000007</v>
      </c>
      <c r="G100" s="35">
        <f>-'Fiscal Forecasts'!G$85</f>
        <v>10.571999999999999</v>
      </c>
      <c r="H100" s="35">
        <f>-'Fiscal Forecasts'!H$85</f>
        <v>14.271000000000001</v>
      </c>
      <c r="I100" s="35">
        <f>-'Fiscal Forecasts'!I$85</f>
        <v>16.948</v>
      </c>
      <c r="J100" s="17">
        <f>-'Fiscal Forecasts'!J$85</f>
        <v>15.737</v>
      </c>
      <c r="K100" s="17">
        <f>-'Fiscal Forecasts'!K$85</f>
        <v>17.817</v>
      </c>
      <c r="L100" s="17">
        <f>-'Fiscal Forecasts'!L$85</f>
        <v>15.276999999999999</v>
      </c>
      <c r="M100" s="17">
        <f>-'Fiscal Forecasts'!M$85</f>
        <v>14.224</v>
      </c>
      <c r="N100" s="17">
        <f>-'Fiscal Forecasts'!N$85</f>
        <v>12.698</v>
      </c>
      <c r="O100" s="16">
        <f t="shared" ref="O100:X100" ca="1" si="68">SUM(O$429-N$429,O$218)</f>
        <v>11.714747316313188</v>
      </c>
      <c r="P100" s="16">
        <f t="shared" ca="1" si="68"/>
        <v>11.739327932043718</v>
      </c>
      <c r="Q100" s="16">
        <f t="shared" ca="1" si="68"/>
        <v>11.800890311107777</v>
      </c>
      <c r="R100" s="16">
        <f t="shared" ca="1" si="68"/>
        <v>11.870370881610375</v>
      </c>
      <c r="S100" s="16">
        <f t="shared" ca="1" si="68"/>
        <v>11.941204662617775</v>
      </c>
      <c r="T100" s="16">
        <f t="shared" ca="1" si="68"/>
        <v>12.013338886677428</v>
      </c>
      <c r="U100" s="16">
        <f t="shared" ca="1" si="68"/>
        <v>12.086516977663774</v>
      </c>
      <c r="V100" s="16">
        <f t="shared" ca="1" si="68"/>
        <v>12.160825440625404</v>
      </c>
      <c r="W100" s="16">
        <f t="shared" ca="1" si="68"/>
        <v>12.236270015643228</v>
      </c>
      <c r="X100" s="16">
        <f t="shared" ca="1" si="68"/>
        <v>12.313189112753307</v>
      </c>
    </row>
    <row r="101" spans="1:24" x14ac:dyDescent="0.25">
      <c r="A101" s="11" t="s">
        <v>1163</v>
      </c>
      <c r="B101" s="10" t="str">
        <f t="shared" si="67"/>
        <v>From Fiscal Forecasts</v>
      </c>
      <c r="C101" s="13"/>
      <c r="D101" s="35">
        <f>-'Fiscal Forecasts'!D$86</f>
        <v>-3.8039999999999998</v>
      </c>
      <c r="E101" s="35">
        <f>-'Fiscal Forecasts'!E$86</f>
        <v>14.148999999999999</v>
      </c>
      <c r="F101" s="35">
        <f>-'Fiscal Forecasts'!F$86</f>
        <v>-4.1890000000000001</v>
      </c>
      <c r="G101" s="35">
        <f>-'Fiscal Forecasts'!G$86</f>
        <v>4.9859999999999998</v>
      </c>
      <c r="H101" s="35">
        <f>-'Fiscal Forecasts'!H$86</f>
        <v>4.9059999999999997</v>
      </c>
      <c r="I101" s="35">
        <f>-'Fiscal Forecasts'!I$86</f>
        <v>10.231999999999999</v>
      </c>
      <c r="J101" s="17">
        <f>-'Fiscal Forecasts'!J$86</f>
        <v>6.375</v>
      </c>
      <c r="K101" s="17">
        <f>-'Fiscal Forecasts'!K$86</f>
        <v>4.6929999999999996</v>
      </c>
      <c r="L101" s="17">
        <f>-'Fiscal Forecasts'!L$86</f>
        <v>-3.2610000000000001</v>
      </c>
      <c r="M101" s="17">
        <f>-'Fiscal Forecasts'!M$86</f>
        <v>-0.20200000000000001</v>
      </c>
      <c r="N101" s="17">
        <f>-'Fiscal Forecasts'!N$86</f>
        <v>-0.113</v>
      </c>
      <c r="O101" s="16">
        <f t="shared" ref="O101:X101" ca="1" si="69">SUM(O$372-N$372,O$381-N$381,O$397-N$397)-SUM(O$340,O$343:O$345)</f>
        <v>-2.6260628699416904</v>
      </c>
      <c r="P101" s="16">
        <f t="shared" ca="1" si="69"/>
        <v>-0.5560093800008179</v>
      </c>
      <c r="Q101" s="16">
        <f t="shared" ca="1" si="69"/>
        <v>-0.61888529475448895</v>
      </c>
      <c r="R101" s="16">
        <f t="shared" ca="1" si="69"/>
        <v>-0.72918476219052053</v>
      </c>
      <c r="S101" s="16">
        <f t="shared" ca="1" si="69"/>
        <v>-0.85783984643032163</v>
      </c>
      <c r="T101" s="16">
        <f t="shared" ca="1" si="69"/>
        <v>-0.96735590032054652</v>
      </c>
      <c r="U101" s="16">
        <f t="shared" ca="1" si="69"/>
        <v>-1.114387345815155</v>
      </c>
      <c r="V101" s="16">
        <f t="shared" ca="1" si="69"/>
        <v>-1.3422295341735193</v>
      </c>
      <c r="W101" s="16">
        <f t="shared" ca="1" si="69"/>
        <v>-1.6041744214994882</v>
      </c>
      <c r="X101" s="16">
        <f t="shared" ca="1" si="69"/>
        <v>-1.8210006160178978</v>
      </c>
    </row>
    <row r="102" spans="1:24" x14ac:dyDescent="0.25">
      <c r="A102" s="11" t="s">
        <v>1164</v>
      </c>
      <c r="B102" s="10" t="str">
        <f t="shared" si="67"/>
        <v>From Fiscal Forecasts</v>
      </c>
      <c r="C102" s="13"/>
      <c r="D102" s="35">
        <f>-'Fiscal Forecasts'!D$87</f>
        <v>0.79100000000000004</v>
      </c>
      <c r="E102" s="35">
        <f>-'Fiscal Forecasts'!E$87</f>
        <v>0.85499999999999998</v>
      </c>
      <c r="F102" s="35">
        <f>-'Fiscal Forecasts'!F$87</f>
        <v>0.89800000000000002</v>
      </c>
      <c r="G102" s="35">
        <f>-'Fiscal Forecasts'!G$87</f>
        <v>0.71</v>
      </c>
      <c r="H102" s="35">
        <f>-'Fiscal Forecasts'!H$87</f>
        <v>0.86799999999999999</v>
      </c>
      <c r="I102" s="35">
        <f>-'Fiscal Forecasts'!I$87</f>
        <v>0.86</v>
      </c>
      <c r="J102" s="17">
        <f>-'Fiscal Forecasts'!J$87</f>
        <v>0.91400000000000003</v>
      </c>
      <c r="K102" s="17">
        <f>-'Fiscal Forecasts'!K$87</f>
        <v>0.74299999999999999</v>
      </c>
      <c r="L102" s="17">
        <f>-'Fiscal Forecasts'!L$87</f>
        <v>0.621</v>
      </c>
      <c r="M102" s="17">
        <f>-'Fiscal Forecasts'!M$87</f>
        <v>0.59199999999999997</v>
      </c>
      <c r="N102" s="17">
        <f>-'Fiscal Forecasts'!N$87</f>
        <v>0.622</v>
      </c>
      <c r="O102" s="16">
        <f t="shared" ref="O102:X102" ca="1" si="70">SUM(O$444-N$444,O$115)</f>
        <v>0.86540356501818028</v>
      </c>
      <c r="P102" s="16">
        <f t="shared" ca="1" si="70"/>
        <v>0.87623288155166745</v>
      </c>
      <c r="Q102" s="16">
        <f t="shared" ca="1" si="70"/>
        <v>0.88727878441582397</v>
      </c>
      <c r="R102" s="16">
        <f t="shared" ca="1" si="70"/>
        <v>0.89854560533726402</v>
      </c>
      <c r="S102" s="16">
        <f t="shared" ca="1" si="70"/>
        <v>0.91003776267713388</v>
      </c>
      <c r="T102" s="16">
        <f t="shared" ca="1" si="70"/>
        <v>0.92175976316379893</v>
      </c>
      <c r="U102" s="16">
        <f t="shared" ca="1" si="70"/>
        <v>0.93371620366019847</v>
      </c>
      <c r="V102" s="16">
        <f t="shared" ca="1" si="70"/>
        <v>0.94591177296652651</v>
      </c>
      <c r="W102" s="16">
        <f t="shared" ca="1" si="70"/>
        <v>0.95835125365897966</v>
      </c>
      <c r="X102" s="16">
        <f t="shared" ca="1" si="70"/>
        <v>0.97103952396528281</v>
      </c>
    </row>
    <row r="103" spans="1:24" x14ac:dyDescent="0.25">
      <c r="A103" s="11" t="s">
        <v>1165</v>
      </c>
      <c r="B103" s="10" t="str">
        <f t="shared" si="67"/>
        <v>From Fiscal Forecasts</v>
      </c>
      <c r="C103" s="13"/>
      <c r="D103" s="35">
        <f>-'Fiscal Forecasts'!D$88</f>
        <v>1.9019999999999999</v>
      </c>
      <c r="E103" s="35">
        <f>-'Fiscal Forecasts'!E$88</f>
        <v>1.29</v>
      </c>
      <c r="F103" s="35">
        <f>-'Fiscal Forecasts'!F$88</f>
        <v>5.6630000000000003</v>
      </c>
      <c r="G103" s="35">
        <f>-'Fiscal Forecasts'!G$88</f>
        <v>12.958</v>
      </c>
      <c r="H103" s="35">
        <f>-'Fiscal Forecasts'!H$88</f>
        <v>8.2149999999999999</v>
      </c>
      <c r="I103" s="35">
        <f>-'Fiscal Forecasts'!I$88</f>
        <v>-0.151</v>
      </c>
      <c r="J103" s="17">
        <f>-'Fiscal Forecasts'!J$88</f>
        <v>-6.0140000000000002</v>
      </c>
      <c r="K103" s="17">
        <f>-'Fiscal Forecasts'!K$88</f>
        <v>-2.7429999999999999</v>
      </c>
      <c r="L103" s="17">
        <f>-'Fiscal Forecasts'!L$88</f>
        <v>3.83</v>
      </c>
      <c r="M103" s="17">
        <f>-'Fiscal Forecasts'!M$88</f>
        <v>4.2050000000000001</v>
      </c>
      <c r="N103" s="17">
        <f>-'Fiscal Forecasts'!N$88</f>
        <v>3.948</v>
      </c>
      <c r="O103" s="16">
        <f t="shared" ref="O103:X103" ca="1" si="71">SUM(O$406-N$406,O$411,-O$413)</f>
        <v>3.4696511861953203</v>
      </c>
      <c r="P103" s="16">
        <f t="shared" ca="1" si="71"/>
        <v>2.9442632046461332</v>
      </c>
      <c r="Q103" s="16">
        <f t="shared" ca="1" si="71"/>
        <v>2.956684471526438</v>
      </c>
      <c r="R103" s="16">
        <f t="shared" ca="1" si="71"/>
        <v>2.9615199859409089</v>
      </c>
      <c r="S103" s="16">
        <f t="shared" ca="1" si="71"/>
        <v>3.015597420692532</v>
      </c>
      <c r="T103" s="16">
        <f t="shared" ca="1" si="71"/>
        <v>3.0619226309681102</v>
      </c>
      <c r="U103" s="16">
        <f t="shared" ca="1" si="71"/>
        <v>3.0975157276296006</v>
      </c>
      <c r="V103" s="16">
        <f t="shared" ca="1" si="71"/>
        <v>3.1394517818057759</v>
      </c>
      <c r="W103" s="16">
        <f t="shared" ca="1" si="71"/>
        <v>3.1915403977656345</v>
      </c>
      <c r="X103" s="16">
        <f t="shared" ca="1" si="71"/>
        <v>3.2762647608818378</v>
      </c>
    </row>
    <row r="104" spans="1:24" x14ac:dyDescent="0.25">
      <c r="A104" s="11" t="s">
        <v>1166</v>
      </c>
      <c r="B104" s="10" t="str">
        <f t="shared" si="67"/>
        <v>From Fiscal Forecasts</v>
      </c>
      <c r="C104" s="13"/>
      <c r="D104" s="35">
        <f>-'Fiscal Forecasts'!D$89</f>
        <v>-0.13600000000000001</v>
      </c>
      <c r="E104" s="35">
        <f>-'Fiscal Forecasts'!E$89</f>
        <v>0.28599999999999998</v>
      </c>
      <c r="F104" s="35">
        <f>-'Fiscal Forecasts'!F$89</f>
        <v>0.39200000000000002</v>
      </c>
      <c r="G104" s="35">
        <f>-'Fiscal Forecasts'!G$89</f>
        <v>0.44800000000000001</v>
      </c>
      <c r="H104" s="35">
        <f>-'Fiscal Forecasts'!H$89</f>
        <v>0.20200000000000001</v>
      </c>
      <c r="I104" s="35">
        <f>-'Fiscal Forecasts'!I$89</f>
        <v>0.39700000000000002</v>
      </c>
      <c r="J104" s="17">
        <f>-'Fiscal Forecasts'!J$89</f>
        <v>0.45600000000000002</v>
      </c>
      <c r="K104" s="17">
        <f>-'Fiscal Forecasts'!K$89</f>
        <v>0.26600000000000001</v>
      </c>
      <c r="L104" s="17">
        <f>-'Fiscal Forecasts'!L$89</f>
        <v>0.193</v>
      </c>
      <c r="M104" s="17">
        <f>-'Fiscal Forecasts'!M$89</f>
        <v>0.26800000000000002</v>
      </c>
      <c r="N104" s="17">
        <f>-'Fiscal Forecasts'!N$89</f>
        <v>8.7999999999999995E-2</v>
      </c>
      <c r="O104" s="16">
        <f t="shared" ref="O104:X104" ca="1" si="72">SUM(O$438-N$438,-O$350)</f>
        <v>0.1328558682668792</v>
      </c>
      <c r="P104" s="16">
        <f t="shared" ca="1" si="72"/>
        <v>0.13052759215871396</v>
      </c>
      <c r="Q104" s="16">
        <f t="shared" ca="1" si="72"/>
        <v>0.12832011727515197</v>
      </c>
      <c r="R104" s="16">
        <f t="shared" ca="1" si="72"/>
        <v>0.12625748403581546</v>
      </c>
      <c r="S104" s="16">
        <f t="shared" ca="1" si="72"/>
        <v>0.1241343169194109</v>
      </c>
      <c r="T104" s="16">
        <f t="shared" ca="1" si="72"/>
        <v>0.12196822618779574</v>
      </c>
      <c r="U104" s="16">
        <f t="shared" ca="1" si="72"/>
        <v>0.11982419770520558</v>
      </c>
      <c r="V104" s="16">
        <f t="shared" ca="1" si="72"/>
        <v>0.11768663252061806</v>
      </c>
      <c r="W104" s="16">
        <f t="shared" ca="1" si="72"/>
        <v>0.1155590240249198</v>
      </c>
      <c r="X104" s="16">
        <f t="shared" ca="1" si="72"/>
        <v>0.11336741536922484</v>
      </c>
    </row>
    <row r="105" spans="1:24" x14ac:dyDescent="0.25">
      <c r="A105" s="11" t="s">
        <v>1130</v>
      </c>
      <c r="B105" s="9"/>
      <c r="C105" s="13"/>
      <c r="D105" s="35">
        <f t="shared" ref="D105:X105" si="73">SUM(D$450-C$450,D$451-C$451)</f>
        <v>0</v>
      </c>
      <c r="E105" s="35">
        <f t="shared" si="73"/>
        <v>0</v>
      </c>
      <c r="F105" s="35">
        <f t="shared" si="73"/>
        <v>0</v>
      </c>
      <c r="G105" s="35">
        <f t="shared" si="73"/>
        <v>0</v>
      </c>
      <c r="H105" s="35">
        <f t="shared" si="73"/>
        <v>0</v>
      </c>
      <c r="I105" s="35">
        <f t="shared" si="73"/>
        <v>0</v>
      </c>
      <c r="J105" s="17">
        <f t="shared" si="73"/>
        <v>-1.5</v>
      </c>
      <c r="K105" s="17">
        <f t="shared" si="73"/>
        <v>1.6600000000000001</v>
      </c>
      <c r="L105" s="17">
        <f t="shared" si="73"/>
        <v>3.0419999999999998</v>
      </c>
      <c r="M105" s="17">
        <f t="shared" si="73"/>
        <v>3.3770000000000002</v>
      </c>
      <c r="N105" s="17">
        <f t="shared" si="73"/>
        <v>3.9310000000000005</v>
      </c>
      <c r="O105" s="16">
        <f t="shared" ca="1" si="73"/>
        <v>3.625</v>
      </c>
      <c r="P105" s="16">
        <f t="shared" ca="1" si="73"/>
        <v>3.7337500000000006</v>
      </c>
      <c r="Q105" s="16">
        <f t="shared" ca="1" si="73"/>
        <v>3.8457624999999993</v>
      </c>
      <c r="R105" s="16">
        <f t="shared" ca="1" si="73"/>
        <v>3.9611353750000013</v>
      </c>
      <c r="S105" s="16">
        <f t="shared" ca="1" si="73"/>
        <v>4.0799694362499999</v>
      </c>
      <c r="T105" s="16">
        <f t="shared" ca="1" si="73"/>
        <v>4.2023685193375044</v>
      </c>
      <c r="U105" s="16">
        <f t="shared" ca="1" si="73"/>
        <v>4.3284395749176241</v>
      </c>
      <c r="V105" s="16">
        <f t="shared" ca="1" si="73"/>
        <v>4.4582927621651578</v>
      </c>
      <c r="W105" s="16">
        <f t="shared" ca="1" si="73"/>
        <v>4.5920415450301135</v>
      </c>
      <c r="X105" s="16">
        <f t="shared" ca="1" si="73"/>
        <v>4.7298027913810117</v>
      </c>
    </row>
    <row r="106" spans="1:24" x14ac:dyDescent="0.25">
      <c r="A106" s="9" t="s">
        <v>1158</v>
      </c>
      <c r="B106" s="9"/>
      <c r="C106" s="13"/>
      <c r="D106" s="65">
        <f>-SUM(D$100:D$105)</f>
        <v>-7.2170000000000005</v>
      </c>
      <c r="E106" s="65">
        <f t="shared" ref="E106:I106" si="74">-SUM(E$100:E$105)</f>
        <v>-25.651</v>
      </c>
      <c r="F106" s="65">
        <f t="shared" si="74"/>
        <v>-12.157</v>
      </c>
      <c r="G106" s="65">
        <f t="shared" si="74"/>
        <v>-29.673999999999999</v>
      </c>
      <c r="H106" s="65">
        <f t="shared" si="74"/>
        <v>-28.462</v>
      </c>
      <c r="I106" s="65">
        <f t="shared" si="74"/>
        <v>-28.285999999999998</v>
      </c>
      <c r="J106" s="66">
        <f t="shared" ref="J106:X106" si="75">-SUM(J$100:J$105)</f>
        <v>-15.968000000000004</v>
      </c>
      <c r="K106" s="66">
        <f t="shared" si="75"/>
        <v>-22.435999999999996</v>
      </c>
      <c r="L106" s="66">
        <f t="shared" si="75"/>
        <v>-19.701999999999998</v>
      </c>
      <c r="M106" s="66">
        <f t="shared" si="75"/>
        <v>-22.464000000000002</v>
      </c>
      <c r="N106" s="66">
        <f t="shared" si="75"/>
        <v>-21.174000000000003</v>
      </c>
      <c r="O106" s="92">
        <f t="shared" ca="1" si="75"/>
        <v>-17.18159506585188</v>
      </c>
      <c r="P106" s="92">
        <f t="shared" ca="1" si="75"/>
        <v>-18.868092230399416</v>
      </c>
      <c r="Q106" s="92">
        <f t="shared" ca="1" si="75"/>
        <v>-19.000050889570701</v>
      </c>
      <c r="R106" s="92">
        <f t="shared" ca="1" si="75"/>
        <v>-19.088644569733844</v>
      </c>
      <c r="S106" s="92">
        <f t="shared" ca="1" si="75"/>
        <v>-19.213103752726532</v>
      </c>
      <c r="T106" s="92">
        <f t="shared" ca="1" si="75"/>
        <v>-19.354002126014091</v>
      </c>
      <c r="U106" s="92">
        <f t="shared" ca="1" si="75"/>
        <v>-19.45162533576125</v>
      </c>
      <c r="V106" s="92">
        <f t="shared" ca="1" si="75"/>
        <v>-19.479938855909964</v>
      </c>
      <c r="W106" s="92">
        <f t="shared" ca="1" si="75"/>
        <v>-19.489587814623391</v>
      </c>
      <c r="X106" s="92">
        <f t="shared" ca="1" si="75"/>
        <v>-19.582662988332768</v>
      </c>
    </row>
    <row r="107" spans="1:24" x14ac:dyDescent="0.25">
      <c r="A107" s="11" t="s">
        <v>590</v>
      </c>
      <c r="B107" s="10" t="str">
        <f t="shared" ref="B107:B109" si="76">$B$38</f>
        <v>From Fiscal Forecasts</v>
      </c>
      <c r="C107" s="13"/>
      <c r="D107" s="35">
        <f>'Fiscal Forecasts'!D$92</f>
        <v>0.437</v>
      </c>
      <c r="E107" s="35">
        <f>'Fiscal Forecasts'!E$92</f>
        <v>1.2090000000000001</v>
      </c>
      <c r="F107" s="35">
        <f>'Fiscal Forecasts'!F$92</f>
        <v>0.23400000000000001</v>
      </c>
      <c r="G107" s="35">
        <f>'Fiscal Forecasts'!G$92</f>
        <v>0.80500000000000005</v>
      </c>
      <c r="H107" s="35">
        <f>'Fiscal Forecasts'!H$92</f>
        <v>-5.8999999999999997E-2</v>
      </c>
      <c r="I107" s="35">
        <f>'Fiscal Forecasts'!I$92</f>
        <v>-2.4E-2</v>
      </c>
      <c r="J107" s="17">
        <f>'Fiscal Forecasts'!J$92</f>
        <v>8.8999999999999996E-2</v>
      </c>
      <c r="K107" s="17">
        <f>'Fiscal Forecasts'!K$92</f>
        <v>9.0999999999999998E-2</v>
      </c>
      <c r="L107" s="17">
        <f>'Fiscal Forecasts'!L$92</f>
        <v>9.1999999999999998E-2</v>
      </c>
      <c r="M107" s="17">
        <f>'Fiscal Forecasts'!M$92</f>
        <v>9.1999999999999998E-2</v>
      </c>
      <c r="N107" s="17">
        <f>'Fiscal Forecasts'!N$92</f>
        <v>9.2999999999999999E-2</v>
      </c>
      <c r="O107" s="16">
        <f t="shared" ref="O107:X107" ca="1" si="77">O$454-N$454</f>
        <v>0.18867999999999974</v>
      </c>
      <c r="P107" s="16">
        <f t="shared" ca="1" si="77"/>
        <v>0.19245360000000034</v>
      </c>
      <c r="Q107" s="16">
        <f t="shared" ca="1" si="77"/>
        <v>0.19630267199999984</v>
      </c>
      <c r="R107" s="16">
        <f t="shared" ca="1" si="77"/>
        <v>0.20022872544000059</v>
      </c>
      <c r="S107" s="16">
        <f t="shared" ca="1" si="77"/>
        <v>0.20423329994880035</v>
      </c>
      <c r="T107" s="16">
        <f t="shared" ca="1" si="77"/>
        <v>0.20831796594777607</v>
      </c>
      <c r="U107" s="16">
        <f t="shared" ca="1" si="77"/>
        <v>0.21248432526673255</v>
      </c>
      <c r="V107" s="16">
        <f t="shared" ca="1" si="77"/>
        <v>0.21673401177206664</v>
      </c>
      <c r="W107" s="16">
        <f t="shared" ca="1" si="77"/>
        <v>0.22106869200750801</v>
      </c>
      <c r="X107" s="16">
        <f t="shared" ca="1" si="77"/>
        <v>0.22549006584765863</v>
      </c>
    </row>
    <row r="108" spans="1:24" x14ac:dyDescent="0.25">
      <c r="A108" s="11" t="s">
        <v>1159</v>
      </c>
      <c r="B108" s="10" t="str">
        <f t="shared" si="76"/>
        <v>From Fiscal Forecasts</v>
      </c>
      <c r="C108" s="13"/>
      <c r="D108" s="35">
        <f>SUM('Fiscal Forecasts'!D$93:D$96)</f>
        <v>-2.5789999999999997</v>
      </c>
      <c r="E108" s="35">
        <f>SUM('Fiscal Forecasts'!E$93:E$96)</f>
        <v>36.155999999999999</v>
      </c>
      <c r="F108" s="35">
        <f>SUM('Fiscal Forecasts'!F$93:F$96)</f>
        <v>7.3529999999999998</v>
      </c>
      <c r="G108" s="35">
        <f>SUM('Fiscal Forecasts'!G$93:G$96)</f>
        <v>33.409000000000006</v>
      </c>
      <c r="H108" s="35">
        <f>SUM('Fiscal Forecasts'!H$93:H$96)</f>
        <v>24.929000000000002</v>
      </c>
      <c r="I108" s="35">
        <f>SUM('Fiscal Forecasts'!I$93:I$96)</f>
        <v>28.588000000000001</v>
      </c>
      <c r="J108" s="17">
        <f>SUM('Fiscal Forecasts'!J$93:J$96)</f>
        <v>25.192000000000004</v>
      </c>
      <c r="K108" s="17">
        <f>SUM('Fiscal Forecasts'!K$93:K$96)</f>
        <v>26.640000000000004</v>
      </c>
      <c r="L108" s="17">
        <f>SUM('Fiscal Forecasts'!L$93:L$96)</f>
        <v>20.073999999999998</v>
      </c>
      <c r="M108" s="17">
        <f>SUM('Fiscal Forecasts'!M$93:M$96)</f>
        <v>15.950000000000001</v>
      </c>
      <c r="N108" s="17">
        <f>SUM('Fiscal Forecasts'!N$93:N$96)</f>
        <v>11.384</v>
      </c>
      <c r="O108" s="16">
        <f t="shared" ref="O108:X108" ca="1" si="78">O$356-N$356-SUM(O$99,O$106,O$107)</f>
        <v>7.8290295273121036</v>
      </c>
      <c r="P108" s="16">
        <f t="shared" ca="1" si="78"/>
        <v>9.7110426973500203</v>
      </c>
      <c r="Q108" s="16">
        <f t="shared" ca="1" si="78"/>
        <v>10.091286599162389</v>
      </c>
      <c r="R108" s="16">
        <f t="shared" ca="1" si="78"/>
        <v>10.543839159812878</v>
      </c>
      <c r="S108" s="16">
        <f t="shared" ca="1" si="78"/>
        <v>10.885918428109289</v>
      </c>
      <c r="T108" s="16">
        <f t="shared" ca="1" si="78"/>
        <v>11.169302769259174</v>
      </c>
      <c r="U108" s="16">
        <f t="shared" ca="1" si="78"/>
        <v>11.307322412265041</v>
      </c>
      <c r="V108" s="16">
        <f t="shared" ca="1" si="78"/>
        <v>11.682529148473249</v>
      </c>
      <c r="W108" s="16">
        <f t="shared" ca="1" si="78"/>
        <v>12.335203299136237</v>
      </c>
      <c r="X108" s="16">
        <f t="shared" ca="1" si="78"/>
        <v>13.138920980545802</v>
      </c>
    </row>
    <row r="109" spans="1:24" x14ac:dyDescent="0.25">
      <c r="A109" s="11" t="s">
        <v>1167</v>
      </c>
      <c r="B109" s="10" t="str">
        <f t="shared" si="76"/>
        <v>From Fiscal Forecasts</v>
      </c>
      <c r="C109" s="13"/>
      <c r="D109" s="35">
        <f>-'Fiscal Forecasts'!D$97</f>
        <v>0.504</v>
      </c>
      <c r="E109" s="35">
        <f>-'Fiscal Forecasts'!E$97</f>
        <v>0.47899999999999998</v>
      </c>
      <c r="F109" s="35">
        <f>-'Fiscal Forecasts'!F$97</f>
        <v>0.373</v>
      </c>
      <c r="G109" s="35">
        <f>-'Fiscal Forecasts'!G$97</f>
        <v>0.30399999999999999</v>
      </c>
      <c r="H109" s="35">
        <f>-'Fiscal Forecasts'!H$97</f>
        <v>0.372</v>
      </c>
      <c r="I109" s="35">
        <f>-'Fiscal Forecasts'!I$97</f>
        <v>0.505</v>
      </c>
      <c r="J109" s="17">
        <f>-'Fiscal Forecasts'!J$97</f>
        <v>0.438</v>
      </c>
      <c r="K109" s="17">
        <f>-'Fiscal Forecasts'!K$97</f>
        <v>0.46200000000000002</v>
      </c>
      <c r="L109" s="17">
        <f>-'Fiscal Forecasts'!L$97</f>
        <v>0.46300000000000002</v>
      </c>
      <c r="M109" s="17">
        <f>-'Fiscal Forecasts'!M$97</f>
        <v>0.504</v>
      </c>
      <c r="N109" s="17">
        <f>-'Fiscal Forecasts'!N$97</f>
        <v>0.52600000000000002</v>
      </c>
      <c r="O109" s="16">
        <f t="shared" ref="O109:X109" ca="1" si="79">O$38-O$40</f>
        <v>0.47501635990689384</v>
      </c>
      <c r="P109" s="16">
        <f t="shared" ca="1" si="79"/>
        <v>0.49512688763084811</v>
      </c>
      <c r="Q109" s="16">
        <f t="shared" ca="1" si="79"/>
        <v>0.51528108080491808</v>
      </c>
      <c r="R109" s="16">
        <f t="shared" ca="1" si="79"/>
        <v>0.5354334874007326</v>
      </c>
      <c r="S109" s="16">
        <f t="shared" ca="1" si="79"/>
        <v>0.55603024773069565</v>
      </c>
      <c r="T109" s="16">
        <f t="shared" ca="1" si="79"/>
        <v>0.57703992929699566</v>
      </c>
      <c r="U109" s="16">
        <f t="shared" ca="1" si="79"/>
        <v>0.5983297340422794</v>
      </c>
      <c r="V109" s="16">
        <f t="shared" ca="1" si="79"/>
        <v>0.61993962689374504</v>
      </c>
      <c r="W109" s="16">
        <f t="shared" ca="1" si="79"/>
        <v>0.64186880274271907</v>
      </c>
      <c r="X109" s="16">
        <f t="shared" ca="1" si="79"/>
        <v>0.66428250953843782</v>
      </c>
    </row>
    <row r="110" spans="1:24" x14ac:dyDescent="0.25">
      <c r="A110" s="9" t="s">
        <v>1160</v>
      </c>
      <c r="B110" s="9"/>
      <c r="C110" s="13"/>
      <c r="D110" s="65">
        <f>(D$107+D$108-D$109)</f>
        <v>-2.6459999999999999</v>
      </c>
      <c r="E110" s="65">
        <f t="shared" ref="E110:X110" si="80">(E$107+E$108-E$109)</f>
        <v>36.886000000000003</v>
      </c>
      <c r="F110" s="65">
        <f t="shared" si="80"/>
        <v>7.2139999999999995</v>
      </c>
      <c r="G110" s="65">
        <f t="shared" si="80"/>
        <v>33.910000000000004</v>
      </c>
      <c r="H110" s="65">
        <f t="shared" si="80"/>
        <v>24.498000000000001</v>
      </c>
      <c r="I110" s="65">
        <f t="shared" si="80"/>
        <v>28.059000000000001</v>
      </c>
      <c r="J110" s="66">
        <f t="shared" si="80"/>
        <v>24.843000000000004</v>
      </c>
      <c r="K110" s="66">
        <f t="shared" si="80"/>
        <v>26.269000000000005</v>
      </c>
      <c r="L110" s="66">
        <f t="shared" si="80"/>
        <v>19.702999999999996</v>
      </c>
      <c r="M110" s="66">
        <f t="shared" si="80"/>
        <v>15.538000000000002</v>
      </c>
      <c r="N110" s="66">
        <f t="shared" si="80"/>
        <v>10.951000000000001</v>
      </c>
      <c r="O110" s="92">
        <f t="shared" ca="1" si="80"/>
        <v>7.5426931674052096</v>
      </c>
      <c r="P110" s="92">
        <f t="shared" ca="1" si="80"/>
        <v>9.4083694097191728</v>
      </c>
      <c r="Q110" s="92">
        <f t="shared" ca="1" si="80"/>
        <v>9.7723081903574709</v>
      </c>
      <c r="R110" s="92">
        <f t="shared" ca="1" si="80"/>
        <v>10.208634397852146</v>
      </c>
      <c r="S110" s="92">
        <f t="shared" ca="1" si="80"/>
        <v>10.534121480327393</v>
      </c>
      <c r="T110" s="92">
        <f t="shared" ca="1" si="80"/>
        <v>10.800580805909954</v>
      </c>
      <c r="U110" s="92">
        <f t="shared" ca="1" si="80"/>
        <v>10.921477003489494</v>
      </c>
      <c r="V110" s="92">
        <f t="shared" ca="1" si="80"/>
        <v>11.279323533351571</v>
      </c>
      <c r="W110" s="92">
        <f t="shared" ca="1" si="80"/>
        <v>11.914403188401026</v>
      </c>
      <c r="X110" s="92">
        <f t="shared" ca="1" si="80"/>
        <v>12.700128536855022</v>
      </c>
    </row>
    <row r="111" spans="1:24" x14ac:dyDescent="0.25">
      <c r="A111" s="9" t="s">
        <v>597</v>
      </c>
      <c r="B111" s="9"/>
      <c r="C111" s="13"/>
      <c r="D111" s="65">
        <f>SUM(D$99,D$106,D$110)</f>
        <v>1.1099999999999985</v>
      </c>
      <c r="E111" s="65">
        <f t="shared" ref="E111:X111" si="81">SUM(E$99,E$106,E$110)</f>
        <v>0.83900000000000574</v>
      </c>
      <c r="F111" s="65">
        <f t="shared" si="81"/>
        <v>-1.8389999999999871</v>
      </c>
      <c r="G111" s="65">
        <f t="shared" si="81"/>
        <v>-1.1410000000000053</v>
      </c>
      <c r="H111" s="65">
        <f t="shared" si="81"/>
        <v>0.56099999999997863</v>
      </c>
      <c r="I111" s="65">
        <f t="shared" si="81"/>
        <v>-2.5330000000000368</v>
      </c>
      <c r="J111" s="66">
        <f t="shared" ca="1" si="81"/>
        <v>5.7129999999999939</v>
      </c>
      <c r="K111" s="66">
        <f t="shared" ca="1" si="81"/>
        <v>0.14000000000002544</v>
      </c>
      <c r="L111" s="66">
        <f t="shared" ca="1" si="81"/>
        <v>0.76600000000004087</v>
      </c>
      <c r="M111" s="66">
        <f t="shared" ca="1" si="81"/>
        <v>-0.65900000000003267</v>
      </c>
      <c r="N111" s="66">
        <f t="shared" ca="1" si="81"/>
        <v>-0.13799999999999457</v>
      </c>
      <c r="O111" s="92">
        <f t="shared" ca="1" si="81"/>
        <v>-0.16155561066400459</v>
      </c>
      <c r="P111" s="92">
        <f t="shared" ca="1" si="81"/>
        <v>-5.6958576554849927E-2</v>
      </c>
      <c r="Q111" s="92">
        <f t="shared" ca="1" si="81"/>
        <v>-6.3841398732598975E-2</v>
      </c>
      <c r="R111" s="92">
        <f t="shared" ca="1" si="81"/>
        <v>-7.2811510903752819E-2</v>
      </c>
      <c r="S111" s="92">
        <f t="shared" ca="1" si="81"/>
        <v>-8.3219604688565596E-2</v>
      </c>
      <c r="T111" s="92">
        <f t="shared" ca="1" si="81"/>
        <v>-9.3169490432261526E-2</v>
      </c>
      <c r="U111" s="92">
        <f t="shared" ca="1" si="81"/>
        <v>-0.105231899645025</v>
      </c>
      <c r="V111" s="92">
        <f t="shared" ca="1" si="81"/>
        <v>-0.11618558567242765</v>
      </c>
      <c r="W111" s="92">
        <f t="shared" ca="1" si="81"/>
        <v>-0.12351769467856677</v>
      </c>
      <c r="X111" s="92">
        <f t="shared" ca="1" si="81"/>
        <v>-0.1268871583777198</v>
      </c>
    </row>
    <row r="112" spans="1:24" x14ac:dyDescent="0.25">
      <c r="A112" s="12" t="s">
        <v>1141</v>
      </c>
      <c r="B112" s="9"/>
      <c r="C112" s="13"/>
      <c r="D112" s="36"/>
      <c r="E112" s="36"/>
      <c r="F112" s="36"/>
      <c r="G112" s="36"/>
      <c r="H112" s="36"/>
      <c r="I112" s="36"/>
      <c r="J112" s="19"/>
      <c r="K112" s="19"/>
      <c r="L112" s="19"/>
      <c r="M112" s="19"/>
      <c r="N112" s="19"/>
      <c r="O112" s="18"/>
      <c r="P112" s="18"/>
      <c r="Q112" s="18"/>
      <c r="R112" s="18"/>
      <c r="S112" s="18"/>
      <c r="T112" s="18"/>
      <c r="U112" s="18"/>
      <c r="V112" s="18"/>
      <c r="W112" s="18"/>
      <c r="X112" s="18"/>
    </row>
    <row r="113" spans="1:24" x14ac:dyDescent="0.25">
      <c r="A113" s="9" t="s">
        <v>1161</v>
      </c>
      <c r="B113" s="9"/>
      <c r="C113" s="13"/>
      <c r="D113" s="42">
        <f t="shared" ref="D113:X113" si="82">SUM(D$346,D$350,-D$38)</f>
        <v>-7.3769999999999989</v>
      </c>
      <c r="E113" s="42">
        <f t="shared" si="82"/>
        <v>-7.1269999999999998</v>
      </c>
      <c r="F113" s="42">
        <f t="shared" si="82"/>
        <v>20.545999999999999</v>
      </c>
      <c r="G113" s="42">
        <f t="shared" si="82"/>
        <v>-7.6029999999999998</v>
      </c>
      <c r="H113" s="42">
        <f t="shared" si="82"/>
        <v>14.132000000000001</v>
      </c>
      <c r="I113" s="42">
        <f t="shared" si="82"/>
        <v>4.3490000000000002</v>
      </c>
      <c r="J113" s="43">
        <f t="shared" si="82"/>
        <v>8.9680000000000017</v>
      </c>
      <c r="K113" s="43">
        <f t="shared" si="82"/>
        <v>5.41</v>
      </c>
      <c r="L113" s="43">
        <f t="shared" si="82"/>
        <v>5.6450000000000005</v>
      </c>
      <c r="M113" s="43">
        <f t="shared" si="82"/>
        <v>6.0649999999999995</v>
      </c>
      <c r="N113" s="43">
        <f t="shared" si="82"/>
        <v>6.6349999999999998</v>
      </c>
      <c r="O113" s="47">
        <f t="shared" ca="1" si="82"/>
        <v>6.9867364514005148</v>
      </c>
      <c r="P113" s="47">
        <f t="shared" ca="1" si="82"/>
        <v>7.383365985753354</v>
      </c>
      <c r="Q113" s="47">
        <f t="shared" ca="1" si="82"/>
        <v>7.8010630154507101</v>
      </c>
      <c r="R113" s="47">
        <f t="shared" ca="1" si="82"/>
        <v>8.2386236557164452</v>
      </c>
      <c r="S113" s="47">
        <f t="shared" ca="1" si="82"/>
        <v>8.694942810242793</v>
      </c>
      <c r="T113" s="47">
        <f t="shared" ca="1" si="82"/>
        <v>9.1712841317286049</v>
      </c>
      <c r="U113" s="47">
        <f t="shared" ca="1" si="82"/>
        <v>9.6686540346067691</v>
      </c>
      <c r="V113" s="47">
        <f t="shared" ca="1" si="82"/>
        <v>10.182613191857303</v>
      </c>
      <c r="W113" s="47">
        <f t="shared" ca="1" si="82"/>
        <v>10.711883349592151</v>
      </c>
      <c r="X113" s="47">
        <f t="shared" ca="1" si="82"/>
        <v>11.260510673872137</v>
      </c>
    </row>
    <row r="114" spans="1:24" x14ac:dyDescent="0.25">
      <c r="A114" s="11" t="s">
        <v>536</v>
      </c>
      <c r="B114" s="10"/>
      <c r="C114" s="13"/>
      <c r="D114" s="35">
        <f t="shared" ref="D114:X114" si="83">D$218</f>
        <v>4.5540000000000003</v>
      </c>
      <c r="E114" s="35">
        <f t="shared" si="83"/>
        <v>5.2940000000000005</v>
      </c>
      <c r="F114" s="35">
        <f t="shared" si="83"/>
        <v>5.5660000000000007</v>
      </c>
      <c r="G114" s="35">
        <f t="shared" si="83"/>
        <v>6.1520000000000001</v>
      </c>
      <c r="H114" s="35">
        <f t="shared" si="83"/>
        <v>6.6009999999999991</v>
      </c>
      <c r="I114" s="35">
        <f t="shared" si="83"/>
        <v>7.6210000000000004</v>
      </c>
      <c r="J114" s="17">
        <f t="shared" si="83"/>
        <v>8.06</v>
      </c>
      <c r="K114" s="17">
        <f t="shared" si="83"/>
        <v>8.4239999999999995</v>
      </c>
      <c r="L114" s="17">
        <f t="shared" si="83"/>
        <v>8.7170000000000005</v>
      </c>
      <c r="M114" s="17">
        <f t="shared" si="83"/>
        <v>9.0640000000000001</v>
      </c>
      <c r="N114" s="17">
        <f t="shared" si="83"/>
        <v>9.2050000000000001</v>
      </c>
      <c r="O114" s="16">
        <f t="shared" ca="1" si="83"/>
        <v>9.2337767255345771</v>
      </c>
      <c r="P114" s="16">
        <f t="shared" ca="1" si="83"/>
        <v>9.2625053385363252</v>
      </c>
      <c r="Q114" s="16">
        <f t="shared" ca="1" si="83"/>
        <v>9.291610423013152</v>
      </c>
      <c r="R114" s="16">
        <f t="shared" ca="1" si="83"/>
        <v>9.3211784522143883</v>
      </c>
      <c r="S114" s="16">
        <f t="shared" ca="1" si="83"/>
        <v>9.3512196339142797</v>
      </c>
      <c r="T114" s="16">
        <f t="shared" ca="1" si="83"/>
        <v>9.3817434538140496</v>
      </c>
      <c r="U114" s="16">
        <f t="shared" ca="1" si="83"/>
        <v>9.4127563469539659</v>
      </c>
      <c r="V114" s="16">
        <f t="shared" ca="1" si="83"/>
        <v>9.4442656664558218</v>
      </c>
      <c r="W114" s="16">
        <f t="shared" ca="1" si="83"/>
        <v>9.4762787469463063</v>
      </c>
      <c r="X114" s="16">
        <f t="shared" ca="1" si="83"/>
        <v>9.508806719157846</v>
      </c>
    </row>
    <row r="115" spans="1:24" x14ac:dyDescent="0.25">
      <c r="A115" s="11" t="s">
        <v>1228</v>
      </c>
      <c r="B115" s="10" t="str">
        <f>$B$38</f>
        <v>From Fiscal Forecasts</v>
      </c>
      <c r="C115" s="13"/>
      <c r="D115" s="35">
        <f>-'Fiscal Forecasts'!D$104</f>
        <v>-1.5799999999999996</v>
      </c>
      <c r="E115" s="35">
        <f>-'Fiscal Forecasts'!E$104</f>
        <v>2.726</v>
      </c>
      <c r="F115" s="35">
        <f>-'Fiscal Forecasts'!F$104</f>
        <v>1.0489999999999999</v>
      </c>
      <c r="G115" s="35">
        <f>-'Fiscal Forecasts'!G$104</f>
        <v>-0.26900000000000002</v>
      </c>
      <c r="H115" s="35">
        <f>-'Fiscal Forecasts'!H$104</f>
        <v>0.73399999999999999</v>
      </c>
      <c r="I115" s="35">
        <f>-'Fiscal Forecasts'!I$104</f>
        <v>1.1950000000000001</v>
      </c>
      <c r="J115" s="17">
        <f>-'Fiscal Forecasts'!J$104</f>
        <v>0.84399999999999997</v>
      </c>
      <c r="K115" s="17">
        <f>-'Fiscal Forecasts'!K$104</f>
        <v>1.556</v>
      </c>
      <c r="L115" s="17">
        <f>-'Fiscal Forecasts'!L$104</f>
        <v>0.83</v>
      </c>
      <c r="M115" s="17">
        <f>-'Fiscal Forecasts'!M$104</f>
        <v>0.81299999999999994</v>
      </c>
      <c r="N115" s="17">
        <f>-'Fiscal Forecasts'!N$104</f>
        <v>0.81</v>
      </c>
      <c r="O115" s="16">
        <f ca="1">IF(O$6=OFFSET(Assumptions!$B$8,0,$C$1),AVERAGE(L$115/L$444,M$115/M$444,N$115/N$444),N$115/N$444)*O$444</f>
        <v>0.81740356501818023</v>
      </c>
      <c r="P115" s="16">
        <f ca="1">IF(P$6=OFFSET(Assumptions!$B$8,0,$C$1),AVERAGE(M$115/M$444,N$115/N$444,O$115/O$444),O$115/O$444)*P$444</f>
        <v>0.82727288155166734</v>
      </c>
      <c r="Q115" s="16">
        <f ca="1">IF(Q$6=OFFSET(Assumptions!$B$8,0,$C$1),AVERAGE(N$115/N$444,O$115/O$444,P$115/P$444),P$115/P$444)*Q$444</f>
        <v>0.83733958441582412</v>
      </c>
      <c r="R115" s="16">
        <f ca="1">IF(R$6=OFFSET(Assumptions!$B$8,0,$C$1),AVERAGE(O$115/O$444,P$115/P$444,Q$115/Q$444),Q$115/Q$444)*R$444</f>
        <v>0.84760762133726408</v>
      </c>
      <c r="S115" s="16">
        <f ca="1">IF(S$6=OFFSET(Assumptions!$B$8,0,$C$1),AVERAGE(P$115/P$444,Q$115/Q$444,R$115/R$444),R$115/R$444)*S$444</f>
        <v>0.85808101899713307</v>
      </c>
      <c r="T115" s="16">
        <f ca="1">IF(T$6=OFFSET(Assumptions!$B$8,0,$C$1),AVERAGE(Q$115/Q$444,R$115/R$444,S$115/S$444),S$115/S$444)*T$444</f>
        <v>0.86876388461019916</v>
      </c>
      <c r="U115" s="16">
        <f ca="1">IF(U$6=OFFSET(Assumptions!$B$8,0,$C$1),AVERAGE(R$115/R$444,S$115/S$444,T$115/T$444),T$115/T$444)*U$444</f>
        <v>0.87966040753552655</v>
      </c>
      <c r="V115" s="16">
        <f ca="1">IF(V$6=OFFSET(Assumptions!$B$8,0,$C$1),AVERAGE(S$115/S$444,T$115/T$444,U$115/U$444),U$115/U$444)*V$444</f>
        <v>0.89077486091936064</v>
      </c>
      <c r="W115" s="16">
        <f ca="1">IF(W$6=OFFSET(Assumptions!$B$8,0,$C$1),AVERAGE(T$115/T$444,U$115/U$444,V$115/V$444),V$115/V$444)*W$444</f>
        <v>0.90211160337087126</v>
      </c>
      <c r="X115" s="16">
        <f ca="1">IF(X$6=OFFSET(Assumptions!$B$8,0,$C$1),AVERAGE(U$115/U$444,V$115/V$444,W$115/W$444),W$115/W$444)*X$444</f>
        <v>0.91367508067141212</v>
      </c>
    </row>
    <row r="116" spans="1:24" x14ac:dyDescent="0.25">
      <c r="A116" s="11" t="s">
        <v>603</v>
      </c>
      <c r="B116" s="10" t="str">
        <f>$B$38</f>
        <v>From Fiscal Forecasts</v>
      </c>
      <c r="C116" s="13"/>
      <c r="D116" s="35">
        <f>-'Fiscal Forecasts'!D$105</f>
        <v>0.76300000000000001</v>
      </c>
      <c r="E116" s="35">
        <f>-'Fiscal Forecasts'!E$105</f>
        <v>1.2789999999999999</v>
      </c>
      <c r="F116" s="35">
        <f>-'Fiscal Forecasts'!F$105</f>
        <v>1.0389999999999999</v>
      </c>
      <c r="G116" s="35">
        <f>-'Fiscal Forecasts'!G$105</f>
        <v>0.85799999999999998</v>
      </c>
      <c r="H116" s="35">
        <f>-'Fiscal Forecasts'!H$105</f>
        <v>0.73799999999999999</v>
      </c>
      <c r="I116" s="35">
        <f>-'Fiscal Forecasts'!I$105</f>
        <v>0.71899999999999997</v>
      </c>
      <c r="J116" s="17">
        <f>-'Fiscal Forecasts'!J$105</f>
        <v>0.61199999999999999</v>
      </c>
      <c r="K116" s="17">
        <f>-'Fiscal Forecasts'!K$105</f>
        <v>0.68100000000000005</v>
      </c>
      <c r="L116" s="17">
        <f>-'Fiscal Forecasts'!L$105</f>
        <v>0.67400000000000004</v>
      </c>
      <c r="M116" s="17">
        <f>-'Fiscal Forecasts'!M$105</f>
        <v>0.65</v>
      </c>
      <c r="N116" s="17">
        <f>-'Fiscal Forecasts'!N$105</f>
        <v>0.66300000000000003</v>
      </c>
      <c r="O116" s="16">
        <f t="shared" ref="O116:X116" si="84">O$411</f>
        <v>0.65600000000000003</v>
      </c>
      <c r="P116" s="16">
        <f t="shared" si="84"/>
        <v>0.67400000000000004</v>
      </c>
      <c r="Q116" s="16">
        <f t="shared" si="84"/>
        <v>0.69299999999999995</v>
      </c>
      <c r="R116" s="16">
        <f t="shared" si="84"/>
        <v>0.71099999999999997</v>
      </c>
      <c r="S116" s="16">
        <f t="shared" si="84"/>
        <v>0.72699999999999998</v>
      </c>
      <c r="T116" s="16">
        <f t="shared" si="84"/>
        <v>0.74199999999999999</v>
      </c>
      <c r="U116" s="16">
        <f t="shared" si="84"/>
        <v>0.75600000000000001</v>
      </c>
      <c r="V116" s="16">
        <f t="shared" si="84"/>
        <v>0.76900000000000002</v>
      </c>
      <c r="W116" s="16">
        <f t="shared" si="84"/>
        <v>0.78300000000000003</v>
      </c>
      <c r="X116" s="16">
        <f t="shared" si="84"/>
        <v>0.79700000000000004</v>
      </c>
    </row>
    <row r="117" spans="1:24" x14ac:dyDescent="0.25">
      <c r="A117" s="11" t="s">
        <v>1171</v>
      </c>
      <c r="B117" s="10" t="str">
        <f>$B$38</f>
        <v>From Fiscal Forecasts</v>
      </c>
      <c r="C117" s="13"/>
      <c r="D117" s="35">
        <f>-'Fiscal Forecasts'!D$106</f>
        <v>4.1000000000000002E-2</v>
      </c>
      <c r="E117" s="35">
        <f>-'Fiscal Forecasts'!E$106</f>
        <v>5.2999999999999999E-2</v>
      </c>
      <c r="F117" s="35">
        <f>-'Fiscal Forecasts'!F$106</f>
        <v>1E-3</v>
      </c>
      <c r="G117" s="35">
        <f>-'Fiscal Forecasts'!G$106</f>
        <v>3.7999999999999999E-2</v>
      </c>
      <c r="H117" s="35">
        <f>-'Fiscal Forecasts'!H$106</f>
        <v>9.7000000000000003E-2</v>
      </c>
      <c r="I117" s="35">
        <f>-'Fiscal Forecasts'!I$106</f>
        <v>0.123</v>
      </c>
      <c r="J117" s="17">
        <f>-'Fiscal Forecasts'!J$106</f>
        <v>-3.1E-2</v>
      </c>
      <c r="K117" s="17">
        <f>-'Fiscal Forecasts'!K$106</f>
        <v>-4.7E-2</v>
      </c>
      <c r="L117" s="17">
        <f>-'Fiscal Forecasts'!L$106</f>
        <v>-3.1E-2</v>
      </c>
      <c r="M117" s="17">
        <f>-'Fiscal Forecasts'!M$106</f>
        <v>1.0999999999999999E-2</v>
      </c>
      <c r="N117" s="17">
        <f>-'Fiscal Forecasts'!N$106</f>
        <v>0.01</v>
      </c>
      <c r="O117" s="16">
        <f ca="1">IF(O$6=OFFSET(Assumptions!$B$8,0,$C$1),OFFSET(Assumptions!$B$9,0,$C$1),N$117)</f>
        <v>0</v>
      </c>
      <c r="P117" s="16">
        <f ca="1">IF(P$6=OFFSET(Assumptions!$B$8,0,$C$1),OFFSET(Assumptions!$B$9,0,$C$1),O$117)</f>
        <v>0</v>
      </c>
      <c r="Q117" s="16">
        <f ca="1">IF(Q$6=OFFSET(Assumptions!$B$8,0,$C$1),OFFSET(Assumptions!$B$9,0,$C$1),P$117)</f>
        <v>0</v>
      </c>
      <c r="R117" s="16">
        <f ca="1">IF(R$6=OFFSET(Assumptions!$B$8,0,$C$1),OFFSET(Assumptions!$B$9,0,$C$1),Q$117)</f>
        <v>0</v>
      </c>
      <c r="S117" s="16">
        <f ca="1">IF(S$6=OFFSET(Assumptions!$B$8,0,$C$1),OFFSET(Assumptions!$B$9,0,$C$1),R$117)</f>
        <v>0</v>
      </c>
      <c r="T117" s="16">
        <f ca="1">IF(T$6=OFFSET(Assumptions!$B$8,0,$C$1),OFFSET(Assumptions!$B$9,0,$C$1),S$117)</f>
        <v>0</v>
      </c>
      <c r="U117" s="16">
        <f ca="1">IF(U$6=OFFSET(Assumptions!$B$8,0,$C$1),OFFSET(Assumptions!$B$9,0,$C$1),T$117)</f>
        <v>0</v>
      </c>
      <c r="V117" s="16">
        <f ca="1">IF(V$6=OFFSET(Assumptions!$B$8,0,$C$1),OFFSET(Assumptions!$B$9,0,$C$1),U$117)</f>
        <v>0</v>
      </c>
      <c r="W117" s="16">
        <f ca="1">IF(W$6=OFFSET(Assumptions!$B$8,0,$C$1),OFFSET(Assumptions!$B$9,0,$C$1),V$117)</f>
        <v>0</v>
      </c>
      <c r="X117" s="16">
        <f ca="1">IF(X$6=OFFSET(Assumptions!$B$8,0,$C$1),OFFSET(Assumptions!$B$9,0,$C$1),W$117)</f>
        <v>0</v>
      </c>
    </row>
    <row r="118" spans="1:24" x14ac:dyDescent="0.25">
      <c r="A118" s="11" t="s">
        <v>605</v>
      </c>
      <c r="B118" s="10" t="str">
        <f>$B$38</f>
        <v>From Fiscal Forecasts</v>
      </c>
      <c r="C118" s="13"/>
      <c r="D118" s="35">
        <f>-'Fiscal Forecasts'!D$107</f>
        <v>1.768</v>
      </c>
      <c r="E118" s="35">
        <f>-'Fiscal Forecasts'!E$107</f>
        <v>2.351</v>
      </c>
      <c r="F118" s="35">
        <f>-'Fiscal Forecasts'!F$107</f>
        <v>1.8680000000000001</v>
      </c>
      <c r="G118" s="35">
        <f>-'Fiscal Forecasts'!G$107</f>
        <v>1.696</v>
      </c>
      <c r="H118" s="35">
        <f>-'Fiscal Forecasts'!H$107</f>
        <v>3.5249999999999999</v>
      </c>
      <c r="I118" s="35">
        <f>-'Fiscal Forecasts'!I$107</f>
        <v>3.8380000000000001</v>
      </c>
      <c r="J118" s="17">
        <f>-'Fiscal Forecasts'!J$107</f>
        <v>4.0350000000000001</v>
      </c>
      <c r="K118" s="17">
        <f>-'Fiscal Forecasts'!K$107</f>
        <v>3.0369999999999999</v>
      </c>
      <c r="L118" s="17">
        <f>-'Fiscal Forecasts'!L$107</f>
        <v>3.3239999999999998</v>
      </c>
      <c r="M118" s="17">
        <f>-'Fiscal Forecasts'!M$107</f>
        <v>3.6920000000000002</v>
      </c>
      <c r="N118" s="17">
        <f>-'Fiscal Forecasts'!N$107</f>
        <v>3.85</v>
      </c>
      <c r="O118" s="16">
        <f t="shared" ref="O118:X118" ca="1" si="85">O$475-N$475</f>
        <v>4.2940415667566612</v>
      </c>
      <c r="P118" s="16">
        <f t="shared" ca="1" si="85"/>
        <v>4.6745198695422658</v>
      </c>
      <c r="Q118" s="16">
        <f t="shared" ca="1" si="85"/>
        <v>4.9931983149520676</v>
      </c>
      <c r="R118" s="16">
        <f t="shared" ca="1" si="85"/>
        <v>5.2719906953987135</v>
      </c>
      <c r="S118" s="16">
        <f t="shared" ca="1" si="85"/>
        <v>5.5463118745630595</v>
      </c>
      <c r="T118" s="16">
        <f t="shared" ca="1" si="85"/>
        <v>5.8402675851831418</v>
      </c>
      <c r="U118" s="16">
        <f t="shared" ca="1" si="85"/>
        <v>6.0898671107307507</v>
      </c>
      <c r="V118" s="16">
        <f t="shared" ca="1" si="85"/>
        <v>6.3129879384634364</v>
      </c>
      <c r="W118" s="16">
        <f t="shared" ca="1" si="85"/>
        <v>6.5465401488230697</v>
      </c>
      <c r="X118" s="16">
        <f t="shared" ca="1" si="85"/>
        <v>6.7831238224722483</v>
      </c>
    </row>
    <row r="119" spans="1:24" x14ac:dyDescent="0.25">
      <c r="A119" s="11" t="s">
        <v>606</v>
      </c>
      <c r="B119" s="10" t="str">
        <f>$B$38</f>
        <v>From Fiscal Forecasts</v>
      </c>
      <c r="C119" s="13"/>
      <c r="D119" s="35">
        <f>-'Fiscal Forecasts'!D$108</f>
        <v>0</v>
      </c>
      <c r="E119" s="35">
        <f>-'Fiscal Forecasts'!E$108</f>
        <v>0</v>
      </c>
      <c r="F119" s="35">
        <f>-'Fiscal Forecasts'!F$108</f>
        <v>0</v>
      </c>
      <c r="G119" s="35">
        <f>-'Fiscal Forecasts'!G$108</f>
        <v>0</v>
      </c>
      <c r="H119" s="35">
        <f>-'Fiscal Forecasts'!H$108</f>
        <v>-0.39500000000000002</v>
      </c>
      <c r="I119" s="35">
        <f>-'Fiscal Forecasts'!I$108</f>
        <v>-0.61399999999999999</v>
      </c>
      <c r="J119" s="17">
        <f>-'Fiscal Forecasts'!J$108</f>
        <v>-1.2769999999999999</v>
      </c>
      <c r="K119" s="17">
        <f>-'Fiscal Forecasts'!K$108</f>
        <v>-1.145</v>
      </c>
      <c r="L119" s="17">
        <f>-'Fiscal Forecasts'!L$108</f>
        <v>-0.88600000000000001</v>
      </c>
      <c r="M119" s="17">
        <f>-'Fiscal Forecasts'!M$108</f>
        <v>-0.64300000000000002</v>
      </c>
      <c r="N119" s="17">
        <f>-'Fiscal Forecasts'!N$108</f>
        <v>-0.64900000000000002</v>
      </c>
      <c r="O119" s="16">
        <f t="shared" ref="O119:X119" ca="1" si="86">O$469-N$469</f>
        <v>-0.40904000000000007</v>
      </c>
      <c r="P119" s="16">
        <f t="shared" ca="1" si="86"/>
        <v>-0.37950079999999975</v>
      </c>
      <c r="Q119" s="16">
        <f t="shared" ca="1" si="86"/>
        <v>-0.34937081599999997</v>
      </c>
      <c r="R119" s="16">
        <f t="shared" ca="1" si="86"/>
        <v>-0.3186382323200001</v>
      </c>
      <c r="S119" s="16">
        <f t="shared" ca="1" si="86"/>
        <v>-0.2872909969663997</v>
      </c>
      <c r="T119" s="16">
        <f t="shared" ca="1" si="86"/>
        <v>-0.25531681690572761</v>
      </c>
      <c r="U119" s="16">
        <f t="shared" ca="1" si="86"/>
        <v>-0.2227031532438426</v>
      </c>
      <c r="V119" s="16">
        <f t="shared" ca="1" si="86"/>
        <v>-0.18943721630871924</v>
      </c>
      <c r="W119" s="16">
        <f t="shared" ca="1" si="86"/>
        <v>-0.15550596063489364</v>
      </c>
      <c r="X119" s="16">
        <f t="shared" ca="1" si="86"/>
        <v>-0.12089607984759154</v>
      </c>
    </row>
    <row r="120" spans="1:24" x14ac:dyDescent="0.25">
      <c r="A120" s="11" t="s">
        <v>607</v>
      </c>
      <c r="B120" s="10" t="str">
        <f t="shared" ref="B120" si="87">$B$38</f>
        <v>From Fiscal Forecasts</v>
      </c>
      <c r="C120" s="13"/>
      <c r="D120" s="35">
        <f>-'Fiscal Forecasts'!D$109</f>
        <v>-0.57099999999999995</v>
      </c>
      <c r="E120" s="35">
        <f>-'Fiscal Forecasts'!E$109</f>
        <v>0.80400000000000005</v>
      </c>
      <c r="F120" s="35">
        <f>-'Fiscal Forecasts'!F$109</f>
        <v>-0.73299999999999998</v>
      </c>
      <c r="G120" s="35">
        <f>-'Fiscal Forecasts'!G$109</f>
        <v>-0.79</v>
      </c>
      <c r="H120" s="35">
        <f>-'Fiscal Forecasts'!H$109</f>
        <v>-6.0999999999999999E-2</v>
      </c>
      <c r="I120" s="35">
        <f>-'Fiscal Forecasts'!I$109</f>
        <v>-6.0999999999999999E-2</v>
      </c>
      <c r="J120" s="17">
        <f>-'Fiscal Forecasts'!J$109</f>
        <v>0.05</v>
      </c>
      <c r="K120" s="17">
        <f>-'Fiscal Forecasts'!K$109</f>
        <v>4.9000000000000002E-2</v>
      </c>
      <c r="L120" s="17">
        <f>-'Fiscal Forecasts'!L$109</f>
        <v>4.8000000000000001E-2</v>
      </c>
      <c r="M120" s="17">
        <f>-'Fiscal Forecasts'!M$109</f>
        <v>4.5999999999999999E-2</v>
      </c>
      <c r="N120" s="17">
        <f>-'Fiscal Forecasts'!N$109</f>
        <v>4.4999999999999998E-2</v>
      </c>
      <c r="O120" s="16">
        <f t="shared" ref="O120:X120" ca="1" si="88">O$480-N$480</f>
        <v>-0.19022764830508443</v>
      </c>
      <c r="P120" s="16">
        <f t="shared" ca="1" si="88"/>
        <v>-0.19206557203389885</v>
      </c>
      <c r="Q120" s="16">
        <f t="shared" ca="1" si="88"/>
        <v>-0.19448453389830522</v>
      </c>
      <c r="R120" s="16">
        <f t="shared" ca="1" si="88"/>
        <v>-0.19883866525423732</v>
      </c>
      <c r="S120" s="16">
        <f t="shared" ca="1" si="88"/>
        <v>-0.20029004237288106</v>
      </c>
      <c r="T120" s="16">
        <f t="shared" ca="1" si="88"/>
        <v>-0.2007738347457626</v>
      </c>
      <c r="U120" s="16">
        <f t="shared" ca="1" si="88"/>
        <v>-0.19400074152542324</v>
      </c>
      <c r="V120" s="16">
        <f t="shared" ca="1" si="88"/>
        <v>-0.1915817796610173</v>
      </c>
      <c r="W120" s="16">
        <f t="shared" ca="1" si="88"/>
        <v>-0.18867902542372894</v>
      </c>
      <c r="X120" s="16">
        <f t="shared" ca="1" si="88"/>
        <v>-0.18529247881355948</v>
      </c>
    </row>
    <row r="121" spans="1:24" x14ac:dyDescent="0.25">
      <c r="A121" s="9" t="s">
        <v>1143</v>
      </c>
      <c r="B121" s="9"/>
      <c r="C121" s="13"/>
      <c r="D121" s="65">
        <f t="shared" ref="D121:X121" si="89">-SUM(D$114:D$120)</f>
        <v>-4.9750000000000005</v>
      </c>
      <c r="E121" s="65">
        <f t="shared" si="89"/>
        <v>-12.507</v>
      </c>
      <c r="F121" s="65">
        <f t="shared" si="89"/>
        <v>-8.7899999999999991</v>
      </c>
      <c r="G121" s="65">
        <f t="shared" si="89"/>
        <v>-7.6849999999999996</v>
      </c>
      <c r="H121" s="65">
        <f t="shared" si="89"/>
        <v>-11.238999999999999</v>
      </c>
      <c r="I121" s="65">
        <f t="shared" si="89"/>
        <v>-12.820999999999998</v>
      </c>
      <c r="J121" s="66">
        <f t="shared" si="89"/>
        <v>-12.293000000000001</v>
      </c>
      <c r="K121" s="66">
        <f t="shared" si="89"/>
        <v>-12.555</v>
      </c>
      <c r="L121" s="66">
        <f t="shared" si="89"/>
        <v>-12.676</v>
      </c>
      <c r="M121" s="66">
        <f t="shared" si="89"/>
        <v>-13.632999999999999</v>
      </c>
      <c r="N121" s="66">
        <f t="shared" si="89"/>
        <v>-13.933999999999999</v>
      </c>
      <c r="O121" s="92">
        <f t="shared" ca="1" si="89"/>
        <v>-14.401954209004336</v>
      </c>
      <c r="P121" s="92">
        <f t="shared" ca="1" si="89"/>
        <v>-14.866731717596361</v>
      </c>
      <c r="Q121" s="92">
        <f t="shared" ca="1" si="89"/>
        <v>-15.271292972482737</v>
      </c>
      <c r="R121" s="92">
        <f t="shared" ca="1" si="89"/>
        <v>-15.634299871376129</v>
      </c>
      <c r="S121" s="92">
        <f t="shared" ca="1" si="89"/>
        <v>-15.995031488135194</v>
      </c>
      <c r="T121" s="92">
        <f t="shared" ca="1" si="89"/>
        <v>-16.376684271955899</v>
      </c>
      <c r="U121" s="92">
        <f t="shared" ca="1" si="89"/>
        <v>-16.721579970450982</v>
      </c>
      <c r="V121" s="92">
        <f t="shared" ca="1" si="89"/>
        <v>-17.036009469868883</v>
      </c>
      <c r="W121" s="92">
        <f t="shared" ca="1" si="89"/>
        <v>-17.363745513081625</v>
      </c>
      <c r="X121" s="92">
        <f t="shared" ca="1" si="89"/>
        <v>-17.696417063640361</v>
      </c>
    </row>
    <row r="122" spans="1:24" x14ac:dyDescent="0.25">
      <c r="A122" s="11" t="s">
        <v>609</v>
      </c>
      <c r="B122" s="10" t="str">
        <f t="shared" ref="B122:B127" si="90">$B$38</f>
        <v>From Fiscal Forecasts</v>
      </c>
      <c r="C122" s="13"/>
      <c r="D122" s="35">
        <f>'Fiscal Forecasts'!D$111</f>
        <v>4.1879999999999997</v>
      </c>
      <c r="E122" s="35">
        <f>'Fiscal Forecasts'!E$111</f>
        <v>0.63100000000000001</v>
      </c>
      <c r="F122" s="35">
        <f>'Fiscal Forecasts'!F$111</f>
        <v>1.4810000000000001</v>
      </c>
      <c r="G122" s="35">
        <f>'Fiscal Forecasts'!G$111</f>
        <v>5.0270000000000001</v>
      </c>
      <c r="H122" s="35">
        <f>'Fiscal Forecasts'!H$111</f>
        <v>1.155</v>
      </c>
      <c r="I122" s="35">
        <f>'Fiscal Forecasts'!I$111</f>
        <v>3.3050000000000002</v>
      </c>
      <c r="J122" s="17">
        <f>'Fiscal Forecasts'!J$111</f>
        <v>-2.56</v>
      </c>
      <c r="K122" s="17">
        <f>'Fiscal Forecasts'!K$111</f>
        <v>1.3380000000000001</v>
      </c>
      <c r="L122" s="17">
        <f>'Fiscal Forecasts'!L$111</f>
        <v>-0.01</v>
      </c>
      <c r="M122" s="17">
        <f>'Fiscal Forecasts'!M$111</f>
        <v>1.1919999999999999</v>
      </c>
      <c r="N122" s="17">
        <f>'Fiscal Forecasts'!N$111</f>
        <v>1.5449999999999999</v>
      </c>
      <c r="O122" s="16">
        <f t="shared" ref="O122:X122" ca="1" si="91">O$363-N$363</f>
        <v>4.2002421011101845</v>
      </c>
      <c r="P122" s="16">
        <f t="shared" ca="1" si="91"/>
        <v>1.8150547992839776</v>
      </c>
      <c r="Q122" s="16">
        <f t="shared" ca="1" si="91"/>
        <v>1.8637758813322876</v>
      </c>
      <c r="R122" s="16">
        <f t="shared" ca="1" si="91"/>
        <v>1.8869478208642079</v>
      </c>
      <c r="S122" s="16">
        <f t="shared" ca="1" si="91"/>
        <v>1.9269300777456166</v>
      </c>
      <c r="T122" s="16">
        <f t="shared" ca="1" si="91"/>
        <v>1.9663144849072296</v>
      </c>
      <c r="U122" s="16">
        <f t="shared" ca="1" si="91"/>
        <v>1.9991291365301436</v>
      </c>
      <c r="V122" s="16">
        <f t="shared" ca="1" si="91"/>
        <v>2.0348328280565013</v>
      </c>
      <c r="W122" s="16">
        <f t="shared" ca="1" si="91"/>
        <v>2.0730834485657184</v>
      </c>
      <c r="X122" s="16">
        <f t="shared" ca="1" si="91"/>
        <v>2.1219787327612138</v>
      </c>
    </row>
    <row r="123" spans="1:24" x14ac:dyDescent="0.25">
      <c r="A123" s="11" t="s">
        <v>610</v>
      </c>
      <c r="B123" s="10" t="str">
        <f t="shared" si="90"/>
        <v>From Fiscal Forecasts</v>
      </c>
      <c r="C123" s="13"/>
      <c r="D123" s="35">
        <f>'Fiscal Forecasts'!D$112</f>
        <v>3.6999999999999998E-2</v>
      </c>
      <c r="E123" s="35">
        <f>'Fiscal Forecasts'!E$112</f>
        <v>2.1000000000000001E-2</v>
      </c>
      <c r="F123" s="35">
        <f>'Fiscal Forecasts'!F$112</f>
        <v>1.1259999999999999</v>
      </c>
      <c r="G123" s="35">
        <f>'Fiscal Forecasts'!G$112</f>
        <v>0.19700000000000001</v>
      </c>
      <c r="H123" s="35">
        <f>'Fiscal Forecasts'!H$112</f>
        <v>0.183</v>
      </c>
      <c r="I123" s="35">
        <f>'Fiscal Forecasts'!I$112</f>
        <v>0.21099999999999999</v>
      </c>
      <c r="J123" s="17">
        <f>'Fiscal Forecasts'!J$112</f>
        <v>-1.05</v>
      </c>
      <c r="K123" s="17">
        <f>'Fiscal Forecasts'!K$112</f>
        <v>-1.0189999999999999</v>
      </c>
      <c r="L123" s="17">
        <f>'Fiscal Forecasts'!L$112</f>
        <v>-6.7000000000000004E-2</v>
      </c>
      <c r="M123" s="17">
        <f>'Fiscal Forecasts'!M$112</f>
        <v>-0.34699999999999998</v>
      </c>
      <c r="N123" s="17">
        <f>'Fiscal Forecasts'!N$112</f>
        <v>-3.6999999999999998E-2</v>
      </c>
      <c r="O123" s="16">
        <f t="shared" ref="O123:X123" ca="1" si="92">O$413-O$341</f>
        <v>0.33801009791106412</v>
      </c>
      <c r="P123" s="16">
        <f t="shared" ca="1" si="92"/>
        <v>0.35180265179958148</v>
      </c>
      <c r="Q123" s="16">
        <f t="shared" ca="1" si="92"/>
        <v>0.35957955635343375</v>
      </c>
      <c r="R123" s="16">
        <f t="shared" ca="1" si="92"/>
        <v>0.36235710120209463</v>
      </c>
      <c r="S123" s="16">
        <f t="shared" ca="1" si="92"/>
        <v>0.35997539336294582</v>
      </c>
      <c r="T123" s="16">
        <f t="shared" ca="1" si="92"/>
        <v>0.35144569798214537</v>
      </c>
      <c r="U123" s="16">
        <f t="shared" ca="1" si="92"/>
        <v>0.33481560878051553</v>
      </c>
      <c r="V123" s="16">
        <f t="shared" ca="1" si="92"/>
        <v>0.31307080266007081</v>
      </c>
      <c r="W123" s="16">
        <f t="shared" ca="1" si="92"/>
        <v>0.28921156816507315</v>
      </c>
      <c r="X123" s="16">
        <f t="shared" ca="1" si="92"/>
        <v>0.26117868180295678</v>
      </c>
    </row>
    <row r="124" spans="1:24" x14ac:dyDescent="0.25">
      <c r="A124" s="11" t="s">
        <v>611</v>
      </c>
      <c r="B124" s="10" t="str">
        <f t="shared" si="90"/>
        <v>From Fiscal Forecasts</v>
      </c>
      <c r="C124" s="13"/>
      <c r="D124" s="35">
        <f>'Fiscal Forecasts'!D$113</f>
        <v>0.17499999999999999</v>
      </c>
      <c r="E124" s="35">
        <f>'Fiscal Forecasts'!E$113</f>
        <v>0.254</v>
      </c>
      <c r="F124" s="35">
        <f>'Fiscal Forecasts'!F$113</f>
        <v>0.42099999999999999</v>
      </c>
      <c r="G124" s="35">
        <f>'Fiscal Forecasts'!G$113</f>
        <v>0.874</v>
      </c>
      <c r="H124" s="35">
        <f>'Fiscal Forecasts'!H$113</f>
        <v>-2.7E-2</v>
      </c>
      <c r="I124" s="35">
        <f>'Fiscal Forecasts'!I$113</f>
        <v>-0.18</v>
      </c>
      <c r="J124" s="17">
        <f>'Fiscal Forecasts'!J$113</f>
        <v>0.54400000000000004</v>
      </c>
      <c r="K124" s="17">
        <f>'Fiscal Forecasts'!K$113</f>
        <v>0.112</v>
      </c>
      <c r="L124" s="17">
        <f>'Fiscal Forecasts'!L$113</f>
        <v>4.2000000000000003E-2</v>
      </c>
      <c r="M124" s="17">
        <f>'Fiscal Forecasts'!M$113</f>
        <v>-7.0999999999999994E-2</v>
      </c>
      <c r="N124" s="17">
        <f>'Fiscal Forecasts'!N$113</f>
        <v>-9.2999999999999999E-2</v>
      </c>
      <c r="O124" s="16">
        <f t="shared" ref="O124:X124" ca="1" si="93">O$420-N$420</f>
        <v>3.4920000000000062E-2</v>
      </c>
      <c r="P124" s="16">
        <f t="shared" ca="1" si="93"/>
        <v>3.5618399999999717E-2</v>
      </c>
      <c r="Q124" s="16">
        <f t="shared" ca="1" si="93"/>
        <v>3.6330768000000013E-2</v>
      </c>
      <c r="R124" s="16">
        <f t="shared" ca="1" si="93"/>
        <v>3.7057383360000085E-2</v>
      </c>
      <c r="S124" s="16">
        <f t="shared" ca="1" si="93"/>
        <v>3.7798531027199989E-2</v>
      </c>
      <c r="T124" s="16">
        <f t="shared" ca="1" si="93"/>
        <v>3.855450164774421E-2</v>
      </c>
      <c r="U124" s="16">
        <f t="shared" ca="1" si="93"/>
        <v>3.9325591680698935E-2</v>
      </c>
      <c r="V124" s="16">
        <f t="shared" ca="1" si="93"/>
        <v>4.0112103514312825E-2</v>
      </c>
      <c r="W124" s="16">
        <f t="shared" ca="1" si="93"/>
        <v>4.0914345584599054E-2</v>
      </c>
      <c r="X124" s="16">
        <f t="shared" ca="1" si="93"/>
        <v>4.1732632496291E-2</v>
      </c>
    </row>
    <row r="125" spans="1:24" x14ac:dyDescent="0.25">
      <c r="A125" s="11" t="s">
        <v>612</v>
      </c>
      <c r="B125" s="10" t="str">
        <f t="shared" si="90"/>
        <v>From Fiscal Forecasts</v>
      </c>
      <c r="C125" s="13"/>
      <c r="D125" s="35">
        <f>'Fiscal Forecasts'!D$114</f>
        <v>3.5999999999999997E-2</v>
      </c>
      <c r="E125" s="35">
        <f>'Fiscal Forecasts'!E$114</f>
        <v>0.108</v>
      </c>
      <c r="F125" s="35">
        <f>'Fiscal Forecasts'!F$114</f>
        <v>6.3E-2</v>
      </c>
      <c r="G125" s="35">
        <f>'Fiscal Forecasts'!G$114</f>
        <v>0.30299999999999999</v>
      </c>
      <c r="H125" s="35">
        <f>'Fiscal Forecasts'!H$114</f>
        <v>0.113</v>
      </c>
      <c r="I125" s="35">
        <f>'Fiscal Forecasts'!I$114</f>
        <v>0.30499999999999999</v>
      </c>
      <c r="J125" s="17">
        <f>'Fiscal Forecasts'!J$114</f>
        <v>0.58199999999999996</v>
      </c>
      <c r="K125" s="17">
        <f>'Fiscal Forecasts'!K$114</f>
        <v>-0.17799999999999999</v>
      </c>
      <c r="L125" s="17">
        <f>'Fiscal Forecasts'!L$114</f>
        <v>0.109</v>
      </c>
      <c r="M125" s="17">
        <f>'Fiscal Forecasts'!M$114</f>
        <v>0.107</v>
      </c>
      <c r="N125" s="17">
        <f>'Fiscal Forecasts'!N$114</f>
        <v>1.4999999999999999E-2</v>
      </c>
      <c r="O125" s="16">
        <f t="shared" ref="O125:X125" ca="1" si="94">O$424-N$424</f>
        <v>5.4840000000000444E-2</v>
      </c>
      <c r="P125" s="16">
        <f t="shared" ca="1" si="94"/>
        <v>5.5936799999999565E-2</v>
      </c>
      <c r="Q125" s="16">
        <f t="shared" ca="1" si="94"/>
        <v>5.7055536000000018E-2</v>
      </c>
      <c r="R125" s="16">
        <f t="shared" ca="1" si="94"/>
        <v>5.8196646719999912E-2</v>
      </c>
      <c r="S125" s="16">
        <f t="shared" ca="1" si="94"/>
        <v>5.9360579654399892E-2</v>
      </c>
      <c r="T125" s="16">
        <f t="shared" ca="1" si="94"/>
        <v>6.0547791247488547E-2</v>
      </c>
      <c r="U125" s="16">
        <f t="shared" ca="1" si="94"/>
        <v>6.1758747072437892E-2</v>
      </c>
      <c r="V125" s="16">
        <f t="shared" ca="1" si="94"/>
        <v>6.2993922013887094E-2</v>
      </c>
      <c r="W125" s="16">
        <f t="shared" ca="1" si="94"/>
        <v>6.4253800454164178E-2</v>
      </c>
      <c r="X125" s="16">
        <f t="shared" ca="1" si="94"/>
        <v>6.5538876463246964E-2</v>
      </c>
    </row>
    <row r="126" spans="1:24" x14ac:dyDescent="0.25">
      <c r="A126" s="11" t="s">
        <v>1168</v>
      </c>
      <c r="B126" s="10" t="str">
        <f t="shared" si="90"/>
        <v>From Fiscal Forecasts</v>
      </c>
      <c r="C126" s="13"/>
      <c r="D126" s="35">
        <f>-'Fiscal Forecasts'!D$115</f>
        <v>9.7000000000000003E-2</v>
      </c>
      <c r="E126" s="35">
        <f>-'Fiscal Forecasts'!E$115</f>
        <v>6.8000000000000005E-2</v>
      </c>
      <c r="F126" s="35">
        <f>-'Fiscal Forecasts'!F$115</f>
        <v>-0.04</v>
      </c>
      <c r="G126" s="35">
        <f>-'Fiscal Forecasts'!G$115</f>
        <v>0.81899999999999995</v>
      </c>
      <c r="H126" s="35">
        <f>-'Fiscal Forecasts'!H$115</f>
        <v>0.24399999999999999</v>
      </c>
      <c r="I126" s="35">
        <f>-'Fiscal Forecasts'!I$115</f>
        <v>-0.158</v>
      </c>
      <c r="J126" s="17">
        <f>-'Fiscal Forecasts'!J$115</f>
        <v>0.183</v>
      </c>
      <c r="K126" s="17">
        <f>-'Fiscal Forecasts'!K$115</f>
        <v>7.0000000000000001E-3</v>
      </c>
      <c r="L126" s="17">
        <f>-'Fiscal Forecasts'!L$115</f>
        <v>9.0999999999999998E-2</v>
      </c>
      <c r="M126" s="17">
        <f>-'Fiscal Forecasts'!M$115</f>
        <v>2.4E-2</v>
      </c>
      <c r="N126" s="17">
        <f>-'Fiscal Forecasts'!N$115</f>
        <v>6.4000000000000001E-2</v>
      </c>
      <c r="O126" s="16">
        <f t="shared" ref="O126:X126" ca="1" si="95">O$465-N$465</f>
        <v>8.9760000000000506E-2</v>
      </c>
      <c r="P126" s="16">
        <f t="shared" ca="1" si="95"/>
        <v>9.1555199999998838E-2</v>
      </c>
      <c r="Q126" s="16">
        <f t="shared" ca="1" si="95"/>
        <v>9.3386304000000031E-2</v>
      </c>
      <c r="R126" s="16">
        <f t="shared" ca="1" si="95"/>
        <v>9.5254030079999552E-2</v>
      </c>
      <c r="S126" s="16">
        <f t="shared" ca="1" si="95"/>
        <v>9.7159110681600325E-2</v>
      </c>
      <c r="T126" s="16">
        <f t="shared" ca="1" si="95"/>
        <v>9.9102292895232758E-2</v>
      </c>
      <c r="U126" s="16">
        <f t="shared" ca="1" si="95"/>
        <v>0.10108433875313683</v>
      </c>
      <c r="V126" s="16">
        <f t="shared" ca="1" si="95"/>
        <v>0.10310602552820036</v>
      </c>
      <c r="W126" s="16">
        <f t="shared" ca="1" si="95"/>
        <v>0.10516814603876323</v>
      </c>
      <c r="X126" s="16">
        <f t="shared" ca="1" si="95"/>
        <v>0.10727150895953841</v>
      </c>
    </row>
    <row r="127" spans="1:24" x14ac:dyDescent="0.25">
      <c r="A127" s="11" t="s">
        <v>1169</v>
      </c>
      <c r="B127" s="10" t="str">
        <f t="shared" si="90"/>
        <v>From Fiscal Forecasts</v>
      </c>
      <c r="C127" s="13"/>
      <c r="D127" s="35">
        <f>-'Fiscal Forecasts'!D$116</f>
        <v>2.5710000000000002</v>
      </c>
      <c r="E127" s="35">
        <f>-'Fiscal Forecasts'!E$116</f>
        <v>0.95599999999999996</v>
      </c>
      <c r="F127" s="35">
        <f>-'Fiscal Forecasts'!F$116</f>
        <v>1.8320000000000001</v>
      </c>
      <c r="G127" s="35">
        <f>-'Fiscal Forecasts'!G$116</f>
        <v>1.849</v>
      </c>
      <c r="H127" s="35">
        <f>-'Fiscal Forecasts'!H$116</f>
        <v>3.2770000000000001</v>
      </c>
      <c r="I127" s="35">
        <f>-'Fiscal Forecasts'!I$116</f>
        <v>1.3859999999999999</v>
      </c>
      <c r="J127" s="17">
        <f>-'Fiscal Forecasts'!J$116</f>
        <v>-3.661</v>
      </c>
      <c r="K127" s="17">
        <f>-'Fiscal Forecasts'!K$116</f>
        <v>-0.70799999999999996</v>
      </c>
      <c r="L127" s="17">
        <f>-'Fiscal Forecasts'!L$116</f>
        <v>-0.61799999999999999</v>
      </c>
      <c r="M127" s="17">
        <f>-'Fiscal Forecasts'!M$116</f>
        <v>-0.40500000000000003</v>
      </c>
      <c r="N127" s="17">
        <f>-'Fiscal Forecasts'!N$116</f>
        <v>8.1000000000000003E-2</v>
      </c>
      <c r="O127" s="16">
        <f t="shared" ref="O127:X127" ca="1" si="96">SUM(O$461-N$461,O$486-N$486)</f>
        <v>3.6908631092854733</v>
      </c>
      <c r="P127" s="16">
        <f t="shared" ca="1" si="96"/>
        <v>1.2486830554107087</v>
      </c>
      <c r="Q127" s="16">
        <f t="shared" ca="1" si="96"/>
        <v>1.2799370717726362</v>
      </c>
      <c r="R127" s="16">
        <f t="shared" ca="1" si="96"/>
        <v>1.301413551566224</v>
      </c>
      <c r="S127" s="16">
        <f t="shared" ca="1" si="96"/>
        <v>1.3286266617480607</v>
      </c>
      <c r="T127" s="16">
        <f t="shared" ca="1" si="96"/>
        <v>1.3561634222771737</v>
      </c>
      <c r="U127" s="16">
        <f t="shared" ca="1" si="96"/>
        <v>1.3807857858069852</v>
      </c>
      <c r="V127" s="16">
        <f t="shared" ca="1" si="96"/>
        <v>1.4072091510187086</v>
      </c>
      <c r="W127" s="16">
        <f t="shared" ca="1" si="96"/>
        <v>1.4363550600407855</v>
      </c>
      <c r="X127" s="16">
        <f t="shared" ca="1" si="96"/>
        <v>1.4713152537757992</v>
      </c>
    </row>
    <row r="128" spans="1:24" x14ac:dyDescent="0.25">
      <c r="A128" s="9" t="s">
        <v>615</v>
      </c>
      <c r="B128" s="9"/>
      <c r="C128" s="13"/>
      <c r="D128" s="65">
        <f t="shared" ref="D128:X128" si="97">SUM(D$122:D$125)-SUM(D$126:D$127)</f>
        <v>1.7679999999999989</v>
      </c>
      <c r="E128" s="65">
        <f t="shared" si="97"/>
        <v>-1.0000000000000009E-2</v>
      </c>
      <c r="F128" s="65">
        <f t="shared" si="97"/>
        <v>1.2990000000000002</v>
      </c>
      <c r="G128" s="65">
        <f t="shared" si="97"/>
        <v>3.7329999999999997</v>
      </c>
      <c r="H128" s="65">
        <f t="shared" si="97"/>
        <v>-2.0969999999999995</v>
      </c>
      <c r="I128" s="65">
        <f t="shared" si="97"/>
        <v>2.4130000000000003</v>
      </c>
      <c r="J128" s="66">
        <f t="shared" si="97"/>
        <v>0.99399999999999977</v>
      </c>
      <c r="K128" s="66">
        <f t="shared" si="97"/>
        <v>0.95400000000000018</v>
      </c>
      <c r="L128" s="66">
        <f t="shared" si="97"/>
        <v>0.60099999999999998</v>
      </c>
      <c r="M128" s="66">
        <f t="shared" si="97"/>
        <v>1.262</v>
      </c>
      <c r="N128" s="66">
        <f t="shared" si="97"/>
        <v>1.2849999999999999</v>
      </c>
      <c r="O128" s="92">
        <f t="shared" ca="1" si="97"/>
        <v>0.84738908973577542</v>
      </c>
      <c r="P128" s="92">
        <f t="shared" ca="1" si="97"/>
        <v>0.91817439567285097</v>
      </c>
      <c r="Q128" s="92">
        <f t="shared" ca="1" si="97"/>
        <v>0.94341836591308503</v>
      </c>
      <c r="R128" s="92">
        <f t="shared" ca="1" si="97"/>
        <v>0.94789137050007888</v>
      </c>
      <c r="S128" s="92">
        <f t="shared" ca="1" si="97"/>
        <v>0.95827880936050125</v>
      </c>
      <c r="T128" s="92">
        <f t="shared" ca="1" si="97"/>
        <v>0.96159676061220134</v>
      </c>
      <c r="U128" s="92">
        <f t="shared" ca="1" si="97"/>
        <v>0.95315895950367402</v>
      </c>
      <c r="V128" s="92">
        <f t="shared" ca="1" si="97"/>
        <v>0.94069447969786291</v>
      </c>
      <c r="W128" s="92">
        <f t="shared" ca="1" si="97"/>
        <v>0.92593995669000595</v>
      </c>
      <c r="X128" s="92">
        <f t="shared" ca="1" si="97"/>
        <v>0.9118421607883711</v>
      </c>
    </row>
    <row r="129" spans="1:24" x14ac:dyDescent="0.25">
      <c r="A129" s="9" t="s">
        <v>1144</v>
      </c>
      <c r="B129" s="9"/>
      <c r="C129" s="13"/>
      <c r="D129" s="65">
        <f t="shared" ref="D129:X129" si="98">SUM(D$99,D$113,D$121,D$128)</f>
        <v>0.38899999999999846</v>
      </c>
      <c r="E129" s="65">
        <f t="shared" si="98"/>
        <v>-30.040000000000003</v>
      </c>
      <c r="F129" s="65">
        <f t="shared" si="98"/>
        <v>16.159000000000013</v>
      </c>
      <c r="G129" s="65">
        <f t="shared" si="98"/>
        <v>-16.932000000000009</v>
      </c>
      <c r="H129" s="65">
        <f t="shared" si="98"/>
        <v>5.3209999999999802</v>
      </c>
      <c r="I129" s="65">
        <f t="shared" si="98"/>
        <v>-8.3650000000000375</v>
      </c>
      <c r="J129" s="66">
        <f t="shared" ca="1" si="98"/>
        <v>-5.4930000000000057</v>
      </c>
      <c r="K129" s="66">
        <f t="shared" ca="1" si="98"/>
        <v>-9.8839999999999826</v>
      </c>
      <c r="L129" s="66">
        <f t="shared" ca="1" si="98"/>
        <v>-5.6649999999999565</v>
      </c>
      <c r="M129" s="66">
        <f t="shared" ca="1" si="98"/>
        <v>-3.900000000003212E-2</v>
      </c>
      <c r="N129" s="66">
        <f t="shared" ca="1" si="98"/>
        <v>4.0710000000000068</v>
      </c>
      <c r="O129" s="92">
        <f t="shared" ca="1" si="98"/>
        <v>2.9095176199146198</v>
      </c>
      <c r="P129" s="92">
        <f t="shared" ca="1" si="98"/>
        <v>2.8375729079552374</v>
      </c>
      <c r="Q129" s="92">
        <f t="shared" ca="1" si="98"/>
        <v>2.6370897093616881</v>
      </c>
      <c r="R129" s="92">
        <f t="shared" ca="1" si="98"/>
        <v>2.3594138158183409</v>
      </c>
      <c r="S129" s="92">
        <f t="shared" ca="1" si="98"/>
        <v>2.2539527991786743</v>
      </c>
      <c r="T129" s="92">
        <f t="shared" ca="1" si="98"/>
        <v>2.2164484500567831</v>
      </c>
      <c r="U129" s="92">
        <f t="shared" ca="1" si="98"/>
        <v>2.3251494562861899</v>
      </c>
      <c r="V129" s="92">
        <f t="shared" ca="1" si="98"/>
        <v>2.1717279385722486</v>
      </c>
      <c r="W129" s="92">
        <f t="shared" ca="1" si="98"/>
        <v>1.7257447247443283</v>
      </c>
      <c r="X129" s="92">
        <f t="shared" ca="1" si="98"/>
        <v>1.2315830641201728</v>
      </c>
    </row>
    <row r="130" spans="1:24" x14ac:dyDescent="0.25">
      <c r="A130" s="55" t="s">
        <v>1162</v>
      </c>
      <c r="B130" s="9"/>
      <c r="C130" s="13"/>
      <c r="D130" s="91" t="str">
        <f t="shared" ref="D130:X130" ca="1" si="99">IF(ROUND(D$39-D$129,3)=0,"OK","ERROR")</f>
        <v>OK</v>
      </c>
      <c r="E130" s="91" t="str">
        <f t="shared" ca="1" si="99"/>
        <v>OK</v>
      </c>
      <c r="F130" s="91" t="str">
        <f t="shared" ca="1" si="99"/>
        <v>OK</v>
      </c>
      <c r="G130" s="91" t="str">
        <f t="shared" ca="1" si="99"/>
        <v>OK</v>
      </c>
      <c r="H130" s="91" t="str">
        <f t="shared" ca="1" si="99"/>
        <v>OK</v>
      </c>
      <c r="I130" s="91" t="str">
        <f t="shared" ca="1" si="99"/>
        <v>OK</v>
      </c>
      <c r="J130" s="91" t="str">
        <f t="shared" ca="1" si="99"/>
        <v>OK</v>
      </c>
      <c r="K130" s="91" t="str">
        <f t="shared" ca="1" si="99"/>
        <v>OK</v>
      </c>
      <c r="L130" s="91" t="str">
        <f t="shared" ca="1" si="99"/>
        <v>OK</v>
      </c>
      <c r="M130" s="91" t="str">
        <f t="shared" ca="1" si="99"/>
        <v>OK</v>
      </c>
      <c r="N130" s="91" t="str">
        <f t="shared" ca="1" si="99"/>
        <v>OK</v>
      </c>
      <c r="O130" s="91" t="str">
        <f t="shared" ca="1" si="99"/>
        <v>OK</v>
      </c>
      <c r="P130" s="91" t="str">
        <f t="shared" ca="1" si="99"/>
        <v>OK</v>
      </c>
      <c r="Q130" s="91" t="str">
        <f t="shared" ca="1" si="99"/>
        <v>OK</v>
      </c>
      <c r="R130" s="91" t="str">
        <f t="shared" ca="1" si="99"/>
        <v>OK</v>
      </c>
      <c r="S130" s="91" t="str">
        <f t="shared" ca="1" si="99"/>
        <v>OK</v>
      </c>
      <c r="T130" s="91" t="str">
        <f t="shared" ca="1" si="99"/>
        <v>OK</v>
      </c>
      <c r="U130" s="91" t="str">
        <f t="shared" ca="1" si="99"/>
        <v>OK</v>
      </c>
      <c r="V130" s="91" t="str">
        <f t="shared" ca="1" si="99"/>
        <v>OK</v>
      </c>
      <c r="W130" s="91" t="str">
        <f t="shared" ca="1" si="99"/>
        <v>OK</v>
      </c>
      <c r="X130" s="91" t="str">
        <f t="shared" ca="1" si="99"/>
        <v>OK</v>
      </c>
    </row>
    <row r="131" spans="1:24" x14ac:dyDescent="0.25">
      <c r="A131" s="9"/>
      <c r="B131" s="9"/>
      <c r="C131" s="13"/>
      <c r="D131" s="36"/>
      <c r="E131" s="36"/>
      <c r="F131" s="36"/>
      <c r="G131" s="36"/>
      <c r="H131" s="36"/>
      <c r="I131" s="36"/>
      <c r="J131" s="19"/>
      <c r="K131" s="19"/>
      <c r="L131" s="19"/>
      <c r="M131" s="19"/>
      <c r="N131" s="19"/>
      <c r="O131" s="18"/>
      <c r="P131" s="18"/>
      <c r="Q131" s="18"/>
      <c r="R131" s="18"/>
      <c r="S131" s="18"/>
      <c r="T131" s="18"/>
      <c r="U131" s="18"/>
      <c r="V131" s="18"/>
      <c r="W131" s="18"/>
      <c r="X131" s="18"/>
    </row>
    <row r="132" spans="1:24" x14ac:dyDescent="0.25">
      <c r="A132" s="12" t="s">
        <v>847</v>
      </c>
      <c r="B132" s="9"/>
      <c r="C132" s="13"/>
      <c r="D132" s="40"/>
      <c r="E132" s="40"/>
      <c r="F132" s="40"/>
      <c r="G132" s="40"/>
      <c r="H132" s="40"/>
      <c r="I132" s="40"/>
    </row>
    <row r="133" spans="1:24" x14ac:dyDescent="0.25">
      <c r="A133" s="9" t="s">
        <v>694</v>
      </c>
      <c r="B133" s="9"/>
      <c r="C133" s="13"/>
      <c r="D133" s="40"/>
      <c r="E133" s="40"/>
      <c r="F133" s="40"/>
      <c r="G133" s="40"/>
      <c r="H133" s="40"/>
      <c r="I133" s="40"/>
    </row>
    <row r="134" spans="1:24" x14ac:dyDescent="0.25">
      <c r="A134" s="11" t="s">
        <v>848</v>
      </c>
      <c r="B134" s="10" t="str">
        <f>$B$38</f>
        <v>From Fiscal Forecasts</v>
      </c>
      <c r="C134" s="13"/>
      <c r="D134" s="35">
        <f>'Fiscal Forecasts'!D$220</f>
        <v>32.878999999999998</v>
      </c>
      <c r="E134" s="35">
        <f>'Fiscal Forecasts'!E$220</f>
        <v>34.963000000000001</v>
      </c>
      <c r="F134" s="35">
        <f>'Fiscal Forecasts'!F$220</f>
        <v>38.164000000000001</v>
      </c>
      <c r="G134" s="35">
        <f>'Fiscal Forecasts'!G$220</f>
        <v>42.448</v>
      </c>
      <c r="H134" s="35">
        <f>'Fiscal Forecasts'!H$220</f>
        <v>47.386000000000003</v>
      </c>
      <c r="I134" s="35">
        <f>'Fiscal Forecasts'!I$220</f>
        <v>52.283000000000001</v>
      </c>
      <c r="J134" s="17">
        <f>'Fiscal Forecasts'!J$220</f>
        <v>52.734000000000002</v>
      </c>
      <c r="K134" s="17">
        <f>'Fiscal Forecasts'!K$220</f>
        <v>55.243000000000002</v>
      </c>
      <c r="L134" s="17">
        <f>'Fiscal Forecasts'!L$220</f>
        <v>58.265999999999998</v>
      </c>
      <c r="M134" s="17">
        <f>'Fiscal Forecasts'!M$220</f>
        <v>61.514000000000003</v>
      </c>
      <c r="N134" s="17">
        <f>'Fiscal Forecasts'!N$220</f>
        <v>65.031999999999996</v>
      </c>
      <c r="O134" s="16">
        <f ca="1">N$134*(1+O$17)*(1+IF(O$6&lt;OFFSET(Assumptions!$B$8,0,$C$1)+OFFSET(Assumptions!$B$29,0,$C$1)="Yes",OFFSET(Assumptions!$B$30,0,$C$1),1)*O$26)</f>
        <v>67.666933667365313</v>
      </c>
      <c r="P134" s="16">
        <f ca="1">O$134*(1+P$17)*(1+IF(P$6&lt;OFFSET(Assumptions!$B$8,0,$C$1)+OFFSET(Assumptions!$B$29,0,$C$1)="Yes",OFFSET(Assumptions!$B$30,0,$C$1),1)*P$26)</f>
        <v>70.382669882235248</v>
      </c>
      <c r="Q134" s="16">
        <f ca="1">P$134*(1+Q$17)*(1+IF(Q$6&lt;OFFSET(Assumptions!$B$8,0,$C$1)+OFFSET(Assumptions!$B$29,0,$C$1)="Yes",OFFSET(Assumptions!$B$30,0,$C$1),1)*Q$26)</f>
        <v>73.180737795712076</v>
      </c>
      <c r="R134" s="16">
        <f ca="1">Q$134*(1+R$17)*(1+IF(R$6&lt;OFFSET(Assumptions!$B$8,0,$C$1)+OFFSET(Assumptions!$B$29,0,$C$1)="Yes",OFFSET(Assumptions!$B$30,0,$C$1),1)*R$26)</f>
        <v>76.062339138307749</v>
      </c>
      <c r="S134" s="16">
        <f ca="1">R$134*(1+S$17)*(1+IF(S$6&lt;OFFSET(Assumptions!$B$8,0,$C$1)+OFFSET(Assumptions!$B$29,0,$C$1)="Yes",OFFSET(Assumptions!$B$30,0,$C$1),1)*S$26)</f>
        <v>79.007478813698654</v>
      </c>
      <c r="T134" s="16">
        <f ca="1">S$134*(1+T$17)*(1+IF(T$6&lt;OFFSET(Assumptions!$B$8,0,$C$1)+OFFSET(Assumptions!$B$29,0,$C$1)="Yes",OFFSET(Assumptions!$B$30,0,$C$1),1)*T$26)</f>
        <v>82.011662275416356</v>
      </c>
      <c r="U134" s="16">
        <f ca="1">T$134*(1+U$17)*(1+IF(U$6&lt;OFFSET(Assumptions!$B$8,0,$C$1)+OFFSET(Assumptions!$B$29,0,$C$1)="Yes",OFFSET(Assumptions!$B$30,0,$C$1),1)*U$26)</f>
        <v>85.055900671755111</v>
      </c>
      <c r="V134" s="16">
        <f ca="1">U$134*(1+V$17)*(1+IF(V$6&lt;OFFSET(Assumptions!$B$8,0,$C$1)+OFFSET(Assumptions!$B$29,0,$C$1)="Yes",OFFSET(Assumptions!$B$30,0,$C$1),1)*V$26)</f>
        <v>88.145908604954769</v>
      </c>
      <c r="W134" s="16">
        <f ca="1">V$134*(1+W$17)*(1+IF(W$6&lt;OFFSET(Assumptions!$B$8,0,$C$1)+OFFSET(Assumptions!$B$29,0,$C$1)="Yes",OFFSET(Assumptions!$B$30,0,$C$1),1)*W$26)</f>
        <v>91.281570952177546</v>
      </c>
      <c r="X134" s="16">
        <f ca="1">W$134*(1+X$17)*(1+IF(X$6&lt;OFFSET(Assumptions!$B$8,0,$C$1)+OFFSET(Assumptions!$B$29,0,$C$1)="Yes",OFFSET(Assumptions!$B$30,0,$C$1),1)*X$26)</f>
        <v>94.486516589216393</v>
      </c>
    </row>
    <row r="135" spans="1:24" x14ac:dyDescent="0.25">
      <c r="A135" s="11" t="s">
        <v>849</v>
      </c>
      <c r="B135" s="10" t="str">
        <f>$B$38</f>
        <v>From Fiscal Forecasts</v>
      </c>
      <c r="C135" s="13"/>
      <c r="D135" s="35">
        <f>'Fiscal Forecasts'!D$221</f>
        <v>8.3160000000000007</v>
      </c>
      <c r="E135" s="35">
        <f>'Fiscal Forecasts'!E$221</f>
        <v>8.1910000000000007</v>
      </c>
      <c r="F135" s="35">
        <f>'Fiscal Forecasts'!F$221</f>
        <v>10.183999999999999</v>
      </c>
      <c r="G135" s="35">
        <f>'Fiscal Forecasts'!G$221</f>
        <v>12.015000000000001</v>
      </c>
      <c r="H135" s="35">
        <f>'Fiscal Forecasts'!H$221</f>
        <v>11.71</v>
      </c>
      <c r="I135" s="35">
        <f>'Fiscal Forecasts'!I$221</f>
        <v>14.042999999999999</v>
      </c>
      <c r="J135" s="17">
        <f>'Fiscal Forecasts'!J$221</f>
        <v>13.619</v>
      </c>
      <c r="K135" s="17">
        <f>'Fiscal Forecasts'!K$221</f>
        <v>13.744</v>
      </c>
      <c r="L135" s="17">
        <f>'Fiscal Forecasts'!L$221</f>
        <v>13.545</v>
      </c>
      <c r="M135" s="17">
        <f>'Fiscal Forecasts'!M$221</f>
        <v>13.956</v>
      </c>
      <c r="N135" s="17">
        <f>'Fiscal Forecasts'!N$221</f>
        <v>14.414</v>
      </c>
      <c r="O135" s="16">
        <f ca="1">N$135*(1+O$17)*(1+IF(O$6&lt;OFFSET(Assumptions!$B$8,0,$C$1)+OFFSET(Assumptions!$B$29,0,$C$1)="Yes",OFFSET(Assumptions!$B$30,0,$C$1),1)*O$26)</f>
        <v>14.998019157974591</v>
      </c>
      <c r="P135" s="16">
        <f ca="1">O$135*(1+P$17)*(1+IF(P$6&lt;OFFSET(Assumptions!$B$8,0,$C$1)+OFFSET(Assumptions!$B$29,0,$C$1)="Yes",OFFSET(Assumptions!$B$30,0,$C$1),1)*P$26)</f>
        <v>15.599947774673065</v>
      </c>
      <c r="Q135" s="16">
        <f ca="1">P$135*(1+Q$17)*(1+IF(Q$6&lt;OFFSET(Assumptions!$B$8,0,$C$1)+OFFSET(Assumptions!$B$29,0,$C$1)="Yes",OFFSET(Assumptions!$B$30,0,$C$1),1)*Q$26)</f>
        <v>16.220124778376704</v>
      </c>
      <c r="R135" s="16">
        <f ca="1">Q$135*(1+R$17)*(1+IF(R$6&lt;OFFSET(Assumptions!$B$8,0,$C$1)+OFFSET(Assumptions!$B$29,0,$C$1)="Yes",OFFSET(Assumptions!$B$30,0,$C$1),1)*R$26)</f>
        <v>16.858816526318858</v>
      </c>
      <c r="S135" s="16">
        <f ca="1">R$135*(1+S$17)*(1+IF(S$6&lt;OFFSET(Assumptions!$B$8,0,$C$1)+OFFSET(Assumptions!$B$29,0,$C$1)="Yes",OFFSET(Assumptions!$B$30,0,$C$1),1)*S$26)</f>
        <v>17.511591210798567</v>
      </c>
      <c r="T135" s="16">
        <f ca="1">S$135*(1+T$17)*(1+IF(T$6&lt;OFFSET(Assumptions!$B$8,0,$C$1)+OFFSET(Assumptions!$B$29,0,$C$1)="Yes",OFFSET(Assumptions!$B$30,0,$C$1),1)*T$26)</f>
        <v>18.17745263928299</v>
      </c>
      <c r="U135" s="16">
        <f ca="1">T$135*(1+U$17)*(1+IF(U$6&lt;OFFSET(Assumptions!$B$8,0,$C$1)+OFFSET(Assumptions!$B$29,0,$C$1)="Yes",OFFSET(Assumptions!$B$30,0,$C$1),1)*U$26)</f>
        <v>18.852192032886553</v>
      </c>
      <c r="V135" s="16">
        <f ca="1">U$135*(1+V$17)*(1+IF(V$6&lt;OFFSET(Assumptions!$B$8,0,$C$1)+OFFSET(Assumptions!$B$29,0,$C$1)="Yes",OFFSET(Assumptions!$B$30,0,$C$1),1)*V$26)</f>
        <v>19.537076003072613</v>
      </c>
      <c r="W135" s="16">
        <f ca="1">V$135*(1+W$17)*(1+IF(W$6&lt;OFFSET(Assumptions!$B$8,0,$C$1)+OFFSET(Assumptions!$B$29,0,$C$1)="Yes",OFFSET(Assumptions!$B$30,0,$C$1),1)*W$26)</f>
        <v>20.232079033471017</v>
      </c>
      <c r="X135" s="16">
        <f ca="1">W$135*(1+X$17)*(1+IF(X$6&lt;OFFSET(Assumptions!$B$8,0,$C$1)+OFFSET(Assumptions!$B$29,0,$C$1)="Yes",OFFSET(Assumptions!$B$30,0,$C$1),1)*X$26)</f>
        <v>20.942438339847538</v>
      </c>
    </row>
    <row r="136" spans="1:24" x14ac:dyDescent="0.25">
      <c r="A136" s="11" t="s">
        <v>852</v>
      </c>
      <c r="B136" s="10" t="str">
        <f>$B$38</f>
        <v>From Fiscal Forecasts</v>
      </c>
      <c r="C136" s="64" cm="1">
        <f t="array" aca="1" ref="C136" ca="1">SUMPRODUCT(OFFSET($N$136,0,0,1,-OFFSET(Assumptions!$B$33,0,$C$1))/OFFSET($N$13,0,0,1,-OFFSET(Assumptions!$B$33,0,$C$1)))/OFFSET(Assumptions!$B$33,0,$C$1)</f>
        <v>4.2272263426074277E-2</v>
      </c>
      <c r="D136" s="35">
        <f>'Fiscal Forecasts'!D$222</f>
        <v>15.199</v>
      </c>
      <c r="E136" s="35">
        <f>'Fiscal Forecasts'!E$222</f>
        <v>12.103999999999999</v>
      </c>
      <c r="F136" s="35">
        <f>'Fiscal Forecasts'!F$222</f>
        <v>15.768000000000001</v>
      </c>
      <c r="G136" s="35">
        <f>'Fiscal Forecasts'!G$222</f>
        <v>19.896000000000001</v>
      </c>
      <c r="H136" s="35">
        <f>'Fiscal Forecasts'!H$222</f>
        <v>17.978000000000002</v>
      </c>
      <c r="I136" s="35">
        <f>'Fiscal Forecasts'!I$222</f>
        <v>16.908999999999999</v>
      </c>
      <c r="J136" s="17">
        <f>'Fiscal Forecasts'!J$222</f>
        <v>16.321999999999999</v>
      </c>
      <c r="K136" s="17">
        <f>'Fiscal Forecasts'!K$222</f>
        <v>16.748000000000001</v>
      </c>
      <c r="L136" s="17">
        <f>'Fiscal Forecasts'!L$222</f>
        <v>19.547000000000001</v>
      </c>
      <c r="M136" s="17">
        <f>'Fiscal Forecasts'!M$222</f>
        <v>20.765999999999998</v>
      </c>
      <c r="N136" s="17">
        <f>'Fiscal Forecasts'!N$222</f>
        <v>22.405999999999999</v>
      </c>
      <c r="O136" s="16">
        <f ca="1">(N$136/N$13+MIN(ABS($C$136-N$136/N$13),OFFSET(Assumptions!$B$34,0,$C$1))*SIGN($C$136-N$136/N$13))*O$13</f>
        <v>23.111792604654376</v>
      </c>
      <c r="P136" s="16">
        <f ca="1">(O$136/O$13+MIN(ABS($C$136-O$136/O$13),OFFSET(Assumptions!$B$34,0,$C$1))*SIGN($C$136-O$136/O$13))*P$13</f>
        <v>24.09751422280257</v>
      </c>
      <c r="Q136" s="16">
        <f ca="1">(P$136/P$13+MIN(ABS($C$136-P$136/P$13),OFFSET(Assumptions!$B$34,0,$C$1))*SIGN($C$136-P$136/P$13))*Q$13</f>
        <v>25.085376111894224</v>
      </c>
      <c r="R136" s="16">
        <f ca="1">(Q$136/Q$13+MIN(ABS($C$136-Q$136/Q$13),OFFSET(Assumptions!$B$34,0,$C$1))*SIGN($C$136-Q$136/Q$13))*R$13</f>
        <v>26.07315043148829</v>
      </c>
      <c r="S136" s="16">
        <f ca="1">(R$136/R$13+MIN(ABS($C$136-R$136/R$13),OFFSET(Assumptions!$B$34,0,$C$1))*SIGN($C$136-R$136/R$13))*S$13</f>
        <v>27.082704839992381</v>
      </c>
      <c r="T136" s="16">
        <f ca="1">(S$136/S$13+MIN(ABS($C$136-S$136/S$13),OFFSET(Assumptions!$B$34,0,$C$1))*SIGN($C$136-S$136/S$13))*T$13</f>
        <v>28.112498667115254</v>
      </c>
      <c r="U136" s="16">
        <f ca="1">(T$136/T$13+MIN(ABS($C$136-T$136/T$13),OFFSET(Assumptions!$B$34,0,$C$1))*SIGN($C$136-T$136/T$13))*U$13</f>
        <v>29.15602278899015</v>
      </c>
      <c r="V136" s="16">
        <f ca="1">(U$136/U$13+MIN(ABS($C$136-U$136/U$13),OFFSET(Assumptions!$B$34,0,$C$1))*SIGN($C$136-U$136/U$13))*V$13</f>
        <v>30.215236094674967</v>
      </c>
      <c r="W136" s="16">
        <f ca="1">(V$136/V$13+MIN(ABS($C$136-V$136/V$13),OFFSET(Assumptions!$B$34,0,$C$1))*SIGN($C$136-V$136/V$13))*W$13</f>
        <v>31.290099121603866</v>
      </c>
      <c r="X136" s="16">
        <f ca="1">(W$136/W$13+MIN(ABS($C$136-W$136/W$13),OFFSET(Assumptions!$B$34,0,$C$1))*SIGN($C$136-W$136/W$13))*X$13</f>
        <v>32.388711531712751</v>
      </c>
    </row>
    <row r="137" spans="1:24" x14ac:dyDescent="0.25">
      <c r="A137" s="11" t="s">
        <v>853</v>
      </c>
      <c r="B137" s="10" t="str">
        <f t="shared" ref="B137:B141" si="100">$B$38</f>
        <v>From Fiscal Forecasts</v>
      </c>
      <c r="C137" s="64" cm="1">
        <f t="array" aca="1" ref="C137" ca="1">SUMPRODUCT(OFFSET($N$137,0,0,1,-OFFSET(Assumptions!$B$33,0,$C$1))/OFFSET($N$13,0,0,1,-OFFSET(Assumptions!$B$33,0,$C$1)))/OFFSET(Assumptions!$B$33,0,$C$1)</f>
        <v>6.9331116486344269E-2</v>
      </c>
      <c r="D137" s="35">
        <f>'Fiscal Forecasts'!D$223</f>
        <v>21.861999999999998</v>
      </c>
      <c r="E137" s="35">
        <f>'Fiscal Forecasts'!E$223</f>
        <v>21.748999999999999</v>
      </c>
      <c r="F137" s="35">
        <f>'Fiscal Forecasts'!F$223</f>
        <v>25.562000000000001</v>
      </c>
      <c r="G137" s="35">
        <f>'Fiscal Forecasts'!G$223</f>
        <v>26.123999999999999</v>
      </c>
      <c r="H137" s="35">
        <f>'Fiscal Forecasts'!H$223</f>
        <v>28.13</v>
      </c>
      <c r="I137" s="35">
        <f>'Fiscal Forecasts'!I$223</f>
        <v>29.277999999999999</v>
      </c>
      <c r="J137" s="17">
        <f>'Fiscal Forecasts'!J$223</f>
        <v>29.81</v>
      </c>
      <c r="K137" s="17">
        <f>'Fiscal Forecasts'!K$223</f>
        <v>30.504999999999999</v>
      </c>
      <c r="L137" s="17">
        <f>'Fiscal Forecasts'!L$223</f>
        <v>32.298999999999999</v>
      </c>
      <c r="M137" s="17">
        <f>'Fiscal Forecasts'!M$223</f>
        <v>34.191000000000003</v>
      </c>
      <c r="N137" s="17">
        <f>'Fiscal Forecasts'!N$223</f>
        <v>35.695</v>
      </c>
      <c r="O137" s="16">
        <f ca="1">(N$137/N$13+MIN(ABS($C$137-N$137/N$13),OFFSET(Assumptions!$B$34,0,$C$1))*SIGN($C$137-N$137/N$13))*O$13</f>
        <v>37.508519862937639</v>
      </c>
      <c r="P137" s="16">
        <f ca="1">(O$137/O$13+MIN(ABS($C$137-O$137/O$13),OFFSET(Assumptions!$B$34,0,$C$1))*SIGN($C$137-O$137/O$13))*P$13</f>
        <v>39.393291670045947</v>
      </c>
      <c r="Q137" s="16">
        <f ca="1">(P$137/P$13+MIN(ABS($C$137-P$137/P$13),OFFSET(Assumptions!$B$34,0,$C$1))*SIGN($C$137-P$137/P$13))*Q$13</f>
        <v>41.142749225127339</v>
      </c>
      <c r="R137" s="16">
        <f ca="1">(Q$137/Q$13+MIN(ABS($C$137-Q$137/Q$13),OFFSET(Assumptions!$B$34,0,$C$1))*SIGN($C$137-Q$137/Q$13))*R$13</f>
        <v>42.762806701674812</v>
      </c>
      <c r="S137" s="16">
        <f ca="1">(R$137/R$13+MIN(ABS($C$137-R$137/R$13),OFFSET(Assumptions!$B$34,0,$C$1))*SIGN($C$137-R$137/R$13))*S$13</f>
        <v>44.418585896410953</v>
      </c>
      <c r="T137" s="16">
        <f ca="1">(S$137/S$13+MIN(ABS($C$137-S$137/S$13),OFFSET(Assumptions!$B$34,0,$C$1))*SIGN($C$137-S$137/S$13))*T$13</f>
        <v>46.107559942242041</v>
      </c>
      <c r="U137" s="16">
        <f ca="1">(T$137/T$13+MIN(ABS($C$137-T$137/T$13),OFFSET(Assumptions!$B$34,0,$C$1))*SIGN($C$137-T$137/T$13))*U$13</f>
        <v>47.819053167026226</v>
      </c>
      <c r="V137" s="16">
        <f ca="1">(U$137/U$13+MIN(ABS($C$137-U$137/U$13),OFFSET(Assumptions!$B$34,0,$C$1))*SIGN($C$137-U$137/U$13))*V$13</f>
        <v>49.556278362188671</v>
      </c>
      <c r="W137" s="16">
        <f ca="1">(V$137/V$13+MIN(ABS($C$137-V$137/V$13),OFFSET(Assumptions!$B$34,0,$C$1))*SIGN($C$137-V$137/V$13))*W$13</f>
        <v>51.319170804822953</v>
      </c>
      <c r="X137" s="16">
        <f ca="1">(W$137/W$13+MIN(ABS($C$137-W$137/W$13),OFFSET(Assumptions!$B$34,0,$C$1))*SIGN($C$137-W$137/W$13))*X$13</f>
        <v>53.12101482275223</v>
      </c>
    </row>
    <row r="138" spans="1:24" x14ac:dyDescent="0.25">
      <c r="A138" s="11" t="s">
        <v>854</v>
      </c>
      <c r="B138" s="10" t="str">
        <f t="shared" si="100"/>
        <v>From Fiscal Forecasts</v>
      </c>
      <c r="C138" s="64" cm="1">
        <f t="array" aca="1" ref="C138" ca="1">SUMPRODUCT(OFFSET($N$138,0,0,1,-OFFSET(Assumptions!$B$33,0,$C$1))/OFFSET($N$13,0,0,1,-OFFSET(Assumptions!$B$33,0,$C$1)))/OFFSET(Assumptions!$B$33,0,$C$1)</f>
        <v>1.0544383130732245E-2</v>
      </c>
      <c r="D138" s="35">
        <f>'Fiscal Forecasts'!D$224</f>
        <v>3.8820000000000001</v>
      </c>
      <c r="E138" s="35">
        <f>'Fiscal Forecasts'!E$224</f>
        <v>3.819</v>
      </c>
      <c r="F138" s="35">
        <f>'Fiscal Forecasts'!F$224</f>
        <v>4.306</v>
      </c>
      <c r="G138" s="35">
        <f>'Fiscal Forecasts'!G$224</f>
        <v>3.823</v>
      </c>
      <c r="H138" s="35">
        <f>'Fiscal Forecasts'!H$224</f>
        <v>2.976</v>
      </c>
      <c r="I138" s="35">
        <f>'Fiscal Forecasts'!I$224</f>
        <v>4.0730000000000004</v>
      </c>
      <c r="J138" s="17">
        <f>'Fiscal Forecasts'!J$224</f>
        <v>4.2720000000000002</v>
      </c>
      <c r="K138" s="17">
        <f>'Fiscal Forecasts'!K$224</f>
        <v>4.5709999999999997</v>
      </c>
      <c r="L138" s="17">
        <f>'Fiscal Forecasts'!L$224</f>
        <v>5.05</v>
      </c>
      <c r="M138" s="17">
        <f>'Fiscal Forecasts'!M$224</f>
        <v>5.6630000000000003</v>
      </c>
      <c r="N138" s="17">
        <f>'Fiscal Forecasts'!N$224</f>
        <v>6.093</v>
      </c>
      <c r="O138" s="16">
        <f ca="1">(N$138/N$13+MIN(ABS($C$138-N$138/N$13),OFFSET(Assumptions!$B$34,0,$C$1))*SIGN($C$138-N$138/N$13))*O$13</f>
        <v>6.0825296956577661</v>
      </c>
      <c r="P138" s="16">
        <f ca="1">(O$138/O$13+MIN(ABS($C$138-O$138/O$13),OFFSET(Assumptions!$B$34,0,$C$1))*SIGN($C$138-O$138/O$13))*P$13</f>
        <v>6.0569230620472281</v>
      </c>
      <c r="Q138" s="16">
        <f ca="1">(P$138/P$13+MIN(ABS($C$138-P$138/P$13),OFFSET(Assumptions!$B$34,0,$C$1))*SIGN($C$138-P$138/P$13))*Q$13</f>
        <v>6.257290129848518</v>
      </c>
      <c r="R138" s="16">
        <f ca="1">(Q$138/Q$13+MIN(ABS($C$138-Q$138/Q$13),OFFSET(Assumptions!$B$34,0,$C$1))*SIGN($C$138-Q$138/Q$13))*R$13</f>
        <v>6.503680316423524</v>
      </c>
      <c r="S138" s="16">
        <f ca="1">(R$138/R$13+MIN(ABS($C$138-R$138/R$13),OFFSET(Assumptions!$B$34,0,$C$1))*SIGN($C$138-R$138/R$13))*S$13</f>
        <v>6.7555033230908412</v>
      </c>
      <c r="T138" s="16">
        <f ca="1">(S$138/S$13+MIN(ABS($C$138-S$138/S$13),OFFSET(Assumptions!$B$34,0,$C$1))*SIGN($C$138-S$138/S$13))*T$13</f>
        <v>7.0123748454269004</v>
      </c>
      <c r="U138" s="16">
        <f ca="1">(T$138/T$13+MIN(ABS($C$138-T$138/T$13),OFFSET(Assumptions!$B$34,0,$C$1))*SIGN($C$138-T$138/T$13))*U$13</f>
        <v>7.2726712491539551</v>
      </c>
      <c r="V138" s="16">
        <f ca="1">(U$138/U$13+MIN(ABS($C$138-U$138/U$13),OFFSET(Assumptions!$B$34,0,$C$1))*SIGN($C$138-U$138/U$13))*V$13</f>
        <v>7.536881159083241</v>
      </c>
      <c r="W138" s="16">
        <f ca="1">(V$138/V$13+MIN(ABS($C$138-V$138/V$13),OFFSET(Assumptions!$B$34,0,$C$1))*SIGN($C$138-V$138/V$13))*W$13</f>
        <v>7.8049947316819113</v>
      </c>
      <c r="X138" s="16">
        <f ca="1">(W$138/W$13+MIN(ABS($C$138-W$138/W$13),OFFSET(Assumptions!$B$34,0,$C$1))*SIGN($C$138-W$138/W$13))*X$13</f>
        <v>8.0790323446577013</v>
      </c>
    </row>
    <row r="139" spans="1:24" x14ac:dyDescent="0.25">
      <c r="A139" s="11" t="s">
        <v>700</v>
      </c>
      <c r="B139" s="10" t="str">
        <f t="shared" si="100"/>
        <v>From Fiscal Forecasts</v>
      </c>
      <c r="C139" s="64"/>
      <c r="D139" s="35">
        <f>'Fiscal Forecasts'!D$225</f>
        <v>3.585</v>
      </c>
      <c r="E139" s="35">
        <f>'Fiscal Forecasts'!E$225</f>
        <v>3.6949999999999998</v>
      </c>
      <c r="F139" s="35">
        <f>'Fiscal Forecasts'!F$225</f>
        <v>3.3780000000000001</v>
      </c>
      <c r="G139" s="35">
        <f>'Fiscal Forecasts'!G$225</f>
        <v>3.5670000000000002</v>
      </c>
      <c r="H139" s="35">
        <f>'Fiscal Forecasts'!H$225</f>
        <v>3.532</v>
      </c>
      <c r="I139" s="35">
        <f>'Fiscal Forecasts'!I$225</f>
        <v>3.3140000000000001</v>
      </c>
      <c r="J139" s="17">
        <f>'Fiscal Forecasts'!J$225</f>
        <v>3.403</v>
      </c>
      <c r="K139" s="17">
        <f>'Fiscal Forecasts'!K$225</f>
        <v>3.399</v>
      </c>
      <c r="L139" s="17">
        <f>'Fiscal Forecasts'!L$225</f>
        <v>3.39</v>
      </c>
      <c r="M139" s="17">
        <f>'Fiscal Forecasts'!M$225</f>
        <v>3.39</v>
      </c>
      <c r="N139" s="17">
        <f>'Fiscal Forecasts'!N$225</f>
        <v>3.4140000000000001</v>
      </c>
      <c r="O139" s="16">
        <f ca="1">N$139*(1+O$19)*(1+O$29)</f>
        <v>3.5254182749113085</v>
      </c>
      <c r="P139" s="16">
        <f t="shared" ref="P139:X139" ca="1" si="101">O$139*(1+P$19)*(1+P$29)</f>
        <v>3.6378905766677603</v>
      </c>
      <c r="Q139" s="16">
        <f t="shared" ca="1" si="101"/>
        <v>3.7517149994902392</v>
      </c>
      <c r="R139" s="16">
        <f t="shared" ca="1" si="101"/>
        <v>3.8658702725971064</v>
      </c>
      <c r="S139" s="16">
        <f t="shared" ca="1" si="101"/>
        <v>3.9809623053354337</v>
      </c>
      <c r="T139" s="16">
        <f t="shared" ca="1" si="101"/>
        <v>4.096721368764916</v>
      </c>
      <c r="U139" s="16">
        <f t="shared" ca="1" si="101"/>
        <v>4.2146608693789736</v>
      </c>
      <c r="V139" s="16">
        <f t="shared" ca="1" si="101"/>
        <v>4.3341912410765806</v>
      </c>
      <c r="W139" s="16">
        <f t="shared" ca="1" si="101"/>
        <v>4.4536100740016673</v>
      </c>
      <c r="X139" s="16">
        <f t="shared" ca="1" si="101"/>
        <v>4.5741774460329756</v>
      </c>
    </row>
    <row r="140" spans="1:24" x14ac:dyDescent="0.25">
      <c r="A140" s="9" t="s">
        <v>908</v>
      </c>
      <c r="B140" s="10"/>
      <c r="C140" s="13"/>
      <c r="D140" s="65">
        <f t="shared" ref="D140:X140" si="102">SUM(D$134:D$139)</f>
        <v>85.722999999999999</v>
      </c>
      <c r="E140" s="65">
        <f t="shared" si="102"/>
        <v>84.521000000000001</v>
      </c>
      <c r="F140" s="65">
        <f t="shared" si="102"/>
        <v>97.361999999999995</v>
      </c>
      <c r="G140" s="65">
        <f t="shared" si="102"/>
        <v>107.87299999999999</v>
      </c>
      <c r="H140" s="65">
        <f t="shared" si="102"/>
        <v>111.712</v>
      </c>
      <c r="I140" s="65">
        <f t="shared" si="102"/>
        <v>119.89999999999998</v>
      </c>
      <c r="J140" s="66">
        <f t="shared" si="102"/>
        <v>120.16000000000003</v>
      </c>
      <c r="K140" s="66">
        <f t="shared" si="102"/>
        <v>124.21</v>
      </c>
      <c r="L140" s="66">
        <f t="shared" si="102"/>
        <v>132.09699999999998</v>
      </c>
      <c r="M140" s="66">
        <f t="shared" si="102"/>
        <v>139.47999999999999</v>
      </c>
      <c r="N140" s="66">
        <f t="shared" si="102"/>
        <v>147.05399999999997</v>
      </c>
      <c r="O140" s="67">
        <f t="shared" ca="1" si="102"/>
        <v>152.89321326350102</v>
      </c>
      <c r="P140" s="67">
        <f t="shared" ca="1" si="102"/>
        <v>159.16823718847181</v>
      </c>
      <c r="Q140" s="67">
        <f t="shared" ca="1" si="102"/>
        <v>165.63799304044909</v>
      </c>
      <c r="R140" s="67">
        <f t="shared" ca="1" si="102"/>
        <v>172.12666338681035</v>
      </c>
      <c r="S140" s="67">
        <f t="shared" ca="1" si="102"/>
        <v>178.75682638932682</v>
      </c>
      <c r="T140" s="67">
        <f t="shared" ca="1" si="102"/>
        <v>185.51826973824845</v>
      </c>
      <c r="U140" s="67">
        <f t="shared" ca="1" si="102"/>
        <v>192.37050077919096</v>
      </c>
      <c r="V140" s="67">
        <f t="shared" ca="1" si="102"/>
        <v>199.32557146505084</v>
      </c>
      <c r="W140" s="67">
        <f t="shared" ca="1" si="102"/>
        <v>206.38152471775896</v>
      </c>
      <c r="X140" s="67">
        <f t="shared" ca="1" si="102"/>
        <v>213.59189107421957</v>
      </c>
    </row>
    <row r="141" spans="1:24" x14ac:dyDescent="0.25">
      <c r="A141" s="11" t="s">
        <v>855</v>
      </c>
      <c r="B141" s="10" t="str">
        <f t="shared" si="100"/>
        <v>From Fiscal Forecasts</v>
      </c>
      <c r="C141" s="64" cm="1">
        <f t="array" aca="1" ref="C141" ca="1">SUMPRODUCT(OFFSET($N$141,0,0,1,-OFFSET(Assumptions!$B$33,0,$C$1))/OFFSET($N$13,0,0,1,-OFFSET(Assumptions!$B$33,0,$C$1)))/OFFSET(Assumptions!$B$33,0,$C$1)</f>
        <v>-1.8075933684058583E-3</v>
      </c>
      <c r="D141" s="35">
        <f>D$140-'Fiscal Forecasts'!D$163</f>
        <v>-0.74500000000000455</v>
      </c>
      <c r="E141" s="35">
        <f>E$140-'Fiscal Forecasts'!E$163</f>
        <v>-0.58100000000000307</v>
      </c>
      <c r="F141" s="35">
        <f>F$140-'Fiscal Forecasts'!F$163</f>
        <v>-0.62100000000000932</v>
      </c>
      <c r="G141" s="35">
        <f>G$140-'Fiscal Forecasts'!G$163</f>
        <v>-0.58500000000000796</v>
      </c>
      <c r="H141" s="35">
        <f>H$140-'Fiscal Forecasts'!H$163</f>
        <v>-0.6460000000000008</v>
      </c>
      <c r="I141" s="35">
        <f>I$140-'Fiscal Forecasts'!I$163</f>
        <v>-0.66600000000002524</v>
      </c>
      <c r="J141" s="17">
        <f>J$140-'Fiscal Forecasts'!J$163</f>
        <v>-0.73399999999998045</v>
      </c>
      <c r="K141" s="17">
        <f>K$140-'Fiscal Forecasts'!K$163</f>
        <v>-0.83400000000000318</v>
      </c>
      <c r="L141" s="17">
        <f>L$140-'Fiscal Forecasts'!L$163</f>
        <v>-0.92100000000002069</v>
      </c>
      <c r="M141" s="17">
        <f>M$140-'Fiscal Forecasts'!M$163</f>
        <v>-1.0110000000000241</v>
      </c>
      <c r="N141" s="17">
        <f>N$140-'Fiscal Forecasts'!N$163</f>
        <v>-1.146000000000015</v>
      </c>
      <c r="O141" s="16">
        <f ca="1">(N$141/N$13+MIN(ABS($C$141-N$141/N$13),OFFSET(Assumptions!$B$34,0,$C$1))*SIGN($C$141-N$141/N$13))*O$13</f>
        <v>-0.98827741072355701</v>
      </c>
      <c r="P141" s="16">
        <f ca="1">(O$141/O$13+MIN(ABS($C$141-O$141/O$13),OFFSET(Assumptions!$B$34,0,$C$1))*SIGN($C$141-O$141/O$13))*P$13</f>
        <v>-1.0304275989474487</v>
      </c>
      <c r="Q141" s="16">
        <f ca="1">(P$141/P$13+MIN(ABS($C$141-P$141/P$13),OFFSET(Assumptions!$B$34,0,$C$1))*SIGN($C$141-P$141/P$13))*Q$13</f>
        <v>-1.0726693067458899</v>
      </c>
      <c r="R141" s="16">
        <f ca="1">(Q$141/Q$13+MIN(ABS($C$141-Q$141/Q$13),OFFSET(Assumptions!$B$34,0,$C$1))*SIGN($C$141-Q$141/Q$13))*R$13</f>
        <v>-1.1149072700075997</v>
      </c>
      <c r="S141" s="16">
        <f ca="1">(R$141/R$13+MIN(ABS($C$141-R$141/R$13),OFFSET(Assumptions!$B$34,0,$C$1))*SIGN($C$141-R$141/R$13))*S$13</f>
        <v>-1.1580765660413503</v>
      </c>
      <c r="T141" s="16">
        <f ca="1">(S$141/S$13+MIN(ABS($C$141-S$141/S$13),OFFSET(Assumptions!$B$34,0,$C$1))*SIGN($C$141-S$141/S$13))*T$13</f>
        <v>-1.2021113146416447</v>
      </c>
      <c r="U141" s="16">
        <f ca="1">(T$141/T$13+MIN(ABS($C$141-T$141/T$13),OFFSET(Assumptions!$B$34,0,$C$1))*SIGN($C$141-T$141/T$13))*U$13</f>
        <v>-1.246733180839354</v>
      </c>
      <c r="V141" s="16">
        <f ca="1">(U$141/U$13+MIN(ABS($C$141-U$141/U$13),OFFSET(Assumptions!$B$34,0,$C$1))*SIGN($C$141-U$141/U$13))*V$13</f>
        <v>-1.2920259281849373</v>
      </c>
      <c r="W141" s="16">
        <f ca="1">(V$141/V$13+MIN(ABS($C$141-V$141/V$13),OFFSET(Assumptions!$B$34,0,$C$1))*SIGN($C$141-V$141/V$13))*W$13</f>
        <v>-1.3379878692297809</v>
      </c>
      <c r="X141" s="16">
        <f ca="1">(W$141/W$13+MIN(ABS($C$141-W$141/W$13),OFFSET(Assumptions!$B$34,0,$C$1))*SIGN($C$141-W$141/W$13))*X$13</f>
        <v>-1.3849653515317173</v>
      </c>
    </row>
    <row r="142" spans="1:24" x14ac:dyDescent="0.25">
      <c r="A142" s="9" t="s">
        <v>856</v>
      </c>
      <c r="B142" s="9"/>
      <c r="C142" s="13"/>
      <c r="D142" s="65">
        <f t="shared" ref="D142:X142" si="103">D$140-D$141</f>
        <v>86.468000000000004</v>
      </c>
      <c r="E142" s="65">
        <f t="shared" si="103"/>
        <v>85.102000000000004</v>
      </c>
      <c r="F142" s="65">
        <f t="shared" si="103"/>
        <v>97.983000000000004</v>
      </c>
      <c r="G142" s="65">
        <f t="shared" si="103"/>
        <v>108.458</v>
      </c>
      <c r="H142" s="65">
        <f t="shared" si="103"/>
        <v>112.358</v>
      </c>
      <c r="I142" s="65">
        <f t="shared" si="103"/>
        <v>120.566</v>
      </c>
      <c r="J142" s="66">
        <f t="shared" si="103"/>
        <v>120.89400000000001</v>
      </c>
      <c r="K142" s="66">
        <f t="shared" si="103"/>
        <v>125.044</v>
      </c>
      <c r="L142" s="66">
        <f t="shared" si="103"/>
        <v>133.018</v>
      </c>
      <c r="M142" s="66">
        <f t="shared" si="103"/>
        <v>140.49100000000001</v>
      </c>
      <c r="N142" s="66">
        <f t="shared" si="103"/>
        <v>148.19999999999999</v>
      </c>
      <c r="O142" s="67">
        <f t="shared" ca="1" si="103"/>
        <v>153.88149067422458</v>
      </c>
      <c r="P142" s="67">
        <f t="shared" ca="1" si="103"/>
        <v>160.19866478741926</v>
      </c>
      <c r="Q142" s="67">
        <f t="shared" ca="1" si="103"/>
        <v>166.71066234719498</v>
      </c>
      <c r="R142" s="67">
        <f t="shared" ca="1" si="103"/>
        <v>173.24157065681794</v>
      </c>
      <c r="S142" s="67">
        <f t="shared" ca="1" si="103"/>
        <v>179.91490295536818</v>
      </c>
      <c r="T142" s="67">
        <f t="shared" ca="1" si="103"/>
        <v>186.7203810528901</v>
      </c>
      <c r="U142" s="67">
        <f t="shared" ca="1" si="103"/>
        <v>193.61723396003032</v>
      </c>
      <c r="V142" s="67">
        <f t="shared" ca="1" si="103"/>
        <v>200.61759739323577</v>
      </c>
      <c r="W142" s="67">
        <f t="shared" ca="1" si="103"/>
        <v>207.71951258698874</v>
      </c>
      <c r="X142" s="67">
        <f t="shared" ca="1" si="103"/>
        <v>214.97685642575129</v>
      </c>
    </row>
    <row r="143" spans="1:24" x14ac:dyDescent="0.25">
      <c r="A143" s="9"/>
      <c r="B143" s="9"/>
      <c r="C143" s="13"/>
      <c r="D143" s="68"/>
      <c r="E143" s="68"/>
      <c r="F143" s="68"/>
      <c r="G143" s="68"/>
      <c r="H143" s="68"/>
      <c r="I143" s="68"/>
      <c r="J143" s="69"/>
      <c r="K143" s="69"/>
      <c r="L143" s="69"/>
      <c r="M143" s="69"/>
      <c r="N143" s="69"/>
      <c r="O143" s="70"/>
      <c r="P143" s="70"/>
      <c r="Q143" s="70"/>
      <c r="R143" s="70"/>
      <c r="S143" s="70"/>
      <c r="T143" s="70"/>
      <c r="U143" s="70"/>
      <c r="V143" s="70"/>
      <c r="W143" s="70"/>
      <c r="X143" s="70"/>
    </row>
    <row r="144" spans="1:24" x14ac:dyDescent="0.25">
      <c r="A144" s="9" t="s">
        <v>702</v>
      </c>
      <c r="B144" s="9"/>
      <c r="C144" s="13"/>
      <c r="D144" s="68"/>
      <c r="E144" s="68"/>
      <c r="F144" s="68"/>
      <c r="G144" s="68"/>
      <c r="H144" s="68"/>
      <c r="I144" s="68"/>
      <c r="J144" s="69"/>
      <c r="K144" s="69"/>
      <c r="L144" s="69"/>
      <c r="M144" s="69"/>
      <c r="N144" s="69"/>
      <c r="O144" s="70"/>
      <c r="P144" s="70"/>
      <c r="Q144" s="70"/>
      <c r="R144" s="70"/>
      <c r="S144" s="70"/>
      <c r="T144" s="70"/>
      <c r="U144" s="70"/>
      <c r="V144" s="70"/>
      <c r="W144" s="70"/>
      <c r="X144" s="70"/>
    </row>
    <row r="145" spans="1:24" x14ac:dyDescent="0.25">
      <c r="A145" s="11" t="s">
        <v>857</v>
      </c>
      <c r="B145" s="10" t="str">
        <f>$B$38</f>
        <v>From Fiscal Forecasts</v>
      </c>
      <c r="C145" s="13"/>
      <c r="D145" s="35">
        <f>'Fiscal Forecasts'!D$229</f>
        <v>0.84599999999999997</v>
      </c>
      <c r="E145" s="35">
        <f>'Fiscal Forecasts'!E$229</f>
        <v>1.0429999999999999</v>
      </c>
      <c r="F145" s="35">
        <f>'Fiscal Forecasts'!F$229</f>
        <v>1.6339999999999999</v>
      </c>
      <c r="G145" s="35">
        <f>'Fiscal Forecasts'!G$229</f>
        <v>3.0059999999999998</v>
      </c>
      <c r="H145" s="35">
        <f>'Fiscal Forecasts'!H$229</f>
        <v>1.5820000000000001</v>
      </c>
      <c r="I145" s="35">
        <f>'Fiscal Forecasts'!I$229</f>
        <v>1.69</v>
      </c>
      <c r="J145" s="17">
        <f>'Fiscal Forecasts'!J$229</f>
        <v>2.4350000000000001</v>
      </c>
      <c r="K145" s="17">
        <f>'Fiscal Forecasts'!K$229</f>
        <v>2.2149999999999999</v>
      </c>
      <c r="L145" s="17">
        <f>'Fiscal Forecasts'!L$229</f>
        <v>2.1240000000000001</v>
      </c>
      <c r="M145" s="17">
        <f>'Fiscal Forecasts'!M$229</f>
        <v>2.073</v>
      </c>
      <c r="N145" s="17">
        <f>'Fiscal Forecasts'!N$229</f>
        <v>2.0630000000000002</v>
      </c>
      <c r="O145" s="16">
        <f t="shared" ref="O145:X145" si="104">N$145</f>
        <v>2.0630000000000002</v>
      </c>
      <c r="P145" s="16">
        <f t="shared" si="104"/>
        <v>2.0630000000000002</v>
      </c>
      <c r="Q145" s="16">
        <f t="shared" si="104"/>
        <v>2.0630000000000002</v>
      </c>
      <c r="R145" s="16">
        <f t="shared" si="104"/>
        <v>2.0630000000000002</v>
      </c>
      <c r="S145" s="16">
        <f t="shared" si="104"/>
        <v>2.0630000000000002</v>
      </c>
      <c r="T145" s="16">
        <f t="shared" si="104"/>
        <v>2.0630000000000002</v>
      </c>
      <c r="U145" s="16">
        <f t="shared" si="104"/>
        <v>2.0630000000000002</v>
      </c>
      <c r="V145" s="16">
        <f t="shared" si="104"/>
        <v>2.0630000000000002</v>
      </c>
      <c r="W145" s="16">
        <f t="shared" si="104"/>
        <v>2.0630000000000002</v>
      </c>
      <c r="X145" s="16">
        <f t="shared" si="104"/>
        <v>2.0630000000000002</v>
      </c>
    </row>
    <row r="146" spans="1:24" x14ac:dyDescent="0.25">
      <c r="A146" s="11" t="s">
        <v>858</v>
      </c>
      <c r="B146" s="10" t="str">
        <f>$B$38</f>
        <v>From Fiscal Forecasts</v>
      </c>
      <c r="C146" s="13"/>
      <c r="D146" s="35">
        <f>'Fiscal Forecasts'!D$164-D$145</f>
        <v>1.1310000000000002</v>
      </c>
      <c r="E146" s="35">
        <f>'Fiscal Forecasts'!E$164-E$145</f>
        <v>1.0770000000000002</v>
      </c>
      <c r="F146" s="35">
        <f>'Fiscal Forecasts'!F$164-F$145</f>
        <v>1.1110000000000002</v>
      </c>
      <c r="G146" s="35">
        <f>'Fiscal Forecasts'!G$164-G$145</f>
        <v>1.3210000000000002</v>
      </c>
      <c r="H146" s="35">
        <f>'Fiscal Forecasts'!H$164-H$145</f>
        <v>1.7099999999999997</v>
      </c>
      <c r="I146" s="35">
        <f>'Fiscal Forecasts'!I$164-I$145</f>
        <v>1.899</v>
      </c>
      <c r="J146" s="17">
        <f>'Fiscal Forecasts'!J$164-J$145</f>
        <v>1.871</v>
      </c>
      <c r="K146" s="17">
        <f>'Fiscal Forecasts'!K$164-K$145</f>
        <v>2.202</v>
      </c>
      <c r="L146" s="17">
        <f>'Fiscal Forecasts'!L$164-L$145</f>
        <v>2.3009999999999997</v>
      </c>
      <c r="M146" s="17">
        <f>'Fiscal Forecasts'!M$164-M$145</f>
        <v>2.347</v>
      </c>
      <c r="N146" s="17">
        <f>'Fiscal Forecasts'!N$164-N$145</f>
        <v>2.3879999999999995</v>
      </c>
      <c r="O146" s="16">
        <f t="shared" ref="O146:X146" ca="1" si="105">N$146*(1+O$19)*(1+O$29)</f>
        <v>2.4659340481804928</v>
      </c>
      <c r="P146" s="16">
        <f t="shared" ca="1" si="105"/>
        <v>2.5446053594266576</v>
      </c>
      <c r="Q146" s="16">
        <f t="shared" ca="1" si="105"/>
        <v>2.6242224425256846</v>
      </c>
      <c r="R146" s="16">
        <f t="shared" ca="1" si="105"/>
        <v>2.7040709463860235</v>
      </c>
      <c r="S146" s="16">
        <f t="shared" ca="1" si="105"/>
        <v>2.7845746880905122</v>
      </c>
      <c r="T146" s="16">
        <f t="shared" ca="1" si="105"/>
        <v>2.8655449995930327</v>
      </c>
      <c r="U146" s="16">
        <f t="shared" ca="1" si="105"/>
        <v>2.9480404675093674</v>
      </c>
      <c r="V146" s="16">
        <f t="shared" ca="1" si="105"/>
        <v>3.0316487064120867</v>
      </c>
      <c r="W146" s="16">
        <f t="shared" ca="1" si="105"/>
        <v>3.1151789269818311</v>
      </c>
      <c r="X146" s="16">
        <f t="shared" ca="1" si="105"/>
        <v>3.1995125193692844</v>
      </c>
    </row>
    <row r="147" spans="1:24" x14ac:dyDescent="0.25">
      <c r="A147" s="9" t="s">
        <v>859</v>
      </c>
      <c r="B147" s="9"/>
      <c r="C147" s="13"/>
      <c r="D147" s="65">
        <f t="shared" ref="D147:X147" si="106">SUM(D$145:D$146)</f>
        <v>1.9770000000000003</v>
      </c>
      <c r="E147" s="65">
        <f t="shared" si="106"/>
        <v>2.12</v>
      </c>
      <c r="F147" s="65">
        <f t="shared" si="106"/>
        <v>2.7450000000000001</v>
      </c>
      <c r="G147" s="65">
        <f t="shared" si="106"/>
        <v>4.327</v>
      </c>
      <c r="H147" s="65">
        <f t="shared" si="106"/>
        <v>3.2919999999999998</v>
      </c>
      <c r="I147" s="65">
        <f t="shared" si="106"/>
        <v>3.589</v>
      </c>
      <c r="J147" s="66">
        <f t="shared" si="106"/>
        <v>4.306</v>
      </c>
      <c r="K147" s="66">
        <f t="shared" si="106"/>
        <v>4.4169999999999998</v>
      </c>
      <c r="L147" s="66">
        <f t="shared" si="106"/>
        <v>4.4249999999999998</v>
      </c>
      <c r="M147" s="66">
        <f t="shared" si="106"/>
        <v>4.42</v>
      </c>
      <c r="N147" s="66">
        <f t="shared" si="106"/>
        <v>4.4509999999999996</v>
      </c>
      <c r="O147" s="67">
        <f t="shared" ca="1" si="106"/>
        <v>4.5289340481804929</v>
      </c>
      <c r="P147" s="67">
        <f t="shared" ca="1" si="106"/>
        <v>4.6076053594266577</v>
      </c>
      <c r="Q147" s="67">
        <f t="shared" ca="1" si="106"/>
        <v>4.6872224425256848</v>
      </c>
      <c r="R147" s="67">
        <f t="shared" ca="1" si="106"/>
        <v>4.7670709463860241</v>
      </c>
      <c r="S147" s="67">
        <f t="shared" ca="1" si="106"/>
        <v>4.8475746880905124</v>
      </c>
      <c r="T147" s="67">
        <f t="shared" ca="1" si="106"/>
        <v>4.9285449995930328</v>
      </c>
      <c r="U147" s="67">
        <f t="shared" ca="1" si="106"/>
        <v>5.0110404675093676</v>
      </c>
      <c r="V147" s="67">
        <f t="shared" ca="1" si="106"/>
        <v>5.0946487064120873</v>
      </c>
      <c r="W147" s="67">
        <f t="shared" ca="1" si="106"/>
        <v>5.1781789269818308</v>
      </c>
      <c r="X147" s="67">
        <f t="shared" ca="1" si="106"/>
        <v>5.2625125193692845</v>
      </c>
    </row>
    <row r="148" spans="1:24" x14ac:dyDescent="0.25">
      <c r="A148" s="11" t="s">
        <v>703</v>
      </c>
      <c r="B148" s="10" t="str">
        <f>$B$38</f>
        <v>From Fiscal Forecasts</v>
      </c>
      <c r="C148" s="13"/>
      <c r="D148" s="35">
        <f>'Fiscal Forecasts'!D$228</f>
        <v>3.0139999999999998</v>
      </c>
      <c r="E148" s="35">
        <f>'Fiscal Forecasts'!E$228</f>
        <v>3.032</v>
      </c>
      <c r="F148" s="35">
        <f>'Fiscal Forecasts'!F$228</f>
        <v>3.27</v>
      </c>
      <c r="G148" s="35">
        <f>'Fiscal Forecasts'!G$228</f>
        <v>3.4609999999999999</v>
      </c>
      <c r="H148" s="35">
        <f>'Fiscal Forecasts'!H$228</f>
        <v>3.855</v>
      </c>
      <c r="I148" s="35">
        <f>'Fiscal Forecasts'!I$228</f>
        <v>4.1449999999999996</v>
      </c>
      <c r="J148" s="17">
        <f>'Fiscal Forecasts'!J$228</f>
        <v>4.2649999999999997</v>
      </c>
      <c r="K148" s="17">
        <f>'Fiscal Forecasts'!K$228</f>
        <v>4.7149999999999999</v>
      </c>
      <c r="L148" s="17">
        <f>'Fiscal Forecasts'!L$228</f>
        <v>5.2039999999999997</v>
      </c>
      <c r="M148" s="17">
        <f>'Fiscal Forecasts'!M$228</f>
        <v>5.7030000000000003</v>
      </c>
      <c r="N148" s="17">
        <f>'Fiscal Forecasts'!N$228</f>
        <v>6.2389999999999999</v>
      </c>
      <c r="O148" s="16">
        <f>N$148*(Exogenous!Z$26-Exogenous!Z$27)/(Exogenous!Y$26-Exogenous!Y$27)</f>
        <v>6.7922214680442501</v>
      </c>
      <c r="P148" s="16">
        <f>O$148*(Exogenous!AA$26-Exogenous!AA$27)/(Exogenous!Z$26-Exogenous!Z$27)</f>
        <v>7.3773643877749224</v>
      </c>
      <c r="Q148" s="16">
        <f>P$148*(Exogenous!AB$26-Exogenous!AB$27)/(Exogenous!AA$26-Exogenous!AA$27)</f>
        <v>8.0450326288791469</v>
      </c>
      <c r="R148" s="16">
        <f>Q$148*(Exogenous!AC$26-Exogenous!AC$27)/(Exogenous!AB$26-Exogenous!AB$27)</f>
        <v>8.7507730414661591</v>
      </c>
      <c r="S148" s="16">
        <f>R$148*(Exogenous!AD$26-Exogenous!AD$27)/(Exogenous!AC$26-Exogenous!AC$27)</f>
        <v>9.5257663808887454</v>
      </c>
      <c r="T148" s="16">
        <f>S$148*(Exogenous!AE$26-Exogenous!AE$27)/(Exogenous!AD$26-Exogenous!AD$27)</f>
        <v>10.34282594471633</v>
      </c>
      <c r="U148" s="16">
        <f>T$148*(Exogenous!AF$26-Exogenous!AF$27)/(Exogenous!AE$26-Exogenous!AE$27)</f>
        <v>11.236500181765395</v>
      </c>
      <c r="V148" s="16">
        <f>U$148*(Exogenous!AG$26-Exogenous!AG$27)/(Exogenous!AF$26-Exogenous!AF$27)</f>
        <v>12.001795802679197</v>
      </c>
      <c r="W148" s="16">
        <f>V$148*(Exogenous!AH$26-Exogenous!AH$27)/(Exogenous!AG$26-Exogenous!AG$27)</f>
        <v>12.543476849089375</v>
      </c>
      <c r="X148" s="16">
        <f>W$148*(Exogenous!AI$26-Exogenous!AI$27)/(Exogenous!AH$26-Exogenous!AH$27)</f>
        <v>13.028010010466666</v>
      </c>
    </row>
    <row r="149" spans="1:24" x14ac:dyDescent="0.25">
      <c r="A149" s="11" t="s">
        <v>860</v>
      </c>
      <c r="B149" s="10" t="str">
        <f>$B$38</f>
        <v>From Fiscal Forecasts</v>
      </c>
      <c r="C149" s="13"/>
      <c r="D149" s="35">
        <f>'Fiscal Forecasts'!D$10-SUM(D$147:D$148)</f>
        <v>1.0369999999999999</v>
      </c>
      <c r="E149" s="35">
        <f>'Fiscal Forecasts'!E$10-SUM(E$147:E$148)</f>
        <v>1.117</v>
      </c>
      <c r="F149" s="35">
        <f>'Fiscal Forecasts'!F$10-SUM(F$147:F$148)</f>
        <v>1.0229999999999997</v>
      </c>
      <c r="G149" s="35">
        <f>'Fiscal Forecasts'!G$10-SUM(G$147:G$148)</f>
        <v>1.1059999999999999</v>
      </c>
      <c r="H149" s="35">
        <f>'Fiscal Forecasts'!H$10-SUM(H$147:H$148)</f>
        <v>1.2599999999999998</v>
      </c>
      <c r="I149" s="35">
        <f>'Fiscal Forecasts'!I$10-SUM(I$147:I$148)</f>
        <v>1.6920000000000002</v>
      </c>
      <c r="J149" s="17">
        <f>'Fiscal Forecasts'!J$10-SUM(J$147:J$148)</f>
        <v>1.8849999999999998</v>
      </c>
      <c r="K149" s="17">
        <f>'Fiscal Forecasts'!K$10-SUM(K$147:K$148)</f>
        <v>1.8740000000000006</v>
      </c>
      <c r="L149" s="17">
        <f>'Fiscal Forecasts'!L$10-SUM(L$147:L$148)</f>
        <v>1.9410000000000007</v>
      </c>
      <c r="M149" s="17">
        <f>'Fiscal Forecasts'!M$10-SUM(M$147:M$148)</f>
        <v>2.0509999999999984</v>
      </c>
      <c r="N149" s="17">
        <f>'Fiscal Forecasts'!N$10-SUM(N$147:N$148)</f>
        <v>2.120000000000001</v>
      </c>
      <c r="O149" s="16">
        <f t="shared" ref="O149:X149" ca="1" si="107">N$149*(1+O$19)*(1+O$29)</f>
        <v>2.1891876809642583</v>
      </c>
      <c r="P149" s="16">
        <f t="shared" ca="1" si="107"/>
        <v>2.2590298835781066</v>
      </c>
      <c r="Q149" s="16">
        <f t="shared" ca="1" si="107"/>
        <v>2.3297117161450824</v>
      </c>
      <c r="R149" s="16">
        <f t="shared" ca="1" si="107"/>
        <v>2.4005989976291358</v>
      </c>
      <c r="S149" s="16">
        <f t="shared" ca="1" si="107"/>
        <v>2.4720679810518811</v>
      </c>
      <c r="T149" s="16">
        <f t="shared" ca="1" si="107"/>
        <v>2.543951172168021</v>
      </c>
      <c r="U149" s="16">
        <f t="shared" ca="1" si="107"/>
        <v>2.6171883547403119</v>
      </c>
      <c r="V149" s="16">
        <f t="shared" ca="1" si="107"/>
        <v>2.6914134244529437</v>
      </c>
      <c r="W149" s="16">
        <f t="shared" ca="1" si="107"/>
        <v>2.7655692316589144</v>
      </c>
      <c r="X149" s="16">
        <f t="shared" ca="1" si="107"/>
        <v>2.840438250026335</v>
      </c>
    </row>
    <row r="150" spans="1:24" x14ac:dyDescent="0.25">
      <c r="A150" s="9" t="s">
        <v>909</v>
      </c>
      <c r="B150" s="9"/>
      <c r="C150" s="13"/>
      <c r="D150" s="65">
        <f t="shared" ref="D150:X150" si="108">SUM(D$147:D$149)</f>
        <v>6.0279999999999996</v>
      </c>
      <c r="E150" s="65">
        <f t="shared" si="108"/>
        <v>6.2690000000000001</v>
      </c>
      <c r="F150" s="65">
        <f t="shared" si="108"/>
        <v>7.0380000000000003</v>
      </c>
      <c r="G150" s="65">
        <f t="shared" si="108"/>
        <v>8.8940000000000001</v>
      </c>
      <c r="H150" s="65">
        <f t="shared" si="108"/>
        <v>8.407</v>
      </c>
      <c r="I150" s="65">
        <f t="shared" si="108"/>
        <v>9.4260000000000002</v>
      </c>
      <c r="J150" s="66">
        <f t="shared" si="108"/>
        <v>10.456</v>
      </c>
      <c r="K150" s="66">
        <f t="shared" si="108"/>
        <v>11.006</v>
      </c>
      <c r="L150" s="66">
        <f t="shared" si="108"/>
        <v>11.57</v>
      </c>
      <c r="M150" s="66">
        <f t="shared" si="108"/>
        <v>12.173999999999999</v>
      </c>
      <c r="N150" s="66">
        <f t="shared" si="108"/>
        <v>12.81</v>
      </c>
      <c r="O150" s="67">
        <f t="shared" ca="1" si="108"/>
        <v>13.510343197189</v>
      </c>
      <c r="P150" s="67">
        <f t="shared" ca="1" si="108"/>
        <v>14.243999630779687</v>
      </c>
      <c r="Q150" s="67">
        <f t="shared" ca="1" si="108"/>
        <v>15.061966787549915</v>
      </c>
      <c r="R150" s="67">
        <f t="shared" ca="1" si="108"/>
        <v>15.918442985481319</v>
      </c>
      <c r="S150" s="67">
        <f t="shared" ca="1" si="108"/>
        <v>16.84540905003114</v>
      </c>
      <c r="T150" s="67">
        <f t="shared" ca="1" si="108"/>
        <v>17.815322116477383</v>
      </c>
      <c r="U150" s="67">
        <f t="shared" ca="1" si="108"/>
        <v>18.864729004015071</v>
      </c>
      <c r="V150" s="67">
        <f t="shared" ca="1" si="108"/>
        <v>19.787857933544228</v>
      </c>
      <c r="W150" s="67">
        <f t="shared" ca="1" si="108"/>
        <v>20.487225007730121</v>
      </c>
      <c r="X150" s="67">
        <f t="shared" ca="1" si="108"/>
        <v>21.130960779862285</v>
      </c>
    </row>
    <row r="151" spans="1:24" x14ac:dyDescent="0.25">
      <c r="A151" s="11" t="s">
        <v>861</v>
      </c>
      <c r="B151" s="10" t="str">
        <f>$B$38</f>
        <v>From Fiscal Forecasts</v>
      </c>
      <c r="C151" s="13"/>
      <c r="D151" s="35">
        <f>'Fiscal Forecasts'!D$374</f>
        <v>0</v>
      </c>
      <c r="E151" s="35">
        <f>'Fiscal Forecasts'!E$374</f>
        <v>0</v>
      </c>
      <c r="F151" s="35">
        <f>'Fiscal Forecasts'!F$374</f>
        <v>0.33600000000000002</v>
      </c>
      <c r="G151" s="35">
        <f>'Fiscal Forecasts'!G$374</f>
        <v>2.0960000000000001</v>
      </c>
      <c r="H151" s="35">
        <f>'Fiscal Forecasts'!H$374</f>
        <v>0.83199999999999996</v>
      </c>
      <c r="I151" s="35">
        <f>'Fiscal Forecasts'!I$374</f>
        <v>0.21</v>
      </c>
      <c r="J151" s="17">
        <f>'Fiscal Forecasts'!J$374</f>
        <v>0.27900000000000003</v>
      </c>
      <c r="K151" s="17">
        <f>'Fiscal Forecasts'!K$374</f>
        <v>0.33</v>
      </c>
      <c r="L151" s="17">
        <f>'Fiscal Forecasts'!L$374</f>
        <v>0.28299999999999997</v>
      </c>
      <c r="M151" s="17">
        <f>'Fiscal Forecasts'!M$374</f>
        <v>0.23</v>
      </c>
      <c r="N151" s="17">
        <f>'Fiscal Forecasts'!N$374</f>
        <v>0.17699999999999999</v>
      </c>
      <c r="O151" s="16">
        <f t="shared" ref="O151:X151" si="109">N$151</f>
        <v>0.17699999999999999</v>
      </c>
      <c r="P151" s="16">
        <f t="shared" si="109"/>
        <v>0.17699999999999999</v>
      </c>
      <c r="Q151" s="16">
        <f t="shared" si="109"/>
        <v>0.17699999999999999</v>
      </c>
      <c r="R151" s="16">
        <f t="shared" si="109"/>
        <v>0.17699999999999999</v>
      </c>
      <c r="S151" s="16">
        <f t="shared" si="109"/>
        <v>0.17699999999999999</v>
      </c>
      <c r="T151" s="16">
        <f t="shared" si="109"/>
        <v>0.17699999999999999</v>
      </c>
      <c r="U151" s="16">
        <f t="shared" si="109"/>
        <v>0.17699999999999999</v>
      </c>
      <c r="V151" s="16">
        <f t="shared" si="109"/>
        <v>0.17699999999999999</v>
      </c>
      <c r="W151" s="16">
        <f t="shared" si="109"/>
        <v>0.17699999999999999</v>
      </c>
      <c r="X151" s="16">
        <f t="shared" si="109"/>
        <v>0.17699999999999999</v>
      </c>
    </row>
    <row r="152" spans="1:24" x14ac:dyDescent="0.25">
      <c r="A152" s="9"/>
      <c r="B152" s="9"/>
      <c r="C152" s="13"/>
      <c r="D152" s="68"/>
      <c r="E152" s="68"/>
      <c r="F152" s="68"/>
      <c r="G152" s="68"/>
      <c r="H152" s="68"/>
      <c r="I152" s="68"/>
      <c r="J152" s="69"/>
      <c r="K152" s="69"/>
      <c r="L152" s="69"/>
      <c r="M152" s="69"/>
      <c r="N152" s="69"/>
      <c r="O152" s="70"/>
      <c r="P152" s="70"/>
      <c r="Q152" s="70"/>
      <c r="R152" s="70"/>
      <c r="S152" s="70"/>
      <c r="T152" s="70"/>
      <c r="U152" s="70"/>
      <c r="V152" s="70"/>
      <c r="W152" s="70"/>
      <c r="X152" s="70"/>
    </row>
    <row r="153" spans="1:24" x14ac:dyDescent="0.25">
      <c r="A153" s="9" t="s">
        <v>530</v>
      </c>
      <c r="B153" s="9"/>
      <c r="C153" s="13"/>
      <c r="D153" s="68"/>
      <c r="E153" s="68"/>
      <c r="F153" s="68"/>
      <c r="G153" s="68"/>
      <c r="H153" s="68"/>
      <c r="I153" s="68"/>
      <c r="J153" s="69"/>
      <c r="K153" s="69"/>
      <c r="L153" s="69"/>
      <c r="M153" s="69"/>
      <c r="N153" s="69"/>
      <c r="O153" s="70"/>
      <c r="P153" s="70"/>
      <c r="Q153" s="70"/>
      <c r="R153" s="70"/>
      <c r="S153" s="70"/>
      <c r="T153" s="70"/>
      <c r="U153" s="70"/>
      <c r="V153" s="70"/>
      <c r="W153" s="70"/>
      <c r="X153" s="70"/>
    </row>
    <row r="154" spans="1:24" x14ac:dyDescent="0.25">
      <c r="A154" s="9" t="s">
        <v>862</v>
      </c>
      <c r="B154" s="10" t="str">
        <f>$B$38</f>
        <v>From Fiscal Forecasts</v>
      </c>
      <c r="C154" s="13"/>
      <c r="D154" s="68">
        <f>'Fiscal Forecasts'!D165</f>
        <v>1.583</v>
      </c>
      <c r="E154" s="68">
        <f>'Fiscal Forecasts'!E165</f>
        <v>1.5529999999999999</v>
      </c>
      <c r="F154" s="68">
        <f>'Fiscal Forecasts'!F165</f>
        <v>1.5429999999999999</v>
      </c>
      <c r="G154" s="68">
        <f>'Fiscal Forecasts'!G165</f>
        <v>1.3859999999999999</v>
      </c>
      <c r="H154" s="68">
        <f>'Fiscal Forecasts'!H165</f>
        <v>1.631</v>
      </c>
      <c r="I154" s="68">
        <f>'Fiscal Forecasts'!I165</f>
        <v>1.798</v>
      </c>
      <c r="J154" s="69">
        <f>'Fiscal Forecasts'!J165</f>
        <v>2.21</v>
      </c>
      <c r="K154" s="69">
        <f>'Fiscal Forecasts'!K165</f>
        <v>2.3940000000000001</v>
      </c>
      <c r="L154" s="69">
        <f>'Fiscal Forecasts'!L165</f>
        <v>2.3420000000000001</v>
      </c>
      <c r="M154" s="69">
        <f>'Fiscal Forecasts'!M165</f>
        <v>2.427</v>
      </c>
      <c r="N154" s="69">
        <f>'Fiscal Forecasts'!N165</f>
        <v>2.4420000000000002</v>
      </c>
      <c r="O154" s="47">
        <f t="shared" ref="O154:X154" ca="1" si="110">N$154*(1+O$19)*(1+O$29)</f>
        <v>2.5216963759031681</v>
      </c>
      <c r="P154" s="47">
        <f t="shared" ca="1" si="110"/>
        <v>2.6021466866498741</v>
      </c>
      <c r="Q154" s="47">
        <f t="shared" ca="1" si="110"/>
        <v>2.6835641560501355</v>
      </c>
      <c r="R154" s="47">
        <f t="shared" ca="1" si="110"/>
        <v>2.7652182793445026</v>
      </c>
      <c r="S154" s="47">
        <f t="shared" ca="1" si="110"/>
        <v>2.8475424574191939</v>
      </c>
      <c r="T154" s="47">
        <f t="shared" ca="1" si="110"/>
        <v>2.9303437558652385</v>
      </c>
      <c r="U154" s="47">
        <f t="shared" ca="1" si="110"/>
        <v>3.014704699186717</v>
      </c>
      <c r="V154" s="47">
        <f t="shared" ca="1" si="110"/>
        <v>3.1002035766575884</v>
      </c>
      <c r="W154" s="47">
        <f t="shared" ca="1" si="110"/>
        <v>3.1856226715618248</v>
      </c>
      <c r="X154" s="47">
        <f t="shared" ca="1" si="110"/>
        <v>3.2718633049831651</v>
      </c>
    </row>
    <row r="155" spans="1:24" x14ac:dyDescent="0.25">
      <c r="A155" s="9" t="s">
        <v>910</v>
      </c>
      <c r="B155" s="10" t="str">
        <f>$B$38</f>
        <v>From Fiscal Forecasts</v>
      </c>
      <c r="C155" s="13"/>
      <c r="D155" s="68">
        <f>'Fiscal Forecasts'!D11</f>
        <v>19.795999999999999</v>
      </c>
      <c r="E155" s="68">
        <f>'Fiscal Forecasts'!E11</f>
        <v>18.437000000000001</v>
      </c>
      <c r="F155" s="68">
        <f>'Fiscal Forecasts'!F11</f>
        <v>18.5</v>
      </c>
      <c r="G155" s="68">
        <f>'Fiscal Forecasts'!G11</f>
        <v>17.442</v>
      </c>
      <c r="H155" s="68">
        <f>'Fiscal Forecasts'!H11</f>
        <v>21.954000000000001</v>
      </c>
      <c r="I155" s="68">
        <f>'Fiscal Forecasts'!I11</f>
        <v>25.135000000000002</v>
      </c>
      <c r="J155" s="69">
        <f>'Fiscal Forecasts'!J11</f>
        <v>26.361999999999998</v>
      </c>
      <c r="K155" s="69">
        <f>'Fiscal Forecasts'!K11</f>
        <v>27.553999999999998</v>
      </c>
      <c r="L155" s="69">
        <f>'Fiscal Forecasts'!L11</f>
        <v>28.504000000000001</v>
      </c>
      <c r="M155" s="69">
        <f>'Fiscal Forecasts'!M11</f>
        <v>29.87</v>
      </c>
      <c r="N155" s="69">
        <f>'Fiscal Forecasts'!N11</f>
        <v>30.238</v>
      </c>
      <c r="O155" s="47">
        <f t="shared" ref="O155:X155" ca="1" si="111">O$154+(N$155-N$154)*(1+O$14)</f>
        <v>31.517025502224552</v>
      </c>
      <c r="P155" s="47">
        <f t="shared" ca="1" si="111"/>
        <v>32.834131196395788</v>
      </c>
      <c r="Q155" s="47">
        <f t="shared" ca="1" si="111"/>
        <v>34.154889165926434</v>
      </c>
      <c r="R155" s="47">
        <f t="shared" ca="1" si="111"/>
        <v>35.475773927409826</v>
      </c>
      <c r="S155" s="47">
        <f t="shared" ca="1" si="111"/>
        <v>36.824653359169588</v>
      </c>
      <c r="T155" s="47">
        <f t="shared" ca="1" si="111"/>
        <v>38.199401650237419</v>
      </c>
      <c r="U155" s="47">
        <f t="shared" ca="1" si="111"/>
        <v>39.59293518274719</v>
      </c>
      <c r="V155" s="47">
        <f t="shared" ca="1" si="111"/>
        <v>41.007289806661774</v>
      </c>
      <c r="W155" s="47">
        <f t="shared" ca="1" si="111"/>
        <v>42.441198296769436</v>
      </c>
      <c r="X155" s="47">
        <f t="shared" ca="1" si="111"/>
        <v>43.90572355563144</v>
      </c>
    </row>
    <row r="156" spans="1:24" x14ac:dyDescent="0.25">
      <c r="A156" s="9"/>
      <c r="B156" s="9"/>
      <c r="C156" s="13"/>
      <c r="D156" s="68"/>
      <c r="E156" s="68"/>
      <c r="F156" s="68"/>
      <c r="G156" s="68"/>
      <c r="H156" s="68"/>
      <c r="I156" s="68"/>
      <c r="J156" s="69"/>
      <c r="K156" s="69"/>
      <c r="L156" s="69"/>
      <c r="M156" s="69"/>
      <c r="N156" s="69"/>
      <c r="O156" s="70"/>
      <c r="P156" s="70"/>
      <c r="Q156" s="70"/>
      <c r="R156" s="70"/>
      <c r="S156" s="70"/>
      <c r="T156" s="70"/>
      <c r="U156" s="70"/>
      <c r="V156" s="70"/>
      <c r="W156" s="70"/>
      <c r="X156" s="70"/>
    </row>
    <row r="157" spans="1:24" x14ac:dyDescent="0.25">
      <c r="A157" s="9" t="s">
        <v>531</v>
      </c>
      <c r="B157" s="9"/>
      <c r="C157" s="13"/>
      <c r="D157" s="68"/>
      <c r="E157" s="68"/>
      <c r="F157" s="68"/>
      <c r="G157" s="68"/>
      <c r="H157" s="68"/>
      <c r="I157" s="68"/>
      <c r="J157" s="69"/>
      <c r="K157" s="69"/>
      <c r="L157" s="69"/>
      <c r="M157" s="69"/>
      <c r="N157" s="69"/>
      <c r="O157" s="70"/>
      <c r="P157" s="70"/>
      <c r="Q157" s="70"/>
      <c r="R157" s="70"/>
      <c r="S157" s="70"/>
      <c r="T157" s="70"/>
      <c r="U157" s="70"/>
      <c r="V157" s="70"/>
      <c r="W157" s="70"/>
      <c r="X157" s="70"/>
    </row>
    <row r="158" spans="1:24" x14ac:dyDescent="0.25">
      <c r="A158" s="11" t="s">
        <v>867</v>
      </c>
      <c r="B158" s="9"/>
      <c r="C158" s="13"/>
      <c r="D158" s="35">
        <f ca="1">OFFSET(Assumptions!$B$47,0,$C$1)*D$384</f>
        <v>0.43208000000000002</v>
      </c>
      <c r="E158" s="35">
        <f ca="1">OFFSET(Assumptions!$B$47,0,$C$1)*E$384</f>
        <v>0.35332000000000002</v>
      </c>
      <c r="F158" s="35">
        <f ca="1">OFFSET(Assumptions!$B$47,0,$C$1)*F$384</f>
        <v>0.32647999999999999</v>
      </c>
      <c r="G158" s="35">
        <f ca="1">OFFSET(Assumptions!$B$47,0,$C$1)*G$384</f>
        <v>0.47387999999999997</v>
      </c>
      <c r="H158" s="35">
        <f ca="1">OFFSET(Assumptions!$B$47,0,$C$1)*H$384</f>
        <v>0.58079999999999998</v>
      </c>
      <c r="I158" s="35">
        <f ca="1">OFFSET(Assumptions!$B$47,0,$C$1)*I$384</f>
        <v>0.72996000000000005</v>
      </c>
      <c r="J158" s="17">
        <f ca="1">OFFSET(Assumptions!$B$47,0,$C$1)*J$384</f>
        <v>0.75020000000000009</v>
      </c>
      <c r="K158" s="17">
        <f ca="1">OFFSET(Assumptions!$B$47,0,$C$1)*K$384</f>
        <v>0.78011999999999992</v>
      </c>
      <c r="L158" s="17">
        <f ca="1">OFFSET(Assumptions!$B$47,0,$C$1)*L$384</f>
        <v>0.82235999999999998</v>
      </c>
      <c r="M158" s="17">
        <f ca="1">OFFSET(Assumptions!$B$47,0,$C$1)*M$384</f>
        <v>0.87692000000000003</v>
      </c>
      <c r="N158" s="17">
        <f ca="1">OFFSET(Assumptions!$B$47,0,$C$1)*N$384</f>
        <v>0.93104000000000009</v>
      </c>
      <c r="O158" s="16">
        <f ca="1">OFFSET(Assumptions!$B$47,0,$C$1)*O$384</f>
        <v>0.98719612249771271</v>
      </c>
      <c r="P158" s="16">
        <f ca="1">OFFSET(Assumptions!$B$47,0,$C$1)*P$384</f>
        <v>1.0459652386232476</v>
      </c>
      <c r="Q158" s="16">
        <f ca="1">OFFSET(Assumptions!$B$47,0,$C$1)*Q$384</f>
        <v>1.106944082263164</v>
      </c>
      <c r="R158" s="16">
        <f ca="1">OFFSET(Assumptions!$B$47,0,$C$1)*R$384</f>
        <v>1.1698163808582145</v>
      </c>
      <c r="S158" s="16">
        <f ca="1">OFFSET(Assumptions!$B$47,0,$C$1)*S$384</f>
        <v>1.2342598212523019</v>
      </c>
      <c r="T158" s="16">
        <f ca="1">OFFSET(Assumptions!$B$47,0,$C$1)*T$384</f>
        <v>1.3002348226020972</v>
      </c>
      <c r="U158" s="16">
        <f ca="1">OFFSET(Assumptions!$B$47,0,$C$1)*U$384</f>
        <v>1.3676609893111076</v>
      </c>
      <c r="V158" s="16">
        <f ca="1">OFFSET(Assumptions!$B$47,0,$C$1)*V$384</f>
        <v>1.4364580783544572</v>
      </c>
      <c r="W158" s="16">
        <f ca="1">OFFSET(Assumptions!$B$47,0,$C$1)*W$384</f>
        <v>1.5071179028560633</v>
      </c>
      <c r="X158" s="16">
        <f ca="1">OFFSET(Assumptions!$B$47,0,$C$1)*X$384</f>
        <v>1.580445928207433</v>
      </c>
    </row>
    <row r="159" spans="1:24" x14ac:dyDescent="0.25">
      <c r="A159" s="11" t="s">
        <v>863</v>
      </c>
      <c r="B159" s="9"/>
      <c r="C159" s="13"/>
      <c r="D159" s="35">
        <f t="shared" ref="D159:X159" si="112">D$413</f>
        <v>0.39400000000000002</v>
      </c>
      <c r="E159" s="35">
        <f t="shared" si="112"/>
        <v>0.33100000000000002</v>
      </c>
      <c r="F159" s="35">
        <f t="shared" si="112"/>
        <v>0.23499999999999999</v>
      </c>
      <c r="G159" s="35">
        <f t="shared" si="112"/>
        <v>0.28000000000000003</v>
      </c>
      <c r="H159" s="35">
        <f t="shared" si="112"/>
        <v>0.57699999999999996</v>
      </c>
      <c r="I159" s="35">
        <f t="shared" si="112"/>
        <v>0.63400000000000001</v>
      </c>
      <c r="J159" s="17">
        <f t="shared" si="112"/>
        <v>0.502</v>
      </c>
      <c r="K159" s="17">
        <f t="shared" si="112"/>
        <v>0.41299999999999998</v>
      </c>
      <c r="L159" s="17">
        <f t="shared" si="112"/>
        <v>0.42899999999999999</v>
      </c>
      <c r="M159" s="17">
        <f t="shared" si="112"/>
        <v>0.46100000000000002</v>
      </c>
      <c r="N159" s="17">
        <f t="shared" si="112"/>
        <v>0.48599999999999999</v>
      </c>
      <c r="O159" s="16">
        <f t="shared" si="112"/>
        <v>0.50700000000000001</v>
      </c>
      <c r="P159" s="16">
        <f t="shared" si="112"/>
        <v>0.52800000000000002</v>
      </c>
      <c r="Q159" s="16">
        <f t="shared" si="112"/>
        <v>0.54300000000000004</v>
      </c>
      <c r="R159" s="16">
        <f t="shared" si="112"/>
        <v>0.55300000000000005</v>
      </c>
      <c r="S159" s="16">
        <f t="shared" si="112"/>
        <v>0.55800000000000005</v>
      </c>
      <c r="T159" s="16">
        <f t="shared" si="112"/>
        <v>0.55700000000000005</v>
      </c>
      <c r="U159" s="16">
        <f t="shared" si="112"/>
        <v>0.54800000000000004</v>
      </c>
      <c r="V159" s="16">
        <f t="shared" si="112"/>
        <v>0.53400000000000003</v>
      </c>
      <c r="W159" s="16">
        <f t="shared" si="112"/>
        <v>0.51800000000000002</v>
      </c>
      <c r="X159" s="16">
        <f t="shared" si="112"/>
        <v>0.498</v>
      </c>
    </row>
    <row r="160" spans="1:24" x14ac:dyDescent="0.25">
      <c r="A160" s="11" t="s">
        <v>864</v>
      </c>
      <c r="B160" s="10" t="str">
        <f>$B$38</f>
        <v>From Fiscal Forecasts</v>
      </c>
      <c r="C160" s="13"/>
      <c r="D160" s="35">
        <f ca="1">'Fiscal Forecasts'!D$166-SUM(D$158:D$159)</f>
        <v>0.23392000000000002</v>
      </c>
      <c r="E160" s="35">
        <f ca="1">'Fiscal Forecasts'!E$166-SUM(E$158:E$159)</f>
        <v>0.16567999999999994</v>
      </c>
      <c r="F160" s="35">
        <f ca="1">'Fiscal Forecasts'!F$166-SUM(F$158:F$159)</f>
        <v>0.15451999999999999</v>
      </c>
      <c r="G160" s="35">
        <f ca="1">'Fiscal Forecasts'!G$166-SUM(G$158:G$159)</f>
        <v>0.10411999999999999</v>
      </c>
      <c r="H160" s="35">
        <f ca="1">'Fiscal Forecasts'!H$166-SUM(H$158:H$159)</f>
        <v>1.7042000000000002</v>
      </c>
      <c r="I160" s="35">
        <f ca="1">'Fiscal Forecasts'!I$166-SUM(I$158:I$159)</f>
        <v>3.0770399999999998</v>
      </c>
      <c r="J160" s="17">
        <f ca="1">'Fiscal Forecasts'!J$166-SUM(J$158:J$159)</f>
        <v>2.8267999999999995</v>
      </c>
      <c r="K160" s="17">
        <f ca="1">'Fiscal Forecasts'!K$166-SUM(K$158:K$159)</f>
        <v>2.5228800000000002</v>
      </c>
      <c r="L160" s="17">
        <f ca="1">'Fiscal Forecasts'!L$166-SUM(L$158:L$159)</f>
        <v>2.5806399999999998</v>
      </c>
      <c r="M160" s="17">
        <f ca="1">'Fiscal Forecasts'!M$166-SUM(M$158:M$159)</f>
        <v>2.8080799999999999</v>
      </c>
      <c r="N160" s="17">
        <f ca="1">'Fiscal Forecasts'!N$166-SUM(N$158:N$159)</f>
        <v>2.9759599999999997</v>
      </c>
      <c r="O160" s="16">
        <f t="shared" ref="O160:X160" ca="1" si="113">N$160*AVERAGE(1+O$29,O$234/N$234)</f>
        <v>3.0109788121259271</v>
      </c>
      <c r="P160" s="16">
        <f t="shared" ca="1" si="113"/>
        <v>3.0463909577499391</v>
      </c>
      <c r="Q160" s="16">
        <f t="shared" ca="1" si="113"/>
        <v>3.0822007575886547</v>
      </c>
      <c r="R160" s="16">
        <f t="shared" ca="1" si="113"/>
        <v>3.1184125790569905</v>
      </c>
      <c r="S160" s="16">
        <f t="shared" ca="1" si="113"/>
        <v>3.1550308367678506</v>
      </c>
      <c r="T160" s="16">
        <f t="shared" ca="1" si="113"/>
        <v>3.1865811451355293</v>
      </c>
      <c r="U160" s="16">
        <f t="shared" ca="1" si="113"/>
        <v>3.2184469565868845</v>
      </c>
      <c r="V160" s="16">
        <f t="shared" ca="1" si="113"/>
        <v>3.2506314261527534</v>
      </c>
      <c r="W160" s="16">
        <f t="shared" ca="1" si="113"/>
        <v>3.283137740414281</v>
      </c>
      <c r="X160" s="16">
        <f t="shared" ca="1" si="113"/>
        <v>3.3159691178184239</v>
      </c>
    </row>
    <row r="161" spans="1:24" x14ac:dyDescent="0.25">
      <c r="A161" s="9" t="s">
        <v>865</v>
      </c>
      <c r="B161" s="9"/>
      <c r="C161" s="13"/>
      <c r="D161" s="65">
        <f t="shared" ref="D161:X161" ca="1" si="114">SUM(D$158:D$160)</f>
        <v>1.06</v>
      </c>
      <c r="E161" s="65">
        <f t="shared" ca="1" si="114"/>
        <v>0.85</v>
      </c>
      <c r="F161" s="65">
        <f t="shared" ca="1" si="114"/>
        <v>0.71599999999999997</v>
      </c>
      <c r="G161" s="65">
        <f t="shared" ca="1" si="114"/>
        <v>0.85799999999999998</v>
      </c>
      <c r="H161" s="65">
        <f t="shared" ca="1" si="114"/>
        <v>2.8620000000000001</v>
      </c>
      <c r="I161" s="65">
        <f t="shared" ca="1" si="114"/>
        <v>4.4409999999999998</v>
      </c>
      <c r="J161" s="66">
        <f t="shared" ca="1" si="114"/>
        <v>4.0789999999999997</v>
      </c>
      <c r="K161" s="66">
        <f t="shared" ca="1" si="114"/>
        <v>3.7160000000000002</v>
      </c>
      <c r="L161" s="66">
        <f t="shared" ca="1" si="114"/>
        <v>3.8319999999999999</v>
      </c>
      <c r="M161" s="66">
        <f t="shared" ca="1" si="114"/>
        <v>4.1459999999999999</v>
      </c>
      <c r="N161" s="66">
        <f t="shared" ca="1" si="114"/>
        <v>4.3929999999999998</v>
      </c>
      <c r="O161" s="67">
        <f t="shared" ca="1" si="114"/>
        <v>4.50517493462364</v>
      </c>
      <c r="P161" s="67">
        <f t="shared" ca="1" si="114"/>
        <v>4.6203561963731872</v>
      </c>
      <c r="Q161" s="67">
        <f t="shared" ca="1" si="114"/>
        <v>4.7321448398518182</v>
      </c>
      <c r="R161" s="67">
        <f t="shared" ca="1" si="114"/>
        <v>4.8412289599152052</v>
      </c>
      <c r="S161" s="67">
        <f t="shared" ca="1" si="114"/>
        <v>4.9472906580201528</v>
      </c>
      <c r="T161" s="67">
        <f t="shared" ca="1" si="114"/>
        <v>5.0438159677376264</v>
      </c>
      <c r="U161" s="67">
        <f t="shared" ca="1" si="114"/>
        <v>5.1341079458979921</v>
      </c>
      <c r="V161" s="67">
        <f t="shared" ca="1" si="114"/>
        <v>5.2210895045072103</v>
      </c>
      <c r="W161" s="67">
        <f t="shared" ca="1" si="114"/>
        <v>5.3082556432703445</v>
      </c>
      <c r="X161" s="67">
        <f t="shared" ca="1" si="114"/>
        <v>5.3944150460258573</v>
      </c>
    </row>
    <row r="162" spans="1:24" x14ac:dyDescent="0.25">
      <c r="A162" s="11" t="s">
        <v>707</v>
      </c>
      <c r="B162" s="10" t="str">
        <f>$B$38</f>
        <v>From Fiscal Forecasts</v>
      </c>
      <c r="C162" s="13"/>
      <c r="D162" s="35">
        <f>'Fiscal Forecasts'!D$233</f>
        <v>1.016</v>
      </c>
      <c r="E162" s="35">
        <f>'Fiscal Forecasts'!E$233</f>
        <v>0.94699999999999995</v>
      </c>
      <c r="F162" s="35">
        <f>'Fiscal Forecasts'!F$233</f>
        <v>0.78500000000000003</v>
      </c>
      <c r="G162" s="35">
        <f>'Fiscal Forecasts'!G$233</f>
        <v>0.82699999999999996</v>
      </c>
      <c r="H162" s="35">
        <f>'Fiscal Forecasts'!H$233</f>
        <v>2.097</v>
      </c>
      <c r="I162" s="35">
        <f>'Fiscal Forecasts'!I$233</f>
        <v>3.56</v>
      </c>
      <c r="J162" s="17">
        <f>'Fiscal Forecasts'!J$233</f>
        <v>4.0650000000000004</v>
      </c>
      <c r="K162" s="17">
        <f>'Fiscal Forecasts'!K$233</f>
        <v>4.1219999999999999</v>
      </c>
      <c r="L162" s="17">
        <f>'Fiscal Forecasts'!L$233</f>
        <v>4.16</v>
      </c>
      <c r="M162" s="17">
        <f>'Fiscal Forecasts'!M$233</f>
        <v>4.2519999999999998</v>
      </c>
      <c r="N162" s="17">
        <f>'Fiscal Forecasts'!N$233</f>
        <v>4.5149999999999997</v>
      </c>
      <c r="O162" s="16">
        <f t="shared" ref="O162:X162" ca="1" si="115">N$162*AVERAGE(1+O$29,O$234/N$234)</f>
        <v>4.5681290530613854</v>
      </c>
      <c r="P162" s="16">
        <f t="shared" ca="1" si="115"/>
        <v>4.6218548549849379</v>
      </c>
      <c r="Q162" s="16">
        <f t="shared" ca="1" si="115"/>
        <v>4.6761839609782312</v>
      </c>
      <c r="R162" s="16">
        <f t="shared" ca="1" si="115"/>
        <v>4.7311229970975122</v>
      </c>
      <c r="S162" s="16">
        <f t="shared" ca="1" si="115"/>
        <v>4.7866786610058085</v>
      </c>
      <c r="T162" s="16">
        <f t="shared" ca="1" si="115"/>
        <v>4.8345454476158665</v>
      </c>
      <c r="U162" s="16">
        <f t="shared" ca="1" si="115"/>
        <v>4.8828909020920248</v>
      </c>
      <c r="V162" s="16">
        <f t="shared" ca="1" si="115"/>
        <v>4.931719811112945</v>
      </c>
      <c r="W162" s="16">
        <f t="shared" ca="1" si="115"/>
        <v>4.9810370092240746</v>
      </c>
      <c r="X162" s="16">
        <f t="shared" ca="1" si="115"/>
        <v>5.0308473793163158</v>
      </c>
    </row>
    <row r="163" spans="1:24" x14ac:dyDescent="0.25">
      <c r="A163" s="11" t="s">
        <v>904</v>
      </c>
      <c r="B163" s="10" t="str">
        <f>$B$38</f>
        <v>From Fiscal Forecasts</v>
      </c>
      <c r="C163" s="13"/>
      <c r="D163" s="35">
        <f>'Fiscal Forecasts'!D$234</f>
        <v>1.014</v>
      </c>
      <c r="E163" s="35">
        <f>'Fiscal Forecasts'!E$234</f>
        <v>0.95299999999999996</v>
      </c>
      <c r="F163" s="35">
        <f>'Fiscal Forecasts'!F$234</f>
        <v>0.79100000000000004</v>
      </c>
      <c r="G163" s="35">
        <f>'Fiscal Forecasts'!G$234</f>
        <v>0.95699999999999996</v>
      </c>
      <c r="H163" s="35">
        <f>'Fiscal Forecasts'!H$234</f>
        <v>0.67500000000000004</v>
      </c>
      <c r="I163" s="35">
        <f>'Fiscal Forecasts'!I$234</f>
        <v>0.22800000000000001</v>
      </c>
      <c r="J163" s="17">
        <f>'Fiscal Forecasts'!J$234</f>
        <v>0.124</v>
      </c>
      <c r="K163" s="17">
        <f>'Fiscal Forecasts'!K$234</f>
        <v>8.4000000000000005E-2</v>
      </c>
      <c r="L163" s="17">
        <f>'Fiscal Forecasts'!L$234</f>
        <v>7.6999999999999999E-2</v>
      </c>
      <c r="M163" s="17">
        <f>'Fiscal Forecasts'!M$234</f>
        <v>8.8999999999999996E-2</v>
      </c>
      <c r="N163" s="17">
        <f>'Fiscal Forecasts'!N$234</f>
        <v>0.1</v>
      </c>
      <c r="O163" s="16">
        <f t="shared" ref="O163:X163" ca="1" si="116">N$163*AVERAGE(1+O$29,O$234/N$234)</f>
        <v>0.10117672321287677</v>
      </c>
      <c r="P163" s="16">
        <f t="shared" ca="1" si="116"/>
        <v>0.1023666634548159</v>
      </c>
      <c r="Q163" s="16">
        <f t="shared" ca="1" si="116"/>
        <v>0.10356996591313912</v>
      </c>
      <c r="R163" s="16">
        <f t="shared" ca="1" si="116"/>
        <v>0.10478677734435243</v>
      </c>
      <c r="S163" s="16">
        <f t="shared" ca="1" si="116"/>
        <v>0.10601724609093707</v>
      </c>
      <c r="T163" s="16">
        <f t="shared" ca="1" si="116"/>
        <v>0.10707741855184645</v>
      </c>
      <c r="U163" s="16">
        <f t="shared" ca="1" si="116"/>
        <v>0.10814819273736492</v>
      </c>
      <c r="V163" s="16">
        <f t="shared" ca="1" si="116"/>
        <v>0.10922967466473857</v>
      </c>
      <c r="W163" s="16">
        <f t="shared" ca="1" si="116"/>
        <v>0.11032197141138596</v>
      </c>
      <c r="X163" s="16">
        <f t="shared" ca="1" si="116"/>
        <v>0.11142519112549981</v>
      </c>
    </row>
    <row r="164" spans="1:24" x14ac:dyDescent="0.25">
      <c r="A164" s="11" t="s">
        <v>866</v>
      </c>
      <c r="B164" s="10" t="str">
        <f>$B$38</f>
        <v>From Fiscal Forecasts</v>
      </c>
      <c r="C164" s="13"/>
      <c r="D164" s="35">
        <f>'Fiscal Forecasts'!D$235</f>
        <v>-0.44400000000000001</v>
      </c>
      <c r="E164" s="35">
        <f>'Fiscal Forecasts'!E$235</f>
        <v>-0.45</v>
      </c>
      <c r="F164" s="35">
        <f>'Fiscal Forecasts'!F$235</f>
        <v>-0.34899999999999998</v>
      </c>
      <c r="G164" s="35">
        <f>'Fiscal Forecasts'!G$235</f>
        <v>-0.35</v>
      </c>
      <c r="H164" s="35">
        <f>'Fiscal Forecasts'!H$235</f>
        <v>-0.622</v>
      </c>
      <c r="I164" s="35">
        <f>'Fiscal Forecasts'!I$235</f>
        <v>-1.109</v>
      </c>
      <c r="J164" s="17">
        <f>'Fiscal Forecasts'!J$235</f>
        <v>-1.3979999999999999</v>
      </c>
      <c r="K164" s="17">
        <f>'Fiscal Forecasts'!K$235</f>
        <v>-1.514</v>
      </c>
      <c r="L164" s="17">
        <f>'Fiscal Forecasts'!L$235</f>
        <v>-1.61</v>
      </c>
      <c r="M164" s="17">
        <f>'Fiscal Forecasts'!M$235</f>
        <v>-1.732</v>
      </c>
      <c r="N164" s="17">
        <f>'Fiscal Forecasts'!N$235</f>
        <v>-1.8520000000000001</v>
      </c>
      <c r="O164" s="16">
        <f t="shared" ref="O164:X164" ca="1" si="117">N$164*O$162/N$162</f>
        <v>-1.8737929139024778</v>
      </c>
      <c r="P164" s="16">
        <f t="shared" ca="1" si="117"/>
        <v>-1.8958306071831907</v>
      </c>
      <c r="Q164" s="16">
        <f t="shared" ca="1" si="117"/>
        <v>-1.9181157687113368</v>
      </c>
      <c r="R164" s="16">
        <f t="shared" ca="1" si="117"/>
        <v>-1.9406511164174074</v>
      </c>
      <c r="S164" s="16">
        <f t="shared" ca="1" si="117"/>
        <v>-1.9634393976041549</v>
      </c>
      <c r="T164" s="16">
        <f t="shared" ca="1" si="117"/>
        <v>-1.9830737915801961</v>
      </c>
      <c r="U164" s="16">
        <f t="shared" ca="1" si="117"/>
        <v>-2.0029045294959982</v>
      </c>
      <c r="V164" s="16">
        <f t="shared" ca="1" si="117"/>
        <v>-2.0229335747909585</v>
      </c>
      <c r="W164" s="16">
        <f t="shared" ca="1" si="117"/>
        <v>-2.043162910538868</v>
      </c>
      <c r="X164" s="16">
        <f t="shared" ca="1" si="117"/>
        <v>-2.063594539644257</v>
      </c>
    </row>
    <row r="165" spans="1:24" x14ac:dyDescent="0.25">
      <c r="A165" s="9" t="s">
        <v>911</v>
      </c>
      <c r="B165" s="9"/>
      <c r="C165" s="13"/>
      <c r="D165" s="65">
        <f t="shared" ref="D165:X165" ca="1" si="118">SUM(D$161:D$164)</f>
        <v>2.6459999999999999</v>
      </c>
      <c r="E165" s="65">
        <f t="shared" ca="1" si="118"/>
        <v>2.2999999999999998</v>
      </c>
      <c r="F165" s="65">
        <f t="shared" ca="1" si="118"/>
        <v>1.9429999999999998</v>
      </c>
      <c r="G165" s="65">
        <f t="shared" ca="1" si="118"/>
        <v>2.2919999999999998</v>
      </c>
      <c r="H165" s="65">
        <f t="shared" ca="1" si="118"/>
        <v>5.0119999999999996</v>
      </c>
      <c r="I165" s="65">
        <f t="shared" ca="1" si="118"/>
        <v>7.1199999999999992</v>
      </c>
      <c r="J165" s="66">
        <f t="shared" ca="1" si="118"/>
        <v>6.870000000000001</v>
      </c>
      <c r="K165" s="66">
        <f t="shared" ca="1" si="118"/>
        <v>6.4079999999999995</v>
      </c>
      <c r="L165" s="66">
        <f t="shared" ca="1" si="118"/>
        <v>6.4590000000000005</v>
      </c>
      <c r="M165" s="66">
        <f t="shared" ca="1" si="118"/>
        <v>6.7549999999999999</v>
      </c>
      <c r="N165" s="66">
        <f t="shared" ca="1" si="118"/>
        <v>7.1559999999999988</v>
      </c>
      <c r="O165" s="67">
        <f t="shared" ca="1" si="118"/>
        <v>7.3006877969954251</v>
      </c>
      <c r="P165" s="67">
        <f t="shared" ca="1" si="118"/>
        <v>7.4487471076297513</v>
      </c>
      <c r="Q165" s="67">
        <f t="shared" ca="1" si="118"/>
        <v>7.5937829980318519</v>
      </c>
      <c r="R165" s="67">
        <f t="shared" ca="1" si="118"/>
        <v>7.7364876179396633</v>
      </c>
      <c r="S165" s="67">
        <f t="shared" ca="1" si="118"/>
        <v>7.8765471675127436</v>
      </c>
      <c r="T165" s="67">
        <f t="shared" ca="1" si="118"/>
        <v>8.0023650423251418</v>
      </c>
      <c r="U165" s="67">
        <f t="shared" ca="1" si="118"/>
        <v>8.1222425112313843</v>
      </c>
      <c r="V165" s="67">
        <f t="shared" ca="1" si="118"/>
        <v>8.2391054154939365</v>
      </c>
      <c r="W165" s="67">
        <f t="shared" ca="1" si="118"/>
        <v>8.3564517133669369</v>
      </c>
      <c r="X165" s="67">
        <f t="shared" ca="1" si="118"/>
        <v>8.4730930768234156</v>
      </c>
    </row>
    <row r="166" spans="1:24" x14ac:dyDescent="0.25">
      <c r="A166" s="9"/>
      <c r="B166" s="9"/>
      <c r="C166" s="13"/>
      <c r="D166" s="40"/>
      <c r="E166" s="40"/>
      <c r="F166" s="40"/>
      <c r="G166" s="40"/>
      <c r="H166" s="40"/>
      <c r="I166" s="40"/>
    </row>
    <row r="167" spans="1:24" x14ac:dyDescent="0.25">
      <c r="A167" s="9" t="s">
        <v>902</v>
      </c>
      <c r="B167" s="9"/>
      <c r="C167" s="13"/>
      <c r="D167" s="40"/>
      <c r="E167" s="40"/>
      <c r="F167" s="40"/>
      <c r="G167" s="40"/>
      <c r="H167" s="40"/>
      <c r="I167" s="40"/>
    </row>
    <row r="168" spans="1:24" x14ac:dyDescent="0.25">
      <c r="A168" s="11" t="s">
        <v>899</v>
      </c>
      <c r="B168" s="9"/>
      <c r="C168" s="13"/>
      <c r="D168" s="35">
        <f ca="1">OFFSET(Assumptions!$B$48,0,$C$1)*D$384</f>
        <v>0.54010000000000002</v>
      </c>
      <c r="E168" s="35">
        <f ca="1">OFFSET(Assumptions!$B$48,0,$C$1)*E$384</f>
        <v>0.44165000000000004</v>
      </c>
      <c r="F168" s="35">
        <f ca="1">OFFSET(Assumptions!$B$48,0,$C$1)*F$384</f>
        <v>0.40810000000000002</v>
      </c>
      <c r="G168" s="35">
        <f ca="1">OFFSET(Assumptions!$B$48,0,$C$1)*G$384</f>
        <v>0.59235000000000004</v>
      </c>
      <c r="H168" s="35">
        <f ca="1">OFFSET(Assumptions!$B$48,0,$C$1)*H$384</f>
        <v>0.72600000000000009</v>
      </c>
      <c r="I168" s="35">
        <f ca="1">OFFSET(Assumptions!$B$48,0,$C$1)*I$384</f>
        <v>0.91245000000000009</v>
      </c>
      <c r="J168" s="17">
        <f ca="1">OFFSET(Assumptions!$B$48,0,$C$1)*J$384</f>
        <v>0.93775000000000008</v>
      </c>
      <c r="K168" s="17">
        <f ca="1">OFFSET(Assumptions!$B$48,0,$C$1)*K$384</f>
        <v>0.97515000000000007</v>
      </c>
      <c r="L168" s="17">
        <f ca="1">OFFSET(Assumptions!$B$48,0,$C$1)*L$384</f>
        <v>1.0279500000000001</v>
      </c>
      <c r="M168" s="17">
        <f ca="1">OFFSET(Assumptions!$B$48,0,$C$1)*M$384</f>
        <v>1.0961500000000002</v>
      </c>
      <c r="N168" s="17">
        <f ca="1">OFFSET(Assumptions!$B$48,0,$C$1)*N$384</f>
        <v>1.1638000000000002</v>
      </c>
      <c r="O168" s="16">
        <f ca="1">OFFSET(Assumptions!$B$48,0,$C$1)*O$384</f>
        <v>1.2339951531221409</v>
      </c>
      <c r="P168" s="16">
        <f ca="1">OFFSET(Assumptions!$B$48,0,$C$1)*P$384</f>
        <v>1.3074565482790597</v>
      </c>
      <c r="Q168" s="16">
        <f ca="1">OFFSET(Assumptions!$B$48,0,$C$1)*Q$384</f>
        <v>1.3836801028289551</v>
      </c>
      <c r="R168" s="16">
        <f ca="1">OFFSET(Assumptions!$B$48,0,$C$1)*R$384</f>
        <v>1.4622704760727681</v>
      </c>
      <c r="S168" s="16">
        <f ca="1">OFFSET(Assumptions!$B$48,0,$C$1)*S$384</f>
        <v>1.5428247765653775</v>
      </c>
      <c r="T168" s="16">
        <f ca="1">OFFSET(Assumptions!$B$48,0,$C$1)*T$384</f>
        <v>1.6252935282526217</v>
      </c>
      <c r="U168" s="16">
        <f ca="1">OFFSET(Assumptions!$B$48,0,$C$1)*U$384</f>
        <v>1.7095762366388845</v>
      </c>
      <c r="V168" s="16">
        <f ca="1">OFFSET(Assumptions!$B$48,0,$C$1)*V$384</f>
        <v>1.7955725979430714</v>
      </c>
      <c r="W168" s="16">
        <f ca="1">OFFSET(Assumptions!$B$48,0,$C$1)*W$384</f>
        <v>1.8838973785700792</v>
      </c>
      <c r="X168" s="16">
        <f ca="1">OFFSET(Assumptions!$B$48,0,$C$1)*X$384</f>
        <v>1.9755574102592912</v>
      </c>
    </row>
    <row r="169" spans="1:24" x14ac:dyDescent="0.25">
      <c r="A169" s="11" t="s">
        <v>900</v>
      </c>
      <c r="B169" s="10" t="str">
        <f>$B$38</f>
        <v>From Fiscal Forecasts</v>
      </c>
      <c r="C169" s="13"/>
      <c r="D169" s="35">
        <f ca="1">'Fiscal Forecasts'!D$238-D$168</f>
        <v>0.92290000000000005</v>
      </c>
      <c r="E169" s="35">
        <f ca="1">'Fiscal Forecasts'!E$238-E$168</f>
        <v>0.89434999999999998</v>
      </c>
      <c r="F169" s="35">
        <f ca="1">'Fiscal Forecasts'!F$238-F$168</f>
        <v>0.68590000000000007</v>
      </c>
      <c r="G169" s="35">
        <f ca="1">'Fiscal Forecasts'!G$238-G$168</f>
        <v>0.79864999999999997</v>
      </c>
      <c r="H169" s="35">
        <f ca="1">'Fiscal Forecasts'!H$238-H$168</f>
        <v>1.3620000000000001</v>
      </c>
      <c r="I169" s="35">
        <f ca="1">'Fiscal Forecasts'!I$238-I$168</f>
        <v>0.79554999999999987</v>
      </c>
      <c r="J169" s="17">
        <f ca="1">'Fiscal Forecasts'!J$238-J$168</f>
        <v>0.59024999999999994</v>
      </c>
      <c r="K169" s="17">
        <f ca="1">'Fiscal Forecasts'!K$238-K$168</f>
        <v>0.60784999999999989</v>
      </c>
      <c r="L169" s="17">
        <f ca="1">'Fiscal Forecasts'!L$238-L$168</f>
        <v>0.61004999999999976</v>
      </c>
      <c r="M169" s="17">
        <f ca="1">'Fiscal Forecasts'!M$238-M$168</f>
        <v>0.64484999999999992</v>
      </c>
      <c r="N169" s="17">
        <f ca="1">'Fiscal Forecasts'!N$238-N$168</f>
        <v>0.72419999999999973</v>
      </c>
      <c r="O169" s="16">
        <f t="shared" ref="O169:X169" ca="1" si="119">N$169*(1+O$19)*(1+O$29)</f>
        <v>0.74783477290297851</v>
      </c>
      <c r="P169" s="16">
        <f t="shared" ca="1" si="119"/>
        <v>0.77169313287135066</v>
      </c>
      <c r="Q169" s="16">
        <f t="shared" ca="1" si="119"/>
        <v>0.79583831360012602</v>
      </c>
      <c r="R169" s="16">
        <f t="shared" ca="1" si="119"/>
        <v>0.82005367645425398</v>
      </c>
      <c r="S169" s="16">
        <f t="shared" ca="1" si="119"/>
        <v>0.84446775088574089</v>
      </c>
      <c r="T169" s="16">
        <f t="shared" ca="1" si="119"/>
        <v>0.86902332022833928</v>
      </c>
      <c r="U169" s="16">
        <f t="shared" ca="1" si="119"/>
        <v>0.89404141816176042</v>
      </c>
      <c r="V169" s="16">
        <f t="shared" ca="1" si="119"/>
        <v>0.91939698207019815</v>
      </c>
      <c r="W169" s="16">
        <f t="shared" ca="1" si="119"/>
        <v>0.94472888564499247</v>
      </c>
      <c r="X169" s="16">
        <f t="shared" ca="1" si="119"/>
        <v>0.970304424843901</v>
      </c>
    </row>
    <row r="170" spans="1:24" x14ac:dyDescent="0.25">
      <c r="A170" s="9" t="s">
        <v>901</v>
      </c>
      <c r="B170" s="10"/>
      <c r="C170" s="13"/>
      <c r="D170" s="65">
        <f t="shared" ref="D170:X170" ca="1" si="120">SUM(D$168:D$169)</f>
        <v>1.4630000000000001</v>
      </c>
      <c r="E170" s="65">
        <f t="shared" ca="1" si="120"/>
        <v>1.3360000000000001</v>
      </c>
      <c r="F170" s="65">
        <f t="shared" ca="1" si="120"/>
        <v>1.0940000000000001</v>
      </c>
      <c r="G170" s="65">
        <f t="shared" ca="1" si="120"/>
        <v>1.391</v>
      </c>
      <c r="H170" s="65">
        <f t="shared" ca="1" si="120"/>
        <v>2.0880000000000001</v>
      </c>
      <c r="I170" s="65">
        <f t="shared" ca="1" si="120"/>
        <v>1.708</v>
      </c>
      <c r="J170" s="66">
        <f t="shared" ca="1" si="120"/>
        <v>1.528</v>
      </c>
      <c r="K170" s="66">
        <f t="shared" ca="1" si="120"/>
        <v>1.583</v>
      </c>
      <c r="L170" s="66">
        <f t="shared" ca="1" si="120"/>
        <v>1.6379999999999999</v>
      </c>
      <c r="M170" s="66">
        <f t="shared" ca="1" si="120"/>
        <v>1.7410000000000001</v>
      </c>
      <c r="N170" s="66">
        <f t="shared" ca="1" si="120"/>
        <v>1.8879999999999999</v>
      </c>
      <c r="O170" s="67">
        <f t="shared" ca="1" si="120"/>
        <v>1.9818299260251195</v>
      </c>
      <c r="P170" s="67">
        <f t="shared" ca="1" si="120"/>
        <v>2.0791496811504104</v>
      </c>
      <c r="Q170" s="67">
        <f t="shared" ca="1" si="120"/>
        <v>2.1795184164290813</v>
      </c>
      <c r="R170" s="67">
        <f t="shared" ca="1" si="120"/>
        <v>2.2823241525270221</v>
      </c>
      <c r="S170" s="67">
        <f t="shared" ca="1" si="120"/>
        <v>2.3872925274511183</v>
      </c>
      <c r="T170" s="67">
        <f t="shared" ca="1" si="120"/>
        <v>2.494316848480961</v>
      </c>
      <c r="U170" s="67">
        <f t="shared" ca="1" si="120"/>
        <v>2.6036176548006447</v>
      </c>
      <c r="V170" s="67">
        <f t="shared" ca="1" si="120"/>
        <v>2.7149695800132694</v>
      </c>
      <c r="W170" s="67">
        <f t="shared" ca="1" si="120"/>
        <v>2.8286262642150719</v>
      </c>
      <c r="X170" s="67">
        <f t="shared" ca="1" si="120"/>
        <v>2.9458618351031922</v>
      </c>
    </row>
    <row r="171" spans="1:24" x14ac:dyDescent="0.25">
      <c r="A171" s="11" t="s">
        <v>707</v>
      </c>
      <c r="B171" s="9"/>
      <c r="C171" s="13"/>
      <c r="D171" s="35">
        <f>'Fiscal Forecasts'!D$239</f>
        <v>0.42399999999999999</v>
      </c>
      <c r="E171" s="35">
        <f>'Fiscal Forecasts'!E$239</f>
        <v>0.39500000000000002</v>
      </c>
      <c r="F171" s="35">
        <f>'Fiscal Forecasts'!F$239</f>
        <v>0.44700000000000001</v>
      </c>
      <c r="G171" s="35">
        <f>'Fiscal Forecasts'!G$239</f>
        <v>0.52200000000000002</v>
      </c>
      <c r="H171" s="35">
        <f>'Fiscal Forecasts'!H$239</f>
        <v>0.60499999999999998</v>
      </c>
      <c r="I171" s="35">
        <f>'Fiscal Forecasts'!I$239</f>
        <v>0.63</v>
      </c>
      <c r="J171" s="17">
        <f>'Fiscal Forecasts'!J$239</f>
        <v>0.67100000000000004</v>
      </c>
      <c r="K171" s="17">
        <f>'Fiscal Forecasts'!K$239</f>
        <v>0.50600000000000001</v>
      </c>
      <c r="L171" s="17">
        <f>'Fiscal Forecasts'!L$239</f>
        <v>0.50700000000000001</v>
      </c>
      <c r="M171" s="17">
        <f>'Fiscal Forecasts'!M$239</f>
        <v>0.51200000000000001</v>
      </c>
      <c r="N171" s="17">
        <f>'Fiscal Forecasts'!N$239</f>
        <v>0.52200000000000002</v>
      </c>
      <c r="O171" s="16">
        <f>N$171*Exogenous!Z$29/Exogenous!Y$29</f>
        <v>0.55993653052481185</v>
      </c>
      <c r="P171" s="16">
        <f>O$171*Exogenous!AA$29/Exogenous!Z$29</f>
        <v>0.59921687753195196</v>
      </c>
      <c r="Q171" s="16">
        <f>P$171*Exogenous!AB$29/Exogenous!AA$29</f>
        <v>0.6405431792135341</v>
      </c>
      <c r="R171" s="16">
        <f>Q$171*Exogenous!AC$29/Exogenous!AB$29</f>
        <v>0.68088904174981446</v>
      </c>
      <c r="S171" s="16">
        <f>R$171*Exogenous!AD$29/Exogenous!AC$29</f>
        <v>0.71901058242729976</v>
      </c>
      <c r="T171" s="16">
        <f>S$171*Exogenous!AE$29/Exogenous!AD$29</f>
        <v>0.76070892538747026</v>
      </c>
      <c r="U171" s="16">
        <f>T$171*Exogenous!AF$29/Exogenous!AE$29</f>
        <v>0.81012945848256734</v>
      </c>
      <c r="V171" s="16">
        <f>U$171*Exogenous!AG$29/Exogenous!AF$29</f>
        <v>0.86678899566931389</v>
      </c>
      <c r="W171" s="16">
        <f>V$171*Exogenous!AH$29/Exogenous!AG$29</f>
        <v>0.92792583455579747</v>
      </c>
      <c r="X171" s="16">
        <f>W$171*Exogenous!AI$29/Exogenous!AH$29</f>
        <v>0.99167656096189905</v>
      </c>
    </row>
    <row r="172" spans="1:24" x14ac:dyDescent="0.25">
      <c r="A172" s="11" t="s">
        <v>903</v>
      </c>
      <c r="B172" s="9"/>
      <c r="C172" s="13"/>
      <c r="D172" s="35">
        <f>'Fiscal Forecasts'!D$240</f>
        <v>-0.81699999999999995</v>
      </c>
      <c r="E172" s="35">
        <f>'Fiscal Forecasts'!E$240</f>
        <v>-0.82499999999999996</v>
      </c>
      <c r="F172" s="35">
        <f>'Fiscal Forecasts'!F$240</f>
        <v>-0.63800000000000001</v>
      </c>
      <c r="G172" s="35">
        <f>'Fiscal Forecasts'!G$240</f>
        <v>-0.66500000000000004</v>
      </c>
      <c r="H172" s="35">
        <f>'Fiscal Forecasts'!H$240</f>
        <v>-1.35</v>
      </c>
      <c r="I172" s="35">
        <f>'Fiscal Forecasts'!I$240</f>
        <v>-0.90800000000000003</v>
      </c>
      <c r="J172" s="17">
        <f>'Fiscal Forecasts'!J$240</f>
        <v>-0.69599999999999995</v>
      </c>
      <c r="K172" s="17">
        <f>'Fiscal Forecasts'!K$240</f>
        <v>-0.73499999999999999</v>
      </c>
      <c r="L172" s="17">
        <f>'Fiscal Forecasts'!L$240</f>
        <v>-0.75900000000000001</v>
      </c>
      <c r="M172" s="17">
        <f>'Fiscal Forecasts'!M$240</f>
        <v>-0.80900000000000005</v>
      </c>
      <c r="N172" s="17">
        <f>'Fiscal Forecasts'!N$240</f>
        <v>-0.91200000000000003</v>
      </c>
      <c r="O172" s="16">
        <f t="shared" ref="O172:X172" si="121">N$172*O$171/N$171</f>
        <v>-0.9782799153996713</v>
      </c>
      <c r="P172" s="16">
        <f t="shared" si="121"/>
        <v>-1.0469076481018011</v>
      </c>
      <c r="Q172" s="16">
        <f t="shared" si="121"/>
        <v>-1.1191099223041057</v>
      </c>
      <c r="R172" s="16">
        <f t="shared" si="121"/>
        <v>-1.1895992453559978</v>
      </c>
      <c r="S172" s="16">
        <f t="shared" si="121"/>
        <v>-1.256202396884478</v>
      </c>
      <c r="T172" s="16">
        <f t="shared" si="121"/>
        <v>-1.3290546742401783</v>
      </c>
      <c r="U172" s="16">
        <f t="shared" si="121"/>
        <v>-1.4153985941304628</v>
      </c>
      <c r="V172" s="16">
        <f t="shared" si="121"/>
        <v>-1.5143899694452383</v>
      </c>
      <c r="W172" s="16">
        <f t="shared" si="121"/>
        <v>-1.6212037569250717</v>
      </c>
      <c r="X172" s="16">
        <f t="shared" si="121"/>
        <v>-1.7325843363932032</v>
      </c>
    </row>
    <row r="173" spans="1:24" x14ac:dyDescent="0.25">
      <c r="A173" s="9" t="s">
        <v>912</v>
      </c>
      <c r="B173" s="9"/>
      <c r="C173" s="13"/>
      <c r="D173" s="65">
        <f t="shared" ref="D173:X173" ca="1" si="122">SUM(D$170:D$172)</f>
        <v>1.07</v>
      </c>
      <c r="E173" s="65">
        <f t="shared" ca="1" si="122"/>
        <v>0.90600000000000014</v>
      </c>
      <c r="F173" s="65">
        <f t="shared" ca="1" si="122"/>
        <v>0.90300000000000014</v>
      </c>
      <c r="G173" s="65">
        <f t="shared" ca="1" si="122"/>
        <v>1.248</v>
      </c>
      <c r="H173" s="65">
        <f t="shared" ca="1" si="122"/>
        <v>1.343</v>
      </c>
      <c r="I173" s="65">
        <f t="shared" ca="1" si="122"/>
        <v>1.4300000000000002</v>
      </c>
      <c r="J173" s="66">
        <f t="shared" ca="1" si="122"/>
        <v>1.5029999999999999</v>
      </c>
      <c r="K173" s="66">
        <f t="shared" ca="1" si="122"/>
        <v>1.3540000000000001</v>
      </c>
      <c r="L173" s="66">
        <f t="shared" ca="1" si="122"/>
        <v>1.3860000000000001</v>
      </c>
      <c r="M173" s="66">
        <f t="shared" ca="1" si="122"/>
        <v>1.444</v>
      </c>
      <c r="N173" s="66">
        <f t="shared" ca="1" si="122"/>
        <v>1.4980000000000002</v>
      </c>
      <c r="O173" s="67">
        <f t="shared" ca="1" si="122"/>
        <v>1.5634865411502599</v>
      </c>
      <c r="P173" s="67">
        <f t="shared" ca="1" si="122"/>
        <v>1.631458910580561</v>
      </c>
      <c r="Q173" s="67">
        <f t="shared" ca="1" si="122"/>
        <v>1.7009516733385095</v>
      </c>
      <c r="R173" s="67">
        <f t="shared" ca="1" si="122"/>
        <v>1.7736139489208387</v>
      </c>
      <c r="S173" s="67">
        <f t="shared" ca="1" si="122"/>
        <v>1.85010071299394</v>
      </c>
      <c r="T173" s="67">
        <f t="shared" ca="1" si="122"/>
        <v>1.9259710996282531</v>
      </c>
      <c r="U173" s="67">
        <f t="shared" ca="1" si="122"/>
        <v>1.9983485191527492</v>
      </c>
      <c r="V173" s="67">
        <f t="shared" ca="1" si="122"/>
        <v>2.0673686062373449</v>
      </c>
      <c r="W173" s="67">
        <f t="shared" ca="1" si="122"/>
        <v>2.1353483418457975</v>
      </c>
      <c r="X173" s="67">
        <f t="shared" ca="1" si="122"/>
        <v>2.2049540596718882</v>
      </c>
    </row>
    <row r="174" spans="1:24" x14ac:dyDescent="0.25">
      <c r="B174" s="9"/>
      <c r="C174" s="13"/>
      <c r="D174" s="40"/>
      <c r="E174" s="40"/>
      <c r="F174" s="40"/>
      <c r="G174" s="40"/>
      <c r="H174" s="40"/>
      <c r="I174" s="40"/>
    </row>
    <row r="175" spans="1:24" x14ac:dyDescent="0.25">
      <c r="A175" s="9" t="s">
        <v>532</v>
      </c>
      <c r="B175" s="9"/>
      <c r="C175" s="13"/>
      <c r="D175" s="40"/>
      <c r="E175" s="40"/>
      <c r="F175" s="40"/>
      <c r="G175" s="40"/>
      <c r="H175" s="40"/>
      <c r="I175" s="40"/>
    </row>
    <row r="176" spans="1:24" x14ac:dyDescent="0.25">
      <c r="A176" s="11" t="s">
        <v>905</v>
      </c>
      <c r="B176" s="9"/>
      <c r="C176" s="13"/>
      <c r="D176" s="35">
        <f t="shared" ref="D176:X176" ca="1" si="123">D$384-SUM(D$158,D$168)</f>
        <v>9.8199999999999399E-3</v>
      </c>
      <c r="E176" s="35">
        <f t="shared" ca="1" si="123"/>
        <v>8.0299999999999816E-3</v>
      </c>
      <c r="F176" s="35">
        <f t="shared" ca="1" si="123"/>
        <v>7.4199999999999822E-3</v>
      </c>
      <c r="G176" s="35">
        <f t="shared" ca="1" si="123"/>
        <v>1.0769999999999946E-2</v>
      </c>
      <c r="H176" s="35">
        <f t="shared" ca="1" si="123"/>
        <v>1.3200000000000101E-2</v>
      </c>
      <c r="I176" s="35">
        <f t="shared" ca="1" si="123"/>
        <v>1.6589999999999883E-2</v>
      </c>
      <c r="J176" s="17">
        <f t="shared" ca="1" si="123"/>
        <v>1.7049999999999788E-2</v>
      </c>
      <c r="K176" s="17">
        <f t="shared" ca="1" si="123"/>
        <v>1.7730000000000024E-2</v>
      </c>
      <c r="L176" s="17">
        <f t="shared" ca="1" si="123"/>
        <v>1.8689999999999873E-2</v>
      </c>
      <c r="M176" s="17">
        <f t="shared" ca="1" si="123"/>
        <v>1.9929999999999781E-2</v>
      </c>
      <c r="N176" s="17">
        <f t="shared" ca="1" si="123"/>
        <v>2.1159999999999624E-2</v>
      </c>
      <c r="O176" s="16">
        <f t="shared" ca="1" si="123"/>
        <v>2.2436275511311443E-2</v>
      </c>
      <c r="P176" s="16">
        <f t="shared" ca="1" si="123"/>
        <v>2.3771937241437335E-2</v>
      </c>
      <c r="Q176" s="16">
        <f t="shared" ca="1" si="123"/>
        <v>2.5157820051435742E-2</v>
      </c>
      <c r="R176" s="16">
        <f t="shared" ca="1" si="123"/>
        <v>2.6586735928595839E-2</v>
      </c>
      <c r="S176" s="16">
        <f t="shared" ca="1" si="123"/>
        <v>2.8051359573916024E-2</v>
      </c>
      <c r="T176" s="16">
        <f t="shared" ca="1" si="123"/>
        <v>2.9550791422774836E-2</v>
      </c>
      <c r="U176" s="16">
        <f t="shared" ca="1" si="123"/>
        <v>3.1083204302524869E-2</v>
      </c>
      <c r="V176" s="16">
        <f t="shared" ca="1" si="123"/>
        <v>3.2646774508055643E-2</v>
      </c>
      <c r="W176" s="16">
        <f t="shared" ca="1" si="123"/>
        <v>3.4252679610365266E-2</v>
      </c>
      <c r="X176" s="16">
        <f t="shared" ca="1" si="123"/>
        <v>3.5919225641077634E-2</v>
      </c>
    </row>
    <row r="177" spans="1:24" x14ac:dyDescent="0.25">
      <c r="A177" s="11" t="s">
        <v>906</v>
      </c>
      <c r="B177" s="10" t="str">
        <f>$B$38</f>
        <v>From Fiscal Forecasts</v>
      </c>
      <c r="C177" s="13"/>
      <c r="D177" s="35">
        <f ca="1">'Fiscal Forecasts'!D$167-SUM(D$170,D$176)</f>
        <v>0.9131800000000001</v>
      </c>
      <c r="E177" s="35">
        <f ca="1">'Fiscal Forecasts'!E$167-SUM(E$170,E$176)</f>
        <v>0.95396999999999998</v>
      </c>
      <c r="F177" s="35">
        <f ca="1">'Fiscal Forecasts'!F$167-SUM(F$170,F$176)</f>
        <v>0.87958000000000003</v>
      </c>
      <c r="G177" s="35">
        <f ca="1">'Fiscal Forecasts'!G$167-SUM(G$170,G$176)</f>
        <v>1.0842300000000002</v>
      </c>
      <c r="H177" s="35">
        <f ca="1">'Fiscal Forecasts'!H$167-SUM(H$170,H$176)</f>
        <v>1.1537999999999995</v>
      </c>
      <c r="I177" s="35">
        <f ca="1">'Fiscal Forecasts'!I$167-SUM(I$170,I$176)</f>
        <v>1.1014100000000002</v>
      </c>
      <c r="J177" s="17">
        <f ca="1">'Fiscal Forecasts'!J$167-SUM(J$170,J$176)</f>
        <v>1.15395</v>
      </c>
      <c r="K177" s="17">
        <f ca="1">'Fiscal Forecasts'!K$167-SUM(K$170,K$176)</f>
        <v>2.5542700000000003</v>
      </c>
      <c r="L177" s="17">
        <f ca="1">'Fiscal Forecasts'!L$167-SUM(L$170,L$176)</f>
        <v>1.1493100000000003</v>
      </c>
      <c r="M177" s="17">
        <f ca="1">'Fiscal Forecasts'!M$167-SUM(M$170,M$176)</f>
        <v>1.1260700000000001</v>
      </c>
      <c r="N177" s="17">
        <f ca="1">'Fiscal Forecasts'!N$167-SUM(N$170,N$176)</f>
        <v>1.1098400000000006</v>
      </c>
      <c r="O177" s="16">
        <f t="shared" ref="O177:X177" ca="1" si="124">N$177*(1+O$19)*(1+O$29)</f>
        <v>1.1460604036987607</v>
      </c>
      <c r="P177" s="16">
        <f t="shared" ca="1" si="124"/>
        <v>1.1826234556558142</v>
      </c>
      <c r="Q177" s="16">
        <f t="shared" ca="1" si="124"/>
        <v>1.2196260618143671</v>
      </c>
      <c r="R177" s="16">
        <f t="shared" ca="1" si="124"/>
        <v>1.2567362224192073</v>
      </c>
      <c r="S177" s="16">
        <f t="shared" ca="1" si="124"/>
        <v>1.2941509094767074</v>
      </c>
      <c r="T177" s="16">
        <f t="shared" ca="1" si="124"/>
        <v>1.3317824381693193</v>
      </c>
      <c r="U177" s="16">
        <f t="shared" ca="1" si="124"/>
        <v>1.3701227941627303</v>
      </c>
      <c r="V177" s="16">
        <f t="shared" ca="1" si="124"/>
        <v>1.4089803183937999</v>
      </c>
      <c r="W177" s="16">
        <f t="shared" ca="1" si="124"/>
        <v>1.4478015830492124</v>
      </c>
      <c r="X177" s="16">
        <f t="shared" ca="1" si="124"/>
        <v>1.4869962204760512</v>
      </c>
    </row>
    <row r="178" spans="1:24" x14ac:dyDescent="0.25">
      <c r="A178" s="9" t="s">
        <v>907</v>
      </c>
      <c r="B178" s="9"/>
      <c r="C178" s="13"/>
      <c r="D178" s="65">
        <f t="shared" ref="D178:X178" ca="1" si="125">SUM(D$176:D$177)</f>
        <v>0.92300000000000004</v>
      </c>
      <c r="E178" s="65">
        <f t="shared" ca="1" si="125"/>
        <v>0.96199999999999997</v>
      </c>
      <c r="F178" s="65">
        <f t="shared" ca="1" si="125"/>
        <v>0.88700000000000001</v>
      </c>
      <c r="G178" s="65">
        <f t="shared" ca="1" si="125"/>
        <v>1.0950000000000002</v>
      </c>
      <c r="H178" s="65">
        <f t="shared" ca="1" si="125"/>
        <v>1.1669999999999996</v>
      </c>
      <c r="I178" s="65">
        <f t="shared" ca="1" si="125"/>
        <v>1.1180000000000001</v>
      </c>
      <c r="J178" s="66">
        <f t="shared" ca="1" si="125"/>
        <v>1.1709999999999998</v>
      </c>
      <c r="K178" s="66">
        <f t="shared" ca="1" si="125"/>
        <v>2.5720000000000001</v>
      </c>
      <c r="L178" s="66">
        <f t="shared" ca="1" si="125"/>
        <v>1.1680000000000001</v>
      </c>
      <c r="M178" s="66">
        <f t="shared" ca="1" si="125"/>
        <v>1.1459999999999999</v>
      </c>
      <c r="N178" s="66">
        <f t="shared" ca="1" si="125"/>
        <v>1.1310000000000002</v>
      </c>
      <c r="O178" s="67">
        <f t="shared" ca="1" si="125"/>
        <v>1.1684966792100722</v>
      </c>
      <c r="P178" s="67">
        <f t="shared" ca="1" si="125"/>
        <v>1.2063953928972515</v>
      </c>
      <c r="Q178" s="67">
        <f t="shared" ca="1" si="125"/>
        <v>1.2447838818658028</v>
      </c>
      <c r="R178" s="67">
        <f t="shared" ca="1" si="125"/>
        <v>1.2833229583478032</v>
      </c>
      <c r="S178" s="67">
        <f t="shared" ca="1" si="125"/>
        <v>1.3222022690506234</v>
      </c>
      <c r="T178" s="67">
        <f t="shared" ca="1" si="125"/>
        <v>1.3613332295920941</v>
      </c>
      <c r="U178" s="67">
        <f t="shared" ca="1" si="125"/>
        <v>1.4012059984652552</v>
      </c>
      <c r="V178" s="67">
        <f t="shared" ca="1" si="125"/>
        <v>1.4416270929018555</v>
      </c>
      <c r="W178" s="67">
        <f t="shared" ca="1" si="125"/>
        <v>1.4820542626595776</v>
      </c>
      <c r="X178" s="67">
        <f t="shared" ca="1" si="125"/>
        <v>1.5229154461171288</v>
      </c>
    </row>
    <row r="179" spans="1:24" x14ac:dyDescent="0.25">
      <c r="A179" s="9" t="s">
        <v>913</v>
      </c>
      <c r="B179" s="10" t="str">
        <f>$B$38</f>
        <v>From Fiscal Forecasts</v>
      </c>
      <c r="C179" s="13"/>
      <c r="D179" s="68">
        <f ca="1">'Fiscal Forecasts'!D$13-D$173</f>
        <v>3.8789999999999996</v>
      </c>
      <c r="E179" s="68">
        <f ca="1">'Fiscal Forecasts'!E$13-E$173</f>
        <v>3.57</v>
      </c>
      <c r="F179" s="68">
        <f ca="1">'Fiscal Forecasts'!F$13-F$173</f>
        <v>3.589</v>
      </c>
      <c r="G179" s="68">
        <f ca="1">'Fiscal Forecasts'!G$13-G$173</f>
        <v>3.8780000000000001</v>
      </c>
      <c r="H179" s="68">
        <f ca="1">'Fiscal Forecasts'!H$13-H$173</f>
        <v>4.5830000000000002</v>
      </c>
      <c r="I179" s="68">
        <f ca="1">'Fiscal Forecasts'!I$13-I$173</f>
        <v>4.3360000000000003</v>
      </c>
      <c r="J179" s="69">
        <f ca="1">'Fiscal Forecasts'!J$13-J$173</f>
        <v>4.3</v>
      </c>
      <c r="K179" s="69">
        <f ca="1">'Fiscal Forecasts'!K$13-K$173</f>
        <v>5.3319999999999999</v>
      </c>
      <c r="L179" s="69">
        <f ca="1">'Fiscal Forecasts'!L$13-L$173</f>
        <v>4.0069999999999997</v>
      </c>
      <c r="M179" s="69">
        <f ca="1">'Fiscal Forecasts'!M$13-M$173</f>
        <v>4.0670000000000002</v>
      </c>
      <c r="N179" s="69">
        <f ca="1">'Fiscal Forecasts'!N$13-N$173</f>
        <v>4.2549999999999999</v>
      </c>
      <c r="O179" s="47">
        <f t="shared" ref="O179:X179" ca="1" si="126">O$178+(N$179-N$178)*(1+O$19)*(1+O$29)</f>
        <v>4.3944506015366471</v>
      </c>
      <c r="P179" s="47">
        <f t="shared" ca="1" si="126"/>
        <v>4.5352677307736666</v>
      </c>
      <c r="Q179" s="47">
        <f t="shared" ca="1" si="126"/>
        <v>4.6778119013173276</v>
      </c>
      <c r="R179" s="47">
        <f t="shared" ca="1" si="126"/>
        <v>4.8208094057975277</v>
      </c>
      <c r="S179" s="47">
        <f t="shared" ca="1" si="126"/>
        <v>4.9650043316949981</v>
      </c>
      <c r="T179" s="47">
        <f t="shared" ca="1" si="126"/>
        <v>5.1100612776359133</v>
      </c>
      <c r="U179" s="47">
        <f t="shared" ca="1" si="126"/>
        <v>5.2578552532806953</v>
      </c>
      <c r="V179" s="47">
        <f t="shared" ca="1" si="126"/>
        <v>5.4076532900674188</v>
      </c>
      <c r="W179" s="47">
        <f t="shared" ca="1" si="126"/>
        <v>5.55735533799092</v>
      </c>
      <c r="X179" s="47">
        <f t="shared" ca="1" si="126"/>
        <v>5.708542376816311</v>
      </c>
    </row>
    <row r="180" spans="1:24" x14ac:dyDescent="0.25">
      <c r="A180" s="9"/>
      <c r="B180" s="9"/>
      <c r="C180" s="13"/>
      <c r="D180" s="40"/>
      <c r="E180" s="40"/>
      <c r="F180" s="40"/>
      <c r="G180" s="40"/>
      <c r="H180" s="40"/>
      <c r="I180" s="40"/>
    </row>
    <row r="181" spans="1:24" x14ac:dyDescent="0.25">
      <c r="A181" s="9" t="s">
        <v>534</v>
      </c>
      <c r="B181" s="9"/>
      <c r="C181" s="13"/>
    </row>
    <row r="182" spans="1:24" x14ac:dyDescent="0.25">
      <c r="A182" s="11" t="s">
        <v>158</v>
      </c>
      <c r="B182" s="10" t="str">
        <f>$B$38</f>
        <v>From Fiscal Forecasts</v>
      </c>
      <c r="C182" s="13"/>
      <c r="D182" s="35">
        <f>'Fiscal Forecasts'!D$243</f>
        <v>14.561999999999999</v>
      </c>
      <c r="E182" s="35">
        <f>'Fiscal Forecasts'!E$243</f>
        <v>15.521000000000001</v>
      </c>
      <c r="F182" s="35">
        <f>'Fiscal Forecasts'!F$243</f>
        <v>16.568999999999999</v>
      </c>
      <c r="G182" s="35">
        <f>'Fiscal Forecasts'!G$243</f>
        <v>17.763999999999999</v>
      </c>
      <c r="H182" s="35">
        <f>'Fiscal Forecasts'!H$243</f>
        <v>19.516999999999999</v>
      </c>
      <c r="I182" s="35">
        <f>'Fiscal Forecasts'!I$243</f>
        <v>21.574000000000002</v>
      </c>
      <c r="J182" s="17">
        <f>'Fiscal Forecasts'!J$243</f>
        <v>23.18</v>
      </c>
      <c r="K182" s="17">
        <f>'Fiscal Forecasts'!K$243</f>
        <v>24.690999999999999</v>
      </c>
      <c r="L182" s="17">
        <f>'Fiscal Forecasts'!L$243</f>
        <v>26.116</v>
      </c>
      <c r="M182" s="17">
        <f>'Fiscal Forecasts'!M$243</f>
        <v>27.605</v>
      </c>
      <c r="N182" s="17">
        <f>'Fiscal Forecasts'!N$243</f>
        <v>28.957000000000001</v>
      </c>
      <c r="O182" s="16">
        <f ca="1">N$182*(1+'Population Treasury'!Z$305)*O$204/N$204</f>
        <v>30.37041879496639</v>
      </c>
      <c r="P182" s="16">
        <f ca="1">O$182*(1+'Population Treasury'!AA$305)*P$204/O$204</f>
        <v>31.999756351441523</v>
      </c>
      <c r="Q182" s="16">
        <f ca="1">P$182*(1+'Population Treasury'!AB$305)*Q$204/P$204</f>
        <v>33.696220128329777</v>
      </c>
      <c r="R182" s="16">
        <f ca="1">Q$182*(1+'Population Treasury'!AC$305)*R$204/Q$204</f>
        <v>35.480996174658827</v>
      </c>
      <c r="S182" s="16">
        <f ca="1">R$182*(1+'Population Treasury'!AD$305)*S$204/R$204</f>
        <v>37.354790331355304</v>
      </c>
      <c r="T182" s="16">
        <f ca="1">S$182*(1+'Population Treasury'!AE$305)*T$204/S$204</f>
        <v>39.268426072255281</v>
      </c>
      <c r="U182" s="16">
        <f ca="1">T$182*(1+'Population Treasury'!AF$305)*U$204/T$204</f>
        <v>41.282924805544866</v>
      </c>
      <c r="V182" s="16">
        <f ca="1">U$182*(1+'Population Treasury'!AG$305)*V$204/U$204</f>
        <v>43.317411388539483</v>
      </c>
      <c r="W182" s="16">
        <f ca="1">V$182*(1+'Population Treasury'!AH$305)*W$204/V$204</f>
        <v>45.312617527876625</v>
      </c>
      <c r="X182" s="16">
        <f ca="1">W$182*(1+'Population Treasury'!AI$305)*X$204/W$204</f>
        <v>47.272576696491754</v>
      </c>
    </row>
    <row r="183" spans="1:24" x14ac:dyDescent="0.25">
      <c r="A183" s="11" t="s">
        <v>923</v>
      </c>
      <c r="B183" s="10" t="str">
        <f>$B$38</f>
        <v>From Fiscal Forecasts</v>
      </c>
      <c r="C183" s="13"/>
      <c r="D183" s="35">
        <f>'Fiscal Forecasts'!D$244</f>
        <v>1.8540000000000001</v>
      </c>
      <c r="E183" s="35">
        <f>'Fiscal Forecasts'!E$244</f>
        <v>2.2850000000000001</v>
      </c>
      <c r="F183" s="35">
        <f>'Fiscal Forecasts'!F$244</f>
        <v>3.2240000000000002</v>
      </c>
      <c r="G183" s="35">
        <f>'Fiscal Forecasts'!G$244</f>
        <v>3.33</v>
      </c>
      <c r="H183" s="35">
        <f>'Fiscal Forecasts'!H$244</f>
        <v>3.4729999999999999</v>
      </c>
      <c r="I183" s="35">
        <f>'Fiscal Forecasts'!I$244</f>
        <v>4.0620000000000003</v>
      </c>
      <c r="J183" s="17">
        <f>'Fiscal Forecasts'!J$244</f>
        <v>4.6440000000000001</v>
      </c>
      <c r="K183" s="17">
        <f>'Fiscal Forecasts'!K$244</f>
        <v>4.8390000000000004</v>
      </c>
      <c r="L183" s="17">
        <f>'Fiscal Forecasts'!L$244</f>
        <v>4.7149999999999999</v>
      </c>
      <c r="M183" s="17">
        <f>'Fiscal Forecasts'!M$244</f>
        <v>4.4969999999999999</v>
      </c>
      <c r="N183" s="17">
        <f>'Fiscal Forecasts'!N$244</f>
        <v>4.42</v>
      </c>
      <c r="O183" s="16">
        <f ca="1">N$183*AVERAGE(1+SUMPRODUCT(Exogenous!$B$42:$B$52,'Population Treasury'!Z$242:Z$252)+SUMPRODUCT(Exogenous!$C$42:$C$52,'Population Treasury'!Z$287:Z$297),O$16*O$23/(N$16*N$23))*(1+O$29)</f>
        <v>4.517458326425472</v>
      </c>
      <c r="P183" s="16">
        <f ca="1">O$183*AVERAGE(1+SUMPRODUCT(Exogenous!$B$42:$B$52,'Population Treasury'!AA$242:AA$252)+SUMPRODUCT(Exogenous!$C$42:$C$52,'Population Treasury'!AA$287:AA$297),P$16*P$23/(O$16*O$23))*(1+P$29)</f>
        <v>4.6197764915196027</v>
      </c>
      <c r="Q183" s="16">
        <f ca="1">P$183*AVERAGE(1+SUMPRODUCT(Exogenous!$B$42:$B$52,'Population Treasury'!AB$242:AB$252)+SUMPRODUCT(Exogenous!$C$42:$C$52,'Population Treasury'!AB$287:AB$297),Q$16*Q$23/(P$16*P$23))*(1+Q$29)</f>
        <v>4.7543055181087901</v>
      </c>
      <c r="R183" s="16">
        <f ca="1">Q$183*AVERAGE(1+SUMPRODUCT(Exogenous!$B$42:$B$52,'Population Treasury'!AC$242:AC$252)+SUMPRODUCT(Exogenous!$C$42:$C$52,'Population Treasury'!AC$287:AC$297),R$16*R$23/(Q$16*Q$23))*(1+R$29)</f>
        <v>4.8890717460427382</v>
      </c>
      <c r="S183" s="16">
        <f ca="1">R$183*AVERAGE(1+SUMPRODUCT(Exogenous!$B$42:$B$52,'Population Treasury'!AD$242:AD$252)+SUMPRODUCT(Exogenous!$C$42:$C$52,'Population Treasury'!AD$287:AD$297),S$16*S$23/(R$16*R$23))*(1+S$29)</f>
        <v>5.0229020741017569</v>
      </c>
      <c r="T183" s="16">
        <f ca="1">S$183*AVERAGE(1+SUMPRODUCT(Exogenous!$B$42:$B$52,'Population Treasury'!AE$242:AE$252)+SUMPRODUCT(Exogenous!$C$42:$C$52,'Population Treasury'!AE$287:AE$297),T$16*T$23/(S$16*S$23))*(1+T$29)</f>
        <v>5.1571371934521171</v>
      </c>
      <c r="U183" s="16">
        <f ca="1">T$183*AVERAGE(1+SUMPRODUCT(Exogenous!$B$42:$B$52,'Population Treasury'!AF$242:AF$252)+SUMPRODUCT(Exogenous!$C$42:$C$52,'Population Treasury'!AF$287:AF$297),U$16*U$23/(T$16*T$23))*(1+U$29)</f>
        <v>5.290256742117438</v>
      </c>
      <c r="V183" s="16">
        <f ca="1">U$183*AVERAGE(1+SUMPRODUCT(Exogenous!$B$42:$B$52,'Population Treasury'!AG$242:AG$252)+SUMPRODUCT(Exogenous!$C$42:$C$52,'Population Treasury'!AG$287:AG$297),V$16*V$23/(U$16*U$23))*(1+V$29)</f>
        <v>5.4260694271538501</v>
      </c>
      <c r="W183" s="16">
        <f ca="1">V$183*AVERAGE(1+SUMPRODUCT(Exogenous!$B$42:$B$52,'Population Treasury'!AH$242:AH$252)+SUMPRODUCT(Exogenous!$C$42:$C$52,'Population Treasury'!AH$287:AH$297),W$16*W$23/(V$16*V$23))*(1+W$29)</f>
        <v>5.5647889941677873</v>
      </c>
      <c r="X183" s="16">
        <f ca="1">W$183*AVERAGE(1+SUMPRODUCT(Exogenous!$B$42:$B$52,'Population Treasury'!AI$242:AI$252)+SUMPRODUCT(Exogenous!$C$42:$C$52,'Population Treasury'!AI$287:AI$297),X$16*X$23/(W$16*W$23))*(1+X$29)</f>
        <v>5.7064120365369799</v>
      </c>
    </row>
    <row r="184" spans="1:24" x14ac:dyDescent="0.25">
      <c r="A184" s="11" t="s">
        <v>716</v>
      </c>
      <c r="B184" s="10" t="str">
        <f t="shared" ref="B184:B196" si="127">$B$38</f>
        <v>From Fiscal Forecasts</v>
      </c>
      <c r="C184" s="13"/>
      <c r="D184" s="35">
        <f>'Fiscal Forecasts'!D$245</f>
        <v>1.556</v>
      </c>
      <c r="E184" s="35">
        <f>'Fiscal Forecasts'!E$245</f>
        <v>1.65</v>
      </c>
      <c r="F184" s="35">
        <f>'Fiscal Forecasts'!F$245</f>
        <v>1.8260000000000001</v>
      </c>
      <c r="G184" s="35">
        <f>'Fiscal Forecasts'!G$245</f>
        <v>2.0470000000000002</v>
      </c>
      <c r="H184" s="35">
        <f>'Fiscal Forecasts'!H$245</f>
        <v>2.3109999999999999</v>
      </c>
      <c r="I184" s="35">
        <f>'Fiscal Forecasts'!I$245</f>
        <v>2.5299999999999998</v>
      </c>
      <c r="J184" s="17">
        <f>'Fiscal Forecasts'!J$245</f>
        <v>2.669</v>
      </c>
      <c r="K184" s="17">
        <f>'Fiscal Forecasts'!K$245</f>
        <v>2.782</v>
      </c>
      <c r="L184" s="17">
        <f>'Fiscal Forecasts'!L$245</f>
        <v>2.8809999999999998</v>
      </c>
      <c r="M184" s="17">
        <f>'Fiscal Forecasts'!M$245</f>
        <v>2.9750000000000001</v>
      </c>
      <c r="N184" s="17">
        <f>'Fiscal Forecasts'!N$245</f>
        <v>3.0230000000000001</v>
      </c>
      <c r="O184" s="16">
        <f ca="1">N$184*(1+SUMPRODUCT(Exogenous!$I$42:$I$52,'Population Treasury'!Z$242:Z$252)+SUMPRODUCT(Exogenous!$J$42:$J$52,'Population Treasury'!Z$287:Z$297))*(1+O$29)</f>
        <v>3.1043958345517408</v>
      </c>
      <c r="P184" s="16">
        <f ca="1">O$184*(1+SUMPRODUCT(Exogenous!$I$42:$I$52,'Population Treasury'!AA$242:AA$252)+SUMPRODUCT(Exogenous!$J$42:$J$52,'Population Treasury'!AA$287:AA$297))*(1+P$29)</f>
        <v>3.1904398795185078</v>
      </c>
      <c r="Q184" s="16">
        <f ca="1">P$184*(1+SUMPRODUCT(Exogenous!$I$42:$I$52,'Population Treasury'!AB$242:AB$252)+SUMPRODUCT(Exogenous!$J$42:$J$52,'Population Treasury'!AB$287:AB$297))*(1+Q$29)</f>
        <v>3.2770124490467345</v>
      </c>
      <c r="R184" s="16">
        <f ca="1">Q$184*(1+SUMPRODUCT(Exogenous!$I$42:$I$52,'Population Treasury'!AC$242:AC$252)+SUMPRODUCT(Exogenous!$J$42:$J$52,'Population Treasury'!AC$287:AC$297))*(1+R$29)</f>
        <v>3.3622673797612532</v>
      </c>
      <c r="S184" s="16">
        <f ca="1">R$184*(1+SUMPRODUCT(Exogenous!$I$42:$I$52,'Population Treasury'!AD$242:AD$252)+SUMPRODUCT(Exogenous!$J$42:$J$52,'Population Treasury'!AD$287:AD$297))*(1+S$29)</f>
        <v>3.4455498357148011</v>
      </c>
      <c r="T184" s="16">
        <f ca="1">S$184*(1+SUMPRODUCT(Exogenous!$I$42:$I$52,'Population Treasury'!AE$242:AE$252)+SUMPRODUCT(Exogenous!$J$42:$J$52,'Population Treasury'!AE$287:AE$297))*(1+T$29)</f>
        <v>3.5308588251900002</v>
      </c>
      <c r="U184" s="16">
        <f ca="1">T$184*(1+SUMPRODUCT(Exogenous!$I$42:$I$52,'Population Treasury'!AF$242:AF$252)+SUMPRODUCT(Exogenous!$J$42:$J$52,'Population Treasury'!AF$287:AF$297))*(1+U$29)</f>
        <v>3.612351609496407</v>
      </c>
      <c r="V184" s="16">
        <f ca="1">U$184*(1+SUMPRODUCT(Exogenous!$I$42:$I$52,'Population Treasury'!AG$242:AG$252)+SUMPRODUCT(Exogenous!$J$42:$J$52,'Population Treasury'!AG$287:AG$297))*(1+V$29)</f>
        <v>3.6984365486116544</v>
      </c>
      <c r="W184" s="16">
        <f ca="1">V$184*(1+SUMPRODUCT(Exogenous!$I$42:$I$52,'Population Treasury'!AH$242:AH$252)+SUMPRODUCT(Exogenous!$J$42:$J$52,'Population Treasury'!AH$287:AH$297))*(1+W$29)</f>
        <v>3.7926119873713398</v>
      </c>
      <c r="X184" s="16">
        <f ca="1">W$184*(1+SUMPRODUCT(Exogenous!$I$42:$I$52,'Population Treasury'!AI$242:AI$252)+SUMPRODUCT(Exogenous!$J$42:$J$52,'Population Treasury'!AI$287:AI$297))*(1+X$29)</f>
        <v>3.8944781235817163</v>
      </c>
    </row>
    <row r="185" spans="1:24" x14ac:dyDescent="0.25">
      <c r="A185" s="11" t="s">
        <v>717</v>
      </c>
      <c r="B185" s="10" t="str">
        <f t="shared" si="127"/>
        <v>From Fiscal Forecasts</v>
      </c>
      <c r="C185" s="13"/>
      <c r="D185" s="35">
        <f>'Fiscal Forecasts'!D$246</f>
        <v>1.115</v>
      </c>
      <c r="E185" s="35">
        <f>'Fiscal Forecasts'!E$246</f>
        <v>1.2310000000000001</v>
      </c>
      <c r="F185" s="35">
        <f>'Fiscal Forecasts'!F$246</f>
        <v>1.4550000000000001</v>
      </c>
      <c r="G185" s="35">
        <f>'Fiscal Forecasts'!G$246</f>
        <v>1.704</v>
      </c>
      <c r="H185" s="35">
        <f>'Fiscal Forecasts'!H$246</f>
        <v>1.917</v>
      </c>
      <c r="I185" s="35">
        <f>'Fiscal Forecasts'!I$246</f>
        <v>2.097</v>
      </c>
      <c r="J185" s="17">
        <f>'Fiscal Forecasts'!J$246</f>
        <v>2.2570000000000001</v>
      </c>
      <c r="K185" s="17">
        <f>'Fiscal Forecasts'!K$246</f>
        <v>2.331</v>
      </c>
      <c r="L185" s="17">
        <f>'Fiscal Forecasts'!L$246</f>
        <v>2.3029999999999999</v>
      </c>
      <c r="M185" s="17">
        <f>'Fiscal Forecasts'!M$246</f>
        <v>2.27</v>
      </c>
      <c r="N185" s="17">
        <f>'Fiscal Forecasts'!N$246</f>
        <v>2.169</v>
      </c>
      <c r="O185" s="16">
        <f ca="1">N$185*(1+SUMPRODUCT(Exogenous!$P$42:$P$52,'Population Treasury'!Z$242:Z$252)+SUMPRODUCT(Exogenous!$Q$42:$Q$52,'Population Treasury'!Z$287:Z$297))*(1+O$29)</f>
        <v>2.2342412185630129</v>
      </c>
      <c r="P185" s="16">
        <f ca="1">O$185*(1+SUMPRODUCT(Exogenous!$P$42:$P$52,'Population Treasury'!AA$242:AA$252)+SUMPRODUCT(Exogenous!$Q$42:$Q$52,'Population Treasury'!AA$287:AA$297))*(1+P$29)</f>
        <v>2.3001843848237082</v>
      </c>
      <c r="Q185" s="16">
        <f ca="1">P$185*(1+SUMPRODUCT(Exogenous!$P$42:$P$52,'Population Treasury'!AB$242:AB$252)+SUMPRODUCT(Exogenous!$Q$42:$Q$52,'Population Treasury'!AB$287:AB$297))*(1+Q$29)</f>
        <v>2.367548588826268</v>
      </c>
      <c r="R185" s="16">
        <f ca="1">Q$185*(1+SUMPRODUCT(Exogenous!$P$42:$P$52,'Population Treasury'!AC$242:AC$252)+SUMPRODUCT(Exogenous!$Q$42:$Q$52,'Population Treasury'!AC$287:AC$297))*(1+R$29)</f>
        <v>2.4358445983825128</v>
      </c>
      <c r="S185" s="16">
        <f ca="1">R$185*(1+SUMPRODUCT(Exogenous!$P$42:$P$52,'Population Treasury'!AD$242:AD$252)+SUMPRODUCT(Exogenous!$Q$42:$Q$52,'Population Treasury'!AD$287:AD$297))*(1+S$29)</f>
        <v>2.5027452563444292</v>
      </c>
      <c r="T185" s="16">
        <f ca="1">S$185*(1+SUMPRODUCT(Exogenous!$P$42:$P$52,'Population Treasury'!AE$242:AE$252)+SUMPRODUCT(Exogenous!$Q$42:$Q$52,'Population Treasury'!AE$287:AE$297))*(1+T$29)</f>
        <v>2.5691662890347424</v>
      </c>
      <c r="U185" s="16">
        <f ca="1">T$185*(1+SUMPRODUCT(Exogenous!$P$42:$P$52,'Population Treasury'!AF$242:AF$252)+SUMPRODUCT(Exogenous!$Q$42:$Q$52,'Population Treasury'!AF$287:AF$297))*(1+U$29)</f>
        <v>2.6345615238006572</v>
      </c>
      <c r="V185" s="16">
        <f ca="1">U$185*(1+SUMPRODUCT(Exogenous!$P$42:$P$52,'Population Treasury'!AG$242:AG$252)+SUMPRODUCT(Exogenous!$Q$42:$Q$52,'Population Treasury'!AG$287:AG$297))*(1+V$29)</f>
        <v>2.7015501793468539</v>
      </c>
      <c r="W185" s="16">
        <f ca="1">V$185*(1+SUMPRODUCT(Exogenous!$P$42:$P$52,'Population Treasury'!AH$242:AH$252)+SUMPRODUCT(Exogenous!$Q$42:$Q$52,'Population Treasury'!AH$287:AH$297))*(1+W$29)</f>
        <v>2.7669100585309674</v>
      </c>
      <c r="X185" s="16">
        <f ca="1">W$185*(1+SUMPRODUCT(Exogenous!$P$42:$P$52,'Population Treasury'!AI$242:AI$252)+SUMPRODUCT(Exogenous!$Q$42:$Q$52,'Population Treasury'!AI$287:AI$297))*(1+X$29)</f>
        <v>2.8307312888794827</v>
      </c>
    </row>
    <row r="186" spans="1:24" x14ac:dyDescent="0.25">
      <c r="A186" s="11" t="s">
        <v>718</v>
      </c>
      <c r="B186" s="10" t="str">
        <f t="shared" si="127"/>
        <v>From Fiscal Forecasts</v>
      </c>
      <c r="D186" s="35">
        <f>'Fiscal Forecasts'!D$247</f>
        <v>2.766</v>
      </c>
      <c r="E186" s="35">
        <f>'Fiscal Forecasts'!E$247</f>
        <v>2.83</v>
      </c>
      <c r="F186" s="35">
        <f>'Fiscal Forecasts'!F$247</f>
        <v>2.6880000000000002</v>
      </c>
      <c r="G186" s="35">
        <f>'Fiscal Forecasts'!G$247</f>
        <v>2.536</v>
      </c>
      <c r="H186" s="35">
        <f>'Fiscal Forecasts'!H$247</f>
        <v>2.6269999999999998</v>
      </c>
      <c r="I186" s="35">
        <f>'Fiscal Forecasts'!I$247</f>
        <v>2.7450000000000001</v>
      </c>
      <c r="J186" s="17">
        <f>'Fiscal Forecasts'!J$247</f>
        <v>2.9990000000000001</v>
      </c>
      <c r="K186" s="17">
        <f>'Fiscal Forecasts'!K$247</f>
        <v>2.97</v>
      </c>
      <c r="L186" s="17">
        <f>'Fiscal Forecasts'!L$247</f>
        <v>3.05</v>
      </c>
      <c r="M186" s="17">
        <f>'Fiscal Forecasts'!M$247</f>
        <v>3.2229999999999999</v>
      </c>
      <c r="N186" s="17">
        <f>'Fiscal Forecasts'!N$247</f>
        <v>3.141</v>
      </c>
      <c r="O186" s="16">
        <f ca="1">N$186*(1+O$19)*(1+O$29)</f>
        <v>3.2435087292022318</v>
      </c>
      <c r="P186" s="16">
        <f t="shared" ref="P186:X186" ca="1" si="128">O$186*(1+P$19)*(1+P$29)</f>
        <v>3.3469872001503909</v>
      </c>
      <c r="Q186" s="16">
        <f t="shared" ca="1" si="128"/>
        <v>3.4517096700055183</v>
      </c>
      <c r="R186" s="16">
        <f t="shared" ca="1" si="128"/>
        <v>3.5567365337514669</v>
      </c>
      <c r="S186" s="16">
        <f t="shared" ca="1" si="128"/>
        <v>3.6626252492848841</v>
      </c>
      <c r="T186" s="16">
        <f t="shared" ca="1" si="128"/>
        <v>3.7691276564998821</v>
      </c>
      <c r="U186" s="16">
        <f t="shared" ca="1" si="128"/>
        <v>3.8776361425657146</v>
      </c>
      <c r="V186" s="16">
        <f t="shared" ca="1" si="128"/>
        <v>3.9876082859465529</v>
      </c>
      <c r="W186" s="16">
        <f t="shared" ca="1" si="128"/>
        <v>4.0974778097361542</v>
      </c>
      <c r="X186" s="16">
        <f t="shared" ca="1" si="128"/>
        <v>4.2084040298739227</v>
      </c>
    </row>
    <row r="187" spans="1:24" x14ac:dyDescent="0.25">
      <c r="A187" s="11" t="s">
        <v>719</v>
      </c>
      <c r="B187" s="10" t="str">
        <f t="shared" si="127"/>
        <v>From Fiscal Forecasts</v>
      </c>
      <c r="D187" s="35">
        <f>'Fiscal Forecasts'!D$248</f>
        <v>1.64</v>
      </c>
      <c r="E187" s="35">
        <f>'Fiscal Forecasts'!E$248</f>
        <v>1.923</v>
      </c>
      <c r="F187" s="35">
        <f>'Fiscal Forecasts'!F$248</f>
        <v>2.302</v>
      </c>
      <c r="G187" s="35">
        <f>'Fiscal Forecasts'!G$248</f>
        <v>2.3860000000000001</v>
      </c>
      <c r="H187" s="35">
        <f>'Fiscal Forecasts'!H$248</f>
        <v>2.3490000000000002</v>
      </c>
      <c r="I187" s="35">
        <f>'Fiscal Forecasts'!I$248</f>
        <v>2.411</v>
      </c>
      <c r="J187" s="17">
        <f>'Fiscal Forecasts'!J$248</f>
        <v>2.3039999999999998</v>
      </c>
      <c r="K187" s="17">
        <f>'Fiscal Forecasts'!K$248</f>
        <v>2.35</v>
      </c>
      <c r="L187" s="17">
        <f>'Fiscal Forecasts'!L$248</f>
        <v>2.3180000000000001</v>
      </c>
      <c r="M187" s="17">
        <f>'Fiscal Forecasts'!M$248</f>
        <v>2.3109999999999999</v>
      </c>
      <c r="N187" s="17">
        <f>'Fiscal Forecasts'!N$248</f>
        <v>2.1859999999999999</v>
      </c>
      <c r="O187" s="16">
        <f ca="1">N$187*(1+O$19)*(1+O$29)</f>
        <v>2.2573416370697479</v>
      </c>
      <c r="P187" s="16">
        <f t="shared" ref="P187:X187" ca="1" si="129">O$187*(1+P$19)*(1+P$29)</f>
        <v>2.3293581724064798</v>
      </c>
      <c r="Q187" s="16">
        <f t="shared" ca="1" si="129"/>
        <v>2.4022404771194084</v>
      </c>
      <c r="R187" s="16">
        <f t="shared" ca="1" si="129"/>
        <v>2.4753346268006067</v>
      </c>
      <c r="S187" s="16">
        <f t="shared" ca="1" si="129"/>
        <v>2.5490285880091546</v>
      </c>
      <c r="T187" s="16">
        <f t="shared" ca="1" si="129"/>
        <v>2.6231496520562692</v>
      </c>
      <c r="U187" s="16">
        <f t="shared" ca="1" si="129"/>
        <v>2.6986668601237347</v>
      </c>
      <c r="V187" s="16">
        <f t="shared" ca="1" si="129"/>
        <v>2.7752027103085521</v>
      </c>
      <c r="W187" s="16">
        <f t="shared" ca="1" si="129"/>
        <v>2.8516671417011241</v>
      </c>
      <c r="X187" s="16">
        <f t="shared" ca="1" si="129"/>
        <v>2.9288669879988514</v>
      </c>
    </row>
    <row r="188" spans="1:24" x14ac:dyDescent="0.25">
      <c r="A188" s="11" t="s">
        <v>720</v>
      </c>
      <c r="B188" s="10" t="str">
        <f t="shared" si="127"/>
        <v>From Fiscal Forecasts</v>
      </c>
      <c r="C188" s="13"/>
      <c r="D188" s="35">
        <f>'Fiscal Forecasts'!D$249</f>
        <v>2.351</v>
      </c>
      <c r="E188" s="35">
        <f>'Fiscal Forecasts'!E$249</f>
        <v>14.971</v>
      </c>
      <c r="F188" s="35">
        <f>'Fiscal Forecasts'!F$249</f>
        <v>5.0529999999999999</v>
      </c>
      <c r="G188" s="35">
        <f>'Fiscal Forecasts'!G$249</f>
        <v>11.973000000000001</v>
      </c>
      <c r="H188" s="35">
        <f>'Fiscal Forecasts'!H$249</f>
        <v>4.1159999999999997</v>
      </c>
      <c r="I188" s="35">
        <f>'Fiscal Forecasts'!I$249</f>
        <v>3.7759999999999998</v>
      </c>
      <c r="J188" s="17">
        <f>'Fiscal Forecasts'!J$249</f>
        <v>4.0570000000000004</v>
      </c>
      <c r="K188" s="17">
        <f>'Fiscal Forecasts'!K$249</f>
        <v>4.3849999999999998</v>
      </c>
      <c r="L188" s="17">
        <f>'Fiscal Forecasts'!L$249</f>
        <v>4.4329999999999998</v>
      </c>
      <c r="M188" s="17">
        <f>'Fiscal Forecasts'!M$249</f>
        <v>4.5750000000000002</v>
      </c>
      <c r="N188" s="17">
        <f>'Fiscal Forecasts'!N$249</f>
        <v>4.6130000000000004</v>
      </c>
      <c r="O188" s="16">
        <f ca="1">N$188*(1+O$19)*(1+O$29)</f>
        <v>4.7635484774943953</v>
      </c>
      <c r="P188" s="16">
        <f t="shared" ref="P188:X188" ca="1" si="130">O$188*(1+P$19)*(1+P$29)</f>
        <v>4.9155211570499056</v>
      </c>
      <c r="Q188" s="16">
        <f t="shared" ca="1" si="130"/>
        <v>5.0693208238571978</v>
      </c>
      <c r="R188" s="16">
        <f t="shared" ca="1" si="130"/>
        <v>5.2235675358788667</v>
      </c>
      <c r="S188" s="16">
        <f t="shared" ca="1" si="130"/>
        <v>5.379079998392605</v>
      </c>
      <c r="T188" s="16">
        <f t="shared" ca="1" si="130"/>
        <v>5.5354937534014512</v>
      </c>
      <c r="U188" s="16">
        <f t="shared" ca="1" si="130"/>
        <v>5.694853717177855</v>
      </c>
      <c r="V188" s="16">
        <f t="shared" ca="1" si="130"/>
        <v>5.856363267453502</v>
      </c>
      <c r="W188" s="16">
        <f t="shared" ca="1" si="130"/>
        <v>6.0177221064351736</v>
      </c>
      <c r="X188" s="16">
        <f t="shared" ca="1" si="130"/>
        <v>6.1806328525337175</v>
      </c>
    </row>
    <row r="189" spans="1:24" x14ac:dyDescent="0.25">
      <c r="A189" s="9" t="s">
        <v>950</v>
      </c>
      <c r="B189" s="10"/>
      <c r="C189" s="13"/>
      <c r="D189" s="65">
        <f t="shared" ref="D189:O189" si="131">SUM(D$182:D$188)</f>
        <v>25.844000000000001</v>
      </c>
      <c r="E189" s="65">
        <f t="shared" si="131"/>
        <v>40.411000000000001</v>
      </c>
      <c r="F189" s="65">
        <f t="shared" si="131"/>
        <v>33.116999999999997</v>
      </c>
      <c r="G189" s="65">
        <f t="shared" si="131"/>
        <v>41.74</v>
      </c>
      <c r="H189" s="65">
        <f t="shared" si="131"/>
        <v>36.31</v>
      </c>
      <c r="I189" s="65">
        <f t="shared" si="131"/>
        <v>39.195000000000007</v>
      </c>
      <c r="J189" s="66">
        <f t="shared" si="131"/>
        <v>42.110000000000007</v>
      </c>
      <c r="K189" s="66">
        <f t="shared" si="131"/>
        <v>44.347999999999999</v>
      </c>
      <c r="L189" s="66">
        <f t="shared" si="131"/>
        <v>45.815999999999988</v>
      </c>
      <c r="M189" s="66">
        <f t="shared" si="131"/>
        <v>47.45600000000001</v>
      </c>
      <c r="N189" s="66">
        <f t="shared" si="131"/>
        <v>48.509</v>
      </c>
      <c r="O189" s="67">
        <f t="shared" ca="1" si="131"/>
        <v>50.490913018272991</v>
      </c>
      <c r="P189" s="67">
        <f t="shared" ref="P189:X189" ca="1" si="132">SUM(P$182:P$188)</f>
        <v>52.702023636910113</v>
      </c>
      <c r="Q189" s="67">
        <f t="shared" ca="1" si="132"/>
        <v>55.018357655293691</v>
      </c>
      <c r="R189" s="67">
        <f t="shared" ca="1" si="132"/>
        <v>57.423818595276281</v>
      </c>
      <c r="S189" s="67">
        <f t="shared" ca="1" si="132"/>
        <v>59.916721333202943</v>
      </c>
      <c r="T189" s="67">
        <f t="shared" ca="1" si="132"/>
        <v>62.453359441889745</v>
      </c>
      <c r="U189" s="67">
        <f t="shared" ca="1" si="132"/>
        <v>65.091251400826664</v>
      </c>
      <c r="V189" s="67">
        <f t="shared" ca="1" si="132"/>
        <v>67.762641807360438</v>
      </c>
      <c r="W189" s="67">
        <f t="shared" ca="1" si="132"/>
        <v>70.403795625819171</v>
      </c>
      <c r="X189" s="67">
        <f t="shared" ca="1" si="132"/>
        <v>73.022102015896422</v>
      </c>
    </row>
    <row r="190" spans="1:24" x14ac:dyDescent="0.25">
      <c r="A190" s="11" t="s">
        <v>721</v>
      </c>
      <c r="B190" s="10" t="str">
        <f t="shared" si="127"/>
        <v>From Fiscal Forecasts</v>
      </c>
      <c r="C190" s="13"/>
      <c r="D190" s="35">
        <f>'Fiscal Forecasts'!D$250</f>
        <v>0.58299999999999996</v>
      </c>
      <c r="E190" s="35">
        <f>'Fiscal Forecasts'!E$250</f>
        <v>0.56699999999999995</v>
      </c>
      <c r="F190" s="35">
        <f>'Fiscal Forecasts'!F$250</f>
        <v>0.59</v>
      </c>
      <c r="G190" s="35">
        <f>'Fiscal Forecasts'!G$250</f>
        <v>0.55600000000000005</v>
      </c>
      <c r="H190" s="35">
        <f>'Fiscal Forecasts'!H$250</f>
        <v>0.52500000000000002</v>
      </c>
      <c r="I190" s="35">
        <f>'Fiscal Forecasts'!I$250</f>
        <v>0.52600000000000002</v>
      </c>
      <c r="J190" s="17">
        <f>'Fiscal Forecasts'!J$250</f>
        <v>0.57799999999999996</v>
      </c>
      <c r="K190" s="17">
        <f>'Fiscal Forecasts'!K$250</f>
        <v>0.63500000000000001</v>
      </c>
      <c r="L190" s="17">
        <f>'Fiscal Forecasts'!L$250</f>
        <v>0.64</v>
      </c>
      <c r="M190" s="17">
        <f>'Fiscal Forecasts'!M$250</f>
        <v>0.63700000000000001</v>
      </c>
      <c r="N190" s="17">
        <f>'Fiscal Forecasts'!N$250</f>
        <v>0.628</v>
      </c>
      <c r="O190" s="16">
        <f ca="1">N$190*(1+'Population Treasury'!Z$304)*(1+O$29)</f>
        <v>0.64562485974176986</v>
      </c>
      <c r="P190" s="16">
        <f ca="1">O$190*(1+'Population Treasury'!AA$304)*(1+P$29)</f>
        <v>0.66194568964686296</v>
      </c>
      <c r="Q190" s="16">
        <f ca="1">P$190*(1+'Population Treasury'!AB$304)*(1+Q$29)</f>
        <v>0.67712377808722313</v>
      </c>
      <c r="R190" s="16">
        <f ca="1">Q$190*(1+'Population Treasury'!AC$304)*(1+R$29)</f>
        <v>0.69245219913184963</v>
      </c>
      <c r="S190" s="16">
        <f ca="1">R$190*(1+'Population Treasury'!AD$304)*(1+S$29)</f>
        <v>0.70825442012990725</v>
      </c>
      <c r="T190" s="16">
        <f ca="1">S$190*(1+'Population Treasury'!AE$304)*(1+T$29)</f>
        <v>0.72507180469317367</v>
      </c>
      <c r="U190" s="16">
        <f ca="1">T$190*(1+'Population Treasury'!AF$304)*(1+U$29)</f>
        <v>0.74154264390725988</v>
      </c>
      <c r="V190" s="16">
        <f ca="1">U$190*(1+'Population Treasury'!AG$304)*(1+V$29)</f>
        <v>0.75822655773090308</v>
      </c>
      <c r="W190" s="16">
        <f ca="1">V$190*(1+'Population Treasury'!AH$304)*(1+W$29)</f>
        <v>0.77527296537521928</v>
      </c>
      <c r="X190" s="16">
        <f ca="1">W$190*(1+'Population Treasury'!AI$304)*(1+X$29)</f>
        <v>0.79306000206523053</v>
      </c>
    </row>
    <row r="191" spans="1:24" x14ac:dyDescent="0.25">
      <c r="A191" s="9" t="s">
        <v>951</v>
      </c>
      <c r="B191" s="10"/>
      <c r="C191" s="13"/>
      <c r="D191" s="65">
        <f t="shared" ref="D191:O191" si="133">SUM(D$189:D$190)</f>
        <v>26.427</v>
      </c>
      <c r="E191" s="65">
        <f t="shared" si="133"/>
        <v>40.978000000000002</v>
      </c>
      <c r="F191" s="65">
        <f t="shared" si="133"/>
        <v>33.707000000000001</v>
      </c>
      <c r="G191" s="65">
        <f t="shared" si="133"/>
        <v>42.295999999999999</v>
      </c>
      <c r="H191" s="65">
        <f t="shared" si="133"/>
        <v>36.835000000000001</v>
      </c>
      <c r="I191" s="65">
        <f t="shared" si="133"/>
        <v>39.721000000000011</v>
      </c>
      <c r="J191" s="66">
        <f t="shared" si="133"/>
        <v>42.688000000000009</v>
      </c>
      <c r="K191" s="66">
        <f t="shared" si="133"/>
        <v>44.982999999999997</v>
      </c>
      <c r="L191" s="66">
        <f t="shared" si="133"/>
        <v>46.455999999999989</v>
      </c>
      <c r="M191" s="66">
        <f t="shared" si="133"/>
        <v>48.093000000000011</v>
      </c>
      <c r="N191" s="66">
        <f t="shared" si="133"/>
        <v>49.137</v>
      </c>
      <c r="O191" s="67">
        <f t="shared" ca="1" si="133"/>
        <v>51.136537878014764</v>
      </c>
      <c r="P191" s="67">
        <f t="shared" ref="P191:X191" ca="1" si="134">SUM(P$189:P$190)</f>
        <v>53.363969326556976</v>
      </c>
      <c r="Q191" s="67">
        <f t="shared" ca="1" si="134"/>
        <v>55.695481433380913</v>
      </c>
      <c r="R191" s="67">
        <f t="shared" ca="1" si="134"/>
        <v>58.11627079440813</v>
      </c>
      <c r="S191" s="67">
        <f t="shared" ca="1" si="134"/>
        <v>60.624975753332848</v>
      </c>
      <c r="T191" s="67">
        <f t="shared" ca="1" si="134"/>
        <v>63.178431246582917</v>
      </c>
      <c r="U191" s="67">
        <f t="shared" ca="1" si="134"/>
        <v>65.83279404473393</v>
      </c>
      <c r="V191" s="67">
        <f t="shared" ca="1" si="134"/>
        <v>68.520868365091346</v>
      </c>
      <c r="W191" s="67">
        <f t="shared" ca="1" si="134"/>
        <v>71.179068591194394</v>
      </c>
      <c r="X191" s="67">
        <f t="shared" ca="1" si="134"/>
        <v>73.815162017961654</v>
      </c>
    </row>
    <row r="192" spans="1:24" x14ac:dyDescent="0.25">
      <c r="A192" s="11" t="s">
        <v>952</v>
      </c>
      <c r="B192" s="10" t="str">
        <f t="shared" si="127"/>
        <v>From Fiscal Forecasts</v>
      </c>
      <c r="C192" s="13"/>
      <c r="D192" s="35">
        <f>'Fiscal Forecasts'!D$251</f>
        <v>0.95099999999999996</v>
      </c>
      <c r="E192" s="35">
        <f>'Fiscal Forecasts'!E$251</f>
        <v>0.89300000000000002</v>
      </c>
      <c r="F192" s="35">
        <f>'Fiscal Forecasts'!F$251</f>
        <v>0.91600000000000004</v>
      </c>
      <c r="G192" s="35">
        <f>'Fiscal Forecasts'!G$251</f>
        <v>0.96399999999999997</v>
      </c>
      <c r="H192" s="35">
        <f>'Fiscal Forecasts'!H$251</f>
        <v>0.997</v>
      </c>
      <c r="I192" s="35">
        <f>'Fiscal Forecasts'!I$251</f>
        <v>1.014</v>
      </c>
      <c r="J192" s="17">
        <f>'Fiscal Forecasts'!J$251</f>
        <v>1.06</v>
      </c>
      <c r="K192" s="17">
        <f>'Fiscal Forecasts'!K$251</f>
        <v>0.54500000000000004</v>
      </c>
      <c r="L192" s="17">
        <f>'Fiscal Forecasts'!L$251</f>
        <v>0.56499999999999995</v>
      </c>
      <c r="M192" s="17">
        <f>'Fiscal Forecasts'!M$251</f>
        <v>0.58799999999999997</v>
      </c>
      <c r="N192" s="17">
        <f>'Fiscal Forecasts'!N$251</f>
        <v>0.61299999999999999</v>
      </c>
      <c r="O192" s="16">
        <f>IF(ISBLANK(Exogenous!Z$37),N$192*(1+O$14),Exogenous!Z$37)</f>
        <v>0.63900000000000001</v>
      </c>
      <c r="P192" s="16">
        <f>IF(ISBLANK(Exogenous!AA$37),O$192*(1+P$14),Exogenous!AA$37)</f>
        <v>0.67</v>
      </c>
      <c r="Q192" s="16">
        <f>IF(ISBLANK(Exogenous!AB$37),P$192*(1+Q$14),Exogenous!AB$37)</f>
        <v>0.7</v>
      </c>
      <c r="R192" s="16">
        <f ca="1">IF(ISBLANK(Exogenous!AC$37),Q$192*(1+R$14),Exogenous!AC$37)</f>
        <v>0.72756355019879493</v>
      </c>
      <c r="S192" s="16">
        <f ca="1">IF(ISBLANK(Exogenous!AD$37),R$192*(1+S$14),Exogenous!AD$37)</f>
        <v>0.75573486733594508</v>
      </c>
      <c r="T192" s="16">
        <f ca="1">IF(ISBLANK(Exogenous!AE$37),S$192*(1+T$14),Exogenous!AE$37)</f>
        <v>0.78447095946271272</v>
      </c>
      <c r="U192" s="16">
        <f ca="1">IF(ISBLANK(Exogenous!AF$37),T$192*(1+U$14),Exogenous!AF$37)</f>
        <v>0.81359019140303346</v>
      </c>
      <c r="V192" s="16">
        <f ca="1">IF(ISBLANK(Exogenous!AG$37),U$192*(1+V$14),Exogenous!AG$37)</f>
        <v>0.84314722537661679</v>
      </c>
      <c r="W192" s="16">
        <f ca="1">IF(ISBLANK(Exogenous!AH$37),V$192*(1+W$14),Exogenous!AH$37)</f>
        <v>0.87314096019223619</v>
      </c>
      <c r="X192" s="16">
        <f ca="1">IF(ISBLANK(Exogenous!AI$37),W$192*(1+X$14),Exogenous!AI$37)</f>
        <v>0.90379741452028528</v>
      </c>
    </row>
    <row r="193" spans="1:24" x14ac:dyDescent="0.25">
      <c r="A193" s="11" t="s">
        <v>723</v>
      </c>
      <c r="B193" s="10" t="str">
        <f t="shared" si="127"/>
        <v>From Fiscal Forecasts</v>
      </c>
      <c r="C193" s="13"/>
      <c r="D193" s="35">
        <f>'Fiscal Forecasts'!D$252</f>
        <v>0.70799999999999996</v>
      </c>
      <c r="E193" s="35">
        <f>'Fiscal Forecasts'!E$252</f>
        <v>0.73599999999999999</v>
      </c>
      <c r="F193" s="35">
        <f>'Fiscal Forecasts'!F$252</f>
        <v>0.80400000000000005</v>
      </c>
      <c r="G193" s="35">
        <f>'Fiscal Forecasts'!G$252</f>
        <v>0.82699999999999996</v>
      </c>
      <c r="H193" s="35">
        <f>'Fiscal Forecasts'!H$252</f>
        <v>0.97099999999999997</v>
      </c>
      <c r="I193" s="35">
        <f>'Fiscal Forecasts'!I$252</f>
        <v>1.202</v>
      </c>
      <c r="J193" s="17">
        <f>'Fiscal Forecasts'!J$252</f>
        <v>1.1160000000000001</v>
      </c>
      <c r="K193" s="17">
        <f>'Fiscal Forecasts'!K$252</f>
        <v>0.995</v>
      </c>
      <c r="L193" s="17">
        <f>'Fiscal Forecasts'!L$252</f>
        <v>0.94099999999999995</v>
      </c>
      <c r="M193" s="17">
        <f>'Fiscal Forecasts'!M$252</f>
        <v>0.94099999999999995</v>
      </c>
      <c r="N193" s="17">
        <f>'Fiscal Forecasts'!N$252</f>
        <v>0.94099999999999995</v>
      </c>
      <c r="O193" s="16">
        <f t="shared" ref="O193:X193" si="135">N$193</f>
        <v>0.94099999999999995</v>
      </c>
      <c r="P193" s="16">
        <f t="shared" si="135"/>
        <v>0.94099999999999995</v>
      </c>
      <c r="Q193" s="16">
        <f t="shared" si="135"/>
        <v>0.94099999999999995</v>
      </c>
      <c r="R193" s="16">
        <f t="shared" si="135"/>
        <v>0.94099999999999995</v>
      </c>
      <c r="S193" s="16">
        <f t="shared" si="135"/>
        <v>0.94099999999999995</v>
      </c>
      <c r="T193" s="16">
        <f t="shared" si="135"/>
        <v>0.94099999999999995</v>
      </c>
      <c r="U193" s="16">
        <f t="shared" si="135"/>
        <v>0.94099999999999995</v>
      </c>
      <c r="V193" s="16">
        <f t="shared" si="135"/>
        <v>0.94099999999999995</v>
      </c>
      <c r="W193" s="16">
        <f t="shared" si="135"/>
        <v>0.94099999999999995</v>
      </c>
      <c r="X193" s="16">
        <f t="shared" si="135"/>
        <v>0.94099999999999995</v>
      </c>
    </row>
    <row r="194" spans="1:24" x14ac:dyDescent="0.25">
      <c r="A194" s="9" t="s">
        <v>957</v>
      </c>
      <c r="B194" s="10"/>
      <c r="C194" s="13"/>
      <c r="D194" s="65">
        <f t="shared" ref="D194:X194" si="136">SUM(D$191:D$193)</f>
        <v>28.085999999999999</v>
      </c>
      <c r="E194" s="65">
        <f t="shared" si="136"/>
        <v>42.606999999999999</v>
      </c>
      <c r="F194" s="65">
        <f t="shared" si="136"/>
        <v>35.427</v>
      </c>
      <c r="G194" s="65">
        <f t="shared" si="136"/>
        <v>44.086999999999996</v>
      </c>
      <c r="H194" s="65">
        <f t="shared" si="136"/>
        <v>38.802999999999997</v>
      </c>
      <c r="I194" s="65">
        <f t="shared" si="136"/>
        <v>41.937000000000012</v>
      </c>
      <c r="J194" s="66">
        <f t="shared" si="136"/>
        <v>44.864000000000011</v>
      </c>
      <c r="K194" s="66">
        <f t="shared" si="136"/>
        <v>46.522999999999996</v>
      </c>
      <c r="L194" s="66">
        <f t="shared" si="136"/>
        <v>47.961999999999989</v>
      </c>
      <c r="M194" s="66">
        <f t="shared" si="136"/>
        <v>49.622000000000014</v>
      </c>
      <c r="N194" s="66">
        <f t="shared" si="136"/>
        <v>50.691000000000003</v>
      </c>
      <c r="O194" s="67">
        <f t="shared" ca="1" si="136"/>
        <v>52.716537878014769</v>
      </c>
      <c r="P194" s="67">
        <f t="shared" ca="1" si="136"/>
        <v>54.97496932655698</v>
      </c>
      <c r="Q194" s="67">
        <f t="shared" ca="1" si="136"/>
        <v>57.336481433380918</v>
      </c>
      <c r="R194" s="67">
        <f t="shared" ca="1" si="136"/>
        <v>59.784834344606928</v>
      </c>
      <c r="S194" s="67">
        <f t="shared" ca="1" si="136"/>
        <v>62.321710620668796</v>
      </c>
      <c r="T194" s="67">
        <f t="shared" ca="1" si="136"/>
        <v>64.903902206045629</v>
      </c>
      <c r="U194" s="67">
        <f t="shared" ca="1" si="136"/>
        <v>67.58738423613697</v>
      </c>
      <c r="V194" s="67">
        <f t="shared" ca="1" si="136"/>
        <v>70.30501559046796</v>
      </c>
      <c r="W194" s="67">
        <f t="shared" ca="1" si="136"/>
        <v>72.993209551386627</v>
      </c>
      <c r="X194" s="67">
        <f t="shared" ca="1" si="136"/>
        <v>75.659959432481941</v>
      </c>
    </row>
    <row r="195" spans="1:24" x14ac:dyDescent="0.25">
      <c r="A195" s="9" t="s">
        <v>1098</v>
      </c>
      <c r="B195" s="10" t="str">
        <f t="shared" si="127"/>
        <v>From Fiscal Forecasts</v>
      </c>
      <c r="C195" s="13"/>
      <c r="D195" s="42">
        <f>'Fiscal Forecasts'!D$170</f>
        <v>29.015000000000001</v>
      </c>
      <c r="E195" s="42">
        <f>'Fiscal Forecasts'!E$170</f>
        <v>43.616</v>
      </c>
      <c r="F195" s="42">
        <f>'Fiscal Forecasts'!F$170</f>
        <v>36.521000000000001</v>
      </c>
      <c r="G195" s="42">
        <f>'Fiscal Forecasts'!G$170</f>
        <v>45.265999999999998</v>
      </c>
      <c r="H195" s="42">
        <f>'Fiscal Forecasts'!H$170</f>
        <v>40.003</v>
      </c>
      <c r="I195" s="42">
        <f>'Fiscal Forecasts'!I$170</f>
        <v>43.265000000000001</v>
      </c>
      <c r="J195" s="43">
        <f>'Fiscal Forecasts'!J$170</f>
        <v>46.338000000000001</v>
      </c>
      <c r="K195" s="43">
        <f>'Fiscal Forecasts'!K$170</f>
        <v>48.189</v>
      </c>
      <c r="L195" s="43">
        <f>'Fiscal Forecasts'!L$170</f>
        <v>49.661999999999999</v>
      </c>
      <c r="M195" s="43">
        <f>'Fiscal Forecasts'!M$170</f>
        <v>51.345999999999997</v>
      </c>
      <c r="N195" s="43">
        <f>'Fiscal Forecasts'!N$170</f>
        <v>52.415999999999997</v>
      </c>
      <c r="O195" s="47">
        <f t="shared" ref="O195:X195" ca="1" si="137">O$194</f>
        <v>52.716537878014769</v>
      </c>
      <c r="P195" s="47">
        <f t="shared" ca="1" si="137"/>
        <v>54.97496932655698</v>
      </c>
      <c r="Q195" s="47">
        <f t="shared" ca="1" si="137"/>
        <v>57.336481433380918</v>
      </c>
      <c r="R195" s="47">
        <f t="shared" ca="1" si="137"/>
        <v>59.784834344606928</v>
      </c>
      <c r="S195" s="47">
        <f t="shared" ca="1" si="137"/>
        <v>62.321710620668796</v>
      </c>
      <c r="T195" s="47">
        <f t="shared" ca="1" si="137"/>
        <v>64.903902206045629</v>
      </c>
      <c r="U195" s="47">
        <f t="shared" ca="1" si="137"/>
        <v>67.58738423613697</v>
      </c>
      <c r="V195" s="47">
        <f t="shared" ca="1" si="137"/>
        <v>70.30501559046796</v>
      </c>
      <c r="W195" s="47">
        <f t="shared" ca="1" si="137"/>
        <v>72.993209551386627</v>
      </c>
      <c r="X195" s="47">
        <f t="shared" ca="1" si="137"/>
        <v>75.659959432481941</v>
      </c>
    </row>
    <row r="196" spans="1:24" x14ac:dyDescent="0.25">
      <c r="A196" s="11" t="s">
        <v>953</v>
      </c>
      <c r="B196" s="10" t="str">
        <f t="shared" si="127"/>
        <v>From Fiscal Forecasts</v>
      </c>
      <c r="C196" s="64" cm="1">
        <f t="array" aca="1" ref="C196" ca="1">SUMPRODUCT(OFFSET($N$196,0,0,1,-OFFSET(Assumptions!$B$59,0,$C$1))/OFFSET($N$13,0,0,1,-OFFSET(Assumptions!$B$59,0,$C$1)))/OFFSET(Assumptions!$B$59,0,$C$1)</f>
        <v>1.1282140096802045E-2</v>
      </c>
      <c r="D196" s="35">
        <f>'Fiscal Forecasts'!D$57-D$189</f>
        <v>2.8959999999999972</v>
      </c>
      <c r="E196" s="35">
        <f>'Fiscal Forecasts'!E$57-E$189</f>
        <v>3.6169999999999973</v>
      </c>
      <c r="F196" s="35">
        <f>'Fiscal Forecasts'!F$57-F$189</f>
        <v>3.642000000000003</v>
      </c>
      <c r="G196" s="35">
        <f>'Fiscal Forecasts'!G$57-G$189</f>
        <v>1.1199999999999974</v>
      </c>
      <c r="H196" s="35">
        <f>'Fiscal Forecasts'!H$57-H$189</f>
        <v>5.2040000000000006</v>
      </c>
      <c r="I196" s="35">
        <f>'Fiscal Forecasts'!I$57-I$189</f>
        <v>5.3939999999999912</v>
      </c>
      <c r="J196" s="17">
        <f ca="1">'Fiscal Forecasts'!J$57-J$189+IF(OFFSET(Assumptions!$B$56,0,$C$1)="Yes",Allocation!C$14,0)</f>
        <v>5.4269999999999907</v>
      </c>
      <c r="K196" s="17">
        <f ca="1">'Fiscal Forecasts'!K$57-K$189+IF(OFFSET(Assumptions!$B$56,0,$C$1)="Yes",Allocation!D$14,0)</f>
        <v>5.8540000000000028</v>
      </c>
      <c r="L196" s="17">
        <f ca="1">'Fiscal Forecasts'!L$57-L$189+IF(OFFSET(Assumptions!$B$56,0,$C$1)="Yes",Allocation!E$14,0)</f>
        <v>6.0310000000000139</v>
      </c>
      <c r="M196" s="17">
        <f ca="1">'Fiscal Forecasts'!M$57-M$189+IF(OFFSET(Assumptions!$B$56,0,$C$1)="Yes",Allocation!F$14,0)</f>
        <v>6.0859999999999896</v>
      </c>
      <c r="N196" s="17">
        <f ca="1">'Fiscal Forecasts'!N$57-N$189+IF(OFFSET(Assumptions!$B$56,0,$C$1)="Yes",Allocation!G$14,0)</f>
        <v>6.2429999999999977</v>
      </c>
      <c r="O196" s="16">
        <f ca="1">IF(OFFSET(Assumptions!$B$57,0,$C$1)="Yes",$N$196+Allocation!$B$14*SUM($O$247:O$247),IF(OFFSET(Assumptions!$B$58,0,$C$1)="Yes",(N$196/N$13+MIN(ABS($C$196-N$196/N$13),OFFSET(Assumptions!$B$60,0,$C$1))*SIGN($C$196-N$196/N$13))*O$13,$N$196))</f>
        <v>6.2390018272215935</v>
      </c>
      <c r="P196" s="16">
        <f ca="1">IF(OFFSET(Assumptions!$B$57,0,$C$1)="Yes",$N$196+Allocation!$B$14*SUM($O$247:P$247),IF(OFFSET(Assumptions!$B$58,0,$C$1)="Yes",(O$196/O$13+MIN(ABS($C$196-O$196/O$13),OFFSET(Assumptions!$B$60,0,$C$1))*SIGN($C$196-O$196/O$13))*P$13,$N$196))</f>
        <v>6.431440131465572</v>
      </c>
      <c r="Q196" s="16">
        <f ca="1">IF(OFFSET(Assumptions!$B$57,0,$C$1)="Yes",$N$196+Allocation!$B$14*SUM($O$247:Q$247),IF(OFFSET(Assumptions!$B$58,0,$C$1)="Yes",(P$196/P$13+MIN(ABS($C$196-P$196/P$13),OFFSET(Assumptions!$B$60,0,$C$1))*SIGN($C$196-P$196/P$13))*Q$13,$N$196))</f>
        <v>6.6950928277190922</v>
      </c>
      <c r="R196" s="16">
        <f ca="1">IF(OFFSET(Assumptions!$B$57,0,$C$1)="Yes",$N$196+Allocation!$B$14*SUM($O$247:R$247),IF(OFFSET(Assumptions!$B$58,0,$C$1)="Yes",(Q$196/Q$13+MIN(ABS($C$196-Q$196/Q$13),OFFSET(Assumptions!$B$60,0,$C$1))*SIGN($C$196-Q$196/Q$13))*R$13,$N$196))</f>
        <v>6.9587221523511307</v>
      </c>
      <c r="S196" s="16">
        <f ca="1">IF(OFFSET(Assumptions!$B$57,0,$C$1)="Yes",$N$196+Allocation!$B$14*SUM($O$247:S$247),IF(OFFSET(Assumptions!$B$58,0,$C$1)="Yes",(R$196/R$13+MIN(ABS($C$196-R$196/R$13),OFFSET(Assumptions!$B$60,0,$C$1))*SIGN($C$196-R$196/R$13))*S$13,$N$196))</f>
        <v>7.2281644142258941</v>
      </c>
      <c r="T196" s="16">
        <f ca="1">IF(OFFSET(Assumptions!$B$57,0,$C$1)="Yes",$N$196+Allocation!$B$14*SUM($O$247:T$247),IF(OFFSET(Assumptions!$B$58,0,$C$1)="Yes",(S$196/S$13+MIN(ABS($C$196-S$196/S$13),OFFSET(Assumptions!$B$60,0,$C$1))*SIGN($C$196-S$196/S$13))*T$13,$N$196))</f>
        <v>7.5030084203610334</v>
      </c>
      <c r="U196" s="16">
        <f ca="1">IF(OFFSET(Assumptions!$B$57,0,$C$1)="Yes",$N$196+Allocation!$B$14*SUM($O$247:U$247),IF(OFFSET(Assumptions!$B$58,0,$C$1)="Yes",(T$196/T$13+MIN(ABS($C$196-T$196/T$13),OFFSET(Assumptions!$B$60,0,$C$1))*SIGN($C$196-T$196/T$13))*U$13,$N$196))</f>
        <v>7.7815169359500755</v>
      </c>
      <c r="V196" s="16">
        <f ca="1">IF(OFFSET(Assumptions!$B$57,0,$C$1)="Yes",$N$196+Allocation!$B$14*SUM($O$247:V$247),IF(OFFSET(Assumptions!$B$58,0,$C$1)="Yes",(U$196/U$13+MIN(ABS($C$196-U$196/U$13),OFFSET(Assumptions!$B$60,0,$C$1))*SIGN($C$196-U$196/U$13))*V$13,$N$196))</f>
        <v>8.0642127733289151</v>
      </c>
      <c r="W196" s="16">
        <f ca="1">IF(OFFSET(Assumptions!$B$57,0,$C$1)="Yes",$N$196+Allocation!$B$14*SUM($O$247:W$247),IF(OFFSET(Assumptions!$B$58,0,$C$1)="Yes",(V$196/V$13+MIN(ABS($C$196-V$196/V$13),OFFSET(Assumptions!$B$60,0,$C$1))*SIGN($C$196-V$196/V$13))*W$13,$N$196))</f>
        <v>8.3510854002440027</v>
      </c>
      <c r="X196" s="16">
        <f ca="1">IF(OFFSET(Assumptions!$B$57,0,$C$1)="Yes",$N$196+Allocation!$B$14*SUM($O$247:X$247),IF(OFFSET(Assumptions!$B$58,0,$C$1)="Yes",(W$196/W$13+MIN(ABS($C$196-W$196/W$13),OFFSET(Assumptions!$B$60,0,$C$1))*SIGN($C$196-W$196/W$13))*X$13,$N$196))</f>
        <v>8.6442965538083172</v>
      </c>
    </row>
    <row r="197" spans="1:24" x14ac:dyDescent="0.25">
      <c r="A197" s="9" t="s">
        <v>954</v>
      </c>
      <c r="B197" s="10"/>
      <c r="C197" s="13"/>
      <c r="D197" s="42">
        <f t="shared" ref="D197:X197" si="138">SUM(D$189,D$196)</f>
        <v>28.74</v>
      </c>
      <c r="E197" s="42">
        <f t="shared" si="138"/>
        <v>44.027999999999999</v>
      </c>
      <c r="F197" s="42">
        <f t="shared" si="138"/>
        <v>36.759</v>
      </c>
      <c r="G197" s="42">
        <f t="shared" si="138"/>
        <v>42.86</v>
      </c>
      <c r="H197" s="42">
        <f t="shared" si="138"/>
        <v>41.514000000000003</v>
      </c>
      <c r="I197" s="42">
        <f t="shared" si="138"/>
        <v>44.588999999999999</v>
      </c>
      <c r="J197" s="43">
        <f t="shared" ca="1" si="138"/>
        <v>47.536999999999999</v>
      </c>
      <c r="K197" s="43">
        <f t="shared" ca="1" si="138"/>
        <v>50.201999999999998</v>
      </c>
      <c r="L197" s="43">
        <f t="shared" ca="1" si="138"/>
        <v>51.847000000000001</v>
      </c>
      <c r="M197" s="43">
        <f t="shared" ca="1" si="138"/>
        <v>53.542000000000002</v>
      </c>
      <c r="N197" s="43">
        <f t="shared" ca="1" si="138"/>
        <v>54.751999999999995</v>
      </c>
      <c r="O197" s="47">
        <f t="shared" ca="1" si="138"/>
        <v>56.729914845494584</v>
      </c>
      <c r="P197" s="47">
        <f t="shared" ca="1" si="138"/>
        <v>59.133463768375684</v>
      </c>
      <c r="Q197" s="47">
        <f t="shared" ca="1" si="138"/>
        <v>61.713450483012785</v>
      </c>
      <c r="R197" s="47">
        <f t="shared" ca="1" si="138"/>
        <v>64.382540747627417</v>
      </c>
      <c r="S197" s="47">
        <f t="shared" ca="1" si="138"/>
        <v>67.144885747428845</v>
      </c>
      <c r="T197" s="47">
        <f t="shared" ca="1" si="138"/>
        <v>69.956367862250772</v>
      </c>
      <c r="U197" s="47">
        <f t="shared" ca="1" si="138"/>
        <v>72.872768336776744</v>
      </c>
      <c r="V197" s="47">
        <f t="shared" ca="1" si="138"/>
        <v>75.826854580689357</v>
      </c>
      <c r="W197" s="47">
        <f t="shared" ca="1" si="138"/>
        <v>78.754881026063174</v>
      </c>
      <c r="X197" s="47">
        <f t="shared" ca="1" si="138"/>
        <v>81.666398569704739</v>
      </c>
    </row>
    <row r="198" spans="1:24" x14ac:dyDescent="0.25">
      <c r="A198" s="11" t="s">
        <v>955</v>
      </c>
      <c r="B198" s="10" t="str">
        <f t="shared" ref="B198:B199" si="139">$B$38</f>
        <v>From Fiscal Forecasts</v>
      </c>
      <c r="C198" s="13"/>
      <c r="D198" s="35">
        <f>'Fiscal Forecasts'!D$206</f>
        <v>6.6790000000000003</v>
      </c>
      <c r="E198" s="35">
        <f>'Fiscal Forecasts'!E$206</f>
        <v>7.6630000000000003</v>
      </c>
      <c r="F198" s="35">
        <f>'Fiscal Forecasts'!F$206</f>
        <v>7.968</v>
      </c>
      <c r="G198" s="35">
        <f>'Fiscal Forecasts'!G$206</f>
        <v>7.3879999999999999</v>
      </c>
      <c r="H198" s="35">
        <f>'Fiscal Forecasts'!H$206</f>
        <v>9.3290000000000006</v>
      </c>
      <c r="I198" s="35">
        <f>'Fiscal Forecasts'!I$206</f>
        <v>11.634</v>
      </c>
      <c r="J198" s="17">
        <f>'Fiscal Forecasts'!J$206</f>
        <v>12.664999999999999</v>
      </c>
      <c r="K198" s="17">
        <f>'Fiscal Forecasts'!K$206</f>
        <v>12.111000000000001</v>
      </c>
      <c r="L198" s="17">
        <f>'Fiscal Forecasts'!L$206</f>
        <v>12.856</v>
      </c>
      <c r="M198" s="17">
        <f>'Fiscal Forecasts'!M$206</f>
        <v>13.465</v>
      </c>
      <c r="N198" s="17">
        <f>'Fiscal Forecasts'!N$206</f>
        <v>13.920999999999999</v>
      </c>
      <c r="O198" s="16">
        <f>N$198*Exogenous!Z$28/Exogenous!Y$28</f>
        <v>14.741060183307349</v>
      </c>
      <c r="P198" s="16">
        <f>O$198*Exogenous!AA$28/Exogenous!Z$28</f>
        <v>15.609291136995271</v>
      </c>
      <c r="Q198" s="16">
        <f>P$198*Exogenous!AB$28/Exogenous!AA$28</f>
        <v>16.498221635934527</v>
      </c>
      <c r="R198" s="16">
        <f>Q$198*Exogenous!AC$28/Exogenous!AB$28</f>
        <v>17.390181269487861</v>
      </c>
      <c r="S198" s="16">
        <f>R$198*Exogenous!AD$28/Exogenous!AC$28</f>
        <v>18.295203937066184</v>
      </c>
      <c r="T198" s="16">
        <f>S$198*Exogenous!AE$28/Exogenous!AD$28</f>
        <v>19.182051122296574</v>
      </c>
      <c r="U198" s="16">
        <f>T$198*Exogenous!AF$28/Exogenous!AE$28</f>
        <v>20.126712029200899</v>
      </c>
      <c r="V198" s="16">
        <f>U$198*Exogenous!AG$28/Exogenous!AF$28</f>
        <v>21.078560641678465</v>
      </c>
      <c r="W198" s="16">
        <f>V$198*Exogenous!AH$28/Exogenous!AG$28</f>
        <v>22.065449450621678</v>
      </c>
      <c r="X198" s="16">
        <f>W$198*Exogenous!AI$28/Exogenous!AH$28</f>
        <v>23.098985950547377</v>
      </c>
    </row>
    <row r="199" spans="1:24" x14ac:dyDescent="0.25">
      <c r="A199" s="11" t="s">
        <v>956</v>
      </c>
      <c r="B199" s="10" t="str">
        <f t="shared" si="139"/>
        <v>From Fiscal Forecasts</v>
      </c>
      <c r="C199" s="13"/>
      <c r="D199" s="35">
        <f>'Fiscal Forecasts'!D$40-SUM(D$197:D$198)</f>
        <v>-1.5169999999999959</v>
      </c>
      <c r="E199" s="35">
        <f>'Fiscal Forecasts'!E$40-SUM(E$197:E$198)</f>
        <v>-1.7910000000000039</v>
      </c>
      <c r="F199" s="35">
        <f>'Fiscal Forecasts'!F$40-SUM(F$197:F$198)</f>
        <v>-1.8350000000000009</v>
      </c>
      <c r="G199" s="35">
        <f>'Fiscal Forecasts'!G$40-SUM(G$197:G$198)</f>
        <v>-1.9450000000000003</v>
      </c>
      <c r="H199" s="35">
        <f>'Fiscal Forecasts'!H$40-SUM(H$197:H$198)</f>
        <v>-1.9980000000000047</v>
      </c>
      <c r="I199" s="35">
        <f>'Fiscal Forecasts'!I$40-SUM(I$197:I$198)</f>
        <v>-2.2269999999999968</v>
      </c>
      <c r="J199" s="17">
        <f ca="1">'Fiscal Forecasts'!J$40-SUM(J$197:J$198)+IF(OFFSET(Assumptions!$B$56,0,$C$1)="Yes",Allocation!C$14,0)</f>
        <v>-2.4979999999999993</v>
      </c>
      <c r="K199" s="17">
        <f ca="1">'Fiscal Forecasts'!K$40-SUM(K$197:K$198)+IF(OFFSET(Assumptions!$B$56,0,$C$1)="Yes",Allocation!D$14,0)</f>
        <v>-2.797000000000001</v>
      </c>
      <c r="L199" s="17">
        <f ca="1">'Fiscal Forecasts'!L$40-SUM(L$197:L$198)+IF(OFFSET(Assumptions!$B$56,0,$C$1)="Yes",Allocation!E$14,0)</f>
        <v>-2.9380000000000019</v>
      </c>
      <c r="M199" s="17">
        <f ca="1">'Fiscal Forecasts'!M$40-SUM(M$197:M$198)+IF(OFFSET(Assumptions!$B$56,0,$C$1)="Yes",Allocation!F$14,0)</f>
        <v>-3.0270000000000032</v>
      </c>
      <c r="N199" s="17">
        <f ca="1">'Fiscal Forecasts'!N$40-SUM(N$197:N$198)+IF(OFFSET(Assumptions!$B$56,0,$C$1)="Yes",Allocation!G$14,0)</f>
        <v>-3.0949999999999962</v>
      </c>
      <c r="O199" s="16">
        <f ca="1">N$199*Exogenous!Z$27/Exogenous!Y$27</f>
        <v>-3.3271249999999952</v>
      </c>
      <c r="P199" s="16">
        <f ca="1">O$199*Exogenous!AA$27/Exogenous!Z$27</f>
        <v>-3.5766593749999944</v>
      </c>
      <c r="Q199" s="16">
        <f ca="1">P$199*Exogenous!AB$27/Exogenous!AA$27</f>
        <v>-3.8449088281249941</v>
      </c>
      <c r="R199" s="16">
        <f ca="1">Q$199*Exogenous!AC$27/Exogenous!AB$27</f>
        <v>-4.1332769902343687</v>
      </c>
      <c r="S199" s="16">
        <f ca="1">R$199*Exogenous!AD$27/Exogenous!AC$27</f>
        <v>-4.4432727645019465</v>
      </c>
      <c r="T199" s="16">
        <f ca="1">S$199*Exogenous!AE$27/Exogenous!AD$27</f>
        <v>-4.7765182218395914</v>
      </c>
      <c r="U199" s="16">
        <f ca="1">T$199*Exogenous!AF$27/Exogenous!AE$27</f>
        <v>-5.1347570884775626</v>
      </c>
      <c r="V199" s="16">
        <f ca="1">U$199*Exogenous!AG$27/Exogenous!AF$27</f>
        <v>-5.3396158360369972</v>
      </c>
      <c r="W199" s="16">
        <f ca="1">V$199*Exogenous!AH$27/Exogenous!AG$27</f>
        <v>-5.4869186271160162</v>
      </c>
      <c r="X199" s="16">
        <f ca="1">W$199*Exogenous!AI$27/Exogenous!AH$27</f>
        <v>-5.6476138435834677</v>
      </c>
    </row>
    <row r="200" spans="1:24" x14ac:dyDescent="0.25">
      <c r="A200" s="9" t="s">
        <v>958</v>
      </c>
      <c r="C200" s="13"/>
      <c r="D200" s="65">
        <f t="shared" ref="D200:I200" si="140">SUM(D$197:D$199)</f>
        <v>33.902000000000001</v>
      </c>
      <c r="E200" s="65">
        <f t="shared" si="140"/>
        <v>49.9</v>
      </c>
      <c r="F200" s="65">
        <f t="shared" si="140"/>
        <v>42.892000000000003</v>
      </c>
      <c r="G200" s="65">
        <f t="shared" si="140"/>
        <v>48.302999999999997</v>
      </c>
      <c r="H200" s="65">
        <f t="shared" si="140"/>
        <v>48.844999999999999</v>
      </c>
      <c r="I200" s="65">
        <f t="shared" si="140"/>
        <v>53.996000000000002</v>
      </c>
      <c r="J200" s="66">
        <f t="shared" ref="J200:X200" ca="1" si="141">SUM(J$197:J$199)</f>
        <v>57.704000000000001</v>
      </c>
      <c r="K200" s="66">
        <f t="shared" ca="1" si="141"/>
        <v>59.515999999999998</v>
      </c>
      <c r="L200" s="66">
        <f t="shared" ca="1" si="141"/>
        <v>61.765000000000001</v>
      </c>
      <c r="M200" s="66">
        <f t="shared" ca="1" si="141"/>
        <v>63.980000000000004</v>
      </c>
      <c r="N200" s="66">
        <f t="shared" ca="1" si="141"/>
        <v>65.578000000000003</v>
      </c>
      <c r="O200" s="67">
        <f t="shared" ca="1" si="141"/>
        <v>68.143850028801936</v>
      </c>
      <c r="P200" s="67">
        <f t="shared" ca="1" si="141"/>
        <v>71.166095530370967</v>
      </c>
      <c r="Q200" s="67">
        <f t="shared" ca="1" si="141"/>
        <v>74.36676329082232</v>
      </c>
      <c r="R200" s="67">
        <f t="shared" ca="1" si="141"/>
        <v>77.639445026880921</v>
      </c>
      <c r="S200" s="67">
        <f t="shared" ca="1" si="141"/>
        <v>80.996816919993094</v>
      </c>
      <c r="T200" s="67">
        <f t="shared" ca="1" si="141"/>
        <v>84.361900762707748</v>
      </c>
      <c r="U200" s="67">
        <f t="shared" ca="1" si="141"/>
        <v>87.86472327750009</v>
      </c>
      <c r="V200" s="67">
        <f t="shared" ca="1" si="141"/>
        <v>91.565799386330823</v>
      </c>
      <c r="W200" s="67">
        <f t="shared" ca="1" si="141"/>
        <v>95.333411849568847</v>
      </c>
      <c r="X200" s="67">
        <f t="shared" ca="1" si="141"/>
        <v>99.117770676668641</v>
      </c>
    </row>
    <row r="201" spans="1:24" x14ac:dyDescent="0.25">
      <c r="A201" s="12" t="s">
        <v>159</v>
      </c>
      <c r="C201" s="13"/>
      <c r="D201" s="11"/>
      <c r="E201" s="11"/>
      <c r="F201" s="11"/>
      <c r="G201" s="11"/>
      <c r="H201" s="11"/>
      <c r="I201" s="11"/>
      <c r="J201" s="11"/>
      <c r="K201" s="11"/>
      <c r="L201" s="11"/>
      <c r="M201" s="11"/>
    </row>
    <row r="202" spans="1:24" x14ac:dyDescent="0.25">
      <c r="A202" s="11" t="s">
        <v>160</v>
      </c>
      <c r="C202" s="13"/>
      <c r="D202" s="39">
        <f>'Economic Forecasts'!Q$18</f>
        <v>1205.79</v>
      </c>
      <c r="E202" s="39">
        <f>'Economic Forecasts'!R$18</f>
        <v>1241.4100000000001</v>
      </c>
      <c r="F202" s="39">
        <f>'Economic Forecasts'!S$18</f>
        <v>1287.81</v>
      </c>
      <c r="G202" s="39">
        <f>'Economic Forecasts'!T$18</f>
        <v>1360.1</v>
      </c>
      <c r="H202" s="39">
        <f>'Economic Forecasts'!U$18</f>
        <v>1462.81</v>
      </c>
      <c r="I202" s="39">
        <f>'Economic Forecasts'!V$18</f>
        <v>1556.16</v>
      </c>
      <c r="J202" s="27">
        <f>'Economic Forecasts'!W$18</f>
        <v>1622.73</v>
      </c>
      <c r="K202" s="27">
        <f>'Economic Forecasts'!X$18</f>
        <v>1651.37</v>
      </c>
      <c r="L202" s="27">
        <f>'Economic Forecasts'!Y$18</f>
        <v>1688.46</v>
      </c>
      <c r="M202" s="27">
        <f>'Economic Forecasts'!Z$18</f>
        <v>1731.59</v>
      </c>
      <c r="N202" s="27">
        <f>'Economic Forecasts'!AA$18</f>
        <v>1778.16</v>
      </c>
      <c r="O202" s="26">
        <f t="shared" ref="O202:X202" ca="1" si="142">N$202*(1+O$26)</f>
        <v>1830.0467088</v>
      </c>
      <c r="P202" s="26">
        <f t="shared" ca="1" si="142"/>
        <v>1884.007466055677</v>
      </c>
      <c r="Q202" s="26">
        <f t="shared" ca="1" si="142"/>
        <v>1940.1358164844078</v>
      </c>
      <c r="R202" s="26">
        <f t="shared" ca="1" si="142"/>
        <v>1998.5300242889555</v>
      </c>
      <c r="S202" s="26">
        <f t="shared" ca="1" si="142"/>
        <v>2058.8856310224819</v>
      </c>
      <c r="T202" s="26">
        <f t="shared" ca="1" si="142"/>
        <v>2121.0639770793609</v>
      </c>
      <c r="U202" s="26">
        <f t="shared" ca="1" si="142"/>
        <v>2184.4710636101713</v>
      </c>
      <c r="V202" s="26">
        <f t="shared" ca="1" si="142"/>
        <v>2249.1051934402694</v>
      </c>
      <c r="W202" s="26">
        <f t="shared" ca="1" si="142"/>
        <v>2314.9634917145877</v>
      </c>
      <c r="X202" s="26">
        <f t="shared" ca="1" si="142"/>
        <v>2382.5141264028193</v>
      </c>
    </row>
    <row r="203" spans="1:24" x14ac:dyDescent="0.25">
      <c r="A203" s="11" t="s">
        <v>75</v>
      </c>
      <c r="C203" s="13"/>
      <c r="D203" s="39">
        <f>'Economic Forecasts'!Q$19</f>
        <v>958.37</v>
      </c>
      <c r="E203" s="39">
        <f>'Economic Forecasts'!R$19</f>
        <v>987.95</v>
      </c>
      <c r="F203" s="39">
        <f>'Economic Forecasts'!S$19</f>
        <v>1018.53</v>
      </c>
      <c r="G203" s="39">
        <f>'Economic Forecasts'!T$19</f>
        <v>1066.06</v>
      </c>
      <c r="H203" s="39">
        <f>'Economic Forecasts'!U$19</f>
        <v>1132.5999999999999</v>
      </c>
      <c r="I203" s="39">
        <f>'Economic Forecasts'!V$19</f>
        <v>1192.4000000000001</v>
      </c>
      <c r="J203" s="27">
        <f>'Economic Forecasts'!W$19</f>
        <v>1255.05</v>
      </c>
      <c r="K203" s="27">
        <f>'Economic Forecasts'!X$19</f>
        <v>1272.31</v>
      </c>
      <c r="L203" s="27">
        <f>'Economic Forecasts'!Y$19</f>
        <v>1295.19</v>
      </c>
      <c r="M203" s="27">
        <f>'Economic Forecasts'!Z$19</f>
        <v>1323.35</v>
      </c>
      <c r="N203" s="27">
        <f>'Economic Forecasts'!AA$19</f>
        <v>1353.55</v>
      </c>
      <c r="O203" s="26">
        <f ca="1">IF(O$6&lt;OFFSET(Assumptions!$B$8,0,$C$1)+OFFSET(Assumptions!$B$36,0,$C$1),O$202-ROUND(IF(ROUNDDOWN(52*O$202,0)&gt;Exogenous!$C$59,(ROUNDDOWN(52*O$202,0)-Exogenous!$C$59)*Exogenous!$B$60+Exogenous!$E$59,IF(ROUNDDOWN(52*O$202,0)&gt;Exogenous!$C$58,(ROUNDDOWN(52*O$202,0)-Exogenous!$C$58)*Exogenous!$B$59+Exogenous!$E$58,IF(ROUNDDOWN(52*O$202,0)&gt;Exogenous!$C$57,(ROUNDDOWN(52*O$202,0)-Exogenous!$C$57)*Exogenous!$B$58+Exogenous!$E$57,IF(ROUNDDOWN(52*O$202,0)&gt;Exogenous!$C$56,(ROUNDDOWN(52*O$202,0)-Exogenous!$C$56)*Exogenous!$B$57+Exogenous!$E$56,ROUNDDOWN(52*O$202,0)*Exogenous!$B$56))))/52+O$202*Exogenous!$B$61,2),ROUND(N$203*(1+O$26),2))</f>
        <v>1393.05</v>
      </c>
      <c r="P203" s="26">
        <f ca="1">IF(P$6&lt;OFFSET(Assumptions!$B$8,0,$C$1)+OFFSET(Assumptions!$B$36,0,$C$1),P$202-ROUND(IF(ROUNDDOWN(52*P$202,0)&gt;Exogenous!$C$59,(ROUNDDOWN(52*P$202,0)-Exogenous!$C$59)*Exogenous!$B$60+Exogenous!$E$59,IF(ROUNDDOWN(52*P$202,0)&gt;Exogenous!$C$58,(ROUNDDOWN(52*P$202,0)-Exogenous!$C$58)*Exogenous!$B$59+Exogenous!$E$58,IF(ROUNDDOWN(52*P$202,0)&gt;Exogenous!$C$57,(ROUNDDOWN(52*P$202,0)-Exogenous!$C$57)*Exogenous!$B$58+Exogenous!$E$57,IF(ROUNDDOWN(52*P$202,0)&gt;Exogenous!$C$56,(ROUNDDOWN(52*P$202,0)-Exogenous!$C$56)*Exogenous!$B$57+Exogenous!$E$56,ROUNDDOWN(52*P$202,0)*Exogenous!$B$56))))/52+P$202*Exogenous!$B$61,2),ROUND(O$203*(1+P$26),2))</f>
        <v>1434.13</v>
      </c>
      <c r="Q203" s="26">
        <f ca="1">IF(Q$6&lt;OFFSET(Assumptions!$B$8,0,$C$1)+OFFSET(Assumptions!$B$36,0,$C$1),Q$202-ROUND(IF(ROUNDDOWN(52*Q$202,0)&gt;Exogenous!$C$59,(ROUNDDOWN(52*Q$202,0)-Exogenous!$C$59)*Exogenous!$B$60+Exogenous!$E$59,IF(ROUNDDOWN(52*Q$202,0)&gt;Exogenous!$C$58,(ROUNDDOWN(52*Q$202,0)-Exogenous!$C$58)*Exogenous!$B$59+Exogenous!$E$58,IF(ROUNDDOWN(52*Q$202,0)&gt;Exogenous!$C$57,(ROUNDDOWN(52*Q$202,0)-Exogenous!$C$57)*Exogenous!$B$58+Exogenous!$E$57,IF(ROUNDDOWN(52*Q$202,0)&gt;Exogenous!$C$56,(ROUNDDOWN(52*Q$202,0)-Exogenous!$C$56)*Exogenous!$B$57+Exogenous!$E$56,ROUNDDOWN(52*Q$202,0)*Exogenous!$B$56))))/52+Q$202*Exogenous!$B$61,2),ROUND(P$203*(1+Q$26),2))</f>
        <v>1476.86</v>
      </c>
      <c r="R203" s="26">
        <f ca="1">IF(R$6&lt;OFFSET(Assumptions!$B$8,0,$C$1)+OFFSET(Assumptions!$B$36,0,$C$1),R$202-ROUND(IF(ROUNDDOWN(52*R$202,0)&gt;Exogenous!$C$59,(ROUNDDOWN(52*R$202,0)-Exogenous!$C$59)*Exogenous!$B$60+Exogenous!$E$59,IF(ROUNDDOWN(52*R$202,0)&gt;Exogenous!$C$58,(ROUNDDOWN(52*R$202,0)-Exogenous!$C$58)*Exogenous!$B$59+Exogenous!$E$58,IF(ROUNDDOWN(52*R$202,0)&gt;Exogenous!$C$57,(ROUNDDOWN(52*R$202,0)-Exogenous!$C$57)*Exogenous!$B$58+Exogenous!$E$57,IF(ROUNDDOWN(52*R$202,0)&gt;Exogenous!$C$56,(ROUNDDOWN(52*R$202,0)-Exogenous!$C$56)*Exogenous!$B$57+Exogenous!$E$56,ROUNDDOWN(52*R$202,0)*Exogenous!$B$56))))/52+R$202*Exogenous!$B$61,2),ROUND(Q$203*(1+R$26),2))</f>
        <v>1521.31</v>
      </c>
      <c r="S203" s="26">
        <f ca="1">IF(S$6&lt;OFFSET(Assumptions!$B$8,0,$C$1)+OFFSET(Assumptions!$B$36,0,$C$1),S$202-ROUND(IF(ROUNDDOWN(52*S$202,0)&gt;Exogenous!$C$59,(ROUNDDOWN(52*S$202,0)-Exogenous!$C$59)*Exogenous!$B$60+Exogenous!$E$59,IF(ROUNDDOWN(52*S$202,0)&gt;Exogenous!$C$58,(ROUNDDOWN(52*S$202,0)-Exogenous!$C$58)*Exogenous!$B$59+Exogenous!$E$58,IF(ROUNDDOWN(52*S$202,0)&gt;Exogenous!$C$57,(ROUNDDOWN(52*S$202,0)-Exogenous!$C$57)*Exogenous!$B$58+Exogenous!$E$57,IF(ROUNDDOWN(52*S$202,0)&gt;Exogenous!$C$56,(ROUNDDOWN(52*S$202,0)-Exogenous!$C$56)*Exogenous!$B$57+Exogenous!$E$56,ROUNDDOWN(52*S$202,0)*Exogenous!$B$56))))/52+S$202*Exogenous!$B$61,2),ROUND(R$203*(1+S$26),2))</f>
        <v>1567.25</v>
      </c>
      <c r="T203" s="26">
        <f ca="1">IF(T$6&lt;OFFSET(Assumptions!$B$8,0,$C$1)+OFFSET(Assumptions!$B$36,0,$C$1),T$202-ROUND(IF(ROUNDDOWN(52*T$202,0)&gt;Exogenous!$C$59,(ROUNDDOWN(52*T$202,0)-Exogenous!$C$59)*Exogenous!$B$60+Exogenous!$E$59,IF(ROUNDDOWN(52*T$202,0)&gt;Exogenous!$C$58,(ROUNDDOWN(52*T$202,0)-Exogenous!$C$58)*Exogenous!$B$59+Exogenous!$E$58,IF(ROUNDDOWN(52*T$202,0)&gt;Exogenous!$C$57,(ROUNDDOWN(52*T$202,0)-Exogenous!$C$57)*Exogenous!$B$58+Exogenous!$E$57,IF(ROUNDDOWN(52*T$202,0)&gt;Exogenous!$C$56,(ROUNDDOWN(52*T$202,0)-Exogenous!$C$56)*Exogenous!$B$57+Exogenous!$E$56,ROUNDDOWN(52*T$202,0)*Exogenous!$B$56))))/52+T$202*Exogenous!$B$61,2),ROUND(S$203*(1+T$26),2))</f>
        <v>1614.58</v>
      </c>
      <c r="U203" s="26">
        <f ca="1">IF(U$6&lt;OFFSET(Assumptions!$B$8,0,$C$1)+OFFSET(Assumptions!$B$36,0,$C$1),U$202-ROUND(IF(ROUNDDOWN(52*U$202,0)&gt;Exogenous!$C$59,(ROUNDDOWN(52*U$202,0)-Exogenous!$C$59)*Exogenous!$B$60+Exogenous!$E$59,IF(ROUNDDOWN(52*U$202,0)&gt;Exogenous!$C$58,(ROUNDDOWN(52*U$202,0)-Exogenous!$C$58)*Exogenous!$B$59+Exogenous!$E$58,IF(ROUNDDOWN(52*U$202,0)&gt;Exogenous!$C$57,(ROUNDDOWN(52*U$202,0)-Exogenous!$C$57)*Exogenous!$B$58+Exogenous!$E$57,IF(ROUNDDOWN(52*U$202,0)&gt;Exogenous!$C$56,(ROUNDDOWN(52*U$202,0)-Exogenous!$C$56)*Exogenous!$B$57+Exogenous!$E$56,ROUNDDOWN(52*U$202,0)*Exogenous!$B$56))))/52+U$202*Exogenous!$B$61,2),ROUND(T$203*(1+U$26),2))</f>
        <v>1662.85</v>
      </c>
      <c r="V203" s="26">
        <f ca="1">IF(V$6&lt;OFFSET(Assumptions!$B$8,0,$C$1)+OFFSET(Assumptions!$B$36,0,$C$1),V$202-ROUND(IF(ROUNDDOWN(52*V$202,0)&gt;Exogenous!$C$59,(ROUNDDOWN(52*V$202,0)-Exogenous!$C$59)*Exogenous!$B$60+Exogenous!$E$59,IF(ROUNDDOWN(52*V$202,0)&gt;Exogenous!$C$58,(ROUNDDOWN(52*V$202,0)-Exogenous!$C$58)*Exogenous!$B$59+Exogenous!$E$58,IF(ROUNDDOWN(52*V$202,0)&gt;Exogenous!$C$57,(ROUNDDOWN(52*V$202,0)-Exogenous!$C$57)*Exogenous!$B$58+Exogenous!$E$57,IF(ROUNDDOWN(52*V$202,0)&gt;Exogenous!$C$56,(ROUNDDOWN(52*V$202,0)-Exogenous!$C$56)*Exogenous!$B$57+Exogenous!$E$56,ROUNDDOWN(52*V$202,0)*Exogenous!$B$56))))/52+V$202*Exogenous!$B$61,2),ROUND(U$203*(1+V$26),2))</f>
        <v>1712.05</v>
      </c>
      <c r="W203" s="26">
        <f ca="1">IF(W$6&lt;OFFSET(Assumptions!$B$8,0,$C$1)+OFFSET(Assumptions!$B$36,0,$C$1),W$202-ROUND(IF(ROUNDDOWN(52*W$202,0)&gt;Exogenous!$C$59,(ROUNDDOWN(52*W$202,0)-Exogenous!$C$59)*Exogenous!$B$60+Exogenous!$E$59,IF(ROUNDDOWN(52*W$202,0)&gt;Exogenous!$C$58,(ROUNDDOWN(52*W$202,0)-Exogenous!$C$58)*Exogenous!$B$59+Exogenous!$E$58,IF(ROUNDDOWN(52*W$202,0)&gt;Exogenous!$C$57,(ROUNDDOWN(52*W$202,0)-Exogenous!$C$57)*Exogenous!$B$58+Exogenous!$E$57,IF(ROUNDDOWN(52*W$202,0)&gt;Exogenous!$C$56,(ROUNDDOWN(52*W$202,0)-Exogenous!$C$56)*Exogenous!$B$57+Exogenous!$E$56,ROUNDDOWN(52*W$202,0)*Exogenous!$B$56))))/52+W$202*Exogenous!$B$61,2),ROUND(V$203*(1+W$26),2))</f>
        <v>1762.18</v>
      </c>
      <c r="X203" s="26">
        <f ca="1">IF(X$6&lt;OFFSET(Assumptions!$B$8,0,$C$1)+OFFSET(Assumptions!$B$36,0,$C$1),X$202-ROUND(IF(ROUNDDOWN(52*X$202,0)&gt;Exogenous!$C$59,(ROUNDDOWN(52*X$202,0)-Exogenous!$C$59)*Exogenous!$B$60+Exogenous!$E$59,IF(ROUNDDOWN(52*X$202,0)&gt;Exogenous!$C$58,(ROUNDDOWN(52*X$202,0)-Exogenous!$C$58)*Exogenous!$B$59+Exogenous!$E$58,IF(ROUNDDOWN(52*X$202,0)&gt;Exogenous!$C$57,(ROUNDDOWN(52*X$202,0)-Exogenous!$C$57)*Exogenous!$B$58+Exogenous!$E$57,IF(ROUNDDOWN(52*X$202,0)&gt;Exogenous!$C$56,(ROUNDDOWN(52*X$202,0)-Exogenous!$C$56)*Exogenous!$B$57+Exogenous!$E$56,ROUNDDOWN(52*X$202,0)*Exogenous!$B$56))))/52+X$202*Exogenous!$B$61,2),ROUND(W$203*(1+X$26),2))</f>
        <v>1813.6</v>
      </c>
    </row>
    <row r="204" spans="1:24" x14ac:dyDescent="0.25">
      <c r="A204" s="11" t="s">
        <v>74</v>
      </c>
      <c r="C204" s="13"/>
      <c r="D204" s="39">
        <f>'Economic Forecasts'!Q$20</f>
        <v>360.42</v>
      </c>
      <c r="E204" s="39">
        <f>'Economic Forecasts'!R$20</f>
        <v>372.27</v>
      </c>
      <c r="F204" s="39">
        <f>'Economic Forecasts'!S$20</f>
        <v>384.46</v>
      </c>
      <c r="G204" s="39">
        <f>'Economic Forecasts'!T$20</f>
        <v>408.66</v>
      </c>
      <c r="H204" s="39">
        <f>'Economic Forecasts'!U$20</f>
        <v>439.79</v>
      </c>
      <c r="I204" s="39">
        <f>'Economic Forecasts'!V$20</f>
        <v>461.41</v>
      </c>
      <c r="J204" s="27">
        <f>'Economic Forecasts'!W$20</f>
        <v>476.47</v>
      </c>
      <c r="K204" s="27">
        <f>'Economic Forecasts'!X$20</f>
        <v>488.1</v>
      </c>
      <c r="L204" s="27">
        <f>'Economic Forecasts'!Y$20</f>
        <v>498.32</v>
      </c>
      <c r="M204" s="27">
        <f>'Economic Forecasts'!Z$20</f>
        <v>508.71</v>
      </c>
      <c r="N204" s="27">
        <f>'Economic Forecasts'!AA$20</f>
        <v>519.45000000000005</v>
      </c>
      <c r="O204" s="26">
        <f ca="1">IF(O$6&lt;OFFSET(Assumptions!$B$8,0,$C$1)+OFFSET(Assumptions!$B$36,0,$C$1),IF(52*O$205&gt;Exogenous!$D$59,(52*O$205-Exogenous!$C$59*Exogenous!$B$60+Exogenous!$E$59)/(1-Exogenous!$B$60),IF(52*O$205&gt;Exogenous!$D$58,(52*O$205-Exogenous!$C$58*Exogenous!$B$59+Exogenous!$E$58)/(1-Exogenous!$B$59),IF(52*O$205&gt;Exogenous!$D$57,(52*O$205-Exogenous!$C$57*Exogenous!$B$58+Exogenous!$E$57)/(1-Exogenous!$B$58),IF(52*O$205&gt;Exogenous!$D$56,(52*O$205-Exogenous!$C$56*Exogenous!$B$57+Exogenous!$E$56)/(1-Exogenous!$B$57),52*O$205/(1-Exogenous!$B$56)))))/52,N$204*O$205/N$205)</f>
        <v>531.09121149611906</v>
      </c>
      <c r="P204" s="26">
        <f ca="1">IF(P$6&lt;OFFSET(Assumptions!$B$8,0,$C$1)+OFFSET(Assumptions!$B$36,0,$C$1),IF(52*P$205&gt;Exogenous!$D$59,(52*P$205-Exogenous!$C$59*Exogenous!$B$60+Exogenous!$E$59)/(1-Exogenous!$B$60),IF(52*P$205&gt;Exogenous!$D$58,(52*P$205-Exogenous!$C$58*Exogenous!$B$59+Exogenous!$E$58)/(1-Exogenous!$B$59),IF(52*P$205&gt;Exogenous!$D$57,(52*P$205-Exogenous!$C$57*Exogenous!$B$58+Exogenous!$E$57)/(1-Exogenous!$B$58),IF(52*P$205&gt;Exogenous!$D$56,(52*P$205-Exogenous!$C$56*Exogenous!$B$57+Exogenous!$E$56)/(1-Exogenous!$B$57),52*P$205/(1-Exogenous!$B$56)))))/52,O$204*P$205/O$205)</f>
        <v>546.75269311433851</v>
      </c>
      <c r="Q204" s="26">
        <f ca="1">IF(Q$6&lt;OFFSET(Assumptions!$B$8,0,$C$1)+OFFSET(Assumptions!$B$36,0,$C$1),IF(52*Q$205&gt;Exogenous!$D$59,(52*Q$205-Exogenous!$C$59*Exogenous!$B$60+Exogenous!$E$59)/(1-Exogenous!$B$60),IF(52*Q$205&gt;Exogenous!$D$58,(52*Q$205-Exogenous!$C$58*Exogenous!$B$59+Exogenous!$E$58)/(1-Exogenous!$B$59),IF(52*Q$205&gt;Exogenous!$D$57,(52*Q$205-Exogenous!$C$57*Exogenous!$B$58+Exogenous!$E$57)/(1-Exogenous!$B$58),IF(52*Q$205&gt;Exogenous!$D$56,(52*Q$205-Exogenous!$C$56*Exogenous!$B$57+Exogenous!$E$56)/(1-Exogenous!$B$57),52*Q$205/(1-Exogenous!$B$56)))))/52,P$204*Q$205/P$205)</f>
        <v>563.04322645286118</v>
      </c>
      <c r="R204" s="26">
        <f ca="1">IF(R$6&lt;OFFSET(Assumptions!$B$8,0,$C$1)+OFFSET(Assumptions!$B$36,0,$C$1),IF(52*R$205&gt;Exogenous!$D$59,(52*R$205-Exogenous!$C$59*Exogenous!$B$60+Exogenous!$E$59)/(1-Exogenous!$B$60),IF(52*R$205&gt;Exogenous!$D$58,(52*R$205-Exogenous!$C$58*Exogenous!$B$59+Exogenous!$E$58)/(1-Exogenous!$B$59),IF(52*R$205&gt;Exogenous!$D$57,(52*R$205-Exogenous!$C$57*Exogenous!$B$58+Exogenous!$E$57)/(1-Exogenous!$B$58),IF(52*R$205&gt;Exogenous!$D$56,(52*R$205-Exogenous!$C$56*Exogenous!$B$57+Exogenous!$E$56)/(1-Exogenous!$B$57),52*R$205/(1-Exogenous!$B$56)))))/52,Q$204*R$205/Q$205)</f>
        <v>579.98949855436695</v>
      </c>
      <c r="S204" s="26">
        <f ca="1">IF(S$6&lt;OFFSET(Assumptions!$B$8,0,$C$1)+OFFSET(Assumptions!$B$36,0,$C$1),IF(52*S$205&gt;Exogenous!$D$59,(52*S$205-Exogenous!$C$59*Exogenous!$B$60+Exogenous!$E$59)/(1-Exogenous!$B$60),IF(52*S$205&gt;Exogenous!$D$58,(52*S$205-Exogenous!$C$58*Exogenous!$B$59+Exogenous!$E$58)/(1-Exogenous!$B$59),IF(52*S$205&gt;Exogenous!$D$57,(52*S$205-Exogenous!$C$57*Exogenous!$B$58+Exogenous!$E$57)/(1-Exogenous!$B$58),IF(52*S$205&gt;Exogenous!$D$56,(52*S$205-Exogenous!$C$56*Exogenous!$B$57+Exogenous!$E$56)/(1-Exogenous!$B$57),52*S$205/(1-Exogenous!$B$56)))))/52,R$204*S$205/R$205)</f>
        <v>597.50382342147986</v>
      </c>
      <c r="T204" s="26">
        <f ca="1">IF(T$6&lt;OFFSET(Assumptions!$B$8,0,$C$1)+OFFSET(Assumptions!$B$36,0,$C$1),IF(52*T$205&gt;Exogenous!$D$59,(52*T$205-Exogenous!$C$59*Exogenous!$B$60+Exogenous!$E$59)/(1-Exogenous!$B$60),IF(52*T$205&gt;Exogenous!$D$58,(52*T$205-Exogenous!$C$58*Exogenous!$B$59+Exogenous!$E$58)/(1-Exogenous!$B$59),IF(52*T$205&gt;Exogenous!$D$57,(52*T$205-Exogenous!$C$57*Exogenous!$B$58+Exogenous!$E$57)/(1-Exogenous!$B$58),IF(52*T$205&gt;Exogenous!$D$56,(52*T$205-Exogenous!$C$56*Exogenous!$B$57+Exogenous!$E$56)/(1-Exogenous!$B$57),52*T$205/(1-Exogenous!$B$56)))))/52,S$204*T$205/S$205)</f>
        <v>615.54807670751507</v>
      </c>
      <c r="U204" s="26">
        <f ca="1">IF(U$6&lt;OFFSET(Assumptions!$B$8,0,$C$1)+OFFSET(Assumptions!$B$36,0,$C$1),IF(52*U$205&gt;Exogenous!$D$59,(52*U$205-Exogenous!$C$59*Exogenous!$B$60+Exogenous!$E$59)/(1-Exogenous!$B$60),IF(52*U$205&gt;Exogenous!$D$58,(52*U$205-Exogenous!$C$58*Exogenous!$B$59+Exogenous!$E$58)/(1-Exogenous!$B$59),IF(52*U$205&gt;Exogenous!$D$57,(52*U$205-Exogenous!$C$57*Exogenous!$B$58+Exogenous!$E$57)/(1-Exogenous!$B$58),IF(52*U$205&gt;Exogenous!$D$56,(52*U$205-Exogenous!$C$56*Exogenous!$B$57+Exogenous!$E$56)/(1-Exogenous!$B$57),52*U$205/(1-Exogenous!$B$56)))))/52,T$204*U$205/T$205)</f>
        <v>633.95069885238968</v>
      </c>
      <c r="V204" s="26">
        <f ca="1">IF(V$6&lt;OFFSET(Assumptions!$B$8,0,$C$1)+OFFSET(Assumptions!$B$36,0,$C$1),IF(52*V$205&gt;Exogenous!$D$59,(52*V$205-Exogenous!$C$59*Exogenous!$B$60+Exogenous!$E$59)/(1-Exogenous!$B$60),IF(52*V$205&gt;Exogenous!$D$58,(52*V$205-Exogenous!$C$58*Exogenous!$B$59+Exogenous!$E$58)/(1-Exogenous!$B$59),IF(52*V$205&gt;Exogenous!$D$57,(52*V$205-Exogenous!$C$57*Exogenous!$B$58+Exogenous!$E$57)/(1-Exogenous!$B$58),IF(52*V$205&gt;Exogenous!$D$56,(52*V$205-Exogenous!$C$56*Exogenous!$B$57+Exogenous!$E$56)/(1-Exogenous!$B$57),52*V$205/(1-Exogenous!$B$56)))))/52,U$204*V$205/U$205)</f>
        <v>652.70787742143534</v>
      </c>
      <c r="W204" s="26">
        <f ca="1">IF(W$6&lt;OFFSET(Assumptions!$B$8,0,$C$1)+OFFSET(Assumptions!$B$36,0,$C$1),IF(52*W$205&gt;Exogenous!$D$59,(52*W$205-Exogenous!$C$59*Exogenous!$B$60+Exogenous!$E$59)/(1-Exogenous!$B$60),IF(52*W$205&gt;Exogenous!$D$58,(52*W$205-Exogenous!$C$58*Exogenous!$B$59+Exogenous!$E$58)/(1-Exogenous!$B$59),IF(52*W$205&gt;Exogenous!$D$57,(52*W$205-Exogenous!$C$57*Exogenous!$B$58+Exogenous!$E$57)/(1-Exogenous!$B$58),IF(52*W$205&gt;Exogenous!$D$56,(52*W$205-Exogenous!$C$56*Exogenous!$B$57+Exogenous!$E$56)/(1-Exogenous!$B$57),52*W$205/(1-Exogenous!$B$56)))))/52,V$204*W$205/V$205)</f>
        <v>671.81961241465194</v>
      </c>
      <c r="X204" s="26">
        <f ca="1">IF(X$6&lt;OFFSET(Assumptions!$B$8,0,$C$1)+OFFSET(Assumptions!$B$36,0,$C$1),IF(52*X$205&gt;Exogenous!$D$59,(52*X$205-Exogenous!$C$59*Exogenous!$B$60+Exogenous!$E$59)/(1-Exogenous!$B$60),IF(52*X$205&gt;Exogenous!$D$58,(52*X$205-Exogenous!$C$58*Exogenous!$B$59+Exogenous!$E$58)/(1-Exogenous!$B$59),IF(52*X$205&gt;Exogenous!$D$57,(52*X$205-Exogenous!$C$57*Exogenous!$B$58+Exogenous!$E$57)/(1-Exogenous!$B$58),IF(52*X$205&gt;Exogenous!$D$56,(52*X$205-Exogenous!$C$56*Exogenous!$B$57+Exogenous!$E$56)/(1-Exogenous!$B$57),52*X$205/(1-Exogenous!$B$56)))))/52,W$204*X$205/W$205)</f>
        <v>691.42315148010573</v>
      </c>
    </row>
    <row r="205" spans="1:24" x14ac:dyDescent="0.25">
      <c r="A205" s="11" t="s">
        <v>73</v>
      </c>
      <c r="C205" s="13"/>
      <c r="D205" s="39">
        <f>'Economic Forecasts'!Q$21</f>
        <v>316.27</v>
      </c>
      <c r="E205" s="39">
        <f>'Economic Forecasts'!R$21</f>
        <v>326.02</v>
      </c>
      <c r="F205" s="39">
        <f>'Economic Forecasts'!S$21</f>
        <v>336.11</v>
      </c>
      <c r="G205" s="39">
        <f>'Economic Forecasts'!T$21</f>
        <v>356.11</v>
      </c>
      <c r="H205" s="39">
        <f>'Economic Forecasts'!U$21</f>
        <v>381.82</v>
      </c>
      <c r="I205" s="39">
        <f>'Economic Forecasts'!V$21</f>
        <v>399.59</v>
      </c>
      <c r="J205" s="27">
        <f>'Economic Forecasts'!W$21</f>
        <v>414.17</v>
      </c>
      <c r="K205" s="27">
        <f>'Economic Forecasts'!X$21</f>
        <v>423.7</v>
      </c>
      <c r="L205" s="27">
        <f>'Economic Forecasts'!Y$21</f>
        <v>432.17</v>
      </c>
      <c r="M205" s="27">
        <f>'Economic Forecasts'!Z$21</f>
        <v>440.81</v>
      </c>
      <c r="N205" s="27">
        <f>'Economic Forecasts'!AA$21</f>
        <v>449.63</v>
      </c>
      <c r="O205" s="26">
        <f ca="1">IF(2*N$205*(1+O$29)&gt;OFFSET(Assumptions!$B$38,0,$C$1)*O$203,OFFSET(Assumptions!$B$38,0,$C$1)*O$203,IF(2*N$205*(1+O$29)&lt;OFFSET(Assumptions!$B$37,0,$C$1)*O$203,OFFSET(Assumptions!$B$37,0,$C$1)*O$203,2*N$205*(1+O$29)))/2</f>
        <v>459.70650000000001</v>
      </c>
      <c r="P205" s="26">
        <f ca="1">IF(2*O$205*(1+P$29)&gt;OFFSET(Assumptions!$B$38,0,$C$1)*P$203,OFFSET(Assumptions!$B$38,0,$C$1)*P$203,IF(2*O$205*(1+P$29)&lt;OFFSET(Assumptions!$B$37,0,$C$1)*P$203,OFFSET(Assumptions!$B$37,0,$C$1)*P$203,2*O$205*(1+P$29)))/2</f>
        <v>473.26290000000006</v>
      </c>
      <c r="Q205" s="26">
        <f ca="1">IF(2*P$205*(1+Q$29)&gt;OFFSET(Assumptions!$B$38,0,$C$1)*Q$203,OFFSET(Assumptions!$B$38,0,$C$1)*Q$203,IF(2*P$205*(1+Q$29)&lt;OFFSET(Assumptions!$B$37,0,$C$1)*Q$203,OFFSET(Assumptions!$B$37,0,$C$1)*Q$203,2*P$205*(1+Q$29)))/2</f>
        <v>487.36379999999997</v>
      </c>
      <c r="R205" s="26">
        <f ca="1">IF(2*Q$205*(1+R$29)&gt;OFFSET(Assumptions!$B$38,0,$C$1)*R$203,OFFSET(Assumptions!$B$38,0,$C$1)*R$203,IF(2*Q$205*(1+R$29)&lt;OFFSET(Assumptions!$B$37,0,$C$1)*R$203,OFFSET(Assumptions!$B$37,0,$C$1)*R$203,2*Q$205*(1+R$29)))/2</f>
        <v>502.03230000000002</v>
      </c>
      <c r="S205" s="26">
        <f ca="1">IF(2*R$205*(1+S$29)&gt;OFFSET(Assumptions!$B$38,0,$C$1)*S$203,OFFSET(Assumptions!$B$38,0,$C$1)*S$203,IF(2*R$205*(1+S$29)&lt;OFFSET(Assumptions!$B$37,0,$C$1)*S$203,OFFSET(Assumptions!$B$37,0,$C$1)*S$203,2*R$205*(1+S$29)))/2</f>
        <v>517.1925</v>
      </c>
      <c r="T205" s="26">
        <f ca="1">IF(2*S$205*(1+T$29)&gt;OFFSET(Assumptions!$B$38,0,$C$1)*T$203,OFFSET(Assumptions!$B$38,0,$C$1)*T$203,IF(2*S$205*(1+T$29)&lt;OFFSET(Assumptions!$B$37,0,$C$1)*T$203,OFFSET(Assumptions!$B$37,0,$C$1)*T$203,2*S$205*(1+T$29)))/2</f>
        <v>532.81140000000005</v>
      </c>
      <c r="U205" s="26">
        <f ca="1">IF(2*T$205*(1+U$29)&gt;OFFSET(Assumptions!$B$38,0,$C$1)*U$203,OFFSET(Assumptions!$B$38,0,$C$1)*U$203,IF(2*T$205*(1+U$29)&lt;OFFSET(Assumptions!$B$37,0,$C$1)*U$203,OFFSET(Assumptions!$B$37,0,$C$1)*U$203,2*T$205*(1+U$29)))/2</f>
        <v>548.7405</v>
      </c>
      <c r="V205" s="26">
        <f ca="1">IF(2*U$205*(1+V$29)&gt;OFFSET(Assumptions!$B$38,0,$C$1)*V$203,OFFSET(Assumptions!$B$38,0,$C$1)*V$203,IF(2*U$205*(1+V$29)&lt;OFFSET(Assumptions!$B$37,0,$C$1)*V$203,OFFSET(Assumptions!$B$37,0,$C$1)*V$203,2*U$205*(1+V$29)))/2</f>
        <v>564.97649999999999</v>
      </c>
      <c r="W205" s="26">
        <f ca="1">IF(2*V$205*(1+W$29)&gt;OFFSET(Assumptions!$B$38,0,$C$1)*W$203,OFFSET(Assumptions!$B$38,0,$C$1)*W$203,IF(2*V$205*(1+W$29)&lt;OFFSET(Assumptions!$B$37,0,$C$1)*W$203,OFFSET(Assumptions!$B$37,0,$C$1)*W$203,2*V$205*(1+W$29)))/2</f>
        <v>581.51940000000002</v>
      </c>
      <c r="X205" s="26">
        <f ca="1">IF(2*W$205*(1+X$29)&gt;OFFSET(Assumptions!$B$38,0,$C$1)*X$203,OFFSET(Assumptions!$B$38,0,$C$1)*X$203,IF(2*W$205*(1+X$29)&lt;OFFSET(Assumptions!$B$37,0,$C$1)*X$203,OFFSET(Assumptions!$B$37,0,$C$1)*X$203,2*W$205*(1+X$29)))/2</f>
        <v>598.48799999999994</v>
      </c>
    </row>
    <row r="207" spans="1:24" x14ac:dyDescent="0.25">
      <c r="A207" s="9" t="s">
        <v>535</v>
      </c>
    </row>
    <row r="208" spans="1:24" x14ac:dyDescent="0.25">
      <c r="A208" s="9" t="s">
        <v>1099</v>
      </c>
      <c r="B208" s="10" t="str">
        <f t="shared" ref="B208:B211" si="143">$B$38</f>
        <v>From Fiscal Forecasts</v>
      </c>
      <c r="C208" s="71"/>
      <c r="D208" s="42">
        <f>'Fiscal Forecasts'!D$171</f>
        <v>7.7939999999999996</v>
      </c>
      <c r="E208" s="42">
        <f>'Fiscal Forecasts'!E$171</f>
        <v>8.48</v>
      </c>
      <c r="F208" s="42">
        <f>'Fiscal Forecasts'!F$171</f>
        <v>9.3580000000000005</v>
      </c>
      <c r="G208" s="42">
        <f>'Fiscal Forecasts'!G$171</f>
        <v>9.9450000000000003</v>
      </c>
      <c r="H208" s="42">
        <f>'Fiscal Forecasts'!H$171</f>
        <v>10.449</v>
      </c>
      <c r="I208" s="42">
        <f>'Fiscal Forecasts'!I$171</f>
        <v>11.26</v>
      </c>
      <c r="J208" s="43">
        <f>'Fiscal Forecasts'!J$171</f>
        <v>11.407</v>
      </c>
      <c r="K208" s="43">
        <f>'Fiscal Forecasts'!K$171</f>
        <v>11.778</v>
      </c>
      <c r="L208" s="43">
        <f>'Fiscal Forecasts'!L$171</f>
        <v>11.878</v>
      </c>
      <c r="M208" s="43">
        <f>'Fiscal Forecasts'!M$171</f>
        <v>11.847</v>
      </c>
      <c r="N208" s="43">
        <f>'Fiscal Forecasts'!N$171</f>
        <v>11.896000000000001</v>
      </c>
      <c r="O208" s="47">
        <f ca="1">SUM(O$251,IF(O$6=OFFSET(Assumptions!$B$8,0,$C$1),AVERAGE((L$208-L$251)/SUM(L$208,L$215,L$222,-L$251,-L$333),(M$208-M$251)/SUM(M$208,M$215,M$222,-M$251,-M$333),(N$208-N$251)/SUM(N$208,N$215,N$222,-N$251,-N$333)),(N$208-N$251)/SUM(N$208,N$215,N$222,-N$251,-N$333))*(O$332-O$261-SUM(O$267:O$270,O$273)))</f>
        <v>13.868731705012102</v>
      </c>
      <c r="P208" s="47">
        <f ca="1">SUM(P$251,IF(P$6=OFFSET(Assumptions!$B$8,0,$C$1),AVERAGE((M$208-M$251)/SUM(M$208,M$215,M$222,-M$251,-M$333),(N$208-N$251)/SUM(N$208,N$215,N$222,-N$251,-N$333),(O$208-O$251)/SUM(O$208,O$215,O$222,-O$251,-O$333)),(O$208-O$251)/SUM(O$208,O$215,O$222,-O$251,-O$333))*(P$332-P$261-SUM(P$267:P$270,P$273)))</f>
        <v>14.71487227223211</v>
      </c>
      <c r="Q208" s="47">
        <f ca="1">SUM(Q$251,IF(Q$6=OFFSET(Assumptions!$B$8,0,$C$1),AVERAGE((N$208-N$251)/SUM(N$208,N$215,N$222,-N$251,-N$333),(O$208-O$251)/SUM(O$208,O$215,O$222,-O$251,-O$333),(P$208-P$251)/SUM(P$208,P$215,P$222,-P$251,-P$333)),(P$208-P$251)/SUM(P$208,P$215,P$222,-P$251,-P$333))*(Q$332-Q$261-SUM(Q$267:Q$270,Q$273)))</f>
        <v>15.53402440002313</v>
      </c>
      <c r="R208" s="47">
        <f ca="1">SUM(R$251,IF(R$6=OFFSET(Assumptions!$B$8,0,$C$1),AVERAGE((O$208-O$251)/SUM(O$208,O$215,O$222,-O$251,-O$333),(P$208-P$251)/SUM(P$208,P$215,P$222,-P$251,-P$333),(Q$208-Q$251)/SUM(Q$208,Q$215,Q$222,-Q$251,-Q$333)),(Q$208-Q$251)/SUM(Q$208,Q$215,Q$222,-Q$251,-Q$333))*(R$332-R$261-SUM(R$267:R$270,R$273)))</f>
        <v>16.329454694024999</v>
      </c>
      <c r="S208" s="47">
        <f ca="1">SUM(S$251,IF(S$6=OFFSET(Assumptions!$B$8,0,$C$1),AVERAGE((P$208-P$251)/SUM(P$208,P$215,P$222,-P$251,-P$333),(Q$208-Q$251)/SUM(Q$208,Q$215,Q$222,-Q$251,-Q$333),(R$208-R$251)/SUM(R$208,R$215,R$222,-R$251,-R$333)),(R$208-R$251)/SUM(R$208,R$215,R$222,-R$251,-R$333))*(S$332-S$261-SUM(S$267:S$270,S$273)))</f>
        <v>17.072065788087592</v>
      </c>
      <c r="T208" s="47">
        <f ca="1">SUM(T$251,IF(T$6=OFFSET(Assumptions!$B$8,0,$C$1),AVERAGE((Q$208-Q$251)/SUM(Q$208,Q$215,Q$222,-Q$251,-Q$333),(R$208-R$251)/SUM(R$208,R$215,R$222,-R$251,-R$333),(S$208-S$251)/SUM(S$208,S$215,S$222,-S$251,-S$333)),(S$208-S$251)/SUM(S$208,S$215,S$222,-S$251,-S$333))*(T$332-T$261-SUM(T$267:T$270,T$273)))</f>
        <v>17.836499651470092</v>
      </c>
      <c r="U208" s="47">
        <f ca="1">SUM(U$251,IF(U$6=OFFSET(Assumptions!$B$8,0,$C$1),AVERAGE((R$208-R$251)/SUM(R$208,R$215,R$222,-R$251,-R$333),(S$208-S$251)/SUM(S$208,S$215,S$222,-S$251,-S$333),(T$208-T$251)/SUM(T$208,T$215,T$222,-T$251,-T$333)),(T$208-T$251)/SUM(T$208,T$215,T$222,-T$251,-T$333))*(U$332-U$261-SUM(U$267:U$270,U$273)))</f>
        <v>18.520499845606039</v>
      </c>
      <c r="V208" s="47">
        <f ca="1">SUM(V$251,IF(V$6=OFFSET(Assumptions!$B$8,0,$C$1),AVERAGE((S$208-S$251)/SUM(S$208,S$215,S$222,-S$251,-S$333),(T$208-T$251)/SUM(T$208,T$215,T$222,-T$251,-T$333),(U$208-U$251)/SUM(U$208,U$215,U$222,-U$251,-U$333)),(U$208-U$251)/SUM(U$208,U$215,U$222,-U$251,-U$333))*(V$332-V$261-SUM(V$267:V$270,V$273)))</f>
        <v>19.179738530387141</v>
      </c>
      <c r="W208" s="47">
        <f ca="1">SUM(W$251,IF(W$6=OFFSET(Assumptions!$B$8,0,$C$1),AVERAGE((T$208-T$251)/SUM(T$208,T$215,T$222,-T$251,-T$333),(U$208-U$251)/SUM(U$208,U$215,U$222,-U$251,-U$333),(V$208-V$251)/SUM(V$208,V$215,V$222,-V$251,-V$333)),(V$208-V$251)/SUM(V$208,V$215,V$222,-V$251,-V$333))*(W$332-W$261-SUM(W$267:W$270,W$273)))</f>
        <v>19.848697868467063</v>
      </c>
      <c r="X208" s="47">
        <f ca="1">SUM(X$251,IF(X$6=OFFSET(Assumptions!$B$8,0,$C$1),AVERAGE((U$208-U$251)/SUM(U$208,U$215,U$222,-U$251,-U$333),(V$208-V$251)/SUM(V$208,V$215,V$222,-V$251,-V$333),(W$208-W$251)/SUM(W$208,W$215,W$222,-W$251,-W$333)),(W$208-W$251)/SUM(W$208,W$215,W$222,-W$251,-W$333))*(X$332-X$261-SUM(X$267:X$270,X$273)))</f>
        <v>20.532453264083443</v>
      </c>
    </row>
    <row r="209" spans="1:24" x14ac:dyDescent="0.25">
      <c r="A209" s="11" t="s">
        <v>707</v>
      </c>
      <c r="B209" s="10" t="str">
        <f t="shared" si="143"/>
        <v>From Fiscal Forecasts</v>
      </c>
      <c r="D209" s="35">
        <f>'Fiscal Forecasts'!D$255</f>
        <v>15.085000000000001</v>
      </c>
      <c r="E209" s="35">
        <f>'Fiscal Forecasts'!E$255</f>
        <v>16.317</v>
      </c>
      <c r="F209" s="35">
        <f>'Fiscal Forecasts'!F$255</f>
        <v>17.928999999999998</v>
      </c>
      <c r="G209" s="35">
        <f>'Fiscal Forecasts'!G$255</f>
        <v>19.896999999999998</v>
      </c>
      <c r="H209" s="35">
        <f>'Fiscal Forecasts'!H$255</f>
        <v>22.326000000000001</v>
      </c>
      <c r="I209" s="35">
        <f>'Fiscal Forecasts'!I$255</f>
        <v>24.337</v>
      </c>
      <c r="J209" s="17">
        <f>'Fiscal Forecasts'!J$255</f>
        <v>24.657</v>
      </c>
      <c r="K209" s="17">
        <f>'Fiscal Forecasts'!K$255</f>
        <v>25.32</v>
      </c>
      <c r="L209" s="17">
        <f>'Fiscal Forecasts'!L$255</f>
        <v>25.808</v>
      </c>
      <c r="M209" s="17">
        <f>'Fiscal Forecasts'!M$255</f>
        <v>26.111999999999998</v>
      </c>
      <c r="N209" s="17">
        <f>'Fiscal Forecasts'!N$255</f>
        <v>26.395</v>
      </c>
      <c r="O209" s="16">
        <f ca="1">SUM(O$252-O$251,IF(O$6=OFFSET(Assumptions!$B$8,0,$C$1),AVERAGE(SUM(L$209,-(L$252-L$251))/SUM(L$209,-(L$252-L$251),L$216,L$223),(M$209-(M$252-M$251))/SUM(M$209,-(M$252-M$251),M$216,M$223),(N$209-(N$252-N$251))/SUM(N$209,-(N$252-N$251),N$216,N$223)),(N$209-(N$252-N$251))/SUM(N$209,-(N$252-N$251),N$216,N$223))*SUM(O$198-O$238,O$262,O$275,O$293,O$335,-(O$252-O$251)))</f>
        <v>27.328924033828866</v>
      </c>
      <c r="P209" s="16">
        <f ca="1">SUM(P$252-P$251,IF(P$6=OFFSET(Assumptions!$B$8,0,$C$1),AVERAGE(SUM(M$209,-(M$252-M$251))/SUM(M$209,-(M$252-M$251),M$216,M$223),(N$209-(N$252-N$251))/SUM(N$209,-(N$252-N$251),N$216,N$223),(O$209-(O$252-O$251))/SUM(O$209,-(O$252-O$251),O$216,O$223)),(O$209-(O$252-O$251))/SUM(O$209,-(O$252-O$251),O$216,O$223))*SUM(P$198-P$238,P$262,P$275,P$293,P$335,-(P$252-P$251)))</f>
        <v>28.601518626831282</v>
      </c>
      <c r="Q209" s="16">
        <f ca="1">SUM(Q$252-Q$251,IF(Q$6=OFFSET(Assumptions!$B$8,0,$C$1),AVERAGE(SUM(N$209,-(N$252-N$251))/SUM(N$209,-(N$252-N$251),N$216,N$223),(O$209-(O$252-O$251))/SUM(O$209,-(O$252-O$251),O$216,O$223),(P$209-(P$252-P$251))/SUM(P$209,-(P$252-P$251),P$216,P$223)),(P$209-(P$252-P$251))/SUM(P$209,-(P$252-P$251),P$216,P$223))*SUM(Q$198-Q$238,Q$262,Q$275,Q$293,Q$335,-(Q$252-Q$251)))</f>
        <v>30.011246364746764</v>
      </c>
      <c r="R209" s="16">
        <f ca="1">SUM(R$252-R$251,IF(R$6=OFFSET(Assumptions!$B$8,0,$C$1),AVERAGE(SUM(O$209,-(O$252-O$251))/SUM(O$209,-(O$252-O$251),O$216,O$223),(P$209-(P$252-P$251))/SUM(P$209,-(P$252-P$251),P$216,P$223),(Q$209-(Q$252-Q$251))/SUM(Q$209,-(Q$252-Q$251),Q$216,Q$223)),(Q$209-(Q$252-Q$251))/SUM(Q$209,-(Q$252-Q$251),Q$216,Q$223))*SUM(R$198-R$238,R$262,R$275,R$293,R$335,-(R$252-R$251)))</f>
        <v>31.470457949643098</v>
      </c>
      <c r="S209" s="16">
        <f ca="1">SUM(S$252-S$251,IF(S$6=OFFSET(Assumptions!$B$8,0,$C$1),AVERAGE(SUM(P$209,-(P$252-P$251))/SUM(P$209,-(P$252-P$251),P$216,P$223),(Q$209-(Q$252-Q$251))/SUM(Q$209,-(Q$252-Q$251),Q$216,Q$223),(R$209-(R$252-R$251))/SUM(R$209,-(R$252-R$251),R$216,R$223)),(R$209-(R$252-R$251))/SUM(R$209,-(R$252-R$251),R$216,R$223))*SUM(S$198-S$238,S$262,S$275,S$293,S$335,-(S$252-S$251)))</f>
        <v>32.977844362348783</v>
      </c>
      <c r="T209" s="16">
        <f ca="1">SUM(T$252-T$251,IF(T$6=OFFSET(Assumptions!$B$8,0,$C$1),AVERAGE(SUM(Q$209,-(Q$252-Q$251))/SUM(Q$209,-(Q$252-Q$251),Q$216,Q$223),(R$209-(R$252-R$251))/SUM(R$209,-(R$252-R$251),R$216,R$223),(S$209-(S$252-S$251))/SUM(S$209,-(S$252-S$251),S$216,S$223)),(S$209-(S$252-S$251))/SUM(S$209,-(S$252-S$251),S$216,S$223))*SUM(T$198-T$238,T$262,T$275,T$293,T$335,-(T$252-T$251)))</f>
        <v>34.530555443595233</v>
      </c>
      <c r="U209" s="16">
        <f ca="1">SUM(U$252-U$251,IF(U$6=OFFSET(Assumptions!$B$8,0,$C$1),AVERAGE(SUM(R$209,-(R$252-R$251))/SUM(R$209,-(R$252-R$251),R$216,R$223),(S$209-(S$252-S$251))/SUM(S$209,-(S$252-S$251),S$216,S$223),(T$209-(T$252-T$251))/SUM(T$209,-(T$252-T$251),T$216,T$223)),(T$209-(T$252-T$251))/SUM(T$209,-(T$252-T$251),T$216,T$223))*SUM(U$198-U$238,U$262,U$275,U$293,U$335,-(U$252-U$251)))</f>
        <v>36.131465085171818</v>
      </c>
      <c r="V209" s="16">
        <f ca="1">SUM(V$252-V$251,IF(V$6=OFFSET(Assumptions!$B$8,0,$C$1),AVERAGE(SUM(S$209,-(S$252-S$251))/SUM(S$209,-(S$252-S$251),S$216,S$223),(T$209-(T$252-T$251))/SUM(T$209,-(T$252-T$251),T$216,T$223),(U$209-(U$252-U$251))/SUM(U$209,-(U$252-U$251),U$216,U$223)),(U$209-(U$252-U$251))/SUM(U$209,-(U$252-U$251),U$216,U$223))*SUM(V$198-V$238,V$262,V$275,V$293,V$335,-(V$252-V$251)))</f>
        <v>37.781187461017545</v>
      </c>
      <c r="W209" s="16">
        <f ca="1">SUM(W$252-W$251,IF(W$6=OFFSET(Assumptions!$B$8,0,$C$1),AVERAGE(SUM(T$209,-(T$252-T$251))/SUM(T$209,-(T$252-T$251),T$216,T$223),(U$209-(U$252-U$251))/SUM(U$209,-(U$252-U$251),U$216,U$223),(V$209-(V$252-V$251))/SUM(V$209,-(V$252-V$251),V$216,V$223)),(V$209-(V$252-V$251))/SUM(V$209,-(V$252-V$251),V$216,V$223))*SUM(W$198-W$238,W$262,W$275,W$293,W$335,-(W$252-W$251)))</f>
        <v>39.46854114673387</v>
      </c>
      <c r="X209" s="16">
        <f ca="1">SUM(X$252-X$251,IF(X$6=OFFSET(Assumptions!$B$8,0,$C$1),AVERAGE(SUM(U$209,-(U$252-U$251))/SUM(U$209,-(U$252-U$251),U$216,U$223),(V$209-(V$252-V$251))/SUM(V$209,-(V$252-V$251),V$216,V$223),(W$209-(W$252-W$251))/SUM(W$209,-(W$252-W$251),W$216,W$223)),(W$209-(W$252-W$251))/SUM(W$209,-(W$252-W$251),W$216,W$223))*SUM(X$198-X$238,X$262,X$275,X$293,X$335,-(X$252-X$251)))</f>
        <v>41.20271185442467</v>
      </c>
    </row>
    <row r="210" spans="1:24" x14ac:dyDescent="0.25">
      <c r="A210" s="11" t="s">
        <v>904</v>
      </c>
      <c r="B210" s="10" t="str">
        <f t="shared" si="143"/>
        <v>From Fiscal Forecasts</v>
      </c>
      <c r="D210" s="35">
        <f>'Fiscal Forecasts'!D$256</f>
        <v>3.0960000000000001</v>
      </c>
      <c r="E210" s="35">
        <f>'Fiscal Forecasts'!E$256</f>
        <v>3.0230000000000001</v>
      </c>
      <c r="F210" s="35">
        <f>'Fiscal Forecasts'!F$256</f>
        <v>2.5819999999999999</v>
      </c>
      <c r="G210" s="35">
        <f>'Fiscal Forecasts'!G$256</f>
        <v>2.8610000000000002</v>
      </c>
      <c r="H210" s="35">
        <f>'Fiscal Forecasts'!H$256</f>
        <v>3.33</v>
      </c>
      <c r="I210" s="35">
        <f>'Fiscal Forecasts'!I$256</f>
        <v>3.5459999999999998</v>
      </c>
      <c r="J210" s="17">
        <f>'Fiscal Forecasts'!J$256</f>
        <v>3.6120000000000001</v>
      </c>
      <c r="K210" s="17">
        <f>'Fiscal Forecasts'!K$256</f>
        <v>3.7280000000000002</v>
      </c>
      <c r="L210" s="17">
        <f>'Fiscal Forecasts'!L$256</f>
        <v>3.8580000000000001</v>
      </c>
      <c r="M210" s="17">
        <f>'Fiscal Forecasts'!M$256</f>
        <v>3.9929999999999999</v>
      </c>
      <c r="N210" s="17">
        <f>'Fiscal Forecasts'!N$256</f>
        <v>4.09</v>
      </c>
      <c r="O210" s="16">
        <f ca="1">IF(O$6=OFFSET(Assumptions!$B$8,0,$C$1),AVERAGE(L$210/SUM(L$210,L$217,L$224),M$210/SUM(M$210,M$217,M$224),N$210/SUM(N$210,N$217,N$224)),N$210/SUM(N$210,N$217,N$224))*SUM(O$294,O$336-O$239)</f>
        <v>4.1976490813182057</v>
      </c>
      <c r="P210" s="16">
        <f ca="1">IF(P$6=OFFSET(Assumptions!$B$8,0,$C$1),AVERAGE(M$210/SUM(M$210,M$217,M$224),N$210/SUM(N$210,N$217,N$224),O$210/SUM(O$210,O$217,O$224)),O$210/SUM(O$210,O$217,O$224))*SUM(P$294,P$336-P$239)</f>
        <v>4.3047935229228322</v>
      </c>
      <c r="Q210" s="16">
        <f ca="1">IF(Q$6=OFFSET(Assumptions!$B$8,0,$C$1),AVERAGE(N$210/SUM(N$210,N$217,N$224),O$210/SUM(O$210,O$217,O$224),P$210/SUM(P$210,P$217,P$224)),P$210/SUM(P$210,P$217,P$224))*SUM(Q$294,Q$336-Q$239)</f>
        <v>4.4135818586776328</v>
      </c>
      <c r="R210" s="16">
        <f ca="1">IF(R$6=OFFSET(Assumptions!$B$8,0,$C$1),AVERAGE(O$210/SUM(O$210,O$217,O$224),P$210/SUM(P$210,P$217,P$224),Q$210/SUM(Q$210,Q$217,Q$224)),Q$210/SUM(Q$210,Q$217,Q$224))*SUM(R$294,R$336-R$239)</f>
        <v>4.5234682697409783</v>
      </c>
      <c r="S210" s="16">
        <f ca="1">IF(S$6=OFFSET(Assumptions!$B$8,0,$C$1),AVERAGE(P$210/SUM(P$210,P$217,P$224),Q$210/SUM(Q$210,Q$217,Q$224),R$210/SUM(R$210,R$217,R$224)),R$210/SUM(R$210,R$217,R$224))*SUM(S$294,S$336-S$239)</f>
        <v>4.6348054209035707</v>
      </c>
      <c r="T210" s="16">
        <f ca="1">IF(T$6=OFFSET(Assumptions!$B$8,0,$C$1),AVERAGE(Q$210/SUM(Q$210,Q$217,Q$224),R$210/SUM(R$210,R$217,R$224),S$210/SUM(S$210,S$217,S$224)),S$210/SUM(S$210,S$217,S$224))*SUM(T$294,T$336-T$239)</f>
        <v>4.7474684514724323</v>
      </c>
      <c r="U210" s="16">
        <f ca="1">IF(U$6=OFFSET(Assumptions!$B$8,0,$C$1),AVERAGE(R$210/SUM(R$210,R$217,R$224),S$210/SUM(S$210,S$217,S$224),T$210/SUM(T$210,T$217,T$224)),T$210/SUM(T$210,T$217,T$224))*SUM(U$294,U$336-U$239)</f>
        <v>4.8623018677780117</v>
      </c>
      <c r="V210" s="16">
        <f ca="1">IF(V$6=OFFSET(Assumptions!$B$8,0,$C$1),AVERAGE(S$210/SUM(S$210,S$217,S$224),T$210/SUM(T$210,T$217,T$224),U$210/SUM(U$210,U$217,U$224)),U$210/SUM(U$210,U$217,U$224))*SUM(V$294,V$336-V$239)</f>
        <v>4.9790077631443079</v>
      </c>
      <c r="W210" s="16">
        <f ca="1">IF(W$6=OFFSET(Assumptions!$B$8,0,$C$1),AVERAGE(T$210/SUM(T$210,T$217,T$224),U$210/SUM(U$210,U$217,U$224),V$210/SUM(V$210,V$217,V$224)),V$210/SUM(V$210,V$217,V$224))*SUM(W$294,W$336-W$239)</f>
        <v>5.0966545884082448</v>
      </c>
      <c r="X210" s="16">
        <f ca="1">IF(X$6=OFFSET(Assumptions!$B$8,0,$C$1),AVERAGE(U$210/SUM(U$210,U$217,U$224),V$210/SUM(V$210,V$217,V$224),W$210/SUM(W$210,W$217,W$224)),W$210/SUM(W$210,W$217,W$224))*SUM(X$294,X$336-X$239)</f>
        <v>5.2159601350605564</v>
      </c>
    </row>
    <row r="211" spans="1:24" x14ac:dyDescent="0.25">
      <c r="A211" s="11" t="s">
        <v>866</v>
      </c>
      <c r="B211" s="10" t="str">
        <f t="shared" si="143"/>
        <v>From Fiscal Forecasts</v>
      </c>
      <c r="D211" s="35">
        <f>'Fiscal Forecasts'!D$257</f>
        <v>-4.2000000000000003E-2</v>
      </c>
      <c r="E211" s="35">
        <f>'Fiscal Forecasts'!E$257</f>
        <v>-4.4999999999999998E-2</v>
      </c>
      <c r="F211" s="35">
        <f>'Fiscal Forecasts'!F$257</f>
        <v>-5.1999999999999998E-2</v>
      </c>
      <c r="G211" s="35">
        <f>'Fiscal Forecasts'!G$257</f>
        <v>-5.5E-2</v>
      </c>
      <c r="H211" s="35">
        <f>'Fiscal Forecasts'!H$257</f>
        <v>-5.2999999999999999E-2</v>
      </c>
      <c r="I211" s="35">
        <f>'Fiscal Forecasts'!I$257</f>
        <v>-0.06</v>
      </c>
      <c r="J211" s="17">
        <f>'Fiscal Forecasts'!J$257</f>
        <v>-6.6000000000000003E-2</v>
      </c>
      <c r="K211" s="17">
        <f>'Fiscal Forecasts'!K$257</f>
        <v>-6.8000000000000005E-2</v>
      </c>
      <c r="L211" s="17">
        <f>'Fiscal Forecasts'!L$257</f>
        <v>-6.9000000000000006E-2</v>
      </c>
      <c r="M211" s="17">
        <f>'Fiscal Forecasts'!M$257</f>
        <v>-6.8000000000000005E-2</v>
      </c>
      <c r="N211" s="17">
        <f>'Fiscal Forecasts'!N$257</f>
        <v>-7.0000000000000007E-2</v>
      </c>
      <c r="O211" s="16">
        <f ca="1">IF(O$6=OFFSET(Assumptions!$B$8,0,$C$1),AVERAGE(L$211/SUM(L$211,L$225),M$211/SUM(M$211,M$225),N$211/SUM(N$211,N$225)),N$211/SUM(N$211,N$225))*SUM(O$199,O$263,O$276,O$295,O$337)</f>
        <v>-7.5340287491748426E-2</v>
      </c>
      <c r="P211" s="16">
        <f ca="1">IF(P$6=OFFSET(Assumptions!$B$8,0,$C$1),AVERAGE(M$211/SUM(M$211,M$225),N$211/SUM(N$211,N$225),O$211/SUM(O$211,O$225)),O$211/SUM(O$211,O$225))*SUM(P$199,P$263,P$276,P$295,P$337)</f>
        <v>-7.9111531482846498E-2</v>
      </c>
      <c r="Q211" s="16">
        <f ca="1">IF(Q$6=OFFSET(Assumptions!$B$8,0,$C$1),AVERAGE(N$211/SUM(N$211,N$225),O$211/SUM(O$211,O$225),P$211/SUM(P$211,P$225)),P$211/SUM(P$211,P$225))*SUM(Q$199,Q$263,Q$276,Q$295,Q$337)</f>
        <v>-8.3304817197475081E-2</v>
      </c>
      <c r="R211" s="16">
        <f ca="1">IF(R$6=OFFSET(Assumptions!$B$8,0,$C$1),AVERAGE(O$211/SUM(O$211,O$225),P$211/SUM(P$211,P$225),Q$211/SUM(Q$211,Q$225)),Q$211/SUM(Q$211,Q$225))*SUM(R$199,R$263,R$276,R$295,R$337)</f>
        <v>-8.7665316906674715E-2</v>
      </c>
      <c r="S211" s="16">
        <f ca="1">IF(S$6=OFFSET(Assumptions!$B$8,0,$C$1),AVERAGE(P$211/SUM(P$211,P$225),Q$211/SUM(Q$211,Q$225),R$211/SUM(R$211,R$225)),R$211/SUM(R$211,R$225))*SUM(S$199,S$263,S$276,S$295,S$337)</f>
        <v>-9.21895318390131E-2</v>
      </c>
      <c r="T211" s="16">
        <f ca="1">IF(T$6=OFFSET(Assumptions!$B$8,0,$C$1),AVERAGE(Q$211/SUM(Q$211,Q$225),R$211/SUM(R$211,R$225),S$211/SUM(S$211,S$225)),S$211/SUM(S$211,S$225))*SUM(T$199,T$263,T$276,T$295,T$337)</f>
        <v>-9.6877824955654238E-2</v>
      </c>
      <c r="U211" s="16">
        <f ca="1">IF(U$6=OFFSET(Assumptions!$B$8,0,$C$1),AVERAGE(R$211/SUM(R$211,R$225),S$211/SUM(S$211,S$225),T$211/SUM(T$211,T$225)),T$211/SUM(T$211,T$225))*SUM(U$199,U$263,U$276,U$295,U$337)</f>
        <v>-0.10172336653560526</v>
      </c>
      <c r="V211" s="16">
        <f ca="1">IF(V$6=OFFSET(Assumptions!$B$8,0,$C$1),AVERAGE(S$211/SUM(S$211,S$225),T$211/SUM(T$211,T$225),U$211/SUM(U$211,U$225)),U$211/SUM(U$211,U$225))*SUM(V$199,V$263,V$276,V$295,V$337)</f>
        <v>-0.10652419726494142</v>
      </c>
      <c r="W211" s="16">
        <f ca="1">IF(W$6=OFFSET(Assumptions!$B$8,0,$C$1),AVERAGE(T$211/SUM(T$211,T$225),U$211/SUM(U$211,U$225),V$211/SUM(V$211,V$225)),V$211/SUM(V$211,V$225))*SUM(W$199,W$263,W$276,W$295,W$337)</f>
        <v>-0.11135698396937969</v>
      </c>
      <c r="X211" s="16">
        <f ca="1">IF(X$6=OFFSET(Assumptions!$B$8,0,$C$1),AVERAGE(U$211/SUM(U$211,U$225),V$211/SUM(V$211,V$225),W$211/SUM(W$211,W$225)),W$211/SUM(W$211,W$225))*SUM(X$199,X$263,X$276,X$295,X$337)</f>
        <v>-0.11633203625528271</v>
      </c>
    </row>
    <row r="212" spans="1:24" x14ac:dyDescent="0.25">
      <c r="A212" s="9" t="s">
        <v>959</v>
      </c>
      <c r="D212" s="65">
        <f t="shared" ref="D212:X212" si="144">SUM(D$208:D$211)</f>
        <v>25.933</v>
      </c>
      <c r="E212" s="65">
        <f t="shared" si="144"/>
        <v>27.774999999999999</v>
      </c>
      <c r="F212" s="65">
        <f t="shared" si="144"/>
        <v>29.817</v>
      </c>
      <c r="G212" s="65">
        <f t="shared" si="144"/>
        <v>32.647999999999996</v>
      </c>
      <c r="H212" s="65">
        <f t="shared" si="144"/>
        <v>36.052</v>
      </c>
      <c r="I212" s="65">
        <f t="shared" si="144"/>
        <v>39.082999999999998</v>
      </c>
      <c r="J212" s="66">
        <f t="shared" si="144"/>
        <v>39.61</v>
      </c>
      <c r="K212" s="66">
        <f t="shared" si="144"/>
        <v>40.758000000000003</v>
      </c>
      <c r="L212" s="66">
        <f t="shared" si="144"/>
        <v>41.474999999999994</v>
      </c>
      <c r="M212" s="66">
        <f t="shared" si="144"/>
        <v>41.884</v>
      </c>
      <c r="N212" s="66">
        <f t="shared" si="144"/>
        <v>42.311</v>
      </c>
      <c r="O212" s="67">
        <f t="shared" ca="1" si="144"/>
        <v>45.31996453266742</v>
      </c>
      <c r="P212" s="67">
        <f t="shared" ca="1" si="144"/>
        <v>47.542072890503384</v>
      </c>
      <c r="Q212" s="67">
        <f t="shared" ca="1" si="144"/>
        <v>49.875547806250054</v>
      </c>
      <c r="R212" s="67">
        <f t="shared" ca="1" si="144"/>
        <v>52.235715596502402</v>
      </c>
      <c r="S212" s="67">
        <f t="shared" ca="1" si="144"/>
        <v>54.592526039500932</v>
      </c>
      <c r="T212" s="67">
        <f t="shared" ca="1" si="144"/>
        <v>57.017645721582099</v>
      </c>
      <c r="U212" s="67">
        <f t="shared" ca="1" si="144"/>
        <v>59.412543432020257</v>
      </c>
      <c r="V212" s="67">
        <f t="shared" ca="1" si="144"/>
        <v>61.833409557284057</v>
      </c>
      <c r="W212" s="67">
        <f t="shared" ca="1" si="144"/>
        <v>64.302536619639795</v>
      </c>
      <c r="X212" s="67">
        <f t="shared" ca="1" si="144"/>
        <v>66.83479321731339</v>
      </c>
    </row>
    <row r="214" spans="1:24" x14ac:dyDescent="0.25">
      <c r="A214" s="9" t="s">
        <v>536</v>
      </c>
    </row>
    <row r="215" spans="1:24" x14ac:dyDescent="0.25">
      <c r="A215" s="9" t="s">
        <v>1100</v>
      </c>
      <c r="B215" s="10" t="str">
        <f t="shared" ref="B215:B219" si="145">$B$38</f>
        <v>From Fiscal Forecasts</v>
      </c>
      <c r="D215" s="42">
        <f>'Fiscal Forecasts'!D$260</f>
        <v>1.5009999999999999</v>
      </c>
      <c r="E215" s="42">
        <f>'Fiscal Forecasts'!E$260</f>
        <v>1.675</v>
      </c>
      <c r="F215" s="42">
        <f>'Fiscal Forecasts'!F$260</f>
        <v>1.883</v>
      </c>
      <c r="G215" s="42">
        <f>'Fiscal Forecasts'!G$260</f>
        <v>2.0019999999999998</v>
      </c>
      <c r="H215" s="42">
        <f>'Fiscal Forecasts'!H$260</f>
        <v>2.4</v>
      </c>
      <c r="I215" s="42">
        <f>'Fiscal Forecasts'!I$260</f>
        <v>2.81</v>
      </c>
      <c r="J215" s="43">
        <f>'Fiscal Forecasts'!J$260</f>
        <v>2.7429999999999999</v>
      </c>
      <c r="K215" s="43">
        <f>'Fiscal Forecasts'!K$260</f>
        <v>2.9079999999999999</v>
      </c>
      <c r="L215" s="43">
        <f>'Fiscal Forecasts'!L$260</f>
        <v>2.9940000000000002</v>
      </c>
      <c r="M215" s="43">
        <f>'Fiscal Forecasts'!M$260</f>
        <v>3.069</v>
      </c>
      <c r="N215" s="43">
        <f>'Fiscal Forecasts'!N$260</f>
        <v>3.073</v>
      </c>
      <c r="O215" s="47">
        <f t="shared" ref="O215:X215" si="146">O$431</f>
        <v>3.073</v>
      </c>
      <c r="P215" s="47">
        <f t="shared" si="146"/>
        <v>3.073</v>
      </c>
      <c r="Q215" s="47">
        <f t="shared" si="146"/>
        <v>3.073</v>
      </c>
      <c r="R215" s="47">
        <f t="shared" si="146"/>
        <v>3.073</v>
      </c>
      <c r="S215" s="47">
        <f t="shared" si="146"/>
        <v>3.073</v>
      </c>
      <c r="T215" s="47">
        <f t="shared" si="146"/>
        <v>3.073</v>
      </c>
      <c r="U215" s="47">
        <f t="shared" si="146"/>
        <v>3.073</v>
      </c>
      <c r="V215" s="47">
        <f t="shared" si="146"/>
        <v>3.073</v>
      </c>
      <c r="W215" s="47">
        <f t="shared" si="146"/>
        <v>3.073</v>
      </c>
      <c r="X215" s="47">
        <f t="shared" si="146"/>
        <v>3.073</v>
      </c>
    </row>
    <row r="216" spans="1:24" x14ac:dyDescent="0.25">
      <c r="A216" s="11" t="s">
        <v>707</v>
      </c>
      <c r="B216" s="10" t="str">
        <f t="shared" si="145"/>
        <v>From Fiscal Forecasts</v>
      </c>
      <c r="D216" s="35">
        <f>'Fiscal Forecasts'!D$261</f>
        <v>1.587</v>
      </c>
      <c r="E216" s="35">
        <f>'Fiscal Forecasts'!E$261</f>
        <v>1.776</v>
      </c>
      <c r="F216" s="35">
        <f>'Fiscal Forecasts'!F$261</f>
        <v>1.9530000000000001</v>
      </c>
      <c r="G216" s="35">
        <f>'Fiscal Forecasts'!G$261</f>
        <v>2.2509999999999999</v>
      </c>
      <c r="H216" s="35">
        <f>'Fiscal Forecasts'!H$261</f>
        <v>2.5110000000000001</v>
      </c>
      <c r="I216" s="35">
        <f>'Fiscal Forecasts'!I$261</f>
        <v>2.9</v>
      </c>
      <c r="J216" s="17">
        <f>'Fiscal Forecasts'!J$261</f>
        <v>3.012</v>
      </c>
      <c r="K216" s="17">
        <f>'Fiscal Forecasts'!K$261</f>
        <v>3.129</v>
      </c>
      <c r="L216" s="17">
        <f>'Fiscal Forecasts'!L$261</f>
        <v>3.177</v>
      </c>
      <c r="M216" s="17">
        <f>'Fiscal Forecasts'!M$261</f>
        <v>3.226</v>
      </c>
      <c r="N216" s="17">
        <f>'Fiscal Forecasts'!N$261</f>
        <v>3.274</v>
      </c>
      <c r="O216" s="16">
        <f t="shared" ref="O216:X216" si="147">N$216</f>
        <v>3.274</v>
      </c>
      <c r="P216" s="16">
        <f t="shared" si="147"/>
        <v>3.274</v>
      </c>
      <c r="Q216" s="16">
        <f t="shared" si="147"/>
        <v>3.274</v>
      </c>
      <c r="R216" s="16">
        <f t="shared" si="147"/>
        <v>3.274</v>
      </c>
      <c r="S216" s="16">
        <f t="shared" si="147"/>
        <v>3.274</v>
      </c>
      <c r="T216" s="16">
        <f t="shared" si="147"/>
        <v>3.274</v>
      </c>
      <c r="U216" s="16">
        <f t="shared" si="147"/>
        <v>3.274</v>
      </c>
      <c r="V216" s="16">
        <f t="shared" si="147"/>
        <v>3.274</v>
      </c>
      <c r="W216" s="16">
        <f t="shared" si="147"/>
        <v>3.274</v>
      </c>
      <c r="X216" s="16">
        <f t="shared" si="147"/>
        <v>3.274</v>
      </c>
    </row>
    <row r="217" spans="1:24" x14ac:dyDescent="0.25">
      <c r="A217" s="11" t="s">
        <v>904</v>
      </c>
      <c r="B217" s="10" t="str">
        <f t="shared" si="145"/>
        <v>From Fiscal Forecasts</v>
      </c>
      <c r="D217" s="35">
        <f>'Fiscal Forecasts'!D$262</f>
        <v>1.466</v>
      </c>
      <c r="E217" s="35">
        <f>'Fiscal Forecasts'!E$262</f>
        <v>1.843</v>
      </c>
      <c r="F217" s="35">
        <f>'Fiscal Forecasts'!F$262</f>
        <v>1.73</v>
      </c>
      <c r="G217" s="35">
        <f>'Fiscal Forecasts'!G$262</f>
        <v>1.899</v>
      </c>
      <c r="H217" s="35">
        <f>'Fiscal Forecasts'!H$262</f>
        <v>1.69</v>
      </c>
      <c r="I217" s="35">
        <f>'Fiscal Forecasts'!I$262</f>
        <v>1.911</v>
      </c>
      <c r="J217" s="17">
        <f>'Fiscal Forecasts'!J$262</f>
        <v>2.3050000000000002</v>
      </c>
      <c r="K217" s="17">
        <f>'Fiscal Forecasts'!K$262</f>
        <v>2.387</v>
      </c>
      <c r="L217" s="17">
        <f>'Fiscal Forecasts'!L$262</f>
        <v>2.5459999999999998</v>
      </c>
      <c r="M217" s="17">
        <f>'Fiscal Forecasts'!M$262</f>
        <v>2.7690000000000001</v>
      </c>
      <c r="N217" s="17">
        <f>'Fiscal Forecasts'!N$262</f>
        <v>2.8580000000000001</v>
      </c>
      <c r="O217" s="16">
        <f t="shared" ref="O217:X217" ca="1" si="148">N$217*O$428/N$428</f>
        <v>2.8867767255345771</v>
      </c>
      <c r="P217" s="16">
        <f t="shared" ca="1" si="148"/>
        <v>2.9155053385363265</v>
      </c>
      <c r="Q217" s="16">
        <f t="shared" ca="1" si="148"/>
        <v>2.9446104230131529</v>
      </c>
      <c r="R217" s="16">
        <f t="shared" ca="1" si="148"/>
        <v>2.9741784522143893</v>
      </c>
      <c r="S217" s="16">
        <f t="shared" ca="1" si="148"/>
        <v>3.0042196339142793</v>
      </c>
      <c r="T217" s="16">
        <f t="shared" ca="1" si="148"/>
        <v>3.0347434538140505</v>
      </c>
      <c r="U217" s="16">
        <f t="shared" ca="1" si="148"/>
        <v>3.0657563469539673</v>
      </c>
      <c r="V217" s="16">
        <f t="shared" ca="1" si="148"/>
        <v>3.0972656664558227</v>
      </c>
      <c r="W217" s="16">
        <f t="shared" ca="1" si="148"/>
        <v>3.1292787469463068</v>
      </c>
      <c r="X217" s="16">
        <f t="shared" ca="1" si="148"/>
        <v>3.1618067191578474</v>
      </c>
    </row>
    <row r="218" spans="1:24" x14ac:dyDescent="0.25">
      <c r="A218" s="9" t="s">
        <v>964</v>
      </c>
      <c r="D218" s="65">
        <f t="shared" ref="D218:X218" si="149">SUM(D$215:D$217)</f>
        <v>4.5540000000000003</v>
      </c>
      <c r="E218" s="65">
        <f t="shared" si="149"/>
        <v>5.2940000000000005</v>
      </c>
      <c r="F218" s="65">
        <f t="shared" si="149"/>
        <v>5.5660000000000007</v>
      </c>
      <c r="G218" s="65">
        <f t="shared" si="149"/>
        <v>6.1520000000000001</v>
      </c>
      <c r="H218" s="65">
        <f t="shared" si="149"/>
        <v>6.6009999999999991</v>
      </c>
      <c r="I218" s="65">
        <f t="shared" si="149"/>
        <v>7.6210000000000004</v>
      </c>
      <c r="J218" s="66">
        <f t="shared" si="149"/>
        <v>8.06</v>
      </c>
      <c r="K218" s="66">
        <f t="shared" si="149"/>
        <v>8.4239999999999995</v>
      </c>
      <c r="L218" s="66">
        <f t="shared" si="149"/>
        <v>8.7170000000000005</v>
      </c>
      <c r="M218" s="66">
        <f t="shared" si="149"/>
        <v>9.0640000000000001</v>
      </c>
      <c r="N218" s="66">
        <f t="shared" si="149"/>
        <v>9.2050000000000001</v>
      </c>
      <c r="O218" s="67">
        <f t="shared" ca="1" si="149"/>
        <v>9.2337767255345771</v>
      </c>
      <c r="P218" s="67">
        <f t="shared" ca="1" si="149"/>
        <v>9.2625053385363252</v>
      </c>
      <c r="Q218" s="67">
        <f t="shared" ca="1" si="149"/>
        <v>9.291610423013152</v>
      </c>
      <c r="R218" s="67">
        <f t="shared" ca="1" si="149"/>
        <v>9.3211784522143883</v>
      </c>
      <c r="S218" s="67">
        <f t="shared" ca="1" si="149"/>
        <v>9.3512196339142797</v>
      </c>
      <c r="T218" s="67">
        <f t="shared" ca="1" si="149"/>
        <v>9.3817434538140496</v>
      </c>
      <c r="U218" s="67">
        <f t="shared" ca="1" si="149"/>
        <v>9.4127563469539659</v>
      </c>
      <c r="V218" s="67">
        <f t="shared" ca="1" si="149"/>
        <v>9.4442656664558218</v>
      </c>
      <c r="W218" s="67">
        <f t="shared" ca="1" si="149"/>
        <v>9.4762787469463063</v>
      </c>
      <c r="X218" s="67">
        <f t="shared" ca="1" si="149"/>
        <v>9.508806719157846</v>
      </c>
    </row>
    <row r="219" spans="1:24" x14ac:dyDescent="0.25">
      <c r="A219" s="9" t="s">
        <v>960</v>
      </c>
      <c r="B219" s="10" t="str">
        <f t="shared" si="145"/>
        <v>From Fiscal Forecasts</v>
      </c>
      <c r="D219" s="42">
        <f>'Fiscal Forecasts'!D$265</f>
        <v>0.29399999999999998</v>
      </c>
      <c r="E219" s="42">
        <f>'Fiscal Forecasts'!E$265</f>
        <v>0.57399999999999995</v>
      </c>
      <c r="F219" s="42">
        <f>'Fiscal Forecasts'!F$265</f>
        <v>0.37</v>
      </c>
      <c r="G219" s="42">
        <f>'Fiscal Forecasts'!G$265</f>
        <v>0.316</v>
      </c>
      <c r="H219" s="42">
        <f>'Fiscal Forecasts'!H$265</f>
        <v>0.29399999999999998</v>
      </c>
      <c r="I219" s="42">
        <f>'Fiscal Forecasts'!I$265</f>
        <v>0.33</v>
      </c>
      <c r="J219" s="43">
        <f>'Fiscal Forecasts'!J$265</f>
        <v>0.33600000000000002</v>
      </c>
      <c r="K219" s="43">
        <f>'Fiscal Forecasts'!K$265</f>
        <v>0.34399999999999997</v>
      </c>
      <c r="L219" s="43">
        <f>'Fiscal Forecasts'!L$265</f>
        <v>0.34300000000000003</v>
      </c>
      <c r="M219" s="43">
        <f>'Fiscal Forecasts'!M$265</f>
        <v>0.34200000000000003</v>
      </c>
      <c r="N219" s="43">
        <f>'Fiscal Forecasts'!N$265</f>
        <v>0.34200000000000003</v>
      </c>
      <c r="O219" s="47">
        <f ca="1">IF(O$6=OFFSET(Assumptions!$B$8,0,$C$1),AVERAGE(L$219/L$441,M$219/M$441,N$219/N$441),N$219/N$441)*O$441</f>
        <v>0.33085072805363508</v>
      </c>
      <c r="P219" s="47">
        <f ca="1">IF(P$6=OFFSET(Assumptions!$B$8,0,$C$1),AVERAGE(M$219/M$441,N$219/N$441,O$219/O$441),O$219/O$441)*P$441</f>
        <v>0.33085072805363508</v>
      </c>
      <c r="Q219" s="47">
        <f ca="1">IF(Q$6=OFFSET(Assumptions!$B$8,0,$C$1),AVERAGE(N$219/N$441,O$219/O$441,P$219/P$441),P$219/P$441)*Q$441</f>
        <v>0.33085072805363508</v>
      </c>
      <c r="R219" s="47">
        <f ca="1">IF(R$6=OFFSET(Assumptions!$B$8,0,$C$1),AVERAGE(O$219/O$441,P$219/P$441,Q$219/Q$441),Q$219/Q$441)*R$441</f>
        <v>0.33085072805363508</v>
      </c>
      <c r="S219" s="47">
        <f ca="1">IF(S$6=OFFSET(Assumptions!$B$8,0,$C$1),AVERAGE(P$219/P$441,Q$219/Q$441,R$219/R$441),R$219/R$441)*S$441</f>
        <v>0.33085072805363508</v>
      </c>
      <c r="T219" s="47">
        <f ca="1">IF(T$6=OFFSET(Assumptions!$B$8,0,$C$1),AVERAGE(Q$219/Q$441,R$219/R$441,S$219/S$441),S$219/S$441)*T$441</f>
        <v>0.33085072805363508</v>
      </c>
      <c r="U219" s="47">
        <f ca="1">IF(U$6=OFFSET(Assumptions!$B$8,0,$C$1),AVERAGE(R$219/R$441,S$219/S$441,T$219/T$441),T$219/T$441)*U$441</f>
        <v>0.33085072805363508</v>
      </c>
      <c r="V219" s="47">
        <f ca="1">IF(V$6=OFFSET(Assumptions!$B$8,0,$C$1),AVERAGE(S$219/S$441,T$219/T$441,U$219/U$441),U$219/U$441)*V$441</f>
        <v>0.33085072805363508</v>
      </c>
      <c r="W219" s="47">
        <f ca="1">IF(W$6=OFFSET(Assumptions!$B$8,0,$C$1),AVERAGE(T$219/T$441,U$219/U$441,V$219/V$441),V$219/V$441)*W$441</f>
        <v>0.33085072805363508</v>
      </c>
      <c r="X219" s="47">
        <f ca="1">IF(X$6=OFFSET(Assumptions!$B$8,0,$C$1),AVERAGE(U$219/U$441,V$219/V$441,W$219/W$441),W$219/W$441)*X$441</f>
        <v>0.33085072805363508</v>
      </c>
    </row>
    <row r="220" spans="1:24" x14ac:dyDescent="0.25">
      <c r="A220" s="9"/>
    </row>
    <row r="221" spans="1:24" x14ac:dyDescent="0.25">
      <c r="A221" s="9" t="s">
        <v>537</v>
      </c>
    </row>
    <row r="222" spans="1:24" x14ac:dyDescent="0.25">
      <c r="A222" s="9" t="s">
        <v>1101</v>
      </c>
      <c r="B222" s="10" t="str">
        <f t="shared" ref="B222:B225" si="150">$B$38</f>
        <v>From Fiscal Forecasts</v>
      </c>
      <c r="D222" s="42">
        <f>'Fiscal Forecasts'!D$270</f>
        <v>44.959000000000003</v>
      </c>
      <c r="E222" s="42">
        <f>'Fiscal Forecasts'!E$270</f>
        <v>51.832999999999998</v>
      </c>
      <c r="F222" s="42">
        <f>'Fiscal Forecasts'!F$270</f>
        <v>58.084000000000003</v>
      </c>
      <c r="G222" s="42">
        <f>'Fiscal Forecasts'!G$270</f>
        <v>65.543000000000006</v>
      </c>
      <c r="H222" s="42">
        <f>'Fiscal Forecasts'!H$270</f>
        <v>68.150000000000006</v>
      </c>
      <c r="I222" s="42">
        <f>'Fiscal Forecasts'!I$270</f>
        <v>72.72</v>
      </c>
      <c r="J222" s="43">
        <f ca="1">'Fiscal Forecasts'!J$270+IF(OFFSET(Assumptions!$B$56,0,$C$1)="Yes",SUM(Allocation!C$14:C$24),0)</f>
        <v>72.878</v>
      </c>
      <c r="K222" s="43">
        <f ca="1">'Fiscal Forecasts'!K$270+IF(OFFSET(Assumptions!$B$56,0,$C$1)="Yes",SUM(Allocation!D$14:D$24),0)</f>
        <v>77.957999999999998</v>
      </c>
      <c r="L222" s="43">
        <f ca="1">'Fiscal Forecasts'!L$270+IF(OFFSET(Assumptions!$B$56,0,$C$1)="Yes",SUM(Allocation!E$14:E$24),0)</f>
        <v>78.046000000000006</v>
      </c>
      <c r="M222" s="43">
        <f ca="1">'Fiscal Forecasts'!M$270+IF(OFFSET(Assumptions!$B$56,0,$C$1)="Yes",SUM(Allocation!F$14:F$24),0)</f>
        <v>78.794000000000011</v>
      </c>
      <c r="N222" s="43">
        <f ca="1">'Fiscal Forecasts'!N$270+IF(OFFSET(Assumptions!$B$56,0,$C$1)="Yes",SUM(Allocation!G$14:G$24),0)</f>
        <v>81.896999999999991</v>
      </c>
      <c r="O222" s="47">
        <f ca="1">SUM(-O$215,O$333,IF(O$6=OFFSET(Assumptions!$B$8,0,$C$1),AVERAGE((L$222+L$215-L$333)/SUM(L$208,L$215,L$222,-L$251,-L$333),(M$222+M$215-M$333)/SUM(M$208,M$215,M$222,-M$251,-M$333),(N$222+N$215-N$333)/SUM(N$208,N$215,N$222,-N$251,-N$333)),(N$222+N$215-N$333)/SUM(N$208,N$215,N$222,-N$251,-N$333))*(O$332-O$261-SUM(O$267:O$270,O$273)))</f>
        <v>87.091870606471602</v>
      </c>
      <c r="P222" s="47">
        <f ca="1">SUM(-P$215,P$333,IF(P$6=OFFSET(Assumptions!$B$8,0,$C$1),AVERAGE((M$222+M$215-M$333)/SUM(M$208,M$215,M$222,-M$251,-M$333),(N$222+N$215-N$333)/SUM(N$208,N$215,N$222,-N$251,-N$333),(O$222+O$215-O$333)/SUM(O$208,O$215,O$222,-O$251,-O$333)),(O$222+O$215-O$333)/SUM(O$208,O$215,O$222,-O$251,-O$333))*(P$332-P$261-SUM(P$267:P$270,P$273)))</f>
        <v>91.29879309667831</v>
      </c>
      <c r="Q222" s="47">
        <f ca="1">SUM(-Q$215,Q$333,IF(Q$6=OFFSET(Assumptions!$B$8,0,$C$1),AVERAGE((N$222+N$215-N$333)/SUM(N$208,N$215,N$222,-N$251,-N$333),(O$222+O$215-O$333)/SUM(O$208,O$215,O$222,-O$251,-O$333),(P$222+P$215-P$333)/SUM(P$208,P$215,P$222,-P$251,-P$333)),(P$222+P$215-P$333)/SUM(P$208,P$215,P$222,-P$251,-P$333))*(Q$332-Q$261-SUM(Q$267:Q$270,Q$273)))</f>
        <v>95.796520558878655</v>
      </c>
      <c r="R222" s="47">
        <f ca="1">SUM(-R$215,R$333,IF(R$6=OFFSET(Assumptions!$B$8,0,$C$1),AVERAGE((O$222+O$215-O$333)/SUM(O$208,O$215,O$222,-O$251,-O$333),(P$222+P$215-P$333)/SUM(P$208,P$215,P$222,-P$251,-P$333),(Q$222+Q$215-Q$333)/SUM(Q$208,Q$215,Q$222,-Q$251,-Q$333)),(Q$222+Q$215-Q$333)/SUM(Q$208,Q$215,Q$222,-Q$251,-Q$333))*(R$332-R$261-SUM(R$267:R$270,R$273)))</f>
        <v>100.37390373407328</v>
      </c>
      <c r="S222" s="47">
        <f ca="1">SUM(-S$215,S$333,IF(S$6=OFFSET(Assumptions!$B$8,0,$C$1),AVERAGE((P$222+P$215-P$333)/SUM(P$208,P$215,P$222,-P$251,-P$333),(Q$222+Q$215-Q$333)/SUM(Q$208,Q$215,Q$222,-Q$251,-Q$333),(R$222+R$215-R$333)/SUM(R$208,R$215,R$222,-R$251,-R$333)),(R$222+R$215-R$333)/SUM(R$208,R$215,R$222,-R$251,-R$333))*(S$332-S$261-SUM(S$267:S$270,S$273)))</f>
        <v>104.9810451186695</v>
      </c>
      <c r="T222" s="47">
        <f ca="1">SUM(-T$215,T$333,IF(T$6=OFFSET(Assumptions!$B$8,0,$C$1),AVERAGE((Q$222+Q$215-Q$333)/SUM(Q$208,Q$215,Q$222,-Q$251,-Q$333),(R$222+R$215-R$333)/SUM(R$208,R$215,R$222,-R$251,-R$333),(S$222+S$215-S$333)/SUM(S$208,S$215,S$222,-S$251,-S$333)),(S$222+S$215-S$333)/SUM(S$208,S$215,S$222,-S$251,-S$333))*(T$332-T$261-SUM(T$267:T$270,T$273)))</f>
        <v>109.73406603455354</v>
      </c>
      <c r="U222" s="47">
        <f ca="1">SUM(-U$215,U$333,IF(U$6=OFFSET(Assumptions!$B$8,0,$C$1),AVERAGE((R$222+R$215-R$333)/SUM(R$208,R$215,R$222,-R$251,-R$333),(S$222+S$215-S$333)/SUM(S$208,S$215,S$222,-S$251,-S$333),(T$222+T$215-T$333)/SUM(T$208,T$215,T$222,-T$251,-T$333)),(T$222+T$215-T$333)/SUM(T$208,T$215,T$222,-T$251,-T$333))*(U$332-U$261-SUM(U$267:U$270,U$273)))</f>
        <v>114.46505032541722</v>
      </c>
      <c r="V222" s="47">
        <f ca="1">SUM(-V$215,V$333,IF(V$6=OFFSET(Assumptions!$B$8,0,$C$1),AVERAGE((S$222+S$215-S$333)/SUM(S$208,S$215,S$222,-S$251,-S$333),(T$222+T$215-T$333)/SUM(T$208,T$215,T$222,-T$251,-T$333),(U$222+U$215-U$333)/SUM(U$208,U$215,U$222,-U$251,-U$333)),(U$222+U$215-U$333)/SUM(U$208,U$215,U$222,-U$251,-U$333))*(V$332-V$261-SUM(V$267:V$270,V$273)))</f>
        <v>119.27226986246517</v>
      </c>
      <c r="W222" s="47">
        <f ca="1">SUM(-W$215,W$333,IF(W$6=OFFSET(Assumptions!$B$8,0,$C$1),AVERAGE((T$222+T$215-T$333)/SUM(T$208,T$215,T$222,-T$251,-T$333),(U$222+U$215-U$333)/SUM(U$208,U$215,U$222,-U$251,-U$333),(V$222+V$215-V$333)/SUM(V$208,V$215,V$222,-V$251,-V$333)),(V$222+V$215-V$333)/SUM(V$208,V$215,V$222,-V$251,-V$333))*(W$332-W$261-SUM(W$267:W$270,W$273)))</f>
        <v>124.17957493946048</v>
      </c>
      <c r="X222" s="47">
        <f ca="1">SUM(-X$215,X$333,IF(X$6=OFFSET(Assumptions!$B$8,0,$C$1),AVERAGE((U$222+U$215-U$333)/SUM(U$208,U$215,U$222,-U$251,-U$333),(V$222+V$215-V$333)/SUM(V$208,V$215,V$222,-V$251,-V$333),(W$222+W$215-W$333)/SUM(W$208,W$215,W$222,-W$251,-W$333)),(W$222+W$215-W$333)/SUM(W$208,W$215,W$222,-W$251,-W$333))*(X$332-X$261-SUM(X$267:X$270,X$273)))</f>
        <v>129.21485522036522</v>
      </c>
    </row>
    <row r="223" spans="1:24" x14ac:dyDescent="0.25">
      <c r="A223" s="11" t="s">
        <v>707</v>
      </c>
      <c r="B223" s="10" t="str">
        <f t="shared" si="150"/>
        <v>From Fiscal Forecasts</v>
      </c>
      <c r="D223" s="35">
        <f>'Fiscal Forecasts'!D$271</f>
        <v>22.132999999999999</v>
      </c>
      <c r="E223" s="35">
        <f>'Fiscal Forecasts'!E$271</f>
        <v>25.504999999999999</v>
      </c>
      <c r="F223" s="35">
        <f>'Fiscal Forecasts'!F$271</f>
        <v>25.257000000000001</v>
      </c>
      <c r="G223" s="35">
        <f>'Fiscal Forecasts'!G$271</f>
        <v>27.652000000000001</v>
      </c>
      <c r="H223" s="35">
        <f>'Fiscal Forecasts'!H$271</f>
        <v>33.918999999999997</v>
      </c>
      <c r="I223" s="35">
        <f>'Fiscal Forecasts'!I$271</f>
        <v>34.594999999999999</v>
      </c>
      <c r="J223" s="17">
        <f>'Fiscal Forecasts'!J$271</f>
        <v>35.579000000000001</v>
      </c>
      <c r="K223" s="17">
        <f>'Fiscal Forecasts'!K$271</f>
        <v>34.938000000000002</v>
      </c>
      <c r="L223" s="17">
        <f>'Fiscal Forecasts'!L$271</f>
        <v>36.030999999999999</v>
      </c>
      <c r="M223" s="17">
        <f>'Fiscal Forecasts'!M$271</f>
        <v>34.314</v>
      </c>
      <c r="N223" s="17">
        <f>'Fiscal Forecasts'!N$271</f>
        <v>34.192999999999998</v>
      </c>
      <c r="O223" s="16">
        <f ca="1">SUM(-O$216,IF(O$6=OFFSET(Assumptions!$B$8,0,$C$1),AVERAGE(SUM(L$216,L$223)/SUM(L$209,-(L$252-L$251),L$216,L$223),SUM(M$216,M$223)/SUM(M$209,-(M$252-M$251),M$216,M$223),SUM(N$216,N$223)/SUM(N$209,-(N$252-N$251),N$216,N$223)),SUM(N$216,N$223)/SUM(N$209,-(N$252-N$251),N$216,N$223))*SUM(O$198-O$238,O$262,O$275,O$293,O$335,-(O$252-O$251)))</f>
        <v>36.576447233809915</v>
      </c>
      <c r="P223" s="16">
        <f ca="1">SUM(-P$216,IF(P$6=OFFSET(Assumptions!$B$8,0,$C$1),AVERAGE(SUM(M$216,M$223)/SUM(M$209,-(M$252-M$251),M$216,M$223),SUM(N$216,N$223)/SUM(N$209,-(N$252-N$251),N$216,N$223),SUM(O$216,O$223)/SUM(O$209,-(O$252-O$251),O$216,O$223)),SUM(O$216,O$223)/SUM(O$209,-(O$252-O$251),O$216,O$223))*SUM(P$198-P$238,P$262,P$275,P$293,P$335,-(P$252-P$251)))</f>
        <v>38.437002409837952</v>
      </c>
      <c r="Q223" s="16">
        <f ca="1">SUM(-Q$216,IF(Q$6=OFFSET(Assumptions!$B$8,0,$C$1),AVERAGE(SUM(N$216,N$223)/SUM(N$209,-(N$252-N$251),N$216,N$223),SUM(O$216,O$223)/SUM(O$209,-(O$252-O$251),O$216,O$223),SUM(P$216,P$223)/SUM(P$209,-(P$252-P$251),P$216,P$223)),SUM(P$216,P$223)/SUM(P$209,-(P$252-P$251),P$216,P$223))*SUM(Q$198-Q$238,Q$262,Q$275,Q$293,Q$335,-(Q$252-Q$251)))</f>
        <v>40.497789968441658</v>
      </c>
      <c r="R223" s="16">
        <f ca="1">SUM(-R$216,IF(R$6=OFFSET(Assumptions!$B$8,0,$C$1),AVERAGE(SUM(O$216,O$223)/SUM(O$209,-(O$252-O$251),O$216,O$223),SUM(P$216,P$223)/SUM(P$209,-(P$252-P$251),P$216,P$223),SUM(Q$216,Q$223)/SUM(Q$209,-(Q$252-Q$251),Q$216,Q$223)),SUM(Q$216,Q$223)/SUM(Q$209,-(Q$252-Q$251),Q$216,Q$223))*SUM(R$198-R$238,R$262,R$275,R$293,R$335,-(R$252-R$251)))</f>
        <v>42.630830435605638</v>
      </c>
      <c r="S223" s="16">
        <f ca="1">SUM(-S$216,IF(S$6=OFFSET(Assumptions!$B$8,0,$C$1),AVERAGE(SUM(P$216,P$223)/SUM(P$209,-(P$252-P$251),P$216,P$223),SUM(Q$216,Q$223)/SUM(Q$209,-(Q$252-Q$251),Q$216,Q$223),SUM(R$216,R$223)/SUM(R$209,-(R$252-R$251),R$216,R$223)),SUM(R$216,R$223)/SUM(R$209,-(R$252-R$251),R$216,R$223))*SUM(S$198-S$238,S$262,S$275,S$293,S$335,-(S$252-S$251)))</f>
        <v>44.834212471604445</v>
      </c>
      <c r="T223" s="16">
        <f ca="1">SUM(-T$216,IF(T$6=OFFSET(Assumptions!$B$8,0,$C$1),AVERAGE(SUM(Q$216,Q$223)/SUM(Q$209,-(Q$252-Q$251),Q$216,Q$223),SUM(R$216,R$223)/SUM(R$209,-(R$252-R$251),R$216,R$223),SUM(S$216,S$223)/SUM(S$209,-(S$252-S$251),S$216,S$223)),SUM(S$216,S$223)/SUM(S$209,-(S$252-S$251),S$216,S$223))*SUM(T$198-T$238,T$262,T$275,T$293,T$335,-(T$252-T$251)))</f>
        <v>47.103915653151915</v>
      </c>
      <c r="U223" s="16">
        <f ca="1">SUM(-U$216,IF(U$6=OFFSET(Assumptions!$B$8,0,$C$1),AVERAGE(SUM(R$216,R$223)/SUM(R$209,-(R$252-R$251),R$216,R$223),SUM(S$216,S$223)/SUM(S$209,-(S$252-S$251),S$216,S$223),SUM(T$216,T$223)/SUM(T$209,-(T$252-T$251),T$216,T$223)),SUM(T$216,T$223)/SUM(T$209,-(T$252-T$251),T$216,T$223))*SUM(U$198-U$238,U$262,U$275,U$293,U$335,-(U$252-U$251)))</f>
        <v>49.443712689790395</v>
      </c>
      <c r="V223" s="16">
        <f ca="1">SUM(-V$216,IF(V$6=OFFSET(Assumptions!$B$8,0,$C$1),AVERAGE(SUM(S$216,S$223)/SUM(S$209,-(S$252-S$251),S$216,S$223),SUM(T$216,T$223)/SUM(T$209,-(T$252-T$251),T$216,T$223),SUM(U$216,U$223)/SUM(U$209,-(U$252-U$251),U$216,U$223)),SUM(U$216,U$223)/SUM(U$209,-(U$252-U$251),U$216,U$223))*SUM(V$198-V$238,V$262,V$275,V$293,V$335,-(V$252-V$251)))</f>
        <v>51.8547827223843</v>
      </c>
      <c r="W223" s="16">
        <f ca="1">SUM(-W$216,IF(W$6=OFFSET(Assumptions!$B$8,0,$C$1),AVERAGE(SUM(T$216,T$223)/SUM(T$209,-(T$252-T$251),T$216,T$223),SUM(U$216,U$223)/SUM(U$209,-(U$252-U$251),U$216,U$223),SUM(V$216,V$223)/SUM(V$209,-(V$252-V$251),V$216,V$223)),SUM(V$216,V$223)/SUM(V$209,-(V$252-V$251),V$216,V$223))*SUM(W$198-W$238,W$262,W$275,W$293,W$335,-(W$252-W$251)))</f>
        <v>54.32094058754835</v>
      </c>
      <c r="X223" s="16">
        <f ca="1">SUM(-X$216,IF(X$6=OFFSET(Assumptions!$B$8,0,$C$1),AVERAGE(SUM(U$216,U$223)/SUM(U$209,-(U$252-U$251),U$216,U$223),SUM(V$216,V$223)/SUM(V$209,-(V$252-V$251),V$216,V$223),SUM(W$216,W$223)/SUM(W$209,-(W$252-W$251),W$216,W$223)),SUM(W$216,W$223)/SUM(W$209,-(W$252-W$251),W$216,W$223))*SUM(X$198-X$238,X$262,X$275,X$293,X$335,-(X$252-X$251)))</f>
        <v>56.855457446892757</v>
      </c>
    </row>
    <row r="224" spans="1:24" x14ac:dyDescent="0.25">
      <c r="A224" s="11" t="s">
        <v>904</v>
      </c>
      <c r="B224" s="10" t="str">
        <f t="shared" si="150"/>
        <v>From Fiscal Forecasts</v>
      </c>
      <c r="D224" s="35">
        <f>'Fiscal Forecasts'!D$272</f>
        <v>9.4740000000000002</v>
      </c>
      <c r="E224" s="35">
        <f>'Fiscal Forecasts'!E$272</f>
        <v>12.164999999999999</v>
      </c>
      <c r="F224" s="35">
        <f>'Fiscal Forecasts'!F$272</f>
        <v>11.702999999999999</v>
      </c>
      <c r="G224" s="35">
        <f>'Fiscal Forecasts'!G$272</f>
        <v>9.8040000000000003</v>
      </c>
      <c r="H224" s="35">
        <f>'Fiscal Forecasts'!H$272</f>
        <v>12.132</v>
      </c>
      <c r="I224" s="35">
        <f>'Fiscal Forecasts'!I$272</f>
        <v>16.550999999999998</v>
      </c>
      <c r="J224" s="17">
        <f>'Fiscal Forecasts'!J$272</f>
        <v>16.504000000000001</v>
      </c>
      <c r="K224" s="17">
        <f>'Fiscal Forecasts'!K$272</f>
        <v>16.885999999999999</v>
      </c>
      <c r="L224" s="17">
        <f>'Fiscal Forecasts'!L$272</f>
        <v>16.931999999999999</v>
      </c>
      <c r="M224" s="17">
        <f>'Fiscal Forecasts'!M$272</f>
        <v>17.684000000000001</v>
      </c>
      <c r="N224" s="17">
        <f>'Fiscal Forecasts'!N$272</f>
        <v>17.927</v>
      </c>
      <c r="O224" s="16">
        <f ca="1">SUM(-O$217,IF(O$6=OFFSET(Assumptions!$B$8,0,$C$1),AVERAGE(SUM(L$217,L$224)/SUM(L$210,L$217,L$224),SUM(M$217,M$224)/SUM(M$210,M$217,M$224),SUM(N$217,N$224)/SUM(N$210,N$217,N$224)),SUM(N$217,N$224)/SUM(N$210,N$217,N$224))*SUM(O$294,O$336-O$239))</f>
        <v>18.454639259170392</v>
      </c>
      <c r="P224" s="16">
        <f ca="1">SUM(-P$217,IF(P$6=OFFSET(Assumptions!$B$8,0,$C$1),AVERAGE(SUM(M$217,M$224)/SUM(M$210,M$217,M$224),SUM(N$217,N$224)/SUM(N$210,N$217,N$224),SUM(O$217,O$224)/SUM(O$210,O$217,O$224)),SUM(O$217,O$224)/SUM(O$210,O$217,O$224))*SUM(P$294,P$336-P$239))</f>
        <v>18.970647486823076</v>
      </c>
      <c r="Q224" s="16">
        <f ca="1">SUM(-Q$217,IF(Q$6=OFFSET(Assumptions!$B$8,0,$C$1),AVERAGE(SUM(N$217,N$224)/SUM(N$210,N$217,N$224),SUM(O$217,O$224)/SUM(O$210,O$217,O$224),SUM(P$217,P$224)/SUM(P$210,P$217,P$224)),SUM(P$217,P$224)/SUM(P$210,P$217,P$224))*SUM(Q$294,Q$336-Q$239))</f>
        <v>19.494637023323445</v>
      </c>
      <c r="R224" s="16">
        <f ca="1">SUM(-R$217,IF(R$6=OFFSET(Assumptions!$B$8,0,$C$1),AVERAGE(SUM(O$217,O$224)/SUM(O$210,O$217,O$224),SUM(P$217,P$224)/SUM(P$210,P$217,P$224),SUM(Q$217,Q$224)/SUM(Q$210,Q$217,Q$224)),SUM(Q$217,Q$224)/SUM(Q$210,Q$217,Q$224))*SUM(R$294,R$336-R$239))</f>
        <v>20.023746378567289</v>
      </c>
      <c r="S224" s="16">
        <f ca="1">SUM(-S$217,IF(S$6=OFFSET(Assumptions!$B$8,0,$C$1),AVERAGE(SUM(P$217,P$224)/SUM(P$210,P$217,P$224),SUM(Q$217,Q$224)/SUM(Q$210,Q$217,Q$224),SUM(R$217,R$224)/SUM(R$210,R$217,R$224)),SUM(R$217,R$224)/SUM(R$210,R$217,R$224))*SUM(S$294,S$336-S$239))</f>
        <v>20.559758340301361</v>
      </c>
      <c r="T224" s="16">
        <f ca="1">SUM(-T$217,IF(T$6=OFFSET(Assumptions!$B$8,0,$C$1),AVERAGE(SUM(Q$217,Q$224)/SUM(Q$210,Q$217,Q$224),SUM(R$217,R$224)/SUM(R$210,R$217,R$224),SUM(S$217,S$224)/SUM(S$210,S$217,S$224)),SUM(S$217,S$224)/SUM(S$210,S$217,S$224))*SUM(T$294,T$336-T$239))</f>
        <v>21.102028614164315</v>
      </c>
      <c r="U224" s="16">
        <f ca="1">SUM(-U$217,IF(U$6=OFFSET(Assumptions!$B$8,0,$C$1),AVERAGE(SUM(R$217,R$224)/SUM(R$210,R$217,R$224),SUM(S$217,S$224)/SUM(S$210,S$217,S$224),SUM(T$217,T$224)/SUM(T$210,T$217,T$224)),SUM(T$217,T$224)/SUM(T$210,T$217,T$224))*SUM(U$294,U$336-U$239))</f>
        <v>21.654844349584405</v>
      </c>
      <c r="V224" s="16">
        <f ca="1">SUM(-V$217,IF(V$6=OFFSET(Assumptions!$B$8,0,$C$1),AVERAGE(SUM(S$217,S$224)/SUM(S$210,S$217,S$224),SUM(T$217,T$224)/SUM(T$210,T$217,T$224),SUM(U$217,U$224)/SUM(U$210,U$217,U$224)),SUM(U$217,U$224)/SUM(U$210,U$217,U$224))*SUM(V$294,V$336-V$239))</f>
        <v>22.216683595584225</v>
      </c>
      <c r="W224" s="16">
        <f ca="1">SUM(-W$217,IF(W$6=OFFSET(Assumptions!$B$8,0,$C$1),AVERAGE(SUM(T$217,T$224)/SUM(T$210,T$217,T$224),SUM(U$217,U$224)/SUM(U$210,U$217,U$224),SUM(V$217,V$224)/SUM(V$210,V$217,V$224)),SUM(V$217,V$224)/SUM(V$210,V$217,V$224))*SUM(W$294,W$336-W$239))</f>
        <v>22.782802895528249</v>
      </c>
      <c r="X224" s="16">
        <f ca="1">SUM(-X$217,IF(X$6=OFFSET(Assumptions!$B$8,0,$C$1),AVERAGE(SUM(U$217,U$224)/SUM(U$210,U$217,U$224),SUM(V$217,V$224)/SUM(V$210,V$217,V$224),SUM(W$217,W$224)/SUM(W$210,W$217,W$224)),SUM(W$217,W$224)/SUM(W$210,W$217,W$224))*SUM(X$294,X$336-X$239))</f>
        <v>23.356840467759515</v>
      </c>
    </row>
    <row r="225" spans="1:24" x14ac:dyDescent="0.25">
      <c r="A225" s="11" t="s">
        <v>866</v>
      </c>
      <c r="B225" s="10" t="str">
        <f t="shared" si="150"/>
        <v>From Fiscal Forecasts</v>
      </c>
      <c r="D225" s="35">
        <f>'Fiscal Forecasts'!D$273</f>
        <v>-33.872999999999998</v>
      </c>
      <c r="E225" s="35">
        <f>'Fiscal Forecasts'!E$273</f>
        <v>-36.92</v>
      </c>
      <c r="F225" s="35">
        <f>'Fiscal Forecasts'!F$273</f>
        <v>-41.241999999999997</v>
      </c>
      <c r="G225" s="35">
        <f>'Fiscal Forecasts'!G$273</f>
        <v>-44.725999999999999</v>
      </c>
      <c r="H225" s="35">
        <f>'Fiscal Forecasts'!H$273</f>
        <v>-50.067</v>
      </c>
      <c r="I225" s="35">
        <f>'Fiscal Forecasts'!I$273</f>
        <v>-53.246000000000002</v>
      </c>
      <c r="J225" s="17">
        <f>'Fiscal Forecasts'!J$273</f>
        <v>-54.987000000000002</v>
      </c>
      <c r="K225" s="17">
        <f>'Fiscal Forecasts'!K$273</f>
        <v>-56.061</v>
      </c>
      <c r="L225" s="17">
        <f>'Fiscal Forecasts'!L$273</f>
        <v>-57.274999999999999</v>
      </c>
      <c r="M225" s="17">
        <f>'Fiscal Forecasts'!M$273</f>
        <v>-56.704999999999998</v>
      </c>
      <c r="N225" s="17">
        <f>'Fiscal Forecasts'!N$273</f>
        <v>-57.371000000000002</v>
      </c>
      <c r="O225" s="16">
        <f ca="1">IF(O$6=OFFSET(Assumptions!$B$8,0,$C$1),AVERAGE(L$225/SUM(L$211,L$225),M$225/SUM(M$211,M$225),N$225/SUM(N$211,N$225)),N$225/SUM(N$211,N$225))*SUM(O$199,O$263,O$276,O$295,O$337)</f>
        <v>-62.367249278772206</v>
      </c>
      <c r="P225" s="16">
        <f ca="1">IF(P$6=OFFSET(Assumptions!$B$8,0,$C$1),AVERAGE(M$225/SUM(M$211,M$225),N$225/SUM(N$211,N$225),O$225/SUM(O$211,O$225)),O$225/SUM(O$211,O$225))*SUM(P$199,P$263,P$276,P$295,P$337)</f>
        <v>-65.489113050657153</v>
      </c>
      <c r="Q225" s="16">
        <f ca="1">IF(Q$6=OFFSET(Assumptions!$B$8,0,$C$1),AVERAGE(N$225/SUM(N$211,N$225),O$225/SUM(O$211,O$225),P$225/SUM(P$211,P$225)),P$225/SUM(P$211,P$225))*SUM(Q$199,Q$263,Q$276,Q$295,Q$337)</f>
        <v>-68.960346094332479</v>
      </c>
      <c r="R225" s="16">
        <f ca="1">IF(R$6=OFFSET(Assumptions!$B$8,0,$C$1),AVERAGE(O$225/SUM(O$211,O$225),P$225/SUM(P$211,P$225),Q$225/SUM(Q$211,Q$225)),Q$225/SUM(Q$211,Q$225))*SUM(R$199,R$263,R$276,R$295,R$337)</f>
        <v>-72.570000124036753</v>
      </c>
      <c r="S225" s="16">
        <f ca="1">IF(S$6=OFFSET(Assumptions!$B$8,0,$C$1),AVERAGE(P$225/SUM(P$211,P$225),Q$225/SUM(Q$211,Q$225),R$225/SUM(R$211,R$225)),R$225/SUM(R$211,R$225))*SUM(S$199,S$263,S$276,S$295,S$337)</f>
        <v>-76.315178830804967</v>
      </c>
      <c r="T225" s="16">
        <f ca="1">IF(T$6=OFFSET(Assumptions!$B$8,0,$C$1),AVERAGE(Q$225/SUM(Q$211,Q$225),R$225/SUM(R$211,R$225),S$225/SUM(S$211,S$225)),S$225/SUM(S$211,S$225))*SUM(T$199,T$263,T$276,T$295,T$337)</f>
        <v>-80.196182676583149</v>
      </c>
      <c r="U225" s="16">
        <f ca="1">IF(U$6=OFFSET(Assumptions!$B$8,0,$C$1),AVERAGE(R$225/SUM(R$211,R$225),S$225/SUM(S$211,S$225),T$225/SUM(T$211,T$225)),T$225/SUM(T$211,T$225))*SUM(U$199,U$263,U$276,U$295,U$337)</f>
        <v>-84.207357967632575</v>
      </c>
      <c r="V225" s="16">
        <f ca="1">IF(V$6=OFFSET(Assumptions!$B$8,0,$C$1),AVERAGE(S$225/SUM(S$211,S$225),T$225/SUM(T$211,T$225),U$225/SUM(U$211,U$225)),U$225/SUM(U$211,U$225))*SUM(V$199,V$263,V$276,V$295,V$337)</f>
        <v>-88.181521284629355</v>
      </c>
      <c r="W225" s="16">
        <f ca="1">IF(W$6=OFFSET(Assumptions!$B$8,0,$C$1),AVERAGE(T$225/SUM(T$211,T$225),U$225/SUM(U$211,U$225),V$225/SUM(V$211,V$225)),V$225/SUM(V$211,V$225))*SUM(W$199,W$263,W$276,W$295,W$337)</f>
        <v>-92.182137995042751</v>
      </c>
      <c r="X225" s="16">
        <f ca="1">IF(X$6=OFFSET(Assumptions!$B$8,0,$C$1),AVERAGE(U$225/SUM(U$211,U$225),V$225/SUM(V$211,V$225),W$225/SUM(W$211,W$225)),W$225/SUM(W$211,W$225))*SUM(X$199,X$263,X$276,X$295,X$337)</f>
        <v>-96.300523209909656</v>
      </c>
    </row>
    <row r="226" spans="1:24" x14ac:dyDescent="0.25">
      <c r="A226" s="9" t="s">
        <v>965</v>
      </c>
      <c r="D226" s="65">
        <f t="shared" ref="D226:X226" si="151">SUM(D$222:D$225)</f>
        <v>42.693000000000005</v>
      </c>
      <c r="E226" s="65">
        <f t="shared" si="151"/>
        <v>52.582999999999984</v>
      </c>
      <c r="F226" s="65">
        <f t="shared" si="151"/>
        <v>53.802000000000014</v>
      </c>
      <c r="G226" s="65">
        <f t="shared" si="151"/>
        <v>58.27300000000001</v>
      </c>
      <c r="H226" s="65">
        <f t="shared" si="151"/>
        <v>64.134000000000015</v>
      </c>
      <c r="I226" s="65">
        <f t="shared" si="151"/>
        <v>70.62</v>
      </c>
      <c r="J226" s="66">
        <f t="shared" ca="1" si="151"/>
        <v>69.97399999999999</v>
      </c>
      <c r="K226" s="66">
        <f t="shared" ca="1" si="151"/>
        <v>73.721000000000004</v>
      </c>
      <c r="L226" s="66">
        <f t="shared" ca="1" si="151"/>
        <v>73.73399999999998</v>
      </c>
      <c r="M226" s="66">
        <f t="shared" ca="1" si="151"/>
        <v>74.087000000000003</v>
      </c>
      <c r="N226" s="66">
        <f t="shared" ca="1" si="151"/>
        <v>76.645999999999987</v>
      </c>
      <c r="O226" s="67">
        <f t="shared" ca="1" si="151"/>
        <v>79.755707820679717</v>
      </c>
      <c r="P226" s="67">
        <f t="shared" ca="1" si="151"/>
        <v>83.217329942682198</v>
      </c>
      <c r="Q226" s="67">
        <f t="shared" ca="1" si="151"/>
        <v>86.828601456311262</v>
      </c>
      <c r="R226" s="67">
        <f t="shared" ca="1" si="151"/>
        <v>90.458480424209469</v>
      </c>
      <c r="S226" s="67">
        <f t="shared" ca="1" si="151"/>
        <v>94.059837099770334</v>
      </c>
      <c r="T226" s="67">
        <f t="shared" ca="1" si="151"/>
        <v>97.743827625286613</v>
      </c>
      <c r="U226" s="67">
        <f t="shared" ca="1" si="151"/>
        <v>101.35624939715946</v>
      </c>
      <c r="V226" s="67">
        <f t="shared" ca="1" si="151"/>
        <v>105.16221489580434</v>
      </c>
      <c r="W226" s="67">
        <f t="shared" ca="1" si="151"/>
        <v>109.10118042749431</v>
      </c>
      <c r="X226" s="67">
        <f t="shared" ca="1" si="151"/>
        <v>113.12662992510785</v>
      </c>
    </row>
    <row r="227" spans="1:24" x14ac:dyDescent="0.25">
      <c r="A227" s="9"/>
    </row>
    <row r="228" spans="1:24" x14ac:dyDescent="0.25">
      <c r="A228" s="9" t="s">
        <v>893</v>
      </c>
    </row>
    <row r="229" spans="1:24" x14ac:dyDescent="0.25">
      <c r="A229" s="9" t="s">
        <v>1102</v>
      </c>
      <c r="B229" s="10" t="str">
        <f>$B$38</f>
        <v>From Fiscal Forecasts</v>
      </c>
      <c r="D229" s="42">
        <f>'Fiscal Forecasts'!D$173</f>
        <v>3.69</v>
      </c>
      <c r="E229" s="42">
        <f>'Fiscal Forecasts'!E$173</f>
        <v>3.2280000000000002</v>
      </c>
      <c r="F229" s="42">
        <f>'Fiscal Forecasts'!F$173</f>
        <v>1.9179999999999999</v>
      </c>
      <c r="G229" s="42">
        <f>'Fiscal Forecasts'!G$173</f>
        <v>2.8839999999999999</v>
      </c>
      <c r="H229" s="42">
        <f>'Fiscal Forecasts'!H$173</f>
        <v>6.569</v>
      </c>
      <c r="I229" s="42">
        <f>'Fiscal Forecasts'!I$173</f>
        <v>8.9429999999999996</v>
      </c>
      <c r="J229" s="43">
        <f>'Fiscal Forecasts'!J$173</f>
        <v>8.8390000000000004</v>
      </c>
      <c r="K229" s="43">
        <f>'Fiscal Forecasts'!K$173</f>
        <v>9.5129999999999999</v>
      </c>
      <c r="L229" s="43">
        <f>'Fiscal Forecasts'!L$173</f>
        <v>10.558999999999999</v>
      </c>
      <c r="M229" s="43">
        <f>'Fiscal Forecasts'!M$173</f>
        <v>11.769</v>
      </c>
      <c r="N229" s="43">
        <f>'Fiscal Forecasts'!N$173</f>
        <v>12.673999999999999</v>
      </c>
      <c r="O229" s="47">
        <f t="shared" ref="O229:X229" ca="1" si="152">O$495</f>
        <v>13.038670620281358</v>
      </c>
      <c r="P229" s="47">
        <f t="shared" ca="1" si="152"/>
        <v>13.320974802063601</v>
      </c>
      <c r="Q229" s="47">
        <f t="shared" ca="1" si="152"/>
        <v>13.715611952946235</v>
      </c>
      <c r="R229" s="47">
        <f t="shared" ca="1" si="152"/>
        <v>14.162296104144376</v>
      </c>
      <c r="S229" s="47">
        <f t="shared" ca="1" si="152"/>
        <v>14.662902242013429</v>
      </c>
      <c r="T229" s="47">
        <f t="shared" ca="1" si="152"/>
        <v>15.166166999772637</v>
      </c>
      <c r="U229" s="47">
        <f t="shared" ca="1" si="152"/>
        <v>15.721305652586906</v>
      </c>
      <c r="V229" s="47">
        <f t="shared" ca="1" si="152"/>
        <v>16.32737148769726</v>
      </c>
      <c r="W229" s="47">
        <f t="shared" ca="1" si="152"/>
        <v>16.987840869219191</v>
      </c>
      <c r="X229" s="47">
        <f t="shared" ca="1" si="152"/>
        <v>17.707364397266083</v>
      </c>
    </row>
    <row r="230" spans="1:24" x14ac:dyDescent="0.25">
      <c r="A230" s="11" t="s">
        <v>707</v>
      </c>
      <c r="B230" s="10" t="str">
        <f>$B$38</f>
        <v>From Fiscal Forecasts</v>
      </c>
      <c r="D230" s="35">
        <f>'Fiscal Forecasts'!D$276</f>
        <v>0.11700000000000001</v>
      </c>
      <c r="E230" s="35">
        <f>'Fiscal Forecasts'!E$276</f>
        <v>0.16400000000000001</v>
      </c>
      <c r="F230" s="35">
        <f>'Fiscal Forecasts'!F$276</f>
        <v>0.218</v>
      </c>
      <c r="G230" s="35">
        <f>'Fiscal Forecasts'!G$276</f>
        <v>0.30099999999999999</v>
      </c>
      <c r="H230" s="35">
        <f>'Fiscal Forecasts'!H$276</f>
        <v>0.872</v>
      </c>
      <c r="I230" s="35">
        <f>'Fiscal Forecasts'!I$276</f>
        <v>1.9690000000000001</v>
      </c>
      <c r="J230" s="17">
        <f>'Fiscal Forecasts'!J$276</f>
        <v>2.3170000000000002</v>
      </c>
      <c r="K230" s="17">
        <f>'Fiscal Forecasts'!K$276</f>
        <v>2.4119999999999999</v>
      </c>
      <c r="L230" s="17">
        <f>'Fiscal Forecasts'!L$276</f>
        <v>2.4159999999999999</v>
      </c>
      <c r="M230" s="17">
        <f>'Fiscal Forecasts'!M$276</f>
        <v>2.431</v>
      </c>
      <c r="N230" s="17">
        <f>'Fiscal Forecasts'!N$276</f>
        <v>2.6080000000000001</v>
      </c>
      <c r="O230" s="16">
        <f ca="1">IF(O$6=OFFSET(Assumptions!$B$8,0,$C$1),AVERAGE(L$230/SUM(L$230:L$232),M$230/SUM(M$230:M$232),N$230/SUM(N$230:N$232)),N$230/SUM(N$230:N$232))*(O$96-O$495)</f>
        <v>3.3086925930142201</v>
      </c>
      <c r="P230" s="16">
        <f ca="1">IF(P$6=OFFSET(Assumptions!$B$8,0,$C$1),AVERAGE(M$230/SUM(M$230:M$232),N$230/SUM(N$230:N$232),O$230/SUM(O$230:O$232)),O$230/SUM(O$230:O$232))*(P$96-P$495)</f>
        <v>3.5309038453210326</v>
      </c>
      <c r="Q230" s="16">
        <f ca="1">IF(Q$6=OFFSET(Assumptions!$B$8,0,$C$1),AVERAGE(N$230/SUM(N$230:N$232),O$230/SUM(O$230:O$232),P$230/SUM(P$230:P$232)),P$230/SUM(P$230:P$232))*(Q$96-Q$495)</f>
        <v>3.6588916938265088</v>
      </c>
      <c r="R230" s="16">
        <f ca="1">IF(R$6=OFFSET(Assumptions!$B$8,0,$C$1),AVERAGE(O$230/SUM(O$230:O$232),P$230/SUM(P$230:P$232),Q$230/SUM(Q$230:Q$232)),Q$230/SUM(Q$230:Q$232))*(R$96-R$495)</f>
        <v>3.73894033021356</v>
      </c>
      <c r="S230" s="16">
        <f ca="1">IF(S$6=OFFSET(Assumptions!$B$8,0,$C$1),AVERAGE(P$230/SUM(P$230:P$232),Q$230/SUM(Q$230:Q$232),R$230/SUM(R$230:R$232)),R$230/SUM(R$230:R$232))*(S$96-S$495)</f>
        <v>3.7672148082924695</v>
      </c>
      <c r="T230" s="16">
        <f ca="1">IF(T$6=OFFSET(Assumptions!$B$8,0,$C$1),AVERAGE(Q$230/SUM(Q$230:Q$232),R$230/SUM(R$230:R$232),S$230/SUM(S$230:S$232)),S$230/SUM(S$230:S$232))*(T$96-T$495)</f>
        <v>3.7232924973893016</v>
      </c>
      <c r="U230" s="16">
        <f ca="1">IF(U$6=OFFSET(Assumptions!$B$8,0,$C$1),AVERAGE(R$230/SUM(R$230:R$232),S$230/SUM(S$230:S$232),T$230/SUM(T$230:T$232)),T$230/SUM(T$230:T$232))*(U$96-U$495)</f>
        <v>3.6136877276722408</v>
      </c>
      <c r="V230" s="16">
        <f ca="1">IF(V$6=OFFSET(Assumptions!$B$8,0,$C$1),AVERAGE(S$230/SUM(S$230:S$232),T$230/SUM(T$230:T$232),U$230/SUM(U$230:U$232)),U$230/SUM(U$230:U$232))*(V$96-V$495)</f>
        <v>3.4428835247010001</v>
      </c>
      <c r="W230" s="16">
        <f ca="1">IF(W$6=OFFSET(Assumptions!$B$8,0,$C$1),AVERAGE(T$230/SUM(T$230:T$232),U$230/SUM(U$230:U$232),V$230/SUM(V$230:V$232)),V$230/SUM(V$230:V$232))*(W$96-W$495)</f>
        <v>3.22252368164422</v>
      </c>
      <c r="X230" s="16">
        <f ca="1">IF(X$6=OFFSET(Assumptions!$B$8,0,$C$1),AVERAGE(U$230/SUM(U$230:U$232),V$230/SUM(V$230:V$232),W$230/SUM(W$230:W$232)),W$230/SUM(W$230:W$232))*(X$96-X$495)</f>
        <v>2.9596139972264877</v>
      </c>
    </row>
    <row r="231" spans="1:24" x14ac:dyDescent="0.25">
      <c r="A231" s="11" t="s">
        <v>904</v>
      </c>
      <c r="B231" s="10" t="str">
        <f>$B$38</f>
        <v>From Fiscal Forecasts</v>
      </c>
      <c r="D231" s="35">
        <f>'Fiscal Forecasts'!D$277</f>
        <v>1.0449999999999999</v>
      </c>
      <c r="E231" s="35">
        <f>'Fiscal Forecasts'!E$277</f>
        <v>0.90100000000000002</v>
      </c>
      <c r="F231" s="35">
        <f>'Fiscal Forecasts'!F$277</f>
        <v>0.59199999999999997</v>
      </c>
      <c r="G231" s="35">
        <f>'Fiscal Forecasts'!G$277</f>
        <v>0.66</v>
      </c>
      <c r="H231" s="35">
        <f>'Fiscal Forecasts'!H$277</f>
        <v>0.68200000000000005</v>
      </c>
      <c r="I231" s="35">
        <f>'Fiscal Forecasts'!I$277</f>
        <v>0.57999999999999996</v>
      </c>
      <c r="J231" s="17">
        <f>'Fiscal Forecasts'!J$277</f>
        <v>0.59499999999999997</v>
      </c>
      <c r="K231" s="17">
        <f>'Fiscal Forecasts'!K$277</f>
        <v>0.68700000000000006</v>
      </c>
      <c r="L231" s="17">
        <f>'Fiscal Forecasts'!L$277</f>
        <v>0.78</v>
      </c>
      <c r="M231" s="17">
        <f>'Fiscal Forecasts'!M$277</f>
        <v>0.89900000000000002</v>
      </c>
      <c r="N231" s="17">
        <f>'Fiscal Forecasts'!N$277</f>
        <v>0.99299999999999999</v>
      </c>
      <c r="O231" s="16">
        <f ca="1">IF(O$6=OFFSET(Assumptions!$B$8,0,$C$1),AVERAGE(L$231/SUM(L$230:L$232),M$231/SUM(M$230:M$232),N$231/SUM(N$230:N$232)),N$231/SUM(N$230:N$232))*(O$96-O$495)</f>
        <v>1.1832956045755458</v>
      </c>
      <c r="P231" s="16">
        <f ca="1">IF(P$6=OFFSET(Assumptions!$B$8,0,$C$1),AVERAGE(M$231/SUM(M$230:M$232),N$231/SUM(N$230:N$232),O$231/SUM(O$230:O$232)),O$231/SUM(O$230:O$232))*(P$96-P$495)</f>
        <v>1.2627655434562501</v>
      </c>
      <c r="Q231" s="16">
        <f ca="1">IF(Q$6=OFFSET(Assumptions!$B$8,0,$C$1),AVERAGE(N$231/SUM(N$230:N$232),O$231/SUM(O$230:O$232),P$231/SUM(P$230:P$232)),P$231/SUM(P$230:P$232))*(Q$96-Q$495)</f>
        <v>1.308538142245079</v>
      </c>
      <c r="R231" s="16">
        <f ca="1">IF(R$6=OFFSET(Assumptions!$B$8,0,$C$1),AVERAGE(O$231/SUM(O$230:O$232),P$231/SUM(P$230:P$232),Q$231/SUM(Q$230:Q$232)),Q$231/SUM(Q$230:Q$232))*(R$96-R$495)</f>
        <v>1.3371661265398584</v>
      </c>
      <c r="S231" s="16">
        <f ca="1">IF(S$6=OFFSET(Assumptions!$B$8,0,$C$1),AVERAGE(P$231/SUM(P$230:P$232),Q$231/SUM(Q$230:Q$232),R$231/SUM(R$230:R$232)),R$231/SUM(R$230:R$232))*(S$96-S$495)</f>
        <v>1.3472779954100824</v>
      </c>
      <c r="T231" s="16">
        <f ca="1">IF(T$6=OFFSET(Assumptions!$B$8,0,$C$1),AVERAGE(Q$231/SUM(Q$230:Q$232),R$231/SUM(R$230:R$232),S$231/SUM(S$230:S$232)),S$231/SUM(S$230:S$232))*(T$96-T$495)</f>
        <v>1.3315699548552566</v>
      </c>
      <c r="U231" s="16">
        <f ca="1">IF(U$6=OFFSET(Assumptions!$B$8,0,$C$1),AVERAGE(R$231/SUM(R$230:R$232),S$231/SUM(S$230:S$232),T$231/SUM(T$230:T$232)),T$231/SUM(T$230:T$232))*(U$96-U$495)</f>
        <v>1.2923717402732966</v>
      </c>
      <c r="V231" s="16">
        <f ca="1">IF(V$6=OFFSET(Assumptions!$B$8,0,$C$1),AVERAGE(S$231/SUM(S$230:S$232),T$231/SUM(T$230:T$232),U$231/SUM(U$230:U$232)),U$231/SUM(U$230:U$232))*(V$96-V$495)</f>
        <v>1.2312866267618072</v>
      </c>
      <c r="W231" s="16">
        <f ca="1">IF(W$6=OFFSET(Assumptions!$B$8,0,$C$1),AVERAGE(T$231/SUM(T$230:T$232),U$231/SUM(U$230:U$232),V$231/SUM(V$230:V$232)),V$231/SUM(V$230:V$232))*(W$96-W$495)</f>
        <v>1.1524788117763416</v>
      </c>
      <c r="X231" s="16">
        <f ca="1">IF(X$6=OFFSET(Assumptions!$B$8,0,$C$1),AVERAGE(U$231/SUM(U$230:U$232),V$231/SUM(V$230:V$232),W$231/SUM(W$230:W$232)),W$231/SUM(W$230:W$232))*(X$96-X$495)</f>
        <v>1.0584537957840174</v>
      </c>
    </row>
    <row r="232" spans="1:24" x14ac:dyDescent="0.25">
      <c r="A232" s="11" t="s">
        <v>866</v>
      </c>
      <c r="B232" s="10" t="str">
        <f>$B$38</f>
        <v>From Fiscal Forecasts</v>
      </c>
      <c r="D232" s="35">
        <f>'Fiscal Forecasts'!D$278</f>
        <v>-0.55400000000000005</v>
      </c>
      <c r="E232" s="35">
        <f>'Fiscal Forecasts'!E$278</f>
        <v>-0.53900000000000003</v>
      </c>
      <c r="F232" s="35">
        <f>'Fiscal Forecasts'!F$278</f>
        <v>-0.45600000000000002</v>
      </c>
      <c r="G232" s="35">
        <f>'Fiscal Forecasts'!G$278</f>
        <v>-0.496</v>
      </c>
      <c r="H232" s="35">
        <f>'Fiscal Forecasts'!H$278</f>
        <v>-0.67500000000000004</v>
      </c>
      <c r="I232" s="35">
        <f>'Fiscal Forecasts'!I$278</f>
        <v>-1.1179999999999999</v>
      </c>
      <c r="J232" s="17">
        <f>'Fiscal Forecasts'!J$278</f>
        <v>-1.4390000000000001</v>
      </c>
      <c r="K232" s="17">
        <f>'Fiscal Forecasts'!K$278</f>
        <v>-1.5389999999999999</v>
      </c>
      <c r="L232" s="17">
        <f>'Fiscal Forecasts'!L$278</f>
        <v>-1.633</v>
      </c>
      <c r="M232" s="17">
        <f>'Fiscal Forecasts'!M$278</f>
        <v>-1.7569999999999999</v>
      </c>
      <c r="N232" s="17">
        <f>'Fiscal Forecasts'!N$278</f>
        <v>-1.8759999999999999</v>
      </c>
      <c r="O232" s="16">
        <f ca="1">IF(O$6=OFFSET(Assumptions!$B$8,0,$C$1),AVERAGE(L$232/SUM(L$230:L$232),M$232/SUM(M$230:M$232),N$232/SUM(N$230:N$232)),N$232/SUM(N$230:N$232))*(O$96-O$495)</f>
        <v>-2.3355909094431908</v>
      </c>
      <c r="P232" s="16">
        <f ca="1">IF(P$6=OFFSET(Assumptions!$B$8,0,$C$1),AVERAGE(M$232/SUM(M$230:M$232),N$232/SUM(N$230:N$232),O$232/SUM(O$230:O$232)),O$232/SUM(O$230:O$232))*(P$96-P$495)</f>
        <v>-2.492448812156653</v>
      </c>
      <c r="Q232" s="16">
        <f ca="1">IF(Q$6=OFFSET(Assumptions!$B$8,0,$C$1),AVERAGE(N$232/SUM(N$230:N$232),O$232/SUM(O$230:O$232),P$232/SUM(P$230:P$232)),P$232/SUM(P$230:P$232))*(Q$96-Q$495)</f>
        <v>-2.5827948467564581</v>
      </c>
      <c r="R232" s="16">
        <f ca="1">IF(R$6=OFFSET(Assumptions!$B$8,0,$C$1),AVERAGE(O$232/SUM(O$230:O$232),P$232/SUM(P$230:P$232),Q$232/SUM(Q$230:Q$232)),Q$232/SUM(Q$230:Q$232))*(R$96-R$495)</f>
        <v>-2.6393008116362595</v>
      </c>
      <c r="S232" s="16">
        <f ca="1">IF(S$6=OFFSET(Assumptions!$B$8,0,$C$1),AVERAGE(P$232/SUM(P$230:P$232),Q$232/SUM(Q$230:Q$232),R$232/SUM(R$230:R$232)),R$232/SUM(R$230:R$232))*(S$96-S$495)</f>
        <v>-2.6592596358890113</v>
      </c>
      <c r="T232" s="16">
        <f ca="1">IF(T$6=OFFSET(Assumptions!$B$8,0,$C$1),AVERAGE(Q$232/SUM(Q$230:Q$232),R$232/SUM(R$230:R$232),S$232/SUM(S$230:S$232)),S$232/SUM(S$230:S$232))*(T$96-T$495)</f>
        <v>-2.6282550782931295</v>
      </c>
      <c r="U232" s="16">
        <f ca="1">IF(U$6=OFFSET(Assumptions!$B$8,0,$C$1),AVERAGE(R$232/SUM(R$230:R$232),S$232/SUM(S$230:S$232),T$232/SUM(T$230:T$232)),T$232/SUM(T$230:T$232))*(U$96-U$495)</f>
        <v>-2.5508855746035852</v>
      </c>
      <c r="V232" s="16">
        <f ca="1">IF(V$6=OFFSET(Assumptions!$B$8,0,$C$1),AVERAGE(S$232/SUM(S$230:S$232),T$232/SUM(T$230:T$232),U$232/SUM(U$230:U$232)),U$232/SUM(U$230:U$232))*(V$96-V$495)</f>
        <v>-2.4303156719790278</v>
      </c>
      <c r="W232" s="16">
        <f ca="1">IF(W$6=OFFSET(Assumptions!$B$8,0,$C$1),AVERAGE(T$232/SUM(T$230:T$232),U$232/SUM(U$230:U$232),V$232/SUM(V$230:V$232)),V$232/SUM(V$230:V$232))*(W$96-W$495)</f>
        <v>-2.2747646705543598</v>
      </c>
      <c r="X232" s="16">
        <f ca="1">IF(X$6=OFFSET(Assumptions!$B$8,0,$C$1),AVERAGE(U$232/SUM(U$230:U$232),V$232/SUM(V$230:V$232),W$232/SUM(W$230:W$232)),W$232/SUM(W$230:W$232))*(X$96-X$495)</f>
        <v>-2.089177931481923</v>
      </c>
    </row>
    <row r="233" spans="1:24" x14ac:dyDescent="0.25">
      <c r="A233" s="9" t="s">
        <v>1103</v>
      </c>
      <c r="D233" s="65">
        <f t="shared" ref="D233:X233" si="153">SUM(D$229:D$232)</f>
        <v>4.298</v>
      </c>
      <c r="E233" s="65">
        <f t="shared" si="153"/>
        <v>3.754</v>
      </c>
      <c r="F233" s="65">
        <f t="shared" si="153"/>
        <v>2.2720000000000002</v>
      </c>
      <c r="G233" s="65">
        <f t="shared" si="153"/>
        <v>3.3490000000000002</v>
      </c>
      <c r="H233" s="65">
        <f t="shared" si="153"/>
        <v>7.4479999999999995</v>
      </c>
      <c r="I233" s="65">
        <f t="shared" si="153"/>
        <v>10.373999999999999</v>
      </c>
      <c r="J233" s="66">
        <f t="shared" si="153"/>
        <v>10.312000000000001</v>
      </c>
      <c r="K233" s="66">
        <f t="shared" si="153"/>
        <v>11.073</v>
      </c>
      <c r="L233" s="66">
        <f t="shared" si="153"/>
        <v>12.122</v>
      </c>
      <c r="M233" s="66">
        <f t="shared" si="153"/>
        <v>13.342000000000001</v>
      </c>
      <c r="N233" s="66">
        <f t="shared" si="153"/>
        <v>14.398999999999999</v>
      </c>
      <c r="O233" s="67">
        <f t="shared" ca="1" si="153"/>
        <v>15.195067908427934</v>
      </c>
      <c r="P233" s="67">
        <f t="shared" ca="1" si="153"/>
        <v>15.622195378684232</v>
      </c>
      <c r="Q233" s="67">
        <f t="shared" ca="1" si="153"/>
        <v>16.100246942261368</v>
      </c>
      <c r="R233" s="67">
        <f t="shared" ca="1" si="153"/>
        <v>16.599101749261536</v>
      </c>
      <c r="S233" s="67">
        <f t="shared" ca="1" si="153"/>
        <v>17.118135409826969</v>
      </c>
      <c r="T233" s="67">
        <f t="shared" ca="1" si="153"/>
        <v>17.592774373724065</v>
      </c>
      <c r="U233" s="67">
        <f t="shared" ca="1" si="153"/>
        <v>18.076479545928855</v>
      </c>
      <c r="V233" s="67">
        <f t="shared" ca="1" si="153"/>
        <v>18.571225967181039</v>
      </c>
      <c r="W233" s="67">
        <f t="shared" ca="1" si="153"/>
        <v>19.088078692085389</v>
      </c>
      <c r="X233" s="67">
        <f t="shared" ca="1" si="153"/>
        <v>19.636254258794665</v>
      </c>
    </row>
    <row r="234" spans="1:24" x14ac:dyDescent="0.25">
      <c r="A234" s="10" t="s">
        <v>892</v>
      </c>
      <c r="E234" s="36">
        <f t="shared" ref="E234:N234" si="154">E$229/AVERAGE(D$71,E$71)</f>
        <v>2.9634933968629935E-2</v>
      </c>
      <c r="F234" s="36">
        <f t="shared" si="154"/>
        <v>1.4817447196427743E-2</v>
      </c>
      <c r="G234" s="36">
        <f t="shared" si="154"/>
        <v>1.9129171655131016E-2</v>
      </c>
      <c r="H234" s="36">
        <f t="shared" si="154"/>
        <v>3.6492923905948361E-2</v>
      </c>
      <c r="I234" s="36">
        <f t="shared" si="154"/>
        <v>4.3905169154937182E-2</v>
      </c>
      <c r="J234" s="19">
        <f t="shared" si="154"/>
        <v>3.8343495075296663E-2</v>
      </c>
      <c r="K234" s="19">
        <f t="shared" si="154"/>
        <v>3.7205209433298136E-2</v>
      </c>
      <c r="L234" s="19">
        <f t="shared" si="154"/>
        <v>3.8369992986638277E-2</v>
      </c>
      <c r="M234" s="19">
        <f t="shared" si="154"/>
        <v>4.062969292113304E-2</v>
      </c>
      <c r="N234" s="19">
        <f t="shared" si="154"/>
        <v>4.2253286348194551E-2</v>
      </c>
      <c r="O234" s="78">
        <f ca="1">IF(O$6&lt;OFFSET(Assumptions!$B$8,0,$C$1)+OFFSET(Assumptions!$B$23,0,$C$1),N$234+(OFFSET(N$30,0,OFFSET(Assumptions!$B$8,0,$C$1)+OFFSET(Assumptions!$B$23,0,$C$1)-O$6)-N$234)/(OFFSET(Assumptions!$B$8,0,$C$1)+OFFSET(Assumptions!$B$23,0,$C$1)-O$6),O$30)</f>
        <v>4.2402629078555638E-2</v>
      </c>
      <c r="P234" s="78">
        <f ca="1">IF(P$6&lt;OFFSET(Assumptions!$B$8,0,$C$1)+OFFSET(Assumptions!$B$23,0,$C$1),O$234+(OFFSET(O$30,0,OFFSET(Assumptions!$B$8,0,$C$1)+OFFSET(Assumptions!$B$23,0,$C$1)-P$6)-O$234)/(OFFSET(Assumptions!$B$8,0,$C$1)+OFFSET(Assumptions!$B$23,0,$C$1)-P$6),P$30)</f>
        <v>4.2551971808916726E-2</v>
      </c>
      <c r="Q234" s="78">
        <f ca="1">IF(Q$6&lt;OFFSET(Assumptions!$B$8,0,$C$1)+OFFSET(Assumptions!$B$23,0,$C$1),P$234+(OFFSET(P$30,0,OFFSET(Assumptions!$B$8,0,$C$1)+OFFSET(Assumptions!$B$23,0,$C$1)-Q$6)-P$234)/(OFFSET(Assumptions!$B$8,0,$C$1)+OFFSET(Assumptions!$B$23,0,$C$1)-Q$6),Q$30)</f>
        <v>4.2701314539277814E-2</v>
      </c>
      <c r="R234" s="78">
        <f ca="1">IF(R$6&lt;OFFSET(Assumptions!$B$8,0,$C$1)+OFFSET(Assumptions!$B$23,0,$C$1),Q$234+(OFFSET(Q$30,0,OFFSET(Assumptions!$B$8,0,$C$1)+OFFSET(Assumptions!$B$23,0,$C$1)-R$6)-Q$234)/(OFFSET(Assumptions!$B$8,0,$C$1)+OFFSET(Assumptions!$B$23,0,$C$1)-R$6),R$30)</f>
        <v>4.2850657269638909E-2</v>
      </c>
      <c r="S234" s="78">
        <f ca="1">IF(S$6&lt;OFFSET(Assumptions!$B$8,0,$C$1)+OFFSET(Assumptions!$B$23,0,$C$1),R$234+(OFFSET(R$30,0,OFFSET(Assumptions!$B$8,0,$C$1)+OFFSET(Assumptions!$B$23,0,$C$1)-S$6)-R$234)/(OFFSET(Assumptions!$B$8,0,$C$1)+OFFSET(Assumptions!$B$23,0,$C$1)-S$6),S$30)</f>
        <v>4.2999999999999997E-2</v>
      </c>
      <c r="T234" s="78">
        <f ca="1">IF(T$6&lt;OFFSET(Assumptions!$B$8,0,$C$1)+OFFSET(Assumptions!$B$23,0,$C$1),S$234+(OFFSET(S$30,0,OFFSET(Assumptions!$B$8,0,$C$1)+OFFSET(Assumptions!$B$23,0,$C$1)-T$6)-S$234)/(OFFSET(Assumptions!$B$8,0,$C$1)+OFFSET(Assumptions!$B$23,0,$C$1)-T$6),T$30)</f>
        <v>4.2999999999999997E-2</v>
      </c>
      <c r="U234" s="78">
        <f ca="1">IF(U$6&lt;OFFSET(Assumptions!$B$8,0,$C$1)+OFFSET(Assumptions!$B$23,0,$C$1),T$234+(OFFSET(T$30,0,OFFSET(Assumptions!$B$8,0,$C$1)+OFFSET(Assumptions!$B$23,0,$C$1)-U$6)-T$234)/(OFFSET(Assumptions!$B$8,0,$C$1)+OFFSET(Assumptions!$B$23,0,$C$1)-U$6),U$30)</f>
        <v>4.2999999999999997E-2</v>
      </c>
      <c r="V234" s="78">
        <f ca="1">IF(V$6&lt;OFFSET(Assumptions!$B$8,0,$C$1)+OFFSET(Assumptions!$B$23,0,$C$1),U$234+(OFFSET(U$30,0,OFFSET(Assumptions!$B$8,0,$C$1)+OFFSET(Assumptions!$B$23,0,$C$1)-V$6)-U$234)/(OFFSET(Assumptions!$B$8,0,$C$1)+OFFSET(Assumptions!$B$23,0,$C$1)-V$6),V$30)</f>
        <v>4.2999999999999997E-2</v>
      </c>
      <c r="W234" s="78">
        <f ca="1">IF(W$6&lt;OFFSET(Assumptions!$B$8,0,$C$1)+OFFSET(Assumptions!$B$23,0,$C$1),V$234+(OFFSET(V$30,0,OFFSET(Assumptions!$B$8,0,$C$1)+OFFSET(Assumptions!$B$23,0,$C$1)-W$6)-V$234)/(OFFSET(Assumptions!$B$8,0,$C$1)+OFFSET(Assumptions!$B$23,0,$C$1)-W$6),W$30)</f>
        <v>4.2999999999999997E-2</v>
      </c>
      <c r="X234" s="78">
        <f ca="1">IF(X$6&lt;OFFSET(Assumptions!$B$8,0,$C$1)+OFFSET(Assumptions!$B$23,0,$C$1),W$234+(OFFSET(W$30,0,OFFSET(Assumptions!$B$8,0,$C$1)+OFFSET(Assumptions!$B$23,0,$C$1)-X$6)-W$234)/(OFFSET(Assumptions!$B$8,0,$C$1)+OFFSET(Assumptions!$B$23,0,$C$1)-X$6),X$30)</f>
        <v>4.2999999999999997E-2</v>
      </c>
    </row>
    <row r="235" spans="1:24" x14ac:dyDescent="0.25">
      <c r="A235" s="10"/>
    </row>
    <row r="236" spans="1:24" x14ac:dyDescent="0.25">
      <c r="A236" s="9" t="s">
        <v>539</v>
      </c>
    </row>
    <row r="237" spans="1:24" x14ac:dyDescent="0.25">
      <c r="A237" s="9" t="s">
        <v>996</v>
      </c>
      <c r="B237" s="10" t="str">
        <f>$B$38</f>
        <v>From Fiscal Forecasts</v>
      </c>
      <c r="D237" s="42">
        <f>'Fiscal Forecasts'!D$174</f>
        <v>0</v>
      </c>
      <c r="E237" s="42">
        <f>'Fiscal Forecasts'!E$174</f>
        <v>0</v>
      </c>
      <c r="F237" s="42">
        <f>'Fiscal Forecasts'!F$174</f>
        <v>1E-3</v>
      </c>
      <c r="G237" s="42">
        <f>'Fiscal Forecasts'!G$174</f>
        <v>1E-3</v>
      </c>
      <c r="H237" s="42">
        <f>'Fiscal Forecasts'!H$174</f>
        <v>3.0000000000000001E-3</v>
      </c>
      <c r="I237" s="42">
        <f>'Fiscal Forecasts'!I$174</f>
        <v>2E-3</v>
      </c>
      <c r="J237" s="43">
        <f>'Fiscal Forecasts'!J$174</f>
        <v>3.0000000000000001E-3</v>
      </c>
      <c r="K237" s="43">
        <f>'Fiscal Forecasts'!K$174</f>
        <v>3.0000000000000001E-3</v>
      </c>
      <c r="L237" s="43">
        <f>'Fiscal Forecasts'!L$174</f>
        <v>3.0000000000000001E-3</v>
      </c>
      <c r="M237" s="43">
        <f>'Fiscal Forecasts'!M$174</f>
        <v>2E-3</v>
      </c>
      <c r="N237" s="43">
        <f>'Fiscal Forecasts'!N$174</f>
        <v>3.0000000000000001E-3</v>
      </c>
      <c r="O237" s="47">
        <f ca="1">IF(O$6=OFFSET(Assumptions!$B$8,0,$C$1),OFFSET(Assumptions!$B$9,0,$C$1),N$237)</f>
        <v>0</v>
      </c>
      <c r="P237" s="47">
        <f ca="1">IF(P$6=OFFSET(Assumptions!$B$8,0,$C$1),OFFSET(Assumptions!$B$9,0,$C$1),O$237)</f>
        <v>0</v>
      </c>
      <c r="Q237" s="47">
        <f ca="1">IF(Q$6=OFFSET(Assumptions!$B$8,0,$C$1),OFFSET(Assumptions!$B$9,0,$C$1),P$237)</f>
        <v>0</v>
      </c>
      <c r="R237" s="47">
        <f ca="1">IF(R$6=OFFSET(Assumptions!$B$8,0,$C$1),OFFSET(Assumptions!$B$9,0,$C$1),Q$237)</f>
        <v>0</v>
      </c>
      <c r="S237" s="47">
        <f ca="1">IF(S$6=OFFSET(Assumptions!$B$8,0,$C$1),OFFSET(Assumptions!$B$9,0,$C$1),R$237)</f>
        <v>0</v>
      </c>
      <c r="T237" s="47">
        <f ca="1">IF(T$6=OFFSET(Assumptions!$B$8,0,$C$1),OFFSET(Assumptions!$B$9,0,$C$1),S$237)</f>
        <v>0</v>
      </c>
      <c r="U237" s="47">
        <f ca="1">IF(U$6=OFFSET(Assumptions!$B$8,0,$C$1),OFFSET(Assumptions!$B$9,0,$C$1),T$237)</f>
        <v>0</v>
      </c>
      <c r="V237" s="47">
        <f ca="1">IF(V$6=OFFSET(Assumptions!$B$8,0,$C$1),OFFSET(Assumptions!$B$9,0,$C$1),U$237)</f>
        <v>0</v>
      </c>
      <c r="W237" s="47">
        <f ca="1">IF(W$6=OFFSET(Assumptions!$B$8,0,$C$1),OFFSET(Assumptions!$B$9,0,$C$1),V$237)</f>
        <v>0</v>
      </c>
      <c r="X237" s="47">
        <f ca="1">IF(X$6=OFFSET(Assumptions!$B$8,0,$C$1),OFFSET(Assumptions!$B$9,0,$C$1),W$237)</f>
        <v>0</v>
      </c>
    </row>
    <row r="238" spans="1:24" x14ac:dyDescent="0.25">
      <c r="A238" s="11" t="s">
        <v>707</v>
      </c>
      <c r="B238" s="10" t="str">
        <f>$B$38</f>
        <v>From Fiscal Forecasts</v>
      </c>
      <c r="D238" s="35">
        <f>'Fiscal Forecasts'!D$203</f>
        <v>5.8070000000000004</v>
      </c>
      <c r="E238" s="35">
        <f>'Fiscal Forecasts'!E$203</f>
        <v>6.8959999999999999</v>
      </c>
      <c r="F238" s="35">
        <f>'Fiscal Forecasts'!F$203</f>
        <v>6.8310000000000004</v>
      </c>
      <c r="G238" s="35">
        <f>'Fiscal Forecasts'!G$203</f>
        <v>6.44</v>
      </c>
      <c r="H238" s="35">
        <f>'Fiscal Forecasts'!H$203</f>
        <v>8.7729999999999997</v>
      </c>
      <c r="I238" s="35">
        <f>'Fiscal Forecasts'!I$203</f>
        <v>10.413</v>
      </c>
      <c r="J238" s="17">
        <f>'Fiscal Forecasts'!J$203</f>
        <v>11.276999999999999</v>
      </c>
      <c r="K238" s="17">
        <f>'Fiscal Forecasts'!K$203</f>
        <v>10.643000000000001</v>
      </c>
      <c r="L238" s="17">
        <f>'Fiscal Forecasts'!L$203</f>
        <v>11.305999999999999</v>
      </c>
      <c r="M238" s="17">
        <f>'Fiscal Forecasts'!M$203</f>
        <v>11.878</v>
      </c>
      <c r="N238" s="17">
        <f>'Fiscal Forecasts'!N$203</f>
        <v>12.304</v>
      </c>
      <c r="O238" s="16">
        <f ca="1">IF(O$6=OFFSET(Assumptions!$B$8,0,$C$1),AVERAGE(L$238/SUM(L$241:L$242),M$238/SUM(M$241:M$242),N$238/SUM(N$241:N$242)),N$238/SUM(N$241:N$242))*SUM(O$241:O$242)</f>
        <v>13.015937854480983</v>
      </c>
      <c r="P238" s="16">
        <f ca="1">IF(P$6=OFFSET(Assumptions!$B$8,0,$C$1),AVERAGE(M$238/SUM(M$241:M$242),N$238/SUM(N$241:N$242),O$238/SUM(O$241:O$242)),O$238/SUM(O$241:O$242))*SUM(P$241:P$242)</f>
        <v>13.76800610063982</v>
      </c>
      <c r="Q238" s="16">
        <f ca="1">IF(Q$6=OFFSET(Assumptions!$B$8,0,$C$1),AVERAGE(N$238/SUM(N$241:N$242),O$238/SUM(O$241:O$242),P$238/SUM(P$241:P$242)),P$238/SUM(P$241:P$242))*SUM(Q$241:Q$242)</f>
        <v>14.537176562214606</v>
      </c>
      <c r="R238" s="16">
        <f ca="1">IF(R$6=OFFSET(Assumptions!$B$8,0,$C$1),AVERAGE(O$238/SUM(O$241:O$242),P$238/SUM(P$241:P$242),Q$238/SUM(Q$241:Q$242)),Q$238/SUM(Q$241:Q$242))*SUM(R$241:R$242)</f>
        <v>15.308834198354187</v>
      </c>
      <c r="S238" s="16">
        <f ca="1">IF(S$6=OFFSET(Assumptions!$B$8,0,$C$1),AVERAGE(P$238/SUM(P$241:P$242),Q$238/SUM(Q$241:Q$242),R$238/SUM(R$241:R$242)),R$238/SUM(R$241:R$242))*SUM(S$241:S$242)</f>
        <v>16.092076477099056</v>
      </c>
      <c r="T238" s="16">
        <f ca="1">IF(T$6=OFFSET(Assumptions!$B$8,0,$C$1),AVERAGE(Q$238/SUM(Q$241:Q$242),R$238/SUM(R$241:R$242),S$238/SUM(S$241:S$242)),S$238/SUM(S$241:S$242))*SUM(T$241:T$242)</f>
        <v>16.861159231263176</v>
      </c>
      <c r="U238" s="16">
        <f ca="1">IF(U$6=OFFSET(Assumptions!$B$8,0,$C$1),AVERAGE(R$238/SUM(R$241:R$242),S$238/SUM(S$241:S$242),T$238/SUM(T$241:T$242)),T$238/SUM(T$241:T$242))*SUM(U$241:U$242)</f>
        <v>17.678308857086208</v>
      </c>
      <c r="V238" s="16">
        <f ca="1">IF(V$6=OFFSET(Assumptions!$B$8,0,$C$1),AVERAGE(S$238/SUM(S$241:S$242),T$238/SUM(T$241:T$242),U$238/SUM(U$241:U$242)),U$238/SUM(U$241:U$242))*SUM(V$241:V$242)</f>
        <v>18.501976331093335</v>
      </c>
      <c r="W238" s="16">
        <f ca="1">IF(W$6=OFFSET(Assumptions!$B$8,0,$C$1),AVERAGE(T$238/SUM(T$241:T$242),U$238/SUM(U$241:U$242),V$238/SUM(V$241:V$242)),V$238/SUM(V$241:V$242))*SUM(W$241:W$242)</f>
        <v>19.355060571574853</v>
      </c>
      <c r="X238" s="16">
        <f ca="1">IF(X$6=OFFSET(Assumptions!$B$8,0,$C$1),AVERAGE(U$238/SUM(U$241:U$242),V$238/SUM(V$241:V$242),W$238/SUM(W$241:W$242)),W$238/SUM(W$241:W$242))*SUM(X$241:X$242)</f>
        <v>20.247419242224677</v>
      </c>
    </row>
    <row r="239" spans="1:24" x14ac:dyDescent="0.25">
      <c r="A239" s="11" t="s">
        <v>1076</v>
      </c>
      <c r="B239" s="10" t="str">
        <f>$B$38</f>
        <v>From Fiscal Forecasts</v>
      </c>
      <c r="D239" s="35">
        <f>'Fiscal Forecasts'!D$204</f>
        <v>5.0000000000000001E-3</v>
      </c>
      <c r="E239" s="35">
        <f>'Fiscal Forecasts'!E$204</f>
        <v>7.0000000000000001E-3</v>
      </c>
      <c r="F239" s="35">
        <f>'Fiscal Forecasts'!F$204</f>
        <v>6.0000000000000001E-3</v>
      </c>
      <c r="G239" s="35">
        <f>'Fiscal Forecasts'!G$204</f>
        <v>6.0000000000000001E-3</v>
      </c>
      <c r="H239" s="35">
        <f>'Fiscal Forecasts'!H$204</f>
        <v>8.0000000000000002E-3</v>
      </c>
      <c r="I239" s="35">
        <f>'Fiscal Forecasts'!I$204</f>
        <v>1.0999999999999999E-2</v>
      </c>
      <c r="J239" s="17">
        <f>'Fiscal Forecasts'!J$204</f>
        <v>1.2E-2</v>
      </c>
      <c r="K239" s="17">
        <f>'Fiscal Forecasts'!K$204</f>
        <v>1.2999999999999999E-2</v>
      </c>
      <c r="L239" s="17">
        <f>'Fiscal Forecasts'!L$204</f>
        <v>1.4E-2</v>
      </c>
      <c r="M239" s="17">
        <f>'Fiscal Forecasts'!M$204</f>
        <v>1.4999999999999999E-2</v>
      </c>
      <c r="N239" s="17">
        <f>'Fiscal Forecasts'!N$204</f>
        <v>1.6E-2</v>
      </c>
      <c r="O239" s="16">
        <f t="shared" ref="O239:X239" ca="1" si="155">SUM(O$241:O$242,-O$238)</f>
        <v>1.9433014277430161E-2</v>
      </c>
      <c r="P239" s="16">
        <f t="shared" ca="1" si="155"/>
        <v>2.0555864826395265E-2</v>
      </c>
      <c r="Q239" s="16">
        <f t="shared" ca="1" si="155"/>
        <v>2.1704249270811715E-2</v>
      </c>
      <c r="R239" s="16">
        <f t="shared" ca="1" si="155"/>
        <v>2.2856347108710651E-2</v>
      </c>
      <c r="S239" s="16">
        <f t="shared" ca="1" si="155"/>
        <v>2.4025741012991375E-2</v>
      </c>
      <c r="T239" s="16">
        <f t="shared" ca="1" si="155"/>
        <v>2.5173994508765674E-2</v>
      </c>
      <c r="U239" s="16">
        <f t="shared" ca="1" si="155"/>
        <v>2.6394012652900756E-2</v>
      </c>
      <c r="V239" s="16">
        <f t="shared" ca="1" si="155"/>
        <v>2.7623762054073353E-2</v>
      </c>
      <c r="W239" s="16">
        <f t="shared" ca="1" si="155"/>
        <v>2.8897431182681288E-2</v>
      </c>
      <c r="X239" s="16">
        <f t="shared" ca="1" si="155"/>
        <v>3.0229737696526371E-2</v>
      </c>
    </row>
    <row r="240" spans="1:24" x14ac:dyDescent="0.25">
      <c r="A240" s="9" t="s">
        <v>1104</v>
      </c>
      <c r="D240" s="65">
        <f t="shared" ref="D240:X240" si="156">SUM(D$237:D$239)</f>
        <v>5.8120000000000003</v>
      </c>
      <c r="E240" s="65">
        <f t="shared" si="156"/>
        <v>6.9029999999999996</v>
      </c>
      <c r="F240" s="65">
        <f t="shared" si="156"/>
        <v>6.838000000000001</v>
      </c>
      <c r="G240" s="65">
        <f t="shared" si="156"/>
        <v>6.447000000000001</v>
      </c>
      <c r="H240" s="65">
        <f t="shared" si="156"/>
        <v>8.7839999999999989</v>
      </c>
      <c r="I240" s="65">
        <f t="shared" si="156"/>
        <v>10.426</v>
      </c>
      <c r="J240" s="66">
        <f t="shared" si="156"/>
        <v>11.292</v>
      </c>
      <c r="K240" s="66">
        <f t="shared" si="156"/>
        <v>10.659000000000001</v>
      </c>
      <c r="L240" s="66">
        <f t="shared" si="156"/>
        <v>11.322999999999999</v>
      </c>
      <c r="M240" s="66">
        <f t="shared" si="156"/>
        <v>11.895000000000001</v>
      </c>
      <c r="N240" s="66">
        <f t="shared" si="156"/>
        <v>12.323</v>
      </c>
      <c r="O240" s="67">
        <f t="shared" ca="1" si="156"/>
        <v>13.035370868758413</v>
      </c>
      <c r="P240" s="67">
        <f t="shared" ca="1" si="156"/>
        <v>13.788561965466215</v>
      </c>
      <c r="Q240" s="67">
        <f t="shared" ca="1" si="156"/>
        <v>14.558880811485418</v>
      </c>
      <c r="R240" s="67">
        <f t="shared" ca="1" si="156"/>
        <v>15.331690545462898</v>
      </c>
      <c r="S240" s="67">
        <f t="shared" ca="1" si="156"/>
        <v>16.116102218112047</v>
      </c>
      <c r="T240" s="67">
        <f t="shared" ca="1" si="156"/>
        <v>16.886333225771942</v>
      </c>
      <c r="U240" s="67">
        <f t="shared" ca="1" si="156"/>
        <v>17.704702869739108</v>
      </c>
      <c r="V240" s="67">
        <f t="shared" ca="1" si="156"/>
        <v>18.529600093147408</v>
      </c>
      <c r="W240" s="67">
        <f t="shared" ca="1" si="156"/>
        <v>19.383958002757534</v>
      </c>
      <c r="X240" s="67">
        <f t="shared" ca="1" si="156"/>
        <v>20.277648979921203</v>
      </c>
    </row>
    <row r="241" spans="1:24" x14ac:dyDescent="0.25">
      <c r="A241" s="11" t="s">
        <v>961</v>
      </c>
      <c r="B241" s="10" t="str">
        <f>$B$38</f>
        <v>From Fiscal Forecasts</v>
      </c>
      <c r="D241" s="35">
        <f>'Fiscal Forecasts'!D$281</f>
        <v>5.3620000000000001</v>
      </c>
      <c r="E241" s="35">
        <f>'Fiscal Forecasts'!E$281</f>
        <v>6.2460000000000004</v>
      </c>
      <c r="F241" s="35">
        <f>'Fiscal Forecasts'!F$281</f>
        <v>6.5389999999999997</v>
      </c>
      <c r="G241" s="35">
        <f>'Fiscal Forecasts'!G$281</f>
        <v>5.8330000000000002</v>
      </c>
      <c r="H241" s="35">
        <f>'Fiscal Forecasts'!H$281</f>
        <v>7.6189999999999998</v>
      </c>
      <c r="I241" s="35">
        <f>'Fiscal Forecasts'!I$281</f>
        <v>9.7720000000000002</v>
      </c>
      <c r="J241" s="17">
        <f>'Fiscal Forecasts'!J$281</f>
        <v>10.670999999999999</v>
      </c>
      <c r="K241" s="17">
        <f>'Fiscal Forecasts'!K$281</f>
        <v>9.9830000000000005</v>
      </c>
      <c r="L241" s="17">
        <f>'Fiscal Forecasts'!L$281</f>
        <v>10.589</v>
      </c>
      <c r="M241" s="17">
        <f>'Fiscal Forecasts'!M$281</f>
        <v>11.101000000000001</v>
      </c>
      <c r="N241" s="17">
        <f>'Fiscal Forecasts'!N$281</f>
        <v>11.462999999999999</v>
      </c>
      <c r="O241" s="16">
        <f>N$241*Exogenous!Z$28/Exogenous!Y$28</f>
        <v>12.138263981125791</v>
      </c>
      <c r="P241" s="16">
        <f>O$241*Exogenous!AA$28/Exogenous!Z$28</f>
        <v>12.8531933268714</v>
      </c>
      <c r="Q241" s="16">
        <f>P$241*Exogenous!AB$28/Exogenous!AA$28</f>
        <v>13.585167345213522</v>
      </c>
      <c r="R241" s="16">
        <f>Q$241*Exogenous!AC$28/Exogenous!AB$28</f>
        <v>14.31963565060982</v>
      </c>
      <c r="S241" s="16">
        <f>R$241*Exogenous!AD$28/Exogenous!AC$28</f>
        <v>15.0648604791746</v>
      </c>
      <c r="T241" s="16">
        <f>S$241*Exogenous!AE$28/Exogenous!AD$28</f>
        <v>15.795119029874687</v>
      </c>
      <c r="U241" s="16">
        <f>T$241*Exogenous!AF$28/Exogenous!AE$28</f>
        <v>16.572983262030732</v>
      </c>
      <c r="V241" s="16">
        <f>U$241*Exogenous!AG$28/Exogenous!AF$28</f>
        <v>17.356766082577412</v>
      </c>
      <c r="W241" s="16">
        <f>V$241*Exogenous!AH$28/Exogenous!AG$28</f>
        <v>18.169402130053601</v>
      </c>
      <c r="X241" s="16">
        <f>W$241*Exogenous!AI$28/Exogenous!AH$28</f>
        <v>19.020449389492455</v>
      </c>
    </row>
    <row r="242" spans="1:24" x14ac:dyDescent="0.25">
      <c r="A242" s="11" t="s">
        <v>966</v>
      </c>
      <c r="B242" s="10" t="str">
        <f>$B$38</f>
        <v>From Fiscal Forecasts</v>
      </c>
      <c r="D242" s="35">
        <f>SUM('Fiscal Forecasts'!D$282:D$283)</f>
        <v>0.44999999999999996</v>
      </c>
      <c r="E242" s="35">
        <f>SUM('Fiscal Forecasts'!E$282:E$283)</f>
        <v>0.65700000000000003</v>
      </c>
      <c r="F242" s="35">
        <f>SUM('Fiscal Forecasts'!F$282:F$283)</f>
        <v>0.29900000000000004</v>
      </c>
      <c r="G242" s="35">
        <f>SUM('Fiscal Forecasts'!G$282:G$283)</f>
        <v>0.61399999999999999</v>
      </c>
      <c r="H242" s="35">
        <f>SUM('Fiscal Forecasts'!H$282:H$283)</f>
        <v>1.1649999999999998</v>
      </c>
      <c r="I242" s="35">
        <f>SUM('Fiscal Forecasts'!I$282:I$283)</f>
        <v>0.65399999999999991</v>
      </c>
      <c r="J242" s="17">
        <f>SUM('Fiscal Forecasts'!J$282:J$283)</f>
        <v>0.621</v>
      </c>
      <c r="K242" s="17">
        <f>SUM('Fiscal Forecasts'!K$282:K$283)</f>
        <v>0.67599999999999993</v>
      </c>
      <c r="L242" s="17">
        <f>SUM('Fiscal Forecasts'!L$282:L$283)</f>
        <v>0.73399999999999999</v>
      </c>
      <c r="M242" s="17">
        <f>SUM('Fiscal Forecasts'!M$282:M$283)</f>
        <v>0.79400000000000004</v>
      </c>
      <c r="N242" s="17">
        <f>SUM('Fiscal Forecasts'!N$282:N$283)</f>
        <v>0.86</v>
      </c>
      <c r="O242" s="16">
        <f t="shared" ref="O242:X242" ca="1" si="157">N$242*(1+O$14)</f>
        <v>0.89710688763262303</v>
      </c>
      <c r="P242" s="16">
        <f t="shared" ca="1" si="157"/>
        <v>0.93536863859481512</v>
      </c>
      <c r="Q242" s="16">
        <f t="shared" ca="1" si="157"/>
        <v>0.97371346627189559</v>
      </c>
      <c r="R242" s="16">
        <f t="shared" ca="1" si="157"/>
        <v>1.0120548948530785</v>
      </c>
      <c r="S242" s="16">
        <f t="shared" ca="1" si="157"/>
        <v>1.0512417389374489</v>
      </c>
      <c r="T242" s="16">
        <f t="shared" ca="1" si="157"/>
        <v>1.0912141958972539</v>
      </c>
      <c r="U242" s="16">
        <f t="shared" ca="1" si="157"/>
        <v>1.1317196077083753</v>
      </c>
      <c r="V242" s="16">
        <f t="shared" ca="1" si="157"/>
        <v>1.1728340105699953</v>
      </c>
      <c r="W242" s="16">
        <f t="shared" ca="1" si="157"/>
        <v>1.2145558727039336</v>
      </c>
      <c r="X242" s="16">
        <f t="shared" ca="1" si="157"/>
        <v>1.257199590428749</v>
      </c>
    </row>
    <row r="243" spans="1:24" x14ac:dyDescent="0.25">
      <c r="A243" s="11"/>
    </row>
    <row r="244" spans="1:24" x14ac:dyDescent="0.25">
      <c r="A244" s="9" t="s">
        <v>962</v>
      </c>
    </row>
    <row r="245" spans="1:24" x14ac:dyDescent="0.25">
      <c r="A245" s="9" t="s">
        <v>963</v>
      </c>
      <c r="D245" s="42">
        <f>SUM($D$246:D$247)</f>
        <v>0</v>
      </c>
      <c r="E245" s="42">
        <f>SUM($D$246:E$247)</f>
        <v>0</v>
      </c>
      <c r="F245" s="42">
        <f>SUM($D$246:F$247)</f>
        <v>0</v>
      </c>
      <c r="G245" s="42">
        <f>SUM($D$246:G$247)</f>
        <v>0</v>
      </c>
      <c r="H245" s="42">
        <f>SUM($D$246:H$247)</f>
        <v>0</v>
      </c>
      <c r="I245" s="42">
        <f>SUM($D$246:I$247)</f>
        <v>0</v>
      </c>
      <c r="J245" s="43">
        <f ca="1">IF(OFFSET(Assumptions!$B$56,0,$C$1)="Yes",0,SUM($D$246:J$247))</f>
        <v>0</v>
      </c>
      <c r="K245" s="43">
        <f ca="1">IF(OFFSET(Assumptions!$B$56,0,$C$1)="Yes",0,SUM($D$246:K$247))</f>
        <v>0</v>
      </c>
      <c r="L245" s="43">
        <f ca="1">IF(OFFSET(Assumptions!$B$56,0,$C$1)="Yes",0,SUM($D$246:L$247))</f>
        <v>0</v>
      </c>
      <c r="M245" s="43">
        <f ca="1">IF(OFFSET(Assumptions!$B$56,0,$C$1)="Yes",0,SUM($D$246:M$247))</f>
        <v>0</v>
      </c>
      <c r="N245" s="43">
        <f ca="1">IF(OFFSET(Assumptions!$B$56,0,$C$1)="Yes",0,SUM($D$246:N$247))</f>
        <v>0</v>
      </c>
      <c r="O245" s="47">
        <f ca="1">IF(OFFSET(Assumptions!$B$56,0,$C$1)="Yes",0,SUM($D$246:O$247))</f>
        <v>0</v>
      </c>
      <c r="P245" s="47">
        <f ca="1">IF(OFFSET(Assumptions!$B$56,0,$C$1)="Yes",0,SUM($D$246:P$247))</f>
        <v>0</v>
      </c>
      <c r="Q245" s="47">
        <f ca="1">IF(OFFSET(Assumptions!$B$56,0,$C$1)="Yes",0,SUM($D$246:Q$247))</f>
        <v>0</v>
      </c>
      <c r="R245" s="47">
        <f ca="1">IF(OFFSET(Assumptions!$B$56,0,$C$1)="Yes",0,SUM($D$246:R$247))</f>
        <v>0</v>
      </c>
      <c r="S245" s="47">
        <f ca="1">IF(OFFSET(Assumptions!$B$56,0,$C$1)="Yes",0,SUM($D$246:S$247))</f>
        <v>0</v>
      </c>
      <c r="T245" s="47">
        <f ca="1">IF(OFFSET(Assumptions!$B$56,0,$C$1)="Yes",0,SUM($D$246:T$247))</f>
        <v>0</v>
      </c>
      <c r="U245" s="47">
        <f ca="1">IF(OFFSET(Assumptions!$B$56,0,$C$1)="Yes",0,SUM($D$246:U$247))</f>
        <v>0</v>
      </c>
      <c r="V245" s="47">
        <f ca="1">IF(OFFSET(Assumptions!$B$56,0,$C$1)="Yes",0,SUM($D$246:V$247))</f>
        <v>0</v>
      </c>
      <c r="W245" s="47">
        <f ca="1">IF(OFFSET(Assumptions!$B$56,0,$C$1)="Yes",0,SUM($D$246:W$247))</f>
        <v>0</v>
      </c>
      <c r="X245" s="47">
        <f ca="1">IF(OFFSET(Assumptions!$B$56,0,$C$1)="Yes",0,SUM($D$246:X$247))</f>
        <v>0</v>
      </c>
    </row>
    <row r="246" spans="1:24" x14ac:dyDescent="0.25">
      <c r="A246" s="11" t="s">
        <v>742</v>
      </c>
      <c r="B246" s="10" t="str">
        <f>$B$38</f>
        <v>From Fiscal Forecasts</v>
      </c>
      <c r="D246" s="35">
        <f>'Fiscal Forecasts'!D$286-'Fiscal Forecasts'!C$286</f>
        <v>0</v>
      </c>
      <c r="E246" s="35">
        <f>'Fiscal Forecasts'!E$286-'Fiscal Forecasts'!D$286</f>
        <v>0</v>
      </c>
      <c r="F246" s="35">
        <f>'Fiscal Forecasts'!F$286-'Fiscal Forecasts'!E$286</f>
        <v>0</v>
      </c>
      <c r="G246" s="35">
        <f>'Fiscal Forecasts'!G$286-'Fiscal Forecasts'!F$286</f>
        <v>0</v>
      </c>
      <c r="H246" s="35">
        <f>'Fiscal Forecasts'!H$286-'Fiscal Forecasts'!G$286</f>
        <v>0</v>
      </c>
      <c r="I246" s="35">
        <f>'Fiscal Forecasts'!I$286-'Fiscal Forecasts'!H$286</f>
        <v>0</v>
      </c>
      <c r="J246" s="17">
        <f>'Fiscal Forecasts'!J$286-'Fiscal Forecasts'!I$286</f>
        <v>0</v>
      </c>
      <c r="K246" s="17">
        <f>'Fiscal Forecasts'!K$286-'Fiscal Forecasts'!J$286</f>
        <v>1.72</v>
      </c>
      <c r="L246" s="17">
        <f>'Fiscal Forecasts'!L$286-'Fiscal Forecasts'!K$286</f>
        <v>-2.6999999999999913E-2</v>
      </c>
      <c r="M246" s="17">
        <f>'Fiscal Forecasts'!M$286-'Fiscal Forecasts'!L$286</f>
        <v>0.26400000000000001</v>
      </c>
      <c r="N246" s="17">
        <f>'Fiscal Forecasts'!N$286-'Fiscal Forecasts'!M$286</f>
        <v>0.14399999999999991</v>
      </c>
      <c r="O246" s="16">
        <f ca="1">IF(O$6=OFFSET(Assumptions!$B$8,0,$C$1),OFFSET(Assumptions!$B$9,0,$C$1),N$246)</f>
        <v>0</v>
      </c>
      <c r="P246" s="16">
        <f ca="1">IF(P$6=OFFSET(Assumptions!$B$8,0,$C$1),OFFSET(Assumptions!$B$9,0,$C$1),O$246)</f>
        <v>0</v>
      </c>
      <c r="Q246" s="16">
        <f ca="1">IF(Q$6=OFFSET(Assumptions!$B$8,0,$C$1),OFFSET(Assumptions!$B$9,0,$C$1),P$246)</f>
        <v>0</v>
      </c>
      <c r="R246" s="16">
        <f ca="1">IF(R$6=OFFSET(Assumptions!$B$8,0,$C$1),OFFSET(Assumptions!$B$9,0,$C$1),Q$246)</f>
        <v>0</v>
      </c>
      <c r="S246" s="16">
        <f ca="1">IF(S$6=OFFSET(Assumptions!$B$8,0,$C$1),OFFSET(Assumptions!$B$9,0,$C$1),R$246)</f>
        <v>0</v>
      </c>
      <c r="T246" s="16">
        <f ca="1">IF(T$6=OFFSET(Assumptions!$B$8,0,$C$1),OFFSET(Assumptions!$B$9,0,$C$1),S$246)</f>
        <v>0</v>
      </c>
      <c r="U246" s="16">
        <f ca="1">IF(U$6=OFFSET(Assumptions!$B$8,0,$C$1),OFFSET(Assumptions!$B$9,0,$C$1),T$246)</f>
        <v>0</v>
      </c>
      <c r="V246" s="16">
        <f ca="1">IF(V$6=OFFSET(Assumptions!$B$8,0,$C$1),OFFSET(Assumptions!$B$9,0,$C$1),U$246)</f>
        <v>0</v>
      </c>
      <c r="W246" s="16">
        <f ca="1">IF(W$6=OFFSET(Assumptions!$B$8,0,$C$1),OFFSET(Assumptions!$B$9,0,$C$1),V$246)</f>
        <v>0</v>
      </c>
      <c r="X246" s="16">
        <f ca="1">IF(X$6=OFFSET(Assumptions!$B$8,0,$C$1),OFFSET(Assumptions!$B$9,0,$C$1),W$246)</f>
        <v>0</v>
      </c>
    </row>
    <row r="247" spans="1:24" x14ac:dyDescent="0.25">
      <c r="A247" s="11" t="s">
        <v>967</v>
      </c>
      <c r="B247" s="10" t="str">
        <f>$B$38</f>
        <v>From Fiscal Forecasts</v>
      </c>
      <c r="D247" s="35">
        <f>SUM('Fiscal Forecasts'!D$287:D$290)-SUM('Fiscal Forecasts'!C$287:C$290)</f>
        <v>0</v>
      </c>
      <c r="E247" s="35">
        <f>SUM('Fiscal Forecasts'!E$287:E$290)-SUM('Fiscal Forecasts'!D$287:D$290)</f>
        <v>0</v>
      </c>
      <c r="F247" s="35">
        <f>SUM('Fiscal Forecasts'!F$287:F$290)-SUM('Fiscal Forecasts'!E$287:E$290)</f>
        <v>0</v>
      </c>
      <c r="G247" s="35">
        <f>SUM('Fiscal Forecasts'!G$287:G$290)-SUM('Fiscal Forecasts'!F$287:F$290)</f>
        <v>0</v>
      </c>
      <c r="H247" s="35">
        <f>SUM('Fiscal Forecasts'!H$287:H$290)-SUM('Fiscal Forecasts'!G$287:G$290)</f>
        <v>0</v>
      </c>
      <c r="I247" s="35">
        <f>SUM('Fiscal Forecasts'!I$287:I$290)-SUM('Fiscal Forecasts'!H$287:H$290)</f>
        <v>0</v>
      </c>
      <c r="J247" s="17">
        <f>SUM('Fiscal Forecasts'!J$287:J$290)-SUM('Fiscal Forecasts'!I$287:I$290)</f>
        <v>0</v>
      </c>
      <c r="K247" s="17">
        <f>SUM('Fiscal Forecasts'!K$287:K$290)-SUM('Fiscal Forecasts'!J$287:J$290)</f>
        <v>0</v>
      </c>
      <c r="L247" s="17">
        <f>SUM('Fiscal Forecasts'!L$287:L$290)-SUM('Fiscal Forecasts'!K$287:K$290)</f>
        <v>1.026</v>
      </c>
      <c r="M247" s="17">
        <f>SUM('Fiscal Forecasts'!M$287:M$290)-SUM('Fiscal Forecasts'!L$287:L$290)</f>
        <v>2.3860000000000001</v>
      </c>
      <c r="N247" s="17">
        <f>SUM('Fiscal Forecasts'!N$287:N$290)-SUM('Fiscal Forecasts'!M$287:M$290)</f>
        <v>2.3899999999999997</v>
      </c>
      <c r="O247" s="16">
        <f ca="1">IF(O$6=OFFSET(Assumptions!$B$8,0,$C$1),OFFSET(Assumptions!$B$41,0,$C$1)-IF(OFFSET(Assumptions!$B$57,0,$C$1)="Yes",Allocation!$G$7,0),(N$247+IF(AND(N$6=OFFSET(Assumptions!$B$8,0,$C$1),OFFSET(Assumptions!$B$57,0,$C$1)="Yes"),Allocation!$G$7,0))*(1+OFFSET(Assumptions!$B$42,0,$C$1)))</f>
        <v>2.4</v>
      </c>
      <c r="P247" s="16">
        <f ca="1">IF(P$6=OFFSET(Assumptions!$B$8,0,$C$1),OFFSET(Assumptions!$B$41,0,$C$1)-IF(OFFSET(Assumptions!$B$57,0,$C$1)="Yes",Allocation!$G$7,0),(O$247+IF(AND(O$6=OFFSET(Assumptions!$B$8,0,$C$1),OFFSET(Assumptions!$B$57,0,$C$1)="Yes"),Allocation!$G$7,0))*(1+OFFSET(Assumptions!$B$42,0,$C$1)))</f>
        <v>2.472</v>
      </c>
      <c r="Q247" s="16">
        <f ca="1">IF(Q$6=OFFSET(Assumptions!$B$8,0,$C$1),OFFSET(Assumptions!$B$41,0,$C$1)-IF(OFFSET(Assumptions!$B$57,0,$C$1)="Yes",Allocation!$G$7,0),(P$247+IF(AND(P$6=OFFSET(Assumptions!$B$8,0,$C$1),OFFSET(Assumptions!$B$57,0,$C$1)="Yes"),Allocation!$G$7,0))*(1+OFFSET(Assumptions!$B$42,0,$C$1)))</f>
        <v>2.54616</v>
      </c>
      <c r="R247" s="16">
        <f ca="1">IF(R$6=OFFSET(Assumptions!$B$8,0,$C$1),OFFSET(Assumptions!$B$41,0,$C$1)-IF(OFFSET(Assumptions!$B$57,0,$C$1)="Yes",Allocation!$G$7,0),(Q$247+IF(AND(Q$6=OFFSET(Assumptions!$B$8,0,$C$1),OFFSET(Assumptions!$B$57,0,$C$1)="Yes"),Allocation!$G$7,0))*(1+OFFSET(Assumptions!$B$42,0,$C$1)))</f>
        <v>2.6225448</v>
      </c>
      <c r="S247" s="16">
        <f ca="1">IF(S$6=OFFSET(Assumptions!$B$8,0,$C$1),OFFSET(Assumptions!$B$41,0,$C$1)-IF(OFFSET(Assumptions!$B$57,0,$C$1)="Yes",Allocation!$G$7,0),(R$247+IF(AND(R$6=OFFSET(Assumptions!$B$8,0,$C$1),OFFSET(Assumptions!$B$57,0,$C$1)="Yes"),Allocation!$G$7,0))*(1+OFFSET(Assumptions!$B$42,0,$C$1)))</f>
        <v>2.7012211440000002</v>
      </c>
      <c r="T247" s="16">
        <f ca="1">IF(T$6=OFFSET(Assumptions!$B$8,0,$C$1),OFFSET(Assumptions!$B$41,0,$C$1)-IF(OFFSET(Assumptions!$B$57,0,$C$1)="Yes",Allocation!$G$7,0),(S$247+IF(AND(S$6=OFFSET(Assumptions!$B$8,0,$C$1),OFFSET(Assumptions!$B$57,0,$C$1)="Yes"),Allocation!$G$7,0))*(1+OFFSET(Assumptions!$B$42,0,$C$1)))</f>
        <v>2.7822577783200004</v>
      </c>
      <c r="U247" s="16">
        <f ca="1">IF(U$6=OFFSET(Assumptions!$B$8,0,$C$1),OFFSET(Assumptions!$B$41,0,$C$1)-IF(OFFSET(Assumptions!$B$57,0,$C$1)="Yes",Allocation!$G$7,0),(T$247+IF(AND(T$6=OFFSET(Assumptions!$B$8,0,$C$1),OFFSET(Assumptions!$B$57,0,$C$1)="Yes"),Allocation!$G$7,0))*(1+OFFSET(Assumptions!$B$42,0,$C$1)))</f>
        <v>2.8657255116696003</v>
      </c>
      <c r="V247" s="16">
        <f ca="1">IF(V$6=OFFSET(Assumptions!$B$8,0,$C$1),OFFSET(Assumptions!$B$41,0,$C$1)-IF(OFFSET(Assumptions!$B$57,0,$C$1)="Yes",Allocation!$G$7,0),(U$247+IF(AND(U$6=OFFSET(Assumptions!$B$8,0,$C$1),OFFSET(Assumptions!$B$57,0,$C$1)="Yes"),Allocation!$G$7,0))*(1+OFFSET(Assumptions!$B$42,0,$C$1)))</f>
        <v>2.9516972770196883</v>
      </c>
      <c r="W247" s="16">
        <f ca="1">IF(W$6=OFFSET(Assumptions!$B$8,0,$C$1),OFFSET(Assumptions!$B$41,0,$C$1)-IF(OFFSET(Assumptions!$B$57,0,$C$1)="Yes",Allocation!$G$7,0),(V$247+IF(AND(V$6=OFFSET(Assumptions!$B$8,0,$C$1),OFFSET(Assumptions!$B$57,0,$C$1)="Yes"),Allocation!$G$7,0))*(1+OFFSET(Assumptions!$B$42,0,$C$1)))</f>
        <v>3.0402481953302791</v>
      </c>
      <c r="X247" s="16">
        <f ca="1">IF(X$6=OFFSET(Assumptions!$B$8,0,$C$1),OFFSET(Assumptions!$B$41,0,$C$1)-IF(OFFSET(Assumptions!$B$57,0,$C$1)="Yes",Allocation!$G$7,0),(W$247+IF(AND(W$6=OFFSET(Assumptions!$B$8,0,$C$1),OFFSET(Assumptions!$B$57,0,$C$1)="Yes"),Allocation!$G$7,0))*(1+OFFSET(Assumptions!$B$42,0,$C$1)))</f>
        <v>3.1314556411901875</v>
      </c>
    </row>
    <row r="248" spans="1:24" x14ac:dyDescent="0.25">
      <c r="A248" s="9" t="s">
        <v>541</v>
      </c>
      <c r="B248" s="10" t="str">
        <f>$B$38</f>
        <v>From Fiscal Forecasts</v>
      </c>
      <c r="D248" s="42">
        <f>'Fiscal Forecasts'!D$22</f>
        <v>0</v>
      </c>
      <c r="E248" s="42">
        <f>'Fiscal Forecasts'!E$22</f>
        <v>0</v>
      </c>
      <c r="F248" s="42">
        <f>'Fiscal Forecasts'!F$22</f>
        <v>0</v>
      </c>
      <c r="G248" s="42">
        <f>'Fiscal Forecasts'!G$22</f>
        <v>0</v>
      </c>
      <c r="H248" s="42">
        <f>'Fiscal Forecasts'!H$22</f>
        <v>0</v>
      </c>
      <c r="I248" s="42">
        <f>'Fiscal Forecasts'!I$22</f>
        <v>0</v>
      </c>
      <c r="J248" s="43">
        <f ca="1">IF(OFFSET(Assumptions!$B$56,0,$C$1)="Yes",0,'Fiscal Forecasts'!J$22)</f>
        <v>0</v>
      </c>
      <c r="K248" s="43">
        <f ca="1">IF(OFFSET(Assumptions!$B$56,0,$C$1)="Yes",0,'Fiscal Forecasts'!K$22)</f>
        <v>0</v>
      </c>
      <c r="L248" s="43">
        <f ca="1">IF(OFFSET(Assumptions!$B$56,0,$C$1)="Yes",0,'Fiscal Forecasts'!L$22)</f>
        <v>0</v>
      </c>
      <c r="M248" s="43">
        <f ca="1">IF(OFFSET(Assumptions!$B$56,0,$C$1)="Yes",0,'Fiscal Forecasts'!M$22)</f>
        <v>0</v>
      </c>
      <c r="N248" s="43">
        <f ca="1">IF(OFFSET(Assumptions!$B$56,0,$C$1)="Yes",0,'Fiscal Forecasts'!N$22)</f>
        <v>0</v>
      </c>
      <c r="O248" s="47">
        <f ca="1">IF(O$6=OFFSET(Assumptions!$B$8,0,$C$1),OFFSET(Assumptions!$B$9,0,$C$1),N$248)</f>
        <v>0</v>
      </c>
      <c r="P248" s="47">
        <f ca="1">IF(P$6=OFFSET(Assumptions!$B$8,0,$C$1),OFFSET(Assumptions!$B$9,0,$C$1),O$248)</f>
        <v>0</v>
      </c>
      <c r="Q248" s="47">
        <f ca="1">IF(Q$6=OFFSET(Assumptions!$B$8,0,$C$1),OFFSET(Assumptions!$B$9,0,$C$1),P$248)</f>
        <v>0</v>
      </c>
      <c r="R248" s="47">
        <f ca="1">IF(R$6=OFFSET(Assumptions!$B$8,0,$C$1),OFFSET(Assumptions!$B$9,0,$C$1),Q$248)</f>
        <v>0</v>
      </c>
      <c r="S248" s="47">
        <f ca="1">IF(S$6=OFFSET(Assumptions!$B$8,0,$C$1),OFFSET(Assumptions!$B$9,0,$C$1),R$248)</f>
        <v>0</v>
      </c>
      <c r="T248" s="47">
        <f ca="1">IF(T$6=OFFSET(Assumptions!$B$8,0,$C$1),OFFSET(Assumptions!$B$9,0,$C$1),S$248)</f>
        <v>0</v>
      </c>
      <c r="U248" s="47">
        <f ca="1">IF(U$6=OFFSET(Assumptions!$B$8,0,$C$1),OFFSET(Assumptions!$B$9,0,$C$1),T$248)</f>
        <v>0</v>
      </c>
      <c r="V248" s="47">
        <f ca="1">IF(V$6=OFFSET(Assumptions!$B$8,0,$C$1),OFFSET(Assumptions!$B$9,0,$C$1),U$248)</f>
        <v>0</v>
      </c>
      <c r="W248" s="47">
        <f ca="1">IF(W$6=OFFSET(Assumptions!$B$8,0,$C$1),OFFSET(Assumptions!$B$9,0,$C$1),V$248)</f>
        <v>0</v>
      </c>
      <c r="X248" s="47">
        <f ca="1">IF(X$6=OFFSET(Assumptions!$B$8,0,$C$1),OFFSET(Assumptions!$B$9,0,$C$1),W$248)</f>
        <v>0</v>
      </c>
    </row>
    <row r="250" spans="1:24" x14ac:dyDescent="0.25">
      <c r="A250" s="9" t="s">
        <v>974</v>
      </c>
    </row>
    <row r="251" spans="1:24" x14ac:dyDescent="0.25">
      <c r="A251" s="9" t="s">
        <v>975</v>
      </c>
      <c r="B251" s="10" t="str">
        <f>$B$38</f>
        <v>From Fiscal Forecasts</v>
      </c>
      <c r="D251" s="42">
        <f>'Fiscal Forecasts'!D$69</f>
        <v>6.6000000000000003E-2</v>
      </c>
      <c r="E251" s="42">
        <f>'Fiscal Forecasts'!E$69</f>
        <v>7.2999999999999995E-2</v>
      </c>
      <c r="F251" s="42">
        <f>'Fiscal Forecasts'!F$69</f>
        <v>9.9000000000000005E-2</v>
      </c>
      <c r="G251" s="42">
        <f>'Fiscal Forecasts'!G$69</f>
        <v>9.4E-2</v>
      </c>
      <c r="H251" s="42">
        <f>'Fiscal Forecasts'!H$69</f>
        <v>6.0999999999999999E-2</v>
      </c>
      <c r="I251" s="42">
        <f>'Fiscal Forecasts'!I$69</f>
        <v>6.9000000000000006E-2</v>
      </c>
      <c r="J251" s="43">
        <f>'Fiscal Forecasts'!J$69</f>
        <v>0.05</v>
      </c>
      <c r="K251" s="43">
        <f>'Fiscal Forecasts'!K$69</f>
        <v>4.9000000000000002E-2</v>
      </c>
      <c r="L251" s="43">
        <f>'Fiscal Forecasts'!L$69</f>
        <v>4.8000000000000001E-2</v>
      </c>
      <c r="M251" s="43">
        <f>'Fiscal Forecasts'!M$69</f>
        <v>4.5999999999999999E-2</v>
      </c>
      <c r="N251" s="43">
        <f>'Fiscal Forecasts'!N$69</f>
        <v>4.4999999999999998E-2</v>
      </c>
      <c r="O251" s="47">
        <f>N$251*Exogenous!Z$34/Exogenous!Y$34</f>
        <v>4.32824427480916E-2</v>
      </c>
      <c r="P251" s="47">
        <f>O$251*Exogenous!AA$34/Exogenous!Z$34</f>
        <v>4.1335877862595419E-2</v>
      </c>
      <c r="Q251" s="47">
        <f>P$251*Exogenous!AB$34/Exogenous!AA$34</f>
        <v>3.9389312977099238E-2</v>
      </c>
      <c r="R251" s="47">
        <f>Q$251*Exogenous!AC$34/Exogenous!AB$34</f>
        <v>3.7442748091603063E-2</v>
      </c>
      <c r="S251" s="47">
        <f>R$251*Exogenous!AD$34/Exogenous!AC$34</f>
        <v>3.5496183206106882E-2</v>
      </c>
      <c r="T251" s="47">
        <f>S$251*Exogenous!AE$34/Exogenous!AD$34</f>
        <v>3.3435114503816803E-2</v>
      </c>
      <c r="U251" s="47">
        <f>T$251*Exogenous!AF$34/Exogenous!AE$34</f>
        <v>3.1603053435114513E-2</v>
      </c>
      <c r="V251" s="47">
        <f>U$251*Exogenous!AG$34/Exogenous!AF$34</f>
        <v>2.977099236641222E-2</v>
      </c>
      <c r="W251" s="47">
        <f>V$251*Exogenous!AH$34/Exogenous!AG$34</f>
        <v>2.7824427480916035E-2</v>
      </c>
      <c r="X251" s="47">
        <f>W$251*Exogenous!AI$34/Exogenous!AH$34</f>
        <v>2.5877862595419854E-2</v>
      </c>
    </row>
    <row r="252" spans="1:24" x14ac:dyDescent="0.25">
      <c r="A252" s="9" t="s">
        <v>976</v>
      </c>
      <c r="B252" s="10" t="str">
        <f>$B$38</f>
        <v>From Fiscal Forecasts</v>
      </c>
      <c r="D252" s="42">
        <f>'Fiscal Forecasts'!D$52</f>
        <v>0.08</v>
      </c>
      <c r="E252" s="42">
        <f>'Fiscal Forecasts'!E$52</f>
        <v>8.6999999999999994E-2</v>
      </c>
      <c r="F252" s="42">
        <f>'Fiscal Forecasts'!F$52</f>
        <v>0.114</v>
      </c>
      <c r="G252" s="42">
        <f>'Fiscal Forecasts'!G$52</f>
        <v>0.11</v>
      </c>
      <c r="H252" s="42">
        <f>'Fiscal Forecasts'!H$52</f>
        <v>7.8E-2</v>
      </c>
      <c r="I252" s="42">
        <f>'Fiscal Forecasts'!I$52</f>
        <v>9.4E-2</v>
      </c>
      <c r="J252" s="43">
        <f>'Fiscal Forecasts'!J$52</f>
        <v>8.5999999999999993E-2</v>
      </c>
      <c r="K252" s="43">
        <f>'Fiscal Forecasts'!K$52</f>
        <v>8.5999999999999993E-2</v>
      </c>
      <c r="L252" s="43">
        <f>'Fiscal Forecasts'!L$52</f>
        <v>8.5000000000000006E-2</v>
      </c>
      <c r="M252" s="43">
        <f>'Fiscal Forecasts'!M$52</f>
        <v>8.4000000000000005E-2</v>
      </c>
      <c r="N252" s="43">
        <f>'Fiscal Forecasts'!N$52</f>
        <v>8.3000000000000004E-2</v>
      </c>
      <c r="O252" s="47">
        <f>N$252*Exogenous!Z$34/Exogenous!Y$34</f>
        <v>7.983206106870229E-2</v>
      </c>
      <c r="P252" s="47">
        <f>O$252*Exogenous!AA$34/Exogenous!Z$34</f>
        <v>7.6241730279898209E-2</v>
      </c>
      <c r="Q252" s="47">
        <f>P$252*Exogenous!AB$34/Exogenous!AA$34</f>
        <v>7.2651399491094129E-2</v>
      </c>
      <c r="R252" s="47">
        <f>Q$252*Exogenous!AC$34/Exogenous!AB$34</f>
        <v>6.9061068702290063E-2</v>
      </c>
      <c r="S252" s="47">
        <f>R$252*Exogenous!AD$34/Exogenous!AC$34</f>
        <v>6.5470737913485982E-2</v>
      </c>
      <c r="T252" s="47">
        <f>S$252*Exogenous!AE$34/Exogenous!AD$34</f>
        <v>6.1669211195928726E-2</v>
      </c>
      <c r="U252" s="47">
        <f>T$252*Exogenous!AF$34/Exogenous!AE$34</f>
        <v>5.8290076335877843E-2</v>
      </c>
      <c r="V252" s="47">
        <f>U$252*Exogenous!AG$34/Exogenous!AF$34</f>
        <v>5.4910941475826952E-2</v>
      </c>
      <c r="W252" s="47">
        <f>V$252*Exogenous!AH$34/Exogenous!AG$34</f>
        <v>5.1320610687022879E-2</v>
      </c>
      <c r="X252" s="47">
        <f>W$252*Exogenous!AI$34/Exogenous!AH$34</f>
        <v>4.7730279898218805E-2</v>
      </c>
    </row>
    <row r="254" spans="1:24" x14ac:dyDescent="0.25">
      <c r="A254" s="9" t="s">
        <v>977</v>
      </c>
      <c r="D254" s="2"/>
      <c r="E254" s="2"/>
      <c r="F254" s="2"/>
      <c r="G254" s="2"/>
      <c r="H254" s="2"/>
      <c r="I254" s="2"/>
      <c r="J254" s="2"/>
      <c r="K254" s="2"/>
      <c r="L254" s="2"/>
    </row>
    <row r="255" spans="1:24" x14ac:dyDescent="0.25">
      <c r="A255" s="11" t="s">
        <v>1389</v>
      </c>
      <c r="B255" s="10" t="str">
        <f>$B$38</f>
        <v>From Fiscal Forecasts</v>
      </c>
      <c r="D255" s="35">
        <f>Exogenous!$B$79*'Fiscal Forecasts'!D$58</f>
        <v>3.7266719999999998</v>
      </c>
      <c r="E255" s="35">
        <f>Exogenous!$B$79*'Fiscal Forecasts'!E$58</f>
        <v>4.0577639999999997</v>
      </c>
      <c r="F255" s="35">
        <f>Exogenous!$B$79*'Fiscal Forecasts'!F$58</f>
        <v>4.6479359999999996</v>
      </c>
      <c r="G255" s="35">
        <f>Exogenous!$B$79*'Fiscal Forecasts'!G$58</f>
        <v>5.6673239999999998</v>
      </c>
      <c r="H255" s="35">
        <f>Exogenous!$B$79*'Fiscal Forecasts'!H$58</f>
        <v>5.8117559999999999</v>
      </c>
      <c r="I255" s="35">
        <f>Exogenous!$B$79*'Fiscal Forecasts'!I$58</f>
        <v>6.1197959999999991</v>
      </c>
      <c r="J255" s="17">
        <f ca="1">Exogenous!$B$79*('Fiscal Forecasts'!J$58+IF(OFFSET(Assumptions!$B$56,0,$C$1)="Yes",Allocation!C$15,0))</f>
        <v>6.1128599999999995</v>
      </c>
      <c r="K255" s="17">
        <f ca="1">Exogenous!$B$79*('Fiscal Forecasts'!K$58+IF(OFFSET(Assumptions!$B$56,0,$C$1)="Yes",Allocation!D$15,0))</f>
        <v>6.7330199999999998</v>
      </c>
      <c r="L255" s="17">
        <f ca="1">Exogenous!$B$79*('Fiscal Forecasts'!L$58+IF(OFFSET(Assumptions!$B$56,0,$C$1)="Yes",Allocation!E$15,0))</f>
        <v>6.9239639999999998</v>
      </c>
      <c r="M255" s="17">
        <f ca="1">Exogenous!$B$79*('Fiscal Forecasts'!M$58+IF(OFFSET(Assumptions!$B$56,0,$C$1)="Yes",Allocation!F$15,0))</f>
        <v>7.1467320000000001</v>
      </c>
      <c r="N255" s="17">
        <f ca="1">Exogenous!$B$79*('Fiscal Forecasts'!N$58+IF(OFFSET(Assumptions!$B$56,0,$C$1)="Yes",Allocation!G$15,0))</f>
        <v>7.3629720000000001</v>
      </c>
      <c r="O255" s="16">
        <f ca="1">N$255+IF(OFFSET(Assumptions!$B$57,0,$C$1)="Yes",Exogenous!$B$79*Allocation!$B$15*O$247,IF(OFFSET(Assumptions!$B$58,0,$C$1)="Yes",N$255*(1+(SUMPRODUCT(Exogenous!$B$82:$B$85,'Population Treasury'!Z$238:Z$241)+SUMPRODUCT(Exogenous!$B$86:$B$94,'Population Treasury'!Z$243:Z$251)+SUMPRODUCT(Exogenous!$B$95:$B$100,'Population Treasury'!Z$253:Z$258))/('Population Treasury'!Z$307/'Population Treasury'!Y$307)+(SUMPRODUCT(Exogenous!$C$82:$C$85,'Population Treasury'!Z$283:Z$286)+SUMPRODUCT(Exogenous!$C$86:$C$94,'Population Treasury'!Z$288:Z$296)+SUMPRODUCT(Exogenous!$C$95:$C$100,'Population Treasury'!Z$298:Z$303))/('Population Treasury'!Z$309/'Population Treasury'!Y$309))*(1+O$25)*(1+O$29)*(1+OFFSET(Assumptions!$B$63,0,$C$1))/(1+OFFSET(Assumptions!$B$64,0,$C$1))-N$255,0))</f>
        <v>7.7166271511113482</v>
      </c>
      <c r="P255" s="16">
        <f ca="1">O$255+IF(OFFSET(Assumptions!$B$57,0,$C$1)="Yes",Exogenous!$B$79*Allocation!$B$15*P$247,IF(OFFSET(Assumptions!$B$58,0,$C$1)="Yes",O$255*(1+(SUMPRODUCT(Exogenous!$B$82:$B$85,'Population Treasury'!AA$238:AA$241)+SUMPRODUCT(Exogenous!$B$86:$B$94,'Population Treasury'!AA$243:AA$251)+SUMPRODUCT(Exogenous!$B$95:$B$100,'Population Treasury'!AA$253:AA$258))/('Population Treasury'!AA$307/'Population Treasury'!Z$307)+(SUMPRODUCT(Exogenous!$C$82:$C$85,'Population Treasury'!AA$283:AA$286)+SUMPRODUCT(Exogenous!$C$86:$C$94,'Population Treasury'!AA$288:AA$296)+SUMPRODUCT(Exogenous!$C$95:$C$100,'Population Treasury'!AA$298:AA$303))/('Population Treasury'!AA$309/'Population Treasury'!Z$309))*(1+P$25)*(1+P$29)*(1+OFFSET(Assumptions!$B$63,0,$C$1))/(1+OFFSET(Assumptions!$B$64,0,$C$1))-O$255,0))</f>
        <v>8.0843131538724524</v>
      </c>
      <c r="Q255" s="16">
        <f ca="1">P$255+IF(OFFSET(Assumptions!$B$57,0,$C$1)="Yes",Exogenous!$B$79*Allocation!$B$15*Q$247,IF(OFFSET(Assumptions!$B$58,0,$C$1)="Yes",P$255*(1+(SUMPRODUCT(Exogenous!$B$82:$B$85,'Population Treasury'!AB$238:AB$241)+SUMPRODUCT(Exogenous!$B$86:$B$94,'Population Treasury'!AB$243:AB$251)+SUMPRODUCT(Exogenous!$B$95:$B$100,'Population Treasury'!AB$253:AB$258))/('Population Treasury'!AB$307/'Population Treasury'!AA$307)+(SUMPRODUCT(Exogenous!$C$82:$C$85,'Population Treasury'!AB$283:AB$286)+SUMPRODUCT(Exogenous!$C$86:$C$94,'Population Treasury'!AB$288:AB$296)+SUMPRODUCT(Exogenous!$C$95:$C$100,'Population Treasury'!AB$298:AB$303))/('Population Treasury'!AB$309/'Population Treasury'!AA$309))*(1+Q$25)*(1+Q$29)*(1+OFFSET(Assumptions!$B$63,0,$C$1))/(1+OFFSET(Assumptions!$B$64,0,$C$1))-P$255,0))</f>
        <v>8.4670311439566266</v>
      </c>
      <c r="R255" s="16">
        <f ca="1">Q$255+IF(OFFSET(Assumptions!$B$57,0,$C$1)="Yes",Exogenous!$B$79*Allocation!$B$15*R$247,IF(OFFSET(Assumptions!$B$58,0,$C$1)="Yes",Q$255*(1+(SUMPRODUCT(Exogenous!$B$82:$B$85,'Population Treasury'!AC$238:AC$241)+SUMPRODUCT(Exogenous!$B$86:$B$94,'Population Treasury'!AC$243:AC$251)+SUMPRODUCT(Exogenous!$B$95:$B$100,'Population Treasury'!AC$253:AC$258))/('Population Treasury'!AC$307/'Population Treasury'!AB$307)+(SUMPRODUCT(Exogenous!$C$82:$C$85,'Population Treasury'!AC$283:AC$286)+SUMPRODUCT(Exogenous!$C$86:$C$94,'Population Treasury'!AC$288:AC$296)+SUMPRODUCT(Exogenous!$C$95:$C$100,'Population Treasury'!AC$298:AC$303))/('Population Treasury'!AC$309/'Population Treasury'!AB$309))*(1+R$25)*(1+R$29)*(1+OFFSET(Assumptions!$B$63,0,$C$1))/(1+OFFSET(Assumptions!$B$64,0,$C$1))-Q$255,0))</f>
        <v>8.8647142295984249</v>
      </c>
      <c r="S255" s="16">
        <f ca="1">R$255+IF(OFFSET(Assumptions!$B$57,0,$C$1)="Yes",Exogenous!$B$79*Allocation!$B$15*S$247,IF(OFFSET(Assumptions!$B$58,0,$C$1)="Yes",R$255*(1+(SUMPRODUCT(Exogenous!$B$82:$B$85,'Population Treasury'!AD$238:AD$241)+SUMPRODUCT(Exogenous!$B$86:$B$94,'Population Treasury'!AD$243:AD$251)+SUMPRODUCT(Exogenous!$B$95:$B$100,'Population Treasury'!AD$253:AD$258))/('Population Treasury'!AD$307/'Population Treasury'!AC$307)+(SUMPRODUCT(Exogenous!$C$82:$C$85,'Population Treasury'!AD$283:AD$286)+SUMPRODUCT(Exogenous!$C$86:$C$94,'Population Treasury'!AD$288:AD$296)+SUMPRODUCT(Exogenous!$C$95:$C$100,'Population Treasury'!AD$298:AD$303))/('Population Treasury'!AD$309/'Population Treasury'!AC$309))*(1+S$25)*(1+S$29)*(1+OFFSET(Assumptions!$B$63,0,$C$1))/(1+OFFSET(Assumptions!$B$64,0,$C$1))-R$255,0))</f>
        <v>9.2751509252589823</v>
      </c>
      <c r="T255" s="16">
        <f ca="1">S$255+IF(OFFSET(Assumptions!$B$57,0,$C$1)="Yes",Exogenous!$B$79*Allocation!$B$15*T$247,IF(OFFSET(Assumptions!$B$58,0,$C$1)="Yes",S$255*(1+(SUMPRODUCT(Exogenous!$B$82:$B$85,'Population Treasury'!AE$238:AE$241)+SUMPRODUCT(Exogenous!$B$86:$B$94,'Population Treasury'!AE$243:AE$251)+SUMPRODUCT(Exogenous!$B$95:$B$100,'Population Treasury'!AE$253:AE$258))/('Population Treasury'!AE$307/'Population Treasury'!AD$307)+(SUMPRODUCT(Exogenous!$C$82:$C$85,'Population Treasury'!AE$283:AE$286)+SUMPRODUCT(Exogenous!$C$86:$C$94,'Population Treasury'!AE$288:AE$296)+SUMPRODUCT(Exogenous!$C$95:$C$100,'Population Treasury'!AE$298:AE$303))/('Population Treasury'!AE$309/'Population Treasury'!AD$309))*(1+T$25)*(1+T$29)*(1+OFFSET(Assumptions!$B$63,0,$C$1))/(1+OFFSET(Assumptions!$B$64,0,$C$1))-S$255,0))</f>
        <v>9.7008597227747888</v>
      </c>
      <c r="U255" s="16">
        <f ca="1">T$255+IF(OFFSET(Assumptions!$B$57,0,$C$1)="Yes",Exogenous!$B$79*Allocation!$B$15*U$247,IF(OFFSET(Assumptions!$B$58,0,$C$1)="Yes",T$255*(1+(SUMPRODUCT(Exogenous!$B$82:$B$85,'Population Treasury'!AF$238:AF$241)+SUMPRODUCT(Exogenous!$B$86:$B$94,'Population Treasury'!AF$243:AF$251)+SUMPRODUCT(Exogenous!$B$95:$B$100,'Population Treasury'!AF$253:AF$258))/('Population Treasury'!AF$307/'Population Treasury'!AE$307)+(SUMPRODUCT(Exogenous!$C$82:$C$85,'Population Treasury'!AF$283:AF$286)+SUMPRODUCT(Exogenous!$C$86:$C$94,'Population Treasury'!AF$288:AF$296)+SUMPRODUCT(Exogenous!$C$95:$C$100,'Population Treasury'!AF$298:AF$303))/('Population Treasury'!AF$309/'Population Treasury'!AE$309))*(1+U$25)*(1+U$29)*(1+OFFSET(Assumptions!$B$63,0,$C$1))/(1+OFFSET(Assumptions!$B$64,0,$C$1))-T$255,0))</f>
        <v>10.138848839991814</v>
      </c>
      <c r="V255" s="16">
        <f ca="1">U$255+IF(OFFSET(Assumptions!$B$57,0,$C$1)="Yes",Exogenous!$B$79*Allocation!$B$15*V$247,IF(OFFSET(Assumptions!$B$58,0,$C$1)="Yes",U$255*(1+(SUMPRODUCT(Exogenous!$B$82:$B$85,'Population Treasury'!AG$238:AG$241)+SUMPRODUCT(Exogenous!$B$86:$B$94,'Population Treasury'!AG$243:AG$251)+SUMPRODUCT(Exogenous!$B$95:$B$100,'Population Treasury'!AG$253:AG$258))/('Population Treasury'!AG$307/'Population Treasury'!AF$307)+(SUMPRODUCT(Exogenous!$C$82:$C$85,'Population Treasury'!AG$283:AG$286)+SUMPRODUCT(Exogenous!$C$86:$C$94,'Population Treasury'!AG$288:AG$296)+SUMPRODUCT(Exogenous!$C$95:$C$100,'Population Treasury'!AG$298:AG$303))/('Population Treasury'!AG$309/'Population Treasury'!AF$309))*(1+V$25)*(1+V$29)*(1+OFFSET(Assumptions!$B$63,0,$C$1))/(1+OFFSET(Assumptions!$B$64,0,$C$1))-U$255,0))</f>
        <v>10.587343498539243</v>
      </c>
      <c r="W255" s="16">
        <f ca="1">V$255+IF(OFFSET(Assumptions!$B$57,0,$C$1)="Yes",Exogenous!$B$79*Allocation!$B$15*W$247,IF(OFFSET(Assumptions!$B$58,0,$C$1)="Yes",V$255*(1+(SUMPRODUCT(Exogenous!$B$82:$B$85,'Population Treasury'!AH$238:AH$241)+SUMPRODUCT(Exogenous!$B$86:$B$94,'Population Treasury'!AH$243:AH$251)+SUMPRODUCT(Exogenous!$B$95:$B$100,'Population Treasury'!AH$253:AH$258))/('Population Treasury'!AH$307/'Population Treasury'!AG$307)+(SUMPRODUCT(Exogenous!$C$82:$C$85,'Population Treasury'!AH$283:AH$286)+SUMPRODUCT(Exogenous!$C$86:$C$94,'Population Treasury'!AH$288:AH$296)+SUMPRODUCT(Exogenous!$C$95:$C$100,'Population Treasury'!AH$298:AH$303))/('Population Treasury'!AH$309/'Population Treasury'!AG$309))*(1+W$25)*(1+W$29)*(1+OFFSET(Assumptions!$B$63,0,$C$1))/(1+OFFSET(Assumptions!$B$64,0,$C$1))-V$255,0))</f>
        <v>11.045547758875053</v>
      </c>
      <c r="X255" s="16">
        <f ca="1">W$255+IF(OFFSET(Assumptions!$B$57,0,$C$1)="Yes",Exogenous!$B$79*Allocation!$B$15*X$247,IF(OFFSET(Assumptions!$B$58,0,$C$1)="Yes",W$255*(1+(SUMPRODUCT(Exogenous!$B$82:$B$85,'Population Treasury'!AI$238:AI$241)+SUMPRODUCT(Exogenous!$B$86:$B$94,'Population Treasury'!AI$243:AI$251)+SUMPRODUCT(Exogenous!$B$95:$B$100,'Population Treasury'!AI$253:AI$258))/('Population Treasury'!AI$307/'Population Treasury'!AH$307)+(SUMPRODUCT(Exogenous!$C$82:$C$85,'Population Treasury'!AI$283:AI$286)+SUMPRODUCT(Exogenous!$C$86:$C$94,'Population Treasury'!AI$288:AI$296)+SUMPRODUCT(Exogenous!$C$95:$C$100,'Population Treasury'!AI$298:AI$303))/('Population Treasury'!AI$309/'Population Treasury'!AH$309))*(1+X$25)*(1+X$29)*(1+OFFSET(Assumptions!$B$63,0,$C$1))/(1+OFFSET(Assumptions!$B$64,0,$C$1))-W$255,0))</f>
        <v>11.51513362023573</v>
      </c>
    </row>
    <row r="256" spans="1:24" x14ac:dyDescent="0.25">
      <c r="A256" s="11" t="s">
        <v>1390</v>
      </c>
      <c r="B256" s="10" t="str">
        <f t="shared" ref="B256:B260" si="158">$B$38</f>
        <v>From Fiscal Forecasts</v>
      </c>
      <c r="D256" s="35">
        <f>Exogenous!$E$79*'Fiscal Forecasts'!D$58</f>
        <v>9.882988000000001</v>
      </c>
      <c r="E256" s="35">
        <f>Exogenous!$E$79*'Fiscal Forecasts'!E$58</f>
        <v>10.761030999999999</v>
      </c>
      <c r="F256" s="35">
        <f>Exogenous!$E$79*'Fiscal Forecasts'!F$58</f>
        <v>12.326144000000001</v>
      </c>
      <c r="G256" s="35">
        <f>Exogenous!$E$79*'Fiscal Forecasts'!G$58</f>
        <v>15.029521000000001</v>
      </c>
      <c r="H256" s="35">
        <f>Exogenous!$E$79*'Fiscal Forecasts'!H$58</f>
        <v>15.412549000000002</v>
      </c>
      <c r="I256" s="35">
        <f>Exogenous!$E$79*'Fiscal Forecasts'!I$58</f>
        <v>16.229459000000002</v>
      </c>
      <c r="J256" s="17">
        <f ca="1">Exogenous!$E$79*('Fiscal Forecasts'!J$58+IF(OFFSET(Assumptions!$B$56,0,$C$1)="Yes",Allocation!C$15,0))</f>
        <v>16.211065000000001</v>
      </c>
      <c r="K256" s="17">
        <f ca="1">Exogenous!$E$79*('Fiscal Forecasts'!K$58+IF(OFFSET(Assumptions!$B$56,0,$C$1)="Yes",Allocation!D$15,0))</f>
        <v>17.855705000000004</v>
      </c>
      <c r="L256" s="17">
        <f ca="1">Exogenous!$E$79*('Fiscal Forecasts'!L$58+IF(OFFSET(Assumptions!$B$56,0,$C$1)="Yes",Allocation!E$15,0))</f>
        <v>18.362081000000003</v>
      </c>
      <c r="M256" s="17">
        <f ca="1">Exogenous!$E$79*('Fiscal Forecasts'!M$58+IF(OFFSET(Assumptions!$B$56,0,$C$1)="Yes",Allocation!F$15,0))</f>
        <v>18.952853000000001</v>
      </c>
      <c r="N256" s="17">
        <f ca="1">Exogenous!$E$79*('Fiscal Forecasts'!N$58+IF(OFFSET(Assumptions!$B$56,0,$C$1)="Yes",Allocation!G$15,0))</f>
        <v>19.526313000000002</v>
      </c>
      <c r="O256" s="16">
        <f ca="1">N$256+IF(OFFSET(Assumptions!$B$57,0,$C$1)="Yes",Exogenous!$E$79*Allocation!$B$15*O$247,IF(OFFSET(Assumptions!$B$58,0,$C$1)="Yes",N$256*(1+(SUMPRODUCT(Exogenous!$E$82:$E$85,'Population Treasury'!Z$238:Z$241)+SUMPRODUCT(Exogenous!$E$86:$E$94,'Population Treasury'!Z$243:Z$251)+SUMPRODUCT(Exogenous!$E$95:$E$100,'Population Treasury'!Z$253:Z$258))/('Population Treasury'!Z$307/'Population Treasury'!Y$307)+(SUMPRODUCT(Exogenous!$F$82:$F$85,'Population Treasury'!Z$283:Z$286)+SUMPRODUCT(Exogenous!$F$86:$F$94,'Population Treasury'!Z$288:Z$296)+SUMPRODUCT(Exogenous!$F$95:$F$100,'Population Treasury'!Z$298:Z$303))/('Population Treasury'!Z$309/'Population Treasury'!Y$309))*(1+O$25)*(1+O$29)*(1+OFFSET(Assumptions!$B$63,0,$C$1))/(1+OFFSET(Assumptions!$B$64,0,$C$1))-N$256,0))</f>
        <v>20.477573427170629</v>
      </c>
      <c r="P256" s="16">
        <f ca="1">O$256+IF(OFFSET(Assumptions!$B$57,0,$C$1)="Yes",Exogenous!$E$79*Allocation!$B$15*P$247,IF(OFFSET(Assumptions!$B$58,0,$C$1)="Yes",O$256*(1+(SUMPRODUCT(Exogenous!$E$82:$E$85,'Population Treasury'!AA$238:AA$241)+SUMPRODUCT(Exogenous!$E$86:$E$94,'Population Treasury'!AA$243:AA$251)+SUMPRODUCT(Exogenous!$E$95:$E$100,'Population Treasury'!AA$253:AA$258))/('Population Treasury'!AA$307/'Population Treasury'!Z$307)+(SUMPRODUCT(Exogenous!$F$82:$F$85,'Population Treasury'!AA$283:AA$286)+SUMPRODUCT(Exogenous!$F$86:$F$94,'Population Treasury'!AA$288:AA$296)+SUMPRODUCT(Exogenous!$F$95:$F$100,'Population Treasury'!AA$298:AA$303))/('Population Treasury'!AA$309/'Population Treasury'!Z$309))*(1+P$25)*(1+P$29)*(1+OFFSET(Assumptions!$B$63,0,$C$1))/(1+OFFSET(Assumptions!$B$64,0,$C$1))-O$256,0))</f>
        <v>21.4677224100449</v>
      </c>
      <c r="Q256" s="16">
        <f ca="1">P$256+IF(OFFSET(Assumptions!$B$57,0,$C$1)="Yes",Exogenous!$E$79*Allocation!$B$15*Q$247,IF(OFFSET(Assumptions!$B$58,0,$C$1)="Yes",P$256*(1+(SUMPRODUCT(Exogenous!$E$82:$E$85,'Population Treasury'!AB$238:AB$241)+SUMPRODUCT(Exogenous!$E$86:$E$94,'Population Treasury'!AB$243:AB$251)+SUMPRODUCT(Exogenous!$E$95:$E$100,'Population Treasury'!AB$253:AB$258))/('Population Treasury'!AB$307/'Population Treasury'!AA$307)+(SUMPRODUCT(Exogenous!$F$82:$F$85,'Population Treasury'!AB$283:AB$286)+SUMPRODUCT(Exogenous!$F$86:$F$94,'Population Treasury'!AB$288:AB$296)+SUMPRODUCT(Exogenous!$F$95:$F$100,'Population Treasury'!AB$298:AB$303))/('Population Treasury'!AB$309/'Population Treasury'!AA$309))*(1+Q$25)*(1+Q$29)*(1+OFFSET(Assumptions!$B$63,0,$C$1))/(1+OFFSET(Assumptions!$B$64,0,$C$1))-P$256,0))</f>
        <v>22.50663008847663</v>
      </c>
      <c r="R256" s="16">
        <f ca="1">Q$256+IF(OFFSET(Assumptions!$B$57,0,$C$1)="Yes",Exogenous!$E$79*Allocation!$B$15*R$247,IF(OFFSET(Assumptions!$B$58,0,$C$1)="Yes",Q$256*(1+(SUMPRODUCT(Exogenous!$E$82:$E$85,'Population Treasury'!AC$238:AC$241)+SUMPRODUCT(Exogenous!$E$86:$E$94,'Population Treasury'!AC$243:AC$251)+SUMPRODUCT(Exogenous!$E$95:$E$100,'Population Treasury'!AC$253:AC$258))/('Population Treasury'!AC$307/'Population Treasury'!AB$307)+(SUMPRODUCT(Exogenous!$F$82:$F$85,'Population Treasury'!AC$283:AC$286)+SUMPRODUCT(Exogenous!$F$86:$F$94,'Population Treasury'!AC$288:AC$296)+SUMPRODUCT(Exogenous!$F$95:$F$100,'Population Treasury'!AC$298:AC$303))/('Population Treasury'!AC$309/'Population Treasury'!AB$309))*(1+R$25)*(1+R$29)*(1+OFFSET(Assumptions!$B$63,0,$C$1))/(1+OFFSET(Assumptions!$B$64,0,$C$1))-Q$256,0))</f>
        <v>23.584214308125269</v>
      </c>
      <c r="S256" s="16">
        <f ca="1">R$256+IF(OFFSET(Assumptions!$B$57,0,$C$1)="Yes",Exogenous!$E$79*Allocation!$B$15*S$247,IF(OFFSET(Assumptions!$B$58,0,$C$1)="Yes",R$256*(1+(SUMPRODUCT(Exogenous!$E$82:$E$85,'Population Treasury'!AD$238:AD$241)+SUMPRODUCT(Exogenous!$E$86:$E$94,'Population Treasury'!AD$243:AD$251)+SUMPRODUCT(Exogenous!$E$95:$E$100,'Population Treasury'!AD$253:AD$258))/('Population Treasury'!AD$307/'Population Treasury'!AC$307)+(SUMPRODUCT(Exogenous!$F$82:$F$85,'Population Treasury'!AD$283:AD$286)+SUMPRODUCT(Exogenous!$F$86:$F$94,'Population Treasury'!AD$288:AD$296)+SUMPRODUCT(Exogenous!$F$95:$F$100,'Population Treasury'!AD$298:AD$303))/('Population Treasury'!AD$309/'Population Treasury'!AC$309))*(1+S$25)*(1+S$29)*(1+OFFSET(Assumptions!$B$63,0,$C$1))/(1+OFFSET(Assumptions!$B$64,0,$C$1))-R$256,0))</f>
        <v>24.695191561894784</v>
      </c>
      <c r="T256" s="16">
        <f ca="1">S$256+IF(OFFSET(Assumptions!$B$57,0,$C$1)="Yes",Exogenous!$E$79*Allocation!$B$15*T$247,IF(OFFSET(Assumptions!$B$58,0,$C$1)="Yes",S$256*(1+(SUMPRODUCT(Exogenous!$E$82:$E$85,'Population Treasury'!AE$238:AE$241)+SUMPRODUCT(Exogenous!$E$86:$E$94,'Population Treasury'!AE$243:AE$251)+SUMPRODUCT(Exogenous!$E$95:$E$100,'Population Treasury'!AE$253:AE$258))/('Population Treasury'!AE$307/'Population Treasury'!AD$307)+(SUMPRODUCT(Exogenous!$F$82:$F$85,'Population Treasury'!AE$283:AE$286)+SUMPRODUCT(Exogenous!$F$86:$F$94,'Population Treasury'!AE$288:AE$296)+SUMPRODUCT(Exogenous!$F$95:$F$100,'Population Treasury'!AE$298:AE$303))/('Population Treasury'!AE$309/'Population Treasury'!AD$309))*(1+T$25)*(1+T$29)*(1+OFFSET(Assumptions!$B$63,0,$C$1))/(1+OFFSET(Assumptions!$B$64,0,$C$1))-S$256,0))</f>
        <v>25.842810784888417</v>
      </c>
      <c r="U256" s="16">
        <f ca="1">T$256+IF(OFFSET(Assumptions!$B$57,0,$C$1)="Yes",Exogenous!$E$79*Allocation!$B$15*U$247,IF(OFFSET(Assumptions!$B$58,0,$C$1)="Yes",T$256*(1+(SUMPRODUCT(Exogenous!$E$82:$E$85,'Population Treasury'!AF$238:AF$241)+SUMPRODUCT(Exogenous!$E$86:$E$94,'Population Treasury'!AF$243:AF$251)+SUMPRODUCT(Exogenous!$E$95:$E$100,'Population Treasury'!AF$253:AF$258))/('Population Treasury'!AF$307/'Population Treasury'!AE$307)+(SUMPRODUCT(Exogenous!$F$82:$F$85,'Population Treasury'!AF$283:AF$286)+SUMPRODUCT(Exogenous!$F$86:$F$94,'Population Treasury'!AF$288:AF$296)+SUMPRODUCT(Exogenous!$F$95:$F$100,'Population Treasury'!AF$298:AF$303))/('Population Treasury'!AF$309/'Population Treasury'!AE$309))*(1+U$25)*(1+U$29)*(1+OFFSET(Assumptions!$B$63,0,$C$1))/(1+OFFSET(Assumptions!$B$64,0,$C$1))-T$256,0))</f>
        <v>27.021318153466424</v>
      </c>
      <c r="V256" s="16">
        <f ca="1">U$256+IF(OFFSET(Assumptions!$B$57,0,$C$1)="Yes",Exogenous!$E$79*Allocation!$B$15*V$247,IF(OFFSET(Assumptions!$B$58,0,$C$1)="Yes",U$256*(1+(SUMPRODUCT(Exogenous!$E$82:$E$85,'Population Treasury'!AG$238:AG$241)+SUMPRODUCT(Exogenous!$E$86:$E$94,'Population Treasury'!AG$243:AG$251)+SUMPRODUCT(Exogenous!$E$95:$E$100,'Population Treasury'!AG$253:AG$258))/('Population Treasury'!AG$307/'Population Treasury'!AF$307)+(SUMPRODUCT(Exogenous!$F$82:$F$85,'Population Treasury'!AG$283:AG$286)+SUMPRODUCT(Exogenous!$F$86:$F$94,'Population Treasury'!AG$288:AG$296)+SUMPRODUCT(Exogenous!$F$95:$F$100,'Population Treasury'!AG$298:AG$303))/('Population Treasury'!AG$309/'Population Treasury'!AF$309))*(1+V$25)*(1+V$29)*(1+OFFSET(Assumptions!$B$63,0,$C$1))/(1+OFFSET(Assumptions!$B$64,0,$C$1))-U$256,0))</f>
        <v>28.23111058642812</v>
      </c>
      <c r="W256" s="16">
        <f ca="1">V$256+IF(OFFSET(Assumptions!$B$57,0,$C$1)="Yes",Exogenous!$E$79*Allocation!$B$15*W$247,IF(OFFSET(Assumptions!$B$58,0,$C$1)="Yes",V$256*(1+(SUMPRODUCT(Exogenous!$E$82:$E$85,'Population Treasury'!AH$238:AH$241)+SUMPRODUCT(Exogenous!$E$86:$E$94,'Population Treasury'!AH$243:AH$251)+SUMPRODUCT(Exogenous!$E$95:$E$100,'Population Treasury'!AH$253:AH$258))/('Population Treasury'!AH$307/'Population Treasury'!AG$307)+(SUMPRODUCT(Exogenous!$F$82:$F$85,'Population Treasury'!AH$283:AH$286)+SUMPRODUCT(Exogenous!$F$86:$F$94,'Population Treasury'!AH$288:AH$296)+SUMPRODUCT(Exogenous!$F$95:$F$100,'Population Treasury'!AH$298:AH$303))/('Population Treasury'!AH$309/'Population Treasury'!AG$309))*(1+W$25)*(1+W$29)*(1+OFFSET(Assumptions!$B$63,0,$C$1))/(1+OFFSET(Assumptions!$B$64,0,$C$1))-V$256,0))</f>
        <v>29.468633058238289</v>
      </c>
      <c r="X256" s="16">
        <f ca="1">W$256+IF(OFFSET(Assumptions!$B$57,0,$C$1)="Yes",Exogenous!$E$79*Allocation!$B$15*X$247,IF(OFFSET(Assumptions!$B$58,0,$C$1)="Yes",W$256*(1+(SUMPRODUCT(Exogenous!$E$82:$E$85,'Population Treasury'!AI$238:AI$241)+SUMPRODUCT(Exogenous!$E$86:$E$94,'Population Treasury'!AI$243:AI$251)+SUMPRODUCT(Exogenous!$E$95:$E$100,'Population Treasury'!AI$253:AI$258))/('Population Treasury'!AI$307/'Population Treasury'!AH$307)+(SUMPRODUCT(Exogenous!$F$82:$F$85,'Population Treasury'!AI$283:AI$286)+SUMPRODUCT(Exogenous!$F$86:$F$94,'Population Treasury'!AI$288:AI$296)+SUMPRODUCT(Exogenous!$F$95:$F$100,'Population Treasury'!AI$298:AI$303))/('Population Treasury'!AI$309/'Population Treasury'!AH$309))*(1+X$25)*(1+X$29)*(1+OFFSET(Assumptions!$B$63,0,$C$1))/(1+OFFSET(Assumptions!$B$64,0,$C$1))-W$256,0))</f>
        <v>30.740002714736328</v>
      </c>
    </row>
    <row r="257" spans="1:24" x14ac:dyDescent="0.25">
      <c r="A257" s="11" t="s">
        <v>1391</v>
      </c>
      <c r="B257" s="10" t="str">
        <f t="shared" si="158"/>
        <v>From Fiscal Forecasts</v>
      </c>
      <c r="D257" s="35">
        <f>Exogenous!$H$79*'Fiscal Forecasts'!D$58</f>
        <v>1.91814</v>
      </c>
      <c r="E257" s="35">
        <f>Exogenous!$H$79*'Fiscal Forecasts'!E$58</f>
        <v>2.0885549999999999</v>
      </c>
      <c r="F257" s="35">
        <f>Exogenous!$H$79*'Fiscal Forecasts'!F$58</f>
        <v>2.3923199999999998</v>
      </c>
      <c r="G257" s="35">
        <f>Exogenous!$H$79*'Fiscal Forecasts'!G$58</f>
        <v>2.9170049999999996</v>
      </c>
      <c r="H257" s="35">
        <f>Exogenous!$H$79*'Fiscal Forecasts'!H$58</f>
        <v>2.9913449999999999</v>
      </c>
      <c r="I257" s="35">
        <f>Exogenous!$H$79*'Fiscal Forecasts'!I$58</f>
        <v>3.1498949999999999</v>
      </c>
      <c r="J257" s="17">
        <f ca="1">Exogenous!$H$79*('Fiscal Forecasts'!J$58+IF(OFFSET(Assumptions!$B$56,0,$C$1)="Yes",Allocation!C$15,0))</f>
        <v>3.146325</v>
      </c>
      <c r="K257" s="17">
        <f ca="1">Exogenous!$H$79*('Fiscal Forecasts'!K$58+IF(OFFSET(Assumptions!$B$56,0,$C$1)="Yes",Allocation!D$15,0))</f>
        <v>3.465525</v>
      </c>
      <c r="L257" s="17">
        <f ca="1">Exogenous!$H$79*('Fiscal Forecasts'!L$58+IF(OFFSET(Assumptions!$B$56,0,$C$1)="Yes",Allocation!E$15,0))</f>
        <v>3.5638050000000003</v>
      </c>
      <c r="M257" s="17">
        <f ca="1">Exogenous!$H$79*('Fiscal Forecasts'!M$58+IF(OFFSET(Assumptions!$B$56,0,$C$1)="Yes",Allocation!F$15,0))</f>
        <v>3.6784650000000001</v>
      </c>
      <c r="N257" s="17">
        <f ca="1">Exogenous!$H$79*('Fiscal Forecasts'!N$58+IF(OFFSET(Assumptions!$B$56,0,$C$1)="Yes",Allocation!G$15,0))</f>
        <v>3.7897650000000001</v>
      </c>
      <c r="O257" s="16">
        <f ca="1">N$257+IF(OFFSET(Assumptions!$B$57,0,$C$1)="Yes",Exogenous!$H$79*Allocation!$B$15*O$247,IF(OFFSET(Assumptions!$B$58,0,$C$1)="Yes",N$257*(1+(SUMPRODUCT(Exogenous!$H$82:$H$85,'Population Treasury'!Z$238:Z$241)+SUMPRODUCT(Exogenous!$H$86:$H$94,'Population Treasury'!Z$243:Z$251)+SUMPRODUCT(Exogenous!$H$95:$H$100,'Population Treasury'!Z$253:Z$258))/('Population Treasury'!Z$307/'Population Treasury'!Y$307)+(SUMPRODUCT(Exogenous!$I$82:$I$85,'Population Treasury'!Z$283:Z$286)+SUMPRODUCT(Exogenous!$I$86:$I$94,'Population Treasury'!Z$288:Z$296)+SUMPRODUCT(Exogenous!$I$95:$I$100,'Population Treasury'!Z$298:Z$303))/('Population Treasury'!Z$309/'Population Treasury'!Y$309))*(1+O$25)*(1+O$29)*(1+OFFSET(Assumptions!$B$63,0,$C$1))/(1+OFFSET(Assumptions!$B$64,0,$C$1))-N$257,0))</f>
        <v>3.9602398084477706</v>
      </c>
      <c r="P257" s="16">
        <f ca="1">O$257+IF(OFFSET(Assumptions!$B$57,0,$C$1)="Yes",Exogenous!$H$79*Allocation!$B$15*P$247,IF(OFFSET(Assumptions!$B$58,0,$C$1)="Yes",O$257*(1+(SUMPRODUCT(Exogenous!$H$82:$H$85,'Population Treasury'!AA$238:AA$241)+SUMPRODUCT(Exogenous!$H$86:$H$94,'Population Treasury'!AA$243:AA$251)+SUMPRODUCT(Exogenous!$H$95:$H$100,'Population Treasury'!AA$253:AA$258))/('Population Treasury'!AA$307/'Population Treasury'!Z$307)+(SUMPRODUCT(Exogenous!$I$82:$I$85,'Population Treasury'!AA$283:AA$286)+SUMPRODUCT(Exogenous!$I$86:$I$94,'Population Treasury'!AA$288:AA$296)+SUMPRODUCT(Exogenous!$I$95:$I$100,'Population Treasury'!AA$298:AA$303))/('Population Treasury'!AA$309/'Population Treasury'!Z$309))*(1+P$25)*(1+P$29)*(1+OFFSET(Assumptions!$B$63,0,$C$1))/(1+OFFSET(Assumptions!$B$64,0,$C$1))-O$257,0))</f>
        <v>4.13734070936757</v>
      </c>
      <c r="Q257" s="16">
        <f ca="1">P$257+IF(OFFSET(Assumptions!$B$57,0,$C$1)="Yes",Exogenous!$H$79*Allocation!$B$15*Q$247,IF(OFFSET(Assumptions!$B$58,0,$C$1)="Yes",P$257*(1+(SUMPRODUCT(Exogenous!$H$82:$H$85,'Population Treasury'!AB$238:AB$241)+SUMPRODUCT(Exogenous!$H$86:$H$94,'Population Treasury'!AB$243:AB$251)+SUMPRODUCT(Exogenous!$H$95:$H$100,'Population Treasury'!AB$253:AB$258))/('Population Treasury'!AB$307/'Population Treasury'!AA$307)+(SUMPRODUCT(Exogenous!$I$82:$I$85,'Population Treasury'!AB$283:AB$286)+SUMPRODUCT(Exogenous!$I$86:$I$94,'Population Treasury'!AB$288:AB$296)+SUMPRODUCT(Exogenous!$I$95:$I$100,'Population Treasury'!AB$298:AB$303))/('Population Treasury'!AB$309/'Population Treasury'!AA$309))*(1+Q$25)*(1+Q$29)*(1+OFFSET(Assumptions!$B$63,0,$C$1))/(1+OFFSET(Assumptions!$B$64,0,$C$1))-P$257,0))</f>
        <v>4.3212692891917026</v>
      </c>
      <c r="R257" s="16">
        <f ca="1">Q$257+IF(OFFSET(Assumptions!$B$57,0,$C$1)="Yes",Exogenous!$H$79*Allocation!$B$15*R$247,IF(OFFSET(Assumptions!$B$58,0,$C$1)="Yes",Q$257*(1+(SUMPRODUCT(Exogenous!$H$82:$H$85,'Population Treasury'!AC$238:AC$241)+SUMPRODUCT(Exogenous!$H$86:$H$94,'Population Treasury'!AC$243:AC$251)+SUMPRODUCT(Exogenous!$H$95:$H$100,'Population Treasury'!AC$253:AC$258))/('Population Treasury'!AC$307/'Population Treasury'!AB$307)+(SUMPRODUCT(Exogenous!$I$82:$I$85,'Population Treasury'!AC$283:AC$286)+SUMPRODUCT(Exogenous!$I$86:$I$94,'Population Treasury'!AC$288:AC$296)+SUMPRODUCT(Exogenous!$I$95:$I$100,'Population Treasury'!AC$298:AC$303))/('Population Treasury'!AC$309/'Population Treasury'!AB$309))*(1+R$25)*(1+R$29)*(1+OFFSET(Assumptions!$B$63,0,$C$1))/(1+OFFSET(Assumptions!$B$64,0,$C$1))-Q$257,0))</f>
        <v>4.5111467800830169</v>
      </c>
      <c r="S257" s="16">
        <f ca="1">R$257+IF(OFFSET(Assumptions!$B$57,0,$C$1)="Yes",Exogenous!$H$79*Allocation!$B$15*S$247,IF(OFFSET(Assumptions!$B$58,0,$C$1)="Yes",R$257*(1+(SUMPRODUCT(Exogenous!$H$82:$H$85,'Population Treasury'!AD$238:AD$241)+SUMPRODUCT(Exogenous!$H$86:$H$94,'Population Treasury'!AD$243:AD$251)+SUMPRODUCT(Exogenous!$H$95:$H$100,'Population Treasury'!AD$253:AD$258))/('Population Treasury'!AD$307/'Population Treasury'!AC$307)+(SUMPRODUCT(Exogenous!$I$82:$I$85,'Population Treasury'!AD$283:AD$286)+SUMPRODUCT(Exogenous!$I$86:$I$94,'Population Treasury'!AD$288:AD$296)+SUMPRODUCT(Exogenous!$I$95:$I$100,'Population Treasury'!AD$298:AD$303))/('Population Treasury'!AD$309/'Population Treasury'!AC$309))*(1+S$25)*(1+S$29)*(1+OFFSET(Assumptions!$B$63,0,$C$1))/(1+OFFSET(Assumptions!$B$64,0,$C$1))-R$257,0))</f>
        <v>4.7063124856306526</v>
      </c>
      <c r="T257" s="16">
        <f ca="1">S$257+IF(OFFSET(Assumptions!$B$57,0,$C$1)="Yes",Exogenous!$H$79*Allocation!$B$15*T$247,IF(OFFSET(Assumptions!$B$58,0,$C$1)="Yes",S$257*(1+(SUMPRODUCT(Exogenous!$H$82:$H$85,'Population Treasury'!AE$238:AE$241)+SUMPRODUCT(Exogenous!$H$86:$H$94,'Population Treasury'!AE$243:AE$251)+SUMPRODUCT(Exogenous!$H$95:$H$100,'Population Treasury'!AE$253:AE$258))/('Population Treasury'!AE$307/'Population Treasury'!AD$307)+(SUMPRODUCT(Exogenous!$I$82:$I$85,'Population Treasury'!AE$283:AE$286)+SUMPRODUCT(Exogenous!$I$86:$I$94,'Population Treasury'!AE$288:AE$296)+SUMPRODUCT(Exogenous!$I$95:$I$100,'Population Treasury'!AE$298:AE$303))/('Population Treasury'!AE$309/'Population Treasury'!AD$309))*(1+T$25)*(1+T$29)*(1+OFFSET(Assumptions!$B$63,0,$C$1))/(1+OFFSET(Assumptions!$B$64,0,$C$1))-S$257,0))</f>
        <v>4.9075228380944944</v>
      </c>
      <c r="U257" s="16">
        <f ca="1">T$257+IF(OFFSET(Assumptions!$B$57,0,$C$1)="Yes",Exogenous!$H$79*Allocation!$B$15*U$247,IF(OFFSET(Assumptions!$B$58,0,$C$1)="Yes",T$257*(1+(SUMPRODUCT(Exogenous!$H$82:$H$85,'Population Treasury'!AF$238:AF$241)+SUMPRODUCT(Exogenous!$H$86:$H$94,'Population Treasury'!AF$243:AF$251)+SUMPRODUCT(Exogenous!$H$95:$H$100,'Population Treasury'!AF$253:AF$258))/('Population Treasury'!AF$307/'Population Treasury'!AE$307)+(SUMPRODUCT(Exogenous!$I$82:$I$85,'Population Treasury'!AF$283:AF$286)+SUMPRODUCT(Exogenous!$I$86:$I$94,'Population Treasury'!AF$288:AF$296)+SUMPRODUCT(Exogenous!$I$95:$I$100,'Population Treasury'!AF$298:AF$303))/('Population Treasury'!AF$309/'Population Treasury'!AE$309))*(1+U$25)*(1+U$29)*(1+OFFSET(Assumptions!$B$63,0,$C$1))/(1+OFFSET(Assumptions!$B$64,0,$C$1))-T$257,0))</f>
        <v>5.1134443323085623</v>
      </c>
      <c r="V257" s="16">
        <f ca="1">U$257+IF(OFFSET(Assumptions!$B$57,0,$C$1)="Yes",Exogenous!$H$79*Allocation!$B$15*V$247,IF(OFFSET(Assumptions!$B$58,0,$C$1)="Yes",U$257*(1+(SUMPRODUCT(Exogenous!$H$82:$H$85,'Population Treasury'!AG$238:AG$241)+SUMPRODUCT(Exogenous!$H$86:$H$94,'Population Treasury'!AG$243:AG$251)+SUMPRODUCT(Exogenous!$H$95:$H$100,'Population Treasury'!AG$253:AG$258))/('Population Treasury'!AG$307/'Population Treasury'!AF$307)+(SUMPRODUCT(Exogenous!$I$82:$I$85,'Population Treasury'!AG$283:AG$286)+SUMPRODUCT(Exogenous!$I$86:$I$94,'Population Treasury'!AG$288:AG$296)+SUMPRODUCT(Exogenous!$I$95:$I$100,'Population Treasury'!AG$298:AG$303))/('Population Treasury'!AG$309/'Population Treasury'!AF$309))*(1+V$25)*(1+V$29)*(1+OFFSET(Assumptions!$B$63,0,$C$1))/(1+OFFSET(Assumptions!$B$64,0,$C$1))-U$257,0))</f>
        <v>5.3231225948498011</v>
      </c>
      <c r="W257" s="16">
        <f ca="1">V$257+IF(OFFSET(Assumptions!$B$57,0,$C$1)="Yes",Exogenous!$H$79*Allocation!$B$15*W$247,IF(OFFSET(Assumptions!$B$58,0,$C$1)="Yes",V$257*(1+(SUMPRODUCT(Exogenous!$H$82:$H$85,'Population Treasury'!AH$238:AH$241)+SUMPRODUCT(Exogenous!$H$86:$H$94,'Population Treasury'!AH$243:AH$251)+SUMPRODUCT(Exogenous!$H$95:$H$100,'Population Treasury'!AH$253:AH$258))/('Population Treasury'!AH$307/'Population Treasury'!AG$307)+(SUMPRODUCT(Exogenous!$I$82:$I$85,'Population Treasury'!AH$283:AH$286)+SUMPRODUCT(Exogenous!$I$86:$I$94,'Population Treasury'!AH$288:AH$296)+SUMPRODUCT(Exogenous!$I$95:$I$100,'Population Treasury'!AH$298:AH$303))/('Population Treasury'!AH$309/'Population Treasury'!AG$309))*(1+W$25)*(1+W$29)*(1+OFFSET(Assumptions!$B$63,0,$C$1))/(1+OFFSET(Assumptions!$B$64,0,$C$1))-V$257,0))</f>
        <v>5.5353655476402563</v>
      </c>
      <c r="X257" s="16">
        <f ca="1">W$257+IF(OFFSET(Assumptions!$B$57,0,$C$1)="Yes",Exogenous!$H$79*Allocation!$B$15*X$247,IF(OFFSET(Assumptions!$B$58,0,$C$1)="Yes",W$257*(1+(SUMPRODUCT(Exogenous!$H$82:$H$85,'Population Treasury'!AI$238:AI$241)+SUMPRODUCT(Exogenous!$H$86:$H$94,'Population Treasury'!AI$243:AI$251)+SUMPRODUCT(Exogenous!$H$95:$H$100,'Population Treasury'!AI$253:AI$258))/('Population Treasury'!AI$307/'Population Treasury'!AH$307)+(SUMPRODUCT(Exogenous!$I$82:$I$85,'Population Treasury'!AI$283:AI$286)+SUMPRODUCT(Exogenous!$I$86:$I$94,'Population Treasury'!AI$288:AI$296)+SUMPRODUCT(Exogenous!$I$95:$I$100,'Population Treasury'!AI$298:AI$303))/('Population Treasury'!AI$309/'Population Treasury'!AH$309))*(1+X$25)*(1+X$29)*(1+OFFSET(Assumptions!$B$63,0,$C$1))/(1+OFFSET(Assumptions!$B$64,0,$C$1))-W$257,0))</f>
        <v>5.7522996512188795</v>
      </c>
    </row>
    <row r="258" spans="1:24" x14ac:dyDescent="0.25">
      <c r="A258" s="11" t="s">
        <v>1392</v>
      </c>
      <c r="B258" s="10" t="str">
        <f t="shared" si="158"/>
        <v>From Fiscal Forecasts</v>
      </c>
      <c r="D258" s="35">
        <f>Exogenous!$K$79*'Fiscal Forecasts'!D$58</f>
        <v>1.6258520000000001</v>
      </c>
      <c r="E258" s="35">
        <f>Exogenous!$K$79*'Fiscal Forecasts'!E$58</f>
        <v>1.7702989999999998</v>
      </c>
      <c r="F258" s="35">
        <f>Exogenous!$K$79*'Fiscal Forecasts'!F$58</f>
        <v>2.0277759999999998</v>
      </c>
      <c r="G258" s="35">
        <f>Exogenous!$K$79*'Fiscal Forecasts'!G$58</f>
        <v>2.4725089999999996</v>
      </c>
      <c r="H258" s="35">
        <f>Exogenous!$K$79*'Fiscal Forecasts'!H$58</f>
        <v>2.5355210000000001</v>
      </c>
      <c r="I258" s="35">
        <f>Exogenous!$K$79*'Fiscal Forecasts'!I$58</f>
        <v>2.6699109999999999</v>
      </c>
      <c r="J258" s="17">
        <f ca="1">Exogenous!$K$79*('Fiscal Forecasts'!J$58+IF(OFFSET(Assumptions!$B$56,0,$C$1)="Yes",Allocation!C$15,0))</f>
        <v>2.6668849999999997</v>
      </c>
      <c r="K258" s="17">
        <f ca="1">Exogenous!$K$79*('Fiscal Forecasts'!K$58+IF(OFFSET(Assumptions!$B$56,0,$C$1)="Yes",Allocation!D$15,0))</f>
        <v>2.9374450000000003</v>
      </c>
      <c r="L258" s="17">
        <f ca="1">Exogenous!$K$79*('Fiscal Forecasts'!L$58+IF(OFFSET(Assumptions!$B$56,0,$C$1)="Yes",Allocation!E$15,0))</f>
        <v>3.0207489999999999</v>
      </c>
      <c r="M258" s="17">
        <f ca="1">Exogenous!$K$79*('Fiscal Forecasts'!M$58+IF(OFFSET(Assumptions!$B$56,0,$C$1)="Yes",Allocation!F$15,0))</f>
        <v>3.117937</v>
      </c>
      <c r="N258" s="17">
        <f ca="1">Exogenous!$K$79*('Fiscal Forecasts'!N$58+IF(OFFSET(Assumptions!$B$56,0,$C$1)="Yes",Allocation!G$15,0))</f>
        <v>3.2122770000000003</v>
      </c>
      <c r="O258" s="16">
        <f ca="1">N$258+IF(OFFSET(Assumptions!$B$57,0,$C$1)="Yes",Exogenous!$K$79*Allocation!$B$15*O$247,IF(OFFSET(Assumptions!$B$58,0,$C$1)="Yes",N$258*(1+(SUMPRODUCT(Exogenous!$K$82:$K$85,'Population Treasury'!Z$238:Z$241)+SUMPRODUCT(Exogenous!$K$86:$K$94,'Population Treasury'!Z$243:Z$251)+SUMPRODUCT(Exogenous!$K$95:$K$100,'Population Treasury'!Z$253:Z$258))/('Population Treasury'!Z$308/'Population Treasury'!Y$308)+(SUMPRODUCT(Exogenous!$L$82:$L$85,'Population Treasury'!Z$283:Z$286)+SUMPRODUCT(Exogenous!$L$86:$L$94,'Population Treasury'!Z$288:Z$296)+SUMPRODUCT(Exogenous!$L$95:$L$100,'Population Treasury'!Z$298:Z$303))/('Population Treasury'!Z$310/'Population Treasury'!Y$310))*(1+O$25)*(1+O$29)*(1+OFFSET(Assumptions!$B$63,0,$C$1))/(1+OFFSET(Assumptions!$B$64,0,$C$1))-N$258,0))</f>
        <v>3.4531082575422447</v>
      </c>
      <c r="P258" s="16">
        <f ca="1">O$258+IF(OFFSET(Assumptions!$B$57,0,$C$1)="Yes",Exogenous!$K$79*Allocation!$B$15*P$247,IF(OFFSET(Assumptions!$B$58,0,$C$1)="Yes",O$258*(1+(SUMPRODUCT(Exogenous!$K$82:$K$85,'Population Treasury'!AA$238:AA$241)+SUMPRODUCT(Exogenous!$K$86:$K$94,'Population Treasury'!AA$243:AA$251)+SUMPRODUCT(Exogenous!$K$95:$K$100,'Population Treasury'!AA$253:AA$258))/('Population Treasury'!AA$308/'Population Treasury'!Z$308)+(SUMPRODUCT(Exogenous!$L$82:$L$85,'Population Treasury'!AA$283:AA$286)+SUMPRODUCT(Exogenous!$L$86:$L$94,'Population Treasury'!AA$288:AA$296)+SUMPRODUCT(Exogenous!$L$95:$L$100,'Population Treasury'!AA$298:AA$303))/('Population Treasury'!AA$310/'Population Treasury'!Z$310))*(1+P$25)*(1+P$29)*(1+OFFSET(Assumptions!$B$63,0,$C$1))/(1+OFFSET(Assumptions!$B$64,0,$C$1))-O$258,0))</f>
        <v>3.7167853690816921</v>
      </c>
      <c r="Q258" s="16">
        <f ca="1">P$258+IF(OFFSET(Assumptions!$B$57,0,$C$1)="Yes",Exogenous!$K$79*Allocation!$B$15*Q$247,IF(OFFSET(Assumptions!$B$58,0,$C$1)="Yes",P$258*(1+(SUMPRODUCT(Exogenous!$K$82:$K$85,'Population Treasury'!AB$238:AB$241)+SUMPRODUCT(Exogenous!$K$86:$K$94,'Population Treasury'!AB$243:AB$251)+SUMPRODUCT(Exogenous!$K$95:$K$100,'Population Treasury'!AB$253:AB$258))/('Population Treasury'!AB$308/'Population Treasury'!AA$308)+(SUMPRODUCT(Exogenous!$L$82:$L$85,'Population Treasury'!AB$283:AB$286)+SUMPRODUCT(Exogenous!$L$86:$L$94,'Population Treasury'!AB$288:AB$296)+SUMPRODUCT(Exogenous!$L$95:$L$100,'Population Treasury'!AB$298:AB$303))/('Population Treasury'!AB$310/'Population Treasury'!AA$310))*(1+Q$25)*(1+Q$29)*(1+OFFSET(Assumptions!$B$63,0,$C$1))/(1+OFFSET(Assumptions!$B$64,0,$C$1))-P$258,0))</f>
        <v>4.0162666940752167</v>
      </c>
      <c r="R258" s="16">
        <f ca="1">Q$258+IF(OFFSET(Assumptions!$B$57,0,$C$1)="Yes",Exogenous!$K$79*Allocation!$B$15*R$247,IF(OFFSET(Assumptions!$B$58,0,$C$1)="Yes",Q$258*(1+(SUMPRODUCT(Exogenous!$K$82:$K$85,'Population Treasury'!AC$238:AC$241)+SUMPRODUCT(Exogenous!$K$86:$K$94,'Population Treasury'!AC$243:AC$251)+SUMPRODUCT(Exogenous!$K$95:$K$100,'Population Treasury'!AC$253:AC$258))/('Population Treasury'!AC$308/'Population Treasury'!AB$308)+(SUMPRODUCT(Exogenous!$L$82:$L$85,'Population Treasury'!AC$283:AC$286)+SUMPRODUCT(Exogenous!$L$86:$L$94,'Population Treasury'!AC$288:AC$296)+SUMPRODUCT(Exogenous!$L$95:$L$100,'Population Treasury'!AC$298:AC$303))/('Population Treasury'!AC$310/'Population Treasury'!AB$310))*(1+R$25)*(1+R$29)*(1+OFFSET(Assumptions!$B$63,0,$C$1))/(1+OFFSET(Assumptions!$B$64,0,$C$1))-Q$258,0))</f>
        <v>4.3116143164294956</v>
      </c>
      <c r="S258" s="16">
        <f ca="1">R$258+IF(OFFSET(Assumptions!$B$57,0,$C$1)="Yes",Exogenous!$K$79*Allocation!$B$15*S$247,IF(OFFSET(Assumptions!$B$58,0,$C$1)="Yes",R$258*(1+(SUMPRODUCT(Exogenous!$K$82:$K$85,'Population Treasury'!AD$238:AD$241)+SUMPRODUCT(Exogenous!$K$86:$K$94,'Population Treasury'!AD$243:AD$251)+SUMPRODUCT(Exogenous!$K$95:$K$100,'Population Treasury'!AD$253:AD$258))/('Population Treasury'!AD$308/'Population Treasury'!AC$308)+(SUMPRODUCT(Exogenous!$L$82:$L$85,'Population Treasury'!AD$283:AD$286)+SUMPRODUCT(Exogenous!$L$86:$L$94,'Population Treasury'!AD$288:AD$296)+SUMPRODUCT(Exogenous!$L$95:$L$100,'Population Treasury'!AD$298:AD$303))/('Population Treasury'!AD$310/'Population Treasury'!AC$310))*(1+S$25)*(1+S$29)*(1+OFFSET(Assumptions!$B$63,0,$C$1))/(1+OFFSET(Assumptions!$B$64,0,$C$1))-R$258,0))</f>
        <v>4.6256962562980091</v>
      </c>
      <c r="T258" s="16">
        <f ca="1">S$258+IF(OFFSET(Assumptions!$B$57,0,$C$1)="Yes",Exogenous!$K$79*Allocation!$B$15*T$247,IF(OFFSET(Assumptions!$B$58,0,$C$1)="Yes",S$258*(1+(SUMPRODUCT(Exogenous!$K$82:$K$85,'Population Treasury'!AE$238:AE$241)+SUMPRODUCT(Exogenous!$K$86:$K$94,'Population Treasury'!AE$243:AE$251)+SUMPRODUCT(Exogenous!$K$95:$K$100,'Population Treasury'!AE$253:AE$258))/('Population Treasury'!AE$308/'Population Treasury'!AD$308)+(SUMPRODUCT(Exogenous!$L$82:$L$85,'Population Treasury'!AE$283:AE$286)+SUMPRODUCT(Exogenous!$L$86:$L$94,'Population Treasury'!AE$288:AE$296)+SUMPRODUCT(Exogenous!$L$95:$L$100,'Population Treasury'!AE$298:AE$303))/('Population Treasury'!AE$310/'Population Treasury'!AD$310))*(1+T$25)*(1+T$29)*(1+OFFSET(Assumptions!$B$63,0,$C$1))/(1+OFFSET(Assumptions!$B$64,0,$C$1))-S$258,0))</f>
        <v>4.9571176123840832</v>
      </c>
      <c r="U258" s="16">
        <f ca="1">T$258+IF(OFFSET(Assumptions!$B$57,0,$C$1)="Yes",Exogenous!$K$79*Allocation!$B$15*U$247,IF(OFFSET(Assumptions!$B$58,0,$C$1)="Yes",T$258*(1+(SUMPRODUCT(Exogenous!$K$82:$K$85,'Population Treasury'!AF$238:AF$241)+SUMPRODUCT(Exogenous!$K$86:$K$94,'Population Treasury'!AF$243:AF$251)+SUMPRODUCT(Exogenous!$K$95:$K$100,'Population Treasury'!AF$253:AF$258))/('Population Treasury'!AF$308/'Population Treasury'!AE$308)+(SUMPRODUCT(Exogenous!$L$82:$L$85,'Population Treasury'!AF$283:AF$286)+SUMPRODUCT(Exogenous!$L$86:$L$94,'Population Treasury'!AF$288:AF$296)+SUMPRODUCT(Exogenous!$L$95:$L$100,'Population Treasury'!AF$298:AF$303))/('Population Treasury'!AF$310/'Population Treasury'!AE$310))*(1+U$25)*(1+U$29)*(1+OFFSET(Assumptions!$B$63,0,$C$1))/(1+OFFSET(Assumptions!$B$64,0,$C$1))-T$258,0))</f>
        <v>5.3058854034105831</v>
      </c>
      <c r="V258" s="16">
        <f ca="1">U$258+IF(OFFSET(Assumptions!$B$57,0,$C$1)="Yes",Exogenous!$K$79*Allocation!$B$15*V$247,IF(OFFSET(Assumptions!$B$58,0,$C$1)="Yes",U$258*(1+(SUMPRODUCT(Exogenous!$K$82:$K$85,'Population Treasury'!AG$238:AG$241)+SUMPRODUCT(Exogenous!$K$86:$K$94,'Population Treasury'!AG$243:AG$251)+SUMPRODUCT(Exogenous!$K$95:$K$100,'Population Treasury'!AG$253:AG$258))/('Population Treasury'!AG$308/'Population Treasury'!AF$308)+(SUMPRODUCT(Exogenous!$L$82:$L$85,'Population Treasury'!AG$283:AG$286)+SUMPRODUCT(Exogenous!$L$86:$L$94,'Population Treasury'!AG$288:AG$296)+SUMPRODUCT(Exogenous!$L$95:$L$100,'Population Treasury'!AG$298:AG$303))/('Population Treasury'!AG$310/'Population Treasury'!AF$310))*(1+V$25)*(1+V$29)*(1+OFFSET(Assumptions!$B$63,0,$C$1))/(1+OFFSET(Assumptions!$B$64,0,$C$1))-U$258,0))</f>
        <v>5.6938045871130436</v>
      </c>
      <c r="W258" s="16">
        <f ca="1">V$258+IF(OFFSET(Assumptions!$B$57,0,$C$1)="Yes",Exogenous!$K$79*Allocation!$B$15*W$247,IF(OFFSET(Assumptions!$B$58,0,$C$1)="Yes",V$258*(1+(SUMPRODUCT(Exogenous!$K$82:$K$85,'Population Treasury'!AH$238:AH$241)+SUMPRODUCT(Exogenous!$K$86:$K$94,'Population Treasury'!AH$243:AH$251)+SUMPRODUCT(Exogenous!$K$95:$K$100,'Population Treasury'!AH$253:AH$258))/('Population Treasury'!AH$308/'Population Treasury'!AG$308)+(SUMPRODUCT(Exogenous!$L$82:$L$85,'Population Treasury'!AH$283:AH$286)+SUMPRODUCT(Exogenous!$L$86:$L$94,'Population Treasury'!AH$288:AH$296)+SUMPRODUCT(Exogenous!$L$95:$L$100,'Population Treasury'!AH$298:AH$303))/('Population Treasury'!AH$310/'Population Treasury'!AG$310))*(1+W$25)*(1+W$29)*(1+OFFSET(Assumptions!$B$63,0,$C$1))/(1+OFFSET(Assumptions!$B$64,0,$C$1))-V$258,0))</f>
        <v>6.0899758593478044</v>
      </c>
      <c r="X258" s="16">
        <f ca="1">W$258+IF(OFFSET(Assumptions!$B$57,0,$C$1)="Yes",Exogenous!$K$79*Allocation!$B$15*X$247,IF(OFFSET(Assumptions!$B$58,0,$C$1)="Yes",W$258*(1+(SUMPRODUCT(Exogenous!$K$82:$K$85,'Population Treasury'!AI$238:AI$241)+SUMPRODUCT(Exogenous!$K$86:$K$94,'Population Treasury'!AI$243:AI$251)+SUMPRODUCT(Exogenous!$K$95:$K$100,'Population Treasury'!AI$253:AI$258))/('Population Treasury'!AI$308/'Population Treasury'!AH$308)+(SUMPRODUCT(Exogenous!$L$82:$L$85,'Population Treasury'!AI$283:AI$286)+SUMPRODUCT(Exogenous!$L$86:$L$94,'Population Treasury'!AI$288:AI$296)+SUMPRODUCT(Exogenous!$L$95:$L$100,'Population Treasury'!AI$298:AI$303))/('Population Treasury'!AI$310/'Population Treasury'!AH$310))*(1+X$25)*(1+X$29)*(1+OFFSET(Assumptions!$B$63,0,$C$1))/(1+OFFSET(Assumptions!$B$64,0,$C$1))-W$258,0))</f>
        <v>6.4939622140421855</v>
      </c>
    </row>
    <row r="259" spans="1:24" x14ac:dyDescent="0.25">
      <c r="A259" s="11" t="s">
        <v>1393</v>
      </c>
      <c r="B259" s="10" t="str">
        <f t="shared" si="158"/>
        <v>From Fiscal Forecasts</v>
      </c>
      <c r="D259" s="35">
        <f>Exogenous!$N$79*'Fiscal Forecasts'!D$58</f>
        <v>0.84032799999999996</v>
      </c>
      <c r="E259" s="35">
        <f>Exogenous!$N$79*'Fiscal Forecasts'!E$58</f>
        <v>0.91498599999999985</v>
      </c>
      <c r="F259" s="35">
        <f>Exogenous!$N$79*'Fiscal Forecasts'!F$58</f>
        <v>1.0480639999999999</v>
      </c>
      <c r="G259" s="35">
        <f>Exogenous!$N$79*'Fiscal Forecasts'!G$58</f>
        <v>1.2779259999999999</v>
      </c>
      <c r="H259" s="35">
        <f>Exogenous!$N$79*'Fiscal Forecasts'!H$58</f>
        <v>1.310494</v>
      </c>
      <c r="I259" s="35">
        <f>Exogenous!$N$79*'Fiscal Forecasts'!I$58</f>
        <v>1.3799539999999999</v>
      </c>
      <c r="J259" s="17">
        <f ca="1">Exogenous!$N$79*('Fiscal Forecasts'!J$58+IF(OFFSET(Assumptions!$B$56,0,$C$1)="Yes",Allocation!C$15,0))</f>
        <v>1.37839</v>
      </c>
      <c r="K259" s="17">
        <f ca="1">Exogenous!$N$79*('Fiscal Forecasts'!K$58+IF(OFFSET(Assumptions!$B$56,0,$C$1)="Yes",Allocation!D$15,0))</f>
        <v>1.5182300000000002</v>
      </c>
      <c r="L259" s="17">
        <f ca="1">Exogenous!$N$79*('Fiscal Forecasts'!L$58+IF(OFFSET(Assumptions!$B$56,0,$C$1)="Yes",Allocation!E$15,0))</f>
        <v>1.5612860000000002</v>
      </c>
      <c r="M259" s="17">
        <f ca="1">Exogenous!$N$79*('Fiscal Forecasts'!M$58+IF(OFFSET(Assumptions!$B$56,0,$C$1)="Yes",Allocation!F$15,0))</f>
        <v>1.611518</v>
      </c>
      <c r="N259" s="17">
        <f ca="1">Exogenous!$N$79*('Fiscal Forecasts'!N$58+IF(OFFSET(Assumptions!$B$56,0,$C$1)="Yes",Allocation!G$15,0))</f>
        <v>1.6602780000000001</v>
      </c>
      <c r="O259" s="16">
        <f ca="1">N$259+IF(OFFSET(Assumptions!$B$57,0,$C$1)="Yes",Exogenous!$N$79*Allocation!$B$15*O$247,IF(OFFSET(Assumptions!$B$58,0,$C$1)="Yes",N$259*(1+(SUMPRODUCT(Exogenous!$N$82:$N$85,'Population Treasury'!Z$238:Z$241)+SUMPRODUCT(Exogenous!$N$86:$N$94,'Population Treasury'!Z$243:Z$251)+SUMPRODUCT(Exogenous!$N$95:$N$100,'Population Treasury'!Z$253:Z$258))/('Population Treasury'!Z$308/'Population Treasury'!Y$308)+(SUMPRODUCT(Exogenous!$O$82:$O$85,'Population Treasury'!Z$283:Z$286)+SUMPRODUCT(Exogenous!$O$86:$O$94,'Population Treasury'!Z$288:Z$296)+SUMPRODUCT(Exogenous!$O$95:$O$100,'Population Treasury'!Z$298:Z$303))/('Population Treasury'!Z$310/'Population Treasury'!Y$310))*(1+O$25)*(1+O$29)*(1+OFFSET(Assumptions!$B$63,0,$C$1))/(1+OFFSET(Assumptions!$B$64,0,$C$1))-N$259,0))</f>
        <v>1.7771440103395912</v>
      </c>
      <c r="P259" s="16">
        <f ca="1">O$259+IF(OFFSET(Assumptions!$B$57,0,$C$1)="Yes",Exogenous!$N$79*Allocation!$B$15*P$247,IF(OFFSET(Assumptions!$B$58,0,$C$1)="Yes",O$259*(1+(SUMPRODUCT(Exogenous!$N$82:$N$85,'Population Treasury'!AA$238:AA$241)+SUMPRODUCT(Exogenous!$N$86:$N$94,'Population Treasury'!AA$243:AA$251)+SUMPRODUCT(Exogenous!$N$95:$N$100,'Population Treasury'!AA$253:AA$258))/('Population Treasury'!AA$308/'Population Treasury'!Z$308)+(SUMPRODUCT(Exogenous!$O$82:$O$85,'Population Treasury'!AA$283:AA$286)+SUMPRODUCT(Exogenous!$O$86:$O$94,'Population Treasury'!AA$288:AA$296)+SUMPRODUCT(Exogenous!$O$95:$O$100,'Population Treasury'!AA$298:AA$303))/('Population Treasury'!AA$310/'Population Treasury'!Z$310))*(1+P$25)*(1+P$29)*(1+OFFSET(Assumptions!$B$63,0,$C$1))/(1+OFFSET(Assumptions!$B$64,0,$C$1))-O$259,0))</f>
        <v>1.9020626566332497</v>
      </c>
      <c r="Q259" s="16">
        <f ca="1">P$259+IF(OFFSET(Assumptions!$B$57,0,$C$1)="Yes",Exogenous!$N$79*Allocation!$B$15*Q$247,IF(OFFSET(Assumptions!$B$58,0,$C$1)="Yes",P$259*(1+(SUMPRODUCT(Exogenous!$N$82:$N$85,'Population Treasury'!AB$238:AB$241)+SUMPRODUCT(Exogenous!$N$86:$N$94,'Population Treasury'!AB$243:AB$251)+SUMPRODUCT(Exogenous!$N$95:$N$100,'Population Treasury'!AB$253:AB$258))/('Population Treasury'!AB$308/'Population Treasury'!AA$308)+(SUMPRODUCT(Exogenous!$O$82:$O$85,'Population Treasury'!AB$283:AB$286)+SUMPRODUCT(Exogenous!$O$86:$O$94,'Population Treasury'!AB$288:AB$296)+SUMPRODUCT(Exogenous!$O$95:$O$100,'Population Treasury'!AB$298:AB$303))/('Population Treasury'!AB$310/'Population Treasury'!AA$310))*(1+Q$25)*(1+Q$29)*(1+OFFSET(Assumptions!$B$63,0,$C$1))/(1+OFFSET(Assumptions!$B$64,0,$C$1))-P$259,0))</f>
        <v>2.0446214225918187</v>
      </c>
      <c r="R259" s="16">
        <f ca="1">Q$259+IF(OFFSET(Assumptions!$B$57,0,$C$1)="Yes",Exogenous!$N$79*Allocation!$B$15*R$247,IF(OFFSET(Assumptions!$B$58,0,$C$1)="Yes",Q$259*(1+(SUMPRODUCT(Exogenous!$N$82:$N$85,'Population Treasury'!AC$238:AC$241)+SUMPRODUCT(Exogenous!$N$86:$N$94,'Population Treasury'!AC$243:AC$251)+SUMPRODUCT(Exogenous!$N$95:$N$100,'Population Treasury'!AC$253:AC$258))/('Population Treasury'!AC$308/'Population Treasury'!AB$308)+(SUMPRODUCT(Exogenous!$O$82:$O$85,'Population Treasury'!AC$283:AC$286)+SUMPRODUCT(Exogenous!$O$86:$O$94,'Population Treasury'!AC$288:AC$296)+SUMPRODUCT(Exogenous!$O$95:$O$100,'Population Treasury'!AC$298:AC$303))/('Population Treasury'!AC$310/'Population Treasury'!AB$310))*(1+R$25)*(1+R$29)*(1+OFFSET(Assumptions!$B$63,0,$C$1))/(1+OFFSET(Assumptions!$B$64,0,$C$1))-Q$259,0))</f>
        <v>2.1930175297823293</v>
      </c>
      <c r="S259" s="16">
        <f ca="1">R$259+IF(OFFSET(Assumptions!$B$57,0,$C$1)="Yes",Exogenous!$N$79*Allocation!$B$15*S$247,IF(OFFSET(Assumptions!$B$58,0,$C$1)="Yes",R$259*(1+(SUMPRODUCT(Exogenous!$N$82:$N$85,'Population Treasury'!AD$238:AD$241)+SUMPRODUCT(Exogenous!$N$86:$N$94,'Population Treasury'!AD$243:AD$251)+SUMPRODUCT(Exogenous!$N$95:$N$100,'Population Treasury'!AD$253:AD$258))/('Population Treasury'!AD$308/'Population Treasury'!AC$308)+(SUMPRODUCT(Exogenous!$O$82:$O$85,'Population Treasury'!AD$283:AD$286)+SUMPRODUCT(Exogenous!$O$86:$O$94,'Population Treasury'!AD$288:AD$296)+SUMPRODUCT(Exogenous!$O$95:$O$100,'Population Treasury'!AD$298:AD$303))/('Population Treasury'!AD$310/'Population Treasury'!AC$310))*(1+S$25)*(1+S$29)*(1+OFFSET(Assumptions!$B$63,0,$C$1))/(1+OFFSET(Assumptions!$B$64,0,$C$1))-R$259,0))</f>
        <v>2.3448789420070573</v>
      </c>
      <c r="T259" s="16">
        <f ca="1">S$259+IF(OFFSET(Assumptions!$B$57,0,$C$1)="Yes",Exogenous!$N$79*Allocation!$B$15*T$247,IF(OFFSET(Assumptions!$B$58,0,$C$1)="Yes",S$259*(1+(SUMPRODUCT(Exogenous!$N$82:$N$85,'Population Treasury'!AE$238:AE$241)+SUMPRODUCT(Exogenous!$N$86:$N$94,'Population Treasury'!AE$243:AE$251)+SUMPRODUCT(Exogenous!$N$95:$N$100,'Population Treasury'!AE$253:AE$258))/('Population Treasury'!AE$308/'Population Treasury'!AD$308)+(SUMPRODUCT(Exogenous!$O$82:$O$85,'Population Treasury'!AE$283:AE$286)+SUMPRODUCT(Exogenous!$O$86:$O$94,'Population Treasury'!AE$288:AE$296)+SUMPRODUCT(Exogenous!$O$95:$O$100,'Population Treasury'!AE$298:AE$303))/('Population Treasury'!AE$310/'Population Treasury'!AD$310))*(1+T$25)*(1+T$29)*(1+OFFSET(Assumptions!$B$63,0,$C$1))/(1+OFFSET(Assumptions!$B$64,0,$C$1))-S$259,0))</f>
        <v>2.5023456694032769</v>
      </c>
      <c r="U259" s="16">
        <f ca="1">T$259+IF(OFFSET(Assumptions!$B$57,0,$C$1)="Yes",Exogenous!$N$79*Allocation!$B$15*U$247,IF(OFFSET(Assumptions!$B$58,0,$C$1)="Yes",T$259*(1+(SUMPRODUCT(Exogenous!$N$82:$N$85,'Population Treasury'!AF$238:AF$241)+SUMPRODUCT(Exogenous!$N$86:$N$94,'Population Treasury'!AF$243:AF$251)+SUMPRODUCT(Exogenous!$N$95:$N$100,'Population Treasury'!AF$253:AF$258))/('Population Treasury'!AF$308/'Population Treasury'!AE$308)+(SUMPRODUCT(Exogenous!$O$82:$O$85,'Population Treasury'!AF$283:AF$286)+SUMPRODUCT(Exogenous!$O$86:$O$94,'Population Treasury'!AF$288:AF$296)+SUMPRODUCT(Exogenous!$O$95:$O$100,'Population Treasury'!AF$298:AF$303))/('Population Treasury'!AF$310/'Population Treasury'!AE$310))*(1+U$25)*(1+U$29)*(1+OFFSET(Assumptions!$B$63,0,$C$1))/(1+OFFSET(Assumptions!$B$64,0,$C$1))-T$259,0))</f>
        <v>2.6657483779320161</v>
      </c>
      <c r="V259" s="16">
        <f ca="1">U$259+IF(OFFSET(Assumptions!$B$57,0,$C$1)="Yes",Exogenous!$N$79*Allocation!$B$15*V$247,IF(OFFSET(Assumptions!$B$58,0,$C$1)="Yes",U$259*(1+(SUMPRODUCT(Exogenous!$N$82:$N$85,'Population Treasury'!AG$238:AG$241)+SUMPRODUCT(Exogenous!$N$86:$N$94,'Population Treasury'!AG$243:AG$251)+SUMPRODUCT(Exogenous!$N$95:$N$100,'Population Treasury'!AG$253:AG$258))/('Population Treasury'!AG$308/'Population Treasury'!AF$308)+(SUMPRODUCT(Exogenous!$O$82:$O$85,'Population Treasury'!AG$283:AG$286)+SUMPRODUCT(Exogenous!$O$86:$O$94,'Population Treasury'!AG$288:AG$296)+SUMPRODUCT(Exogenous!$O$95:$O$100,'Population Treasury'!AG$298:AG$303))/('Population Treasury'!AG$310/'Population Treasury'!AF$310))*(1+V$25)*(1+V$29)*(1+OFFSET(Assumptions!$B$63,0,$C$1))/(1+OFFSET(Assumptions!$B$64,0,$C$1))-U$259,0))</f>
        <v>2.8356044266526106</v>
      </c>
      <c r="W259" s="16">
        <f ca="1">V$259+IF(OFFSET(Assumptions!$B$57,0,$C$1)="Yes",Exogenous!$N$79*Allocation!$B$15*W$247,IF(OFFSET(Assumptions!$B$58,0,$C$1)="Yes",V$259*(1+(SUMPRODUCT(Exogenous!$N$82:$N$85,'Population Treasury'!AH$238:AH$241)+SUMPRODUCT(Exogenous!$N$86:$N$94,'Population Treasury'!AH$243:AH$251)+SUMPRODUCT(Exogenous!$N$95:$N$100,'Population Treasury'!AH$253:AH$258))/('Population Treasury'!AH$308/'Population Treasury'!AG$308)+(SUMPRODUCT(Exogenous!$O$82:$O$85,'Population Treasury'!AH$283:AH$286)+SUMPRODUCT(Exogenous!$O$86:$O$94,'Population Treasury'!AH$288:AH$296)+SUMPRODUCT(Exogenous!$O$95:$O$100,'Population Treasury'!AH$298:AH$303))/('Population Treasury'!AH$310/'Population Treasury'!AG$310))*(1+W$25)*(1+W$29)*(1+OFFSET(Assumptions!$B$63,0,$C$1))/(1+OFFSET(Assumptions!$B$64,0,$C$1))-V$259,0))</f>
        <v>3.0105164440182972</v>
      </c>
      <c r="X259" s="16">
        <f ca="1">W$259+IF(OFFSET(Assumptions!$B$57,0,$C$1)="Yes",Exogenous!$N$79*Allocation!$B$15*X$247,IF(OFFSET(Assumptions!$B$58,0,$C$1)="Yes",W$259*(1+(SUMPRODUCT(Exogenous!$N$82:$N$85,'Population Treasury'!AI$238:AI$241)+SUMPRODUCT(Exogenous!$N$86:$N$94,'Population Treasury'!AI$243:AI$251)+SUMPRODUCT(Exogenous!$N$95:$N$100,'Population Treasury'!AI$253:AI$258))/('Population Treasury'!AI$308/'Population Treasury'!AH$308)+(SUMPRODUCT(Exogenous!$O$82:$O$85,'Population Treasury'!AI$283:AI$286)+SUMPRODUCT(Exogenous!$O$86:$O$94,'Population Treasury'!AI$288:AI$296)+SUMPRODUCT(Exogenous!$O$95:$O$100,'Population Treasury'!AI$298:AI$303))/('Population Treasury'!AI$310/'Population Treasury'!AH$310))*(1+X$25)*(1+X$29)*(1+OFFSET(Assumptions!$B$63,0,$C$1))/(1+OFFSET(Assumptions!$B$64,0,$C$1))-W$259,0))</f>
        <v>3.1929357470650022</v>
      </c>
    </row>
    <row r="260" spans="1:24" x14ac:dyDescent="0.25">
      <c r="A260" s="11" t="s">
        <v>1394</v>
      </c>
      <c r="B260" s="10" t="str">
        <f t="shared" si="158"/>
        <v>From Fiscal Forecasts</v>
      </c>
      <c r="D260" s="35">
        <f>Exogenous!$Q$79*'Fiscal Forecasts'!D$58</f>
        <v>0.27401999999999999</v>
      </c>
      <c r="E260" s="35">
        <f>Exogenous!$Q$79*'Fiscal Forecasts'!E$58</f>
        <v>0.29836499999999994</v>
      </c>
      <c r="F260" s="35">
        <f>Exogenous!$Q$79*'Fiscal Forecasts'!F$58</f>
        <v>0.34175999999999995</v>
      </c>
      <c r="G260" s="35">
        <f>Exogenous!$Q$79*'Fiscal Forecasts'!G$58</f>
        <v>0.41671499999999995</v>
      </c>
      <c r="H260" s="35">
        <f>Exogenous!$Q$79*'Fiscal Forecasts'!H$58</f>
        <v>0.42733500000000002</v>
      </c>
      <c r="I260" s="35">
        <f>Exogenous!$Q$79*'Fiscal Forecasts'!I$58</f>
        <v>0.44998499999999997</v>
      </c>
      <c r="J260" s="17">
        <f ca="1">Exogenous!$Q$79*('Fiscal Forecasts'!J$58+IF(OFFSET(Assumptions!$B$56,0,$C$1)="Yes",Allocation!C$15,0))</f>
        <v>0.44947499999999996</v>
      </c>
      <c r="K260" s="17">
        <f ca="1">Exogenous!$Q$79*('Fiscal Forecasts'!K$58+IF(OFFSET(Assumptions!$B$56,0,$C$1)="Yes",Allocation!D$15,0))</f>
        <v>0.49507500000000004</v>
      </c>
      <c r="L260" s="17">
        <f ca="1">Exogenous!$Q$79*('Fiscal Forecasts'!L$58+IF(OFFSET(Assumptions!$B$56,0,$C$1)="Yes",Allocation!E$15,0))</f>
        <v>0.50911499999999998</v>
      </c>
      <c r="M260" s="17">
        <f ca="1">Exogenous!$Q$79*('Fiscal Forecasts'!M$58+IF(OFFSET(Assumptions!$B$56,0,$C$1)="Yes",Allocation!F$15,0))</f>
        <v>0.52549500000000005</v>
      </c>
      <c r="N260" s="17">
        <f ca="1">Exogenous!$Q$79*('Fiscal Forecasts'!N$58+IF(OFFSET(Assumptions!$B$56,0,$C$1)="Yes",Allocation!G$15,0))</f>
        <v>0.54139500000000007</v>
      </c>
      <c r="O260" s="16">
        <f ca="1">N$260+IF(OFFSET(Assumptions!$B$57,0,$C$1)="Yes",Exogenous!$Q$79*Allocation!$B$15*O$247,IF(OFFSET(Assumptions!$B$58,0,$C$1)="Yes",N$260*(1+(SUMPRODUCT(Exogenous!$Q$82:$Q$85,'Population Treasury'!Z$238:Z$241)+SUMPRODUCT(Exogenous!$Q$86:$Q$94,'Population Treasury'!Z$243:Z$251)+SUMPRODUCT(Exogenous!$Q$95:$Q$100,'Population Treasury'!Z$253:Z$258))/('Population Treasury'!Z$307/'Population Treasury'!Y$307)+(SUMPRODUCT(Exogenous!$R$82:$R$85,'Population Treasury'!Z$283:Z$286)+SUMPRODUCT(Exogenous!$R$86:$R$94,'Population Treasury'!Z$288:Z$296)+SUMPRODUCT(Exogenous!$R$95:$R$100,'Population Treasury'!Z$298:Z$303))/('Population Treasury'!Z$309/'Population Treasury'!Y$309))*(1+O$25)*(1+O$29)*(1+OFFSET(Assumptions!$B$63,0,$C$1))/(1+OFFSET(Assumptions!$B$64,0,$C$1))-N$260,0))</f>
        <v>0.5646820393650599</v>
      </c>
      <c r="P260" s="16">
        <f ca="1">O$260+IF(OFFSET(Assumptions!$B$57,0,$C$1)="Yes",Exogenous!$Q$79*Allocation!$B$15*P$247,IF(OFFSET(Assumptions!$B$58,0,$C$1)="Yes",O$260*(1+(SUMPRODUCT(Exogenous!$Q$82:$Q$85,'Population Treasury'!AA$238:AA$241)+SUMPRODUCT(Exogenous!$Q$86:$Q$94,'Population Treasury'!AA$243:AA$251)+SUMPRODUCT(Exogenous!$Q$95:$Q$100,'Population Treasury'!AA$253:AA$258))/('Population Treasury'!AA$307/'Population Treasury'!Z$307)+(SUMPRODUCT(Exogenous!$R$82:$R$85,'Population Treasury'!AA$283:AA$286)+SUMPRODUCT(Exogenous!$R$86:$R$94,'Population Treasury'!AA$288:AA$296)+SUMPRODUCT(Exogenous!$R$95:$R$100,'Population Treasury'!AA$298:AA$303))/('Population Treasury'!AA$309/'Population Treasury'!Z$309))*(1+P$25)*(1+P$29)*(1+OFFSET(Assumptions!$B$63,0,$C$1))/(1+OFFSET(Assumptions!$B$64,0,$C$1))-O$260,0))</f>
        <v>0.58877094492541526</v>
      </c>
      <c r="Q260" s="16">
        <f ca="1">P$260+IF(OFFSET(Assumptions!$B$57,0,$C$1)="Yes",Exogenous!$Q$79*Allocation!$B$15*Q$247,IF(OFFSET(Assumptions!$B$58,0,$C$1)="Yes",P$260*(1+(SUMPRODUCT(Exogenous!$Q$82:$Q$85,'Population Treasury'!AB$238:AB$241)+SUMPRODUCT(Exogenous!$Q$86:$Q$94,'Population Treasury'!AB$243:AB$251)+SUMPRODUCT(Exogenous!$Q$95:$Q$100,'Population Treasury'!AB$253:AB$258))/('Population Treasury'!AB$307/'Population Treasury'!AA$307)+(SUMPRODUCT(Exogenous!$R$82:$R$85,'Population Treasury'!AB$283:AB$286)+SUMPRODUCT(Exogenous!$R$86:$R$94,'Population Treasury'!AB$288:AB$296)+SUMPRODUCT(Exogenous!$R$95:$R$100,'Population Treasury'!AB$298:AB$303))/('Population Treasury'!AB$309/'Population Treasury'!AA$309))*(1+Q$25)*(1+Q$29)*(1+OFFSET(Assumptions!$B$63,0,$C$1))/(1+OFFSET(Assumptions!$B$64,0,$C$1))-P$260,0))</f>
        <v>0.61368010244952698</v>
      </c>
      <c r="R260" s="16">
        <f ca="1">Q$260+IF(OFFSET(Assumptions!$B$57,0,$C$1)="Yes",Exogenous!$Q$79*Allocation!$B$15*R$247,IF(OFFSET(Assumptions!$B$58,0,$C$1)="Yes",Q$260*(1+(SUMPRODUCT(Exogenous!$Q$82:$Q$85,'Population Treasury'!AC$238:AC$241)+SUMPRODUCT(Exogenous!$Q$86:$Q$94,'Population Treasury'!AC$243:AC$251)+SUMPRODUCT(Exogenous!$Q$95:$Q$100,'Population Treasury'!AC$253:AC$258))/('Population Treasury'!AC$307/'Population Treasury'!AB$307)+(SUMPRODUCT(Exogenous!$R$82:$R$85,'Population Treasury'!AC$283:AC$286)+SUMPRODUCT(Exogenous!$R$86:$R$94,'Population Treasury'!AC$288:AC$296)+SUMPRODUCT(Exogenous!$R$95:$R$100,'Population Treasury'!AC$298:AC$303))/('Population Treasury'!AC$309/'Population Treasury'!AB$309))*(1+R$25)*(1+R$29)*(1+OFFSET(Assumptions!$B$63,0,$C$1))/(1+OFFSET(Assumptions!$B$64,0,$C$1))-Q$260,0))</f>
        <v>0.63946730483656566</v>
      </c>
      <c r="S260" s="16">
        <f ca="1">R$260+IF(OFFSET(Assumptions!$B$57,0,$C$1)="Yes",Exogenous!$Q$79*Allocation!$B$15*S$247,IF(OFFSET(Assumptions!$B$58,0,$C$1)="Yes",R$260*(1+(SUMPRODUCT(Exogenous!$Q$82:$Q$85,'Population Treasury'!AD$238:AD$241)+SUMPRODUCT(Exogenous!$Q$86:$Q$94,'Population Treasury'!AD$243:AD$251)+SUMPRODUCT(Exogenous!$Q$95:$Q$100,'Population Treasury'!AD$253:AD$258))/('Population Treasury'!AD$307/'Population Treasury'!AC$307)+(SUMPRODUCT(Exogenous!$R$82:$R$85,'Population Treasury'!AD$283:AD$286)+SUMPRODUCT(Exogenous!$R$86:$R$94,'Population Treasury'!AD$288:AD$296)+SUMPRODUCT(Exogenous!$R$95:$R$100,'Population Treasury'!AD$298:AD$303))/('Population Treasury'!AD$309/'Population Treasury'!AC$309))*(1+S$25)*(1+S$29)*(1+OFFSET(Assumptions!$B$63,0,$C$1))/(1+OFFSET(Assumptions!$B$64,0,$C$1))-R$260,0))</f>
        <v>0.6659990834858881</v>
      </c>
      <c r="T260" s="16">
        <f ca="1">S$260+IF(OFFSET(Assumptions!$B$57,0,$C$1)="Yes",Exogenous!$Q$79*Allocation!$B$15*T$247,IF(OFFSET(Assumptions!$B$58,0,$C$1)="Yes",S$260*(1+(SUMPRODUCT(Exogenous!$Q$82:$Q$85,'Population Treasury'!AE$238:AE$241)+SUMPRODUCT(Exogenous!$Q$86:$Q$94,'Population Treasury'!AE$243:AE$251)+SUMPRODUCT(Exogenous!$Q$95:$Q$100,'Population Treasury'!AE$253:AE$258))/('Population Treasury'!AE$307/'Population Treasury'!AD$307)+(SUMPRODUCT(Exogenous!$R$82:$R$85,'Population Treasury'!AE$283:AE$286)+SUMPRODUCT(Exogenous!$R$86:$R$94,'Population Treasury'!AE$288:AE$296)+SUMPRODUCT(Exogenous!$R$95:$R$100,'Population Treasury'!AE$298:AE$303))/('Population Treasury'!AE$309/'Population Treasury'!AD$309))*(1+T$25)*(1+T$29)*(1+OFFSET(Assumptions!$B$63,0,$C$1))/(1+OFFSET(Assumptions!$B$64,0,$C$1))-S$260,0))</f>
        <v>0.69329795016524276</v>
      </c>
      <c r="U260" s="16">
        <f ca="1">T$260+IF(OFFSET(Assumptions!$B$57,0,$C$1)="Yes",Exogenous!$Q$79*Allocation!$B$15*U$247,IF(OFFSET(Assumptions!$B$58,0,$C$1)="Yes",T$260*(1+(SUMPRODUCT(Exogenous!$Q$82:$Q$85,'Population Treasury'!AF$238:AF$241)+SUMPRODUCT(Exogenous!$Q$86:$Q$94,'Population Treasury'!AF$243:AF$251)+SUMPRODUCT(Exogenous!$Q$95:$Q$100,'Population Treasury'!AF$253:AF$258))/('Population Treasury'!AF$307/'Population Treasury'!AE$307)+(SUMPRODUCT(Exogenous!$R$82:$R$85,'Population Treasury'!AF$283:AF$286)+SUMPRODUCT(Exogenous!$R$86:$R$94,'Population Treasury'!AF$288:AF$296)+SUMPRODUCT(Exogenous!$R$95:$R$100,'Population Treasury'!AF$298:AF$303))/('Population Treasury'!AF$309/'Population Treasury'!AE$309))*(1+U$25)*(1+U$29)*(1+OFFSET(Assumptions!$B$63,0,$C$1))/(1+OFFSET(Assumptions!$B$64,0,$C$1))-T$260,0))</f>
        <v>0.72116645074813357</v>
      </c>
      <c r="V260" s="16">
        <f ca="1">U$260+IF(OFFSET(Assumptions!$B$57,0,$C$1)="Yes",Exogenous!$Q$79*Allocation!$B$15*V$247,IF(OFFSET(Assumptions!$B$58,0,$C$1)="Yes",U$260*(1+(SUMPRODUCT(Exogenous!$Q$82:$Q$85,'Population Treasury'!AG$238:AG$241)+SUMPRODUCT(Exogenous!$Q$86:$Q$94,'Population Treasury'!AG$243:AG$251)+SUMPRODUCT(Exogenous!$Q$95:$Q$100,'Population Treasury'!AG$253:AG$258))/('Population Treasury'!AG$307/'Population Treasury'!AF$307)+(SUMPRODUCT(Exogenous!$R$82:$R$85,'Population Treasury'!AG$283:AG$286)+SUMPRODUCT(Exogenous!$R$86:$R$94,'Population Treasury'!AG$288:AG$296)+SUMPRODUCT(Exogenous!$R$95:$R$100,'Population Treasury'!AG$298:AG$303))/('Population Treasury'!AG$309/'Population Treasury'!AF$309))*(1+V$25)*(1+V$29)*(1+OFFSET(Assumptions!$B$63,0,$C$1))/(1+OFFSET(Assumptions!$B$64,0,$C$1))-U$260,0))</f>
        <v>0.74956306350753776</v>
      </c>
      <c r="W260" s="16">
        <f ca="1">V$260+IF(OFFSET(Assumptions!$B$57,0,$C$1)="Yes",Exogenous!$Q$79*Allocation!$B$15*W$247,IF(OFFSET(Assumptions!$B$58,0,$C$1)="Yes",V$260*(1+(SUMPRODUCT(Exogenous!$Q$82:$Q$85,'Population Treasury'!AH$238:AH$241)+SUMPRODUCT(Exogenous!$Q$86:$Q$94,'Population Treasury'!AH$243:AH$251)+SUMPRODUCT(Exogenous!$Q$95:$Q$100,'Population Treasury'!AH$253:AH$258))/('Population Treasury'!AH$307/'Population Treasury'!AG$307)+(SUMPRODUCT(Exogenous!$R$82:$R$85,'Population Treasury'!AH$283:AH$286)+SUMPRODUCT(Exogenous!$R$86:$R$94,'Population Treasury'!AH$288:AH$296)+SUMPRODUCT(Exogenous!$R$95:$R$100,'Population Treasury'!AH$298:AH$303))/('Population Treasury'!AH$309/'Population Treasury'!AG$309))*(1+W$25)*(1+W$29)*(1+OFFSET(Assumptions!$B$63,0,$C$1))/(1+OFFSET(Assumptions!$B$64,0,$C$1))-V$260,0))</f>
        <v>0.77851043658236141</v>
      </c>
      <c r="X260" s="16">
        <f ca="1">W$260+IF(OFFSET(Assumptions!$B$57,0,$C$1)="Yes",Exogenous!$Q$79*Allocation!$B$15*X$247,IF(OFFSET(Assumptions!$B$58,0,$C$1)="Yes",W$260*(1+(SUMPRODUCT(Exogenous!$Q$82:$Q$85,'Population Treasury'!AI$238:AI$241)+SUMPRODUCT(Exogenous!$Q$86:$Q$94,'Population Treasury'!AI$243:AI$251)+SUMPRODUCT(Exogenous!$Q$95:$Q$100,'Population Treasury'!AI$253:AI$258))/('Population Treasury'!AI$307/'Population Treasury'!AH$307)+(SUMPRODUCT(Exogenous!$R$82:$R$85,'Population Treasury'!AI$283:AI$286)+SUMPRODUCT(Exogenous!$R$86:$R$94,'Population Treasury'!AI$288:AI$296)+SUMPRODUCT(Exogenous!$R$95:$R$100,'Population Treasury'!AI$298:AI$303))/('Population Treasury'!AI$309/'Population Treasury'!AH$309))*(1+X$25)*(1+X$29)*(1+OFFSET(Assumptions!$B$63,0,$C$1))/(1+OFFSET(Assumptions!$B$64,0,$C$1))-W$260,0))</f>
        <v>0.80824323502510187</v>
      </c>
    </row>
    <row r="261" spans="1:24" x14ac:dyDescent="0.25">
      <c r="A261" s="9" t="s">
        <v>1105</v>
      </c>
      <c r="B261" s="10"/>
      <c r="D261" s="65">
        <f>SUM(D$255:D$260)</f>
        <v>18.268000000000001</v>
      </c>
      <c r="E261" s="65">
        <f t="shared" ref="E261:X261" si="159">SUM(E$255:E$260)</f>
        <v>19.890999999999998</v>
      </c>
      <c r="F261" s="65">
        <f t="shared" si="159"/>
        <v>22.783999999999999</v>
      </c>
      <c r="G261" s="65">
        <f t="shared" si="159"/>
        <v>27.780999999999999</v>
      </c>
      <c r="H261" s="65">
        <f t="shared" si="159"/>
        <v>28.488999999999997</v>
      </c>
      <c r="I261" s="65">
        <f t="shared" si="159"/>
        <v>29.999000000000002</v>
      </c>
      <c r="J261" s="66">
        <f t="shared" ca="1" si="159"/>
        <v>29.965000000000003</v>
      </c>
      <c r="K261" s="66">
        <f t="shared" ca="1" si="159"/>
        <v>33.005000000000003</v>
      </c>
      <c r="L261" s="66">
        <f t="shared" ca="1" si="159"/>
        <v>33.941000000000003</v>
      </c>
      <c r="M261" s="66">
        <f t="shared" ca="1" si="159"/>
        <v>35.032999999999994</v>
      </c>
      <c r="N261" s="66">
        <f t="shared" ca="1" si="159"/>
        <v>36.093000000000004</v>
      </c>
      <c r="O261" s="67">
        <f t="shared" ca="1" si="159"/>
        <v>37.949374693976644</v>
      </c>
      <c r="P261" s="67">
        <f t="shared" ca="1" si="159"/>
        <v>39.896995243925275</v>
      </c>
      <c r="Q261" s="67">
        <f t="shared" ca="1" si="159"/>
        <v>41.969498740741521</v>
      </c>
      <c r="R261" s="67">
        <f t="shared" ca="1" si="159"/>
        <v>44.104174468855106</v>
      </c>
      <c r="S261" s="67">
        <f t="shared" ca="1" si="159"/>
        <v>46.313229254575369</v>
      </c>
      <c r="T261" s="67">
        <f t="shared" ca="1" si="159"/>
        <v>48.603954577710304</v>
      </c>
      <c r="U261" s="67">
        <f t="shared" ca="1" si="159"/>
        <v>50.966411557857541</v>
      </c>
      <c r="V261" s="67">
        <f t="shared" ca="1" si="159"/>
        <v>53.420548757090351</v>
      </c>
      <c r="W261" s="67">
        <f t="shared" ca="1" si="159"/>
        <v>55.928549104702057</v>
      </c>
      <c r="X261" s="67">
        <f t="shared" ca="1" si="159"/>
        <v>58.502577182323222</v>
      </c>
    </row>
    <row r="262" spans="1:24" x14ac:dyDescent="0.25">
      <c r="A262" s="11" t="s">
        <v>707</v>
      </c>
      <c r="B262" s="10" t="str">
        <f>$B$38</f>
        <v>From Fiscal Forecasts</v>
      </c>
      <c r="D262" s="35">
        <f>'Fiscal Forecasts'!D$207</f>
        <v>16.579000000000001</v>
      </c>
      <c r="E262" s="35">
        <f>'Fiscal Forecasts'!E$207</f>
        <v>17.788</v>
      </c>
      <c r="F262" s="35">
        <f>'Fiscal Forecasts'!F$207</f>
        <v>18.856000000000002</v>
      </c>
      <c r="G262" s="35">
        <f>'Fiscal Forecasts'!G$207</f>
        <v>22.004999999999999</v>
      </c>
      <c r="H262" s="35">
        <f>'Fiscal Forecasts'!H$207</f>
        <v>27.765999999999998</v>
      </c>
      <c r="I262" s="35">
        <f>'Fiscal Forecasts'!I$207</f>
        <v>27.89</v>
      </c>
      <c r="J262" s="17">
        <f>'Fiscal Forecasts'!J$207</f>
        <v>28.486999999999998</v>
      </c>
      <c r="K262" s="17">
        <f>'Fiscal Forecasts'!K$207</f>
        <v>28.939</v>
      </c>
      <c r="L262" s="17">
        <f>'Fiscal Forecasts'!L$207</f>
        <v>30.300999999999998</v>
      </c>
      <c r="M262" s="17">
        <f>'Fiscal Forecasts'!M$207</f>
        <v>30.123999999999999</v>
      </c>
      <c r="N262" s="17">
        <f>'Fiscal Forecasts'!N$207</f>
        <v>30.146999999999998</v>
      </c>
      <c r="O262" s="16">
        <f ca="1">N$262+O$261-N$261</f>
        <v>32.003374693976639</v>
      </c>
      <c r="P262" s="16">
        <f t="shared" ref="P262:X262" ca="1" si="160">O$262+P$261-O$261</f>
        <v>33.95099524392527</v>
      </c>
      <c r="Q262" s="16">
        <f t="shared" ca="1" si="160"/>
        <v>36.023498740741516</v>
      </c>
      <c r="R262" s="16">
        <f t="shared" ca="1" si="160"/>
        <v>38.158174468855101</v>
      </c>
      <c r="S262" s="16">
        <f t="shared" ca="1" si="160"/>
        <v>40.367229254575363</v>
      </c>
      <c r="T262" s="16">
        <f t="shared" ca="1" si="160"/>
        <v>42.657954577710306</v>
      </c>
      <c r="U262" s="16">
        <f t="shared" ca="1" si="160"/>
        <v>45.020411557857535</v>
      </c>
      <c r="V262" s="16">
        <f t="shared" ca="1" si="160"/>
        <v>47.474548757090346</v>
      </c>
      <c r="W262" s="16">
        <f t="shared" ca="1" si="160"/>
        <v>49.982549104702052</v>
      </c>
      <c r="X262" s="16">
        <f t="shared" ca="1" si="160"/>
        <v>52.556577182323224</v>
      </c>
    </row>
    <row r="263" spans="1:24" x14ac:dyDescent="0.25">
      <c r="A263" s="11" t="s">
        <v>866</v>
      </c>
      <c r="B263" s="10" t="str">
        <f>$B$38</f>
        <v>From Fiscal Forecasts</v>
      </c>
      <c r="D263" s="35">
        <f>'Fiscal Forecasts'!D$41-SUM(D$261:D$262)</f>
        <v>-16.187000000000001</v>
      </c>
      <c r="E263" s="35">
        <f>'Fiscal Forecasts'!E$41-SUM(E$261:E$262)</f>
        <v>-17.21</v>
      </c>
      <c r="F263" s="35">
        <f>'Fiscal Forecasts'!F$41-SUM(F$261:F$262)</f>
        <v>-19.042000000000002</v>
      </c>
      <c r="G263" s="35">
        <f>'Fiscal Forecasts'!G$41-SUM(G$261:G$262)</f>
        <v>-22.128</v>
      </c>
      <c r="H263" s="35">
        <f>'Fiscal Forecasts'!H$41-SUM(H$261:H$262)</f>
        <v>-26.430999999999994</v>
      </c>
      <c r="I263" s="35">
        <f>'Fiscal Forecasts'!I$41-SUM(I$261:I$262)</f>
        <v>-28.049000000000003</v>
      </c>
      <c r="J263" s="17">
        <f ca="1">'Fiscal Forecasts'!J$41-SUM(J$261:J$262)+IF(OFFSET(Assumptions!$B$56,0,$C$1)="Yes",Allocation!C$15,0)</f>
        <v>-28.708999999999996</v>
      </c>
      <c r="K263" s="17">
        <f ca="1">'Fiscal Forecasts'!K$41-SUM(K$261:K$262)+IF(OFFSET(Assumptions!$B$56,0,$C$1)="Yes",Allocation!D$15,0)</f>
        <v>-30.424000000000003</v>
      </c>
      <c r="L263" s="17">
        <f ca="1">'Fiscal Forecasts'!L$41-SUM(L$261:L$262)+IF(OFFSET(Assumptions!$B$56,0,$C$1)="Yes",Allocation!E$15,0)</f>
        <v>-31.831000000000007</v>
      </c>
      <c r="M263" s="17">
        <f ca="1">'Fiscal Forecasts'!M$41-SUM(M$261:M$262)+IF(OFFSET(Assumptions!$B$56,0,$C$1)="Yes",Allocation!F$15,0)</f>
        <v>-32.004999999999995</v>
      </c>
      <c r="N263" s="17">
        <f ca="1">'Fiscal Forecasts'!N$41-SUM(N$261:N$262)+IF(OFFSET(Assumptions!$B$56,0,$C$1)="Yes",Allocation!G$15,0)</f>
        <v>-32.19100000000001</v>
      </c>
      <c r="O263" s="16">
        <f ca="1">N$263-(O$261-N$261)</f>
        <v>-34.04737469397665</v>
      </c>
      <c r="P263" s="16">
        <f t="shared" ref="P263:X263" ca="1" si="161">O$263-(P$261-O$261)</f>
        <v>-35.994995243925281</v>
      </c>
      <c r="Q263" s="16">
        <f t="shared" ca="1" si="161"/>
        <v>-38.067498740741527</v>
      </c>
      <c r="R263" s="16">
        <f t="shared" ca="1" si="161"/>
        <v>-40.202174468855112</v>
      </c>
      <c r="S263" s="16">
        <f t="shared" ca="1" si="161"/>
        <v>-42.411229254575375</v>
      </c>
      <c r="T263" s="16">
        <f t="shared" ca="1" si="161"/>
        <v>-44.70195457771031</v>
      </c>
      <c r="U263" s="16">
        <f t="shared" ca="1" si="161"/>
        <v>-47.064411557857547</v>
      </c>
      <c r="V263" s="16">
        <f t="shared" ca="1" si="161"/>
        <v>-49.518548757090358</v>
      </c>
      <c r="W263" s="16">
        <f t="shared" ca="1" si="161"/>
        <v>-52.026549104702063</v>
      </c>
      <c r="X263" s="16">
        <f t="shared" ca="1" si="161"/>
        <v>-54.600577182323228</v>
      </c>
    </row>
    <row r="264" spans="1:24" x14ac:dyDescent="0.25">
      <c r="A264" s="9" t="s">
        <v>978</v>
      </c>
      <c r="D264" s="65">
        <f t="shared" ref="D264:I264" si="162">SUM(D$261:D$263)</f>
        <v>18.66</v>
      </c>
      <c r="E264" s="65">
        <f t="shared" si="162"/>
        <v>20.469000000000001</v>
      </c>
      <c r="F264" s="65">
        <f t="shared" si="162"/>
        <v>22.597999999999999</v>
      </c>
      <c r="G264" s="65">
        <f t="shared" si="162"/>
        <v>27.658000000000001</v>
      </c>
      <c r="H264" s="65">
        <f t="shared" si="162"/>
        <v>29.824000000000002</v>
      </c>
      <c r="I264" s="65">
        <f t="shared" si="162"/>
        <v>29.84</v>
      </c>
      <c r="J264" s="66">
        <f t="shared" ref="J264:X264" ca="1" si="163">SUM(J$261:J$263)</f>
        <v>29.743000000000002</v>
      </c>
      <c r="K264" s="66">
        <f t="shared" ca="1" si="163"/>
        <v>31.52</v>
      </c>
      <c r="L264" s="66">
        <f t="shared" ca="1" si="163"/>
        <v>32.411000000000001</v>
      </c>
      <c r="M264" s="66">
        <f t="shared" ca="1" si="163"/>
        <v>33.152000000000001</v>
      </c>
      <c r="N264" s="66">
        <f t="shared" ca="1" si="163"/>
        <v>34.048999999999999</v>
      </c>
      <c r="O264" s="67">
        <f t="shared" ca="1" si="163"/>
        <v>35.905374693976626</v>
      </c>
      <c r="P264" s="67">
        <f t="shared" ca="1" si="163"/>
        <v>37.852995243925271</v>
      </c>
      <c r="Q264" s="67">
        <f t="shared" ca="1" si="163"/>
        <v>39.925498740741503</v>
      </c>
      <c r="R264" s="67">
        <f t="shared" ca="1" si="163"/>
        <v>42.060174468855102</v>
      </c>
      <c r="S264" s="67">
        <f t="shared" ca="1" si="163"/>
        <v>44.26922925457535</v>
      </c>
      <c r="T264" s="67">
        <f t="shared" ca="1" si="163"/>
        <v>46.5599545777103</v>
      </c>
      <c r="U264" s="67">
        <f t="shared" ca="1" si="163"/>
        <v>48.922411557857536</v>
      </c>
      <c r="V264" s="67">
        <f t="shared" ca="1" si="163"/>
        <v>51.376548757090333</v>
      </c>
      <c r="W264" s="67">
        <f t="shared" ca="1" si="163"/>
        <v>53.884549104702053</v>
      </c>
      <c r="X264" s="67">
        <f t="shared" ca="1" si="163"/>
        <v>56.458577182323218</v>
      </c>
    </row>
    <row r="265" spans="1:24" x14ac:dyDescent="0.25">
      <c r="D265" s="112"/>
      <c r="E265" s="112"/>
      <c r="F265" s="112"/>
      <c r="G265" s="112"/>
      <c r="H265" s="112"/>
      <c r="I265" s="112"/>
      <c r="J265" s="112"/>
      <c r="K265" s="112"/>
      <c r="L265" s="112"/>
      <c r="M265" s="112"/>
      <c r="N265" s="112"/>
      <c r="O265" s="112"/>
      <c r="P265" s="112"/>
      <c r="Q265" s="112"/>
      <c r="R265" s="112"/>
      <c r="S265" s="112"/>
      <c r="T265" s="112"/>
      <c r="U265" s="112"/>
      <c r="V265" s="112"/>
      <c r="W265" s="112"/>
      <c r="X265" s="112"/>
    </row>
    <row r="266" spans="1:24" x14ac:dyDescent="0.25">
      <c r="A266" s="9" t="s">
        <v>979</v>
      </c>
    </row>
    <row r="267" spans="1:24" x14ac:dyDescent="0.25">
      <c r="A267" s="11" t="s">
        <v>1258</v>
      </c>
      <c r="B267" s="10" t="str">
        <f>$B$38</f>
        <v>From Fiscal Forecasts</v>
      </c>
      <c r="D267" s="35">
        <f>'Fiscal Forecasts'!D$408</f>
        <v>1.8959999999999999</v>
      </c>
      <c r="E267" s="35">
        <f>'Fiscal Forecasts'!E$408</f>
        <v>2.0070000000000001</v>
      </c>
      <c r="F267" s="35">
        <f>'Fiscal Forecasts'!F$408</f>
        <v>2.1320000000000001</v>
      </c>
      <c r="G267" s="35">
        <f>'Fiscal Forecasts'!G$408</f>
        <v>2.2469999999999999</v>
      </c>
      <c r="H267" s="35">
        <f>'Fiscal Forecasts'!H$408</f>
        <v>2.355</v>
      </c>
      <c r="I267" s="35">
        <f>'Fiscal Forecasts'!I$408</f>
        <v>2.71</v>
      </c>
      <c r="J267" s="17">
        <f ca="1">'Fiscal Forecasts'!J$408+IF(OFFSET(Assumptions!$B$56,0,$C$1)="Yes",Allocation!C$28,0)</f>
        <v>2.8679999999999999</v>
      </c>
      <c r="K267" s="17">
        <f ca="1">'Fiscal Forecasts'!K$408+IF(OFFSET(Assumptions!$B$56,0,$C$1)="Yes",Allocation!D$28,0)</f>
        <v>3.0939999999999999</v>
      </c>
      <c r="L267" s="17">
        <f ca="1">'Fiscal Forecasts'!L$408+IF(OFFSET(Assumptions!$B$56,0,$C$1)="Yes",Allocation!E$28,0)</f>
        <v>3.2240000000000002</v>
      </c>
      <c r="M267" s="17">
        <f ca="1">'Fiscal Forecasts'!M$408+IF(OFFSET(Assumptions!$B$56,0,$C$1)="Yes",Allocation!F$28,0)</f>
        <v>3.3620000000000001</v>
      </c>
      <c r="N267" s="17">
        <f ca="1">'Fiscal Forecasts'!N$408+IF(OFFSET(Assumptions!$B$56,0,$C$1)="Yes",Allocation!G$28,0)</f>
        <v>3.4950000000000001</v>
      </c>
      <c r="O267" s="16">
        <f ca="1">N$267+IF(OFFSET(Assumptions!$B$57,0,$C$1)="Yes",Allocation!$B$28*Allocation!$B$16*O$247,IF(OFFSET(Assumptions!$B$58,0,$C$1)="Yes",N$267*(1+SUMPRODUCT(Exogenous!$B$65:$B$70,'Population Treasury'!Z$214:Z$219)+SUMPRODUCT(Exogenous!$C$65:$C$70,'Population Treasury'!Z$259:Z$264))*(1+O$25)*(1+O$29)*(1+OFFSET(Assumptions!$B$61,0,$C$1))/(1+OFFSET(Assumptions!$B$62,0,$C$1))-N$267,0))</f>
        <v>3.6222687495103196</v>
      </c>
      <c r="P267" s="16">
        <f ca="1">O$267+IF(OFFSET(Assumptions!$B$57,0,$C$1)="Yes",Allocation!$B$28*Allocation!$B$16*P$247,IF(OFFSET(Assumptions!$B$58,0,$C$1)="Yes",O$267*(1+SUMPRODUCT(Exogenous!$B$65:$B$70,'Population Treasury'!AA$214:AA$219)+SUMPRODUCT(Exogenous!$C$65:$C$70,'Population Treasury'!AA$259:AA$264))*(1+P$25)*(1+P$29)*(1+OFFSET(Assumptions!$B$61,0,$C$1))/(1+OFFSET(Assumptions!$B$62,0,$C$1))-O$267,0))</f>
        <v>3.7530273349096595</v>
      </c>
      <c r="Q267" s="16">
        <f ca="1">P$267+IF(OFFSET(Assumptions!$B$57,0,$C$1)="Yes",Allocation!$B$28*Allocation!$B$16*Q$247,IF(OFFSET(Assumptions!$B$58,0,$C$1)="Yes",P$267*(1+SUMPRODUCT(Exogenous!$B$65:$B$70,'Population Treasury'!AB$214:AB$219)+SUMPRODUCT(Exogenous!$C$65:$C$70,'Population Treasury'!AB$259:AB$264))*(1+Q$25)*(1+Q$29)*(1+OFFSET(Assumptions!$B$61,0,$C$1))/(1+OFFSET(Assumptions!$B$62,0,$C$1))-P$267,0))</f>
        <v>3.8878228275270046</v>
      </c>
      <c r="R267" s="16">
        <f ca="1">Q$267+IF(OFFSET(Assumptions!$B$57,0,$C$1)="Yes",Allocation!$B$28*Allocation!$B$16*R$247,IF(OFFSET(Assumptions!$B$58,0,$C$1)="Yes",Q$267*(1+SUMPRODUCT(Exogenous!$B$65:$B$70,'Population Treasury'!AC$214:AC$219)+SUMPRODUCT(Exogenous!$C$65:$C$70,'Population Treasury'!AC$259:AC$264))*(1+R$25)*(1+R$29)*(1+OFFSET(Assumptions!$B$61,0,$C$1))/(1+OFFSET(Assumptions!$B$62,0,$C$1))-Q$267,0))</f>
        <v>4.0279414597628787</v>
      </c>
      <c r="S267" s="16">
        <f ca="1">R$267+IF(OFFSET(Assumptions!$B$57,0,$C$1)="Yes",Allocation!$B$28*Allocation!$B$16*S$247,IF(OFFSET(Assumptions!$B$58,0,$C$1)="Yes",R$267*(1+SUMPRODUCT(Exogenous!$B$65:$B$70,'Population Treasury'!AD$214:AD$219)+SUMPRODUCT(Exogenous!$C$65:$C$70,'Population Treasury'!AD$259:AD$264))*(1+S$25)*(1+S$29)*(1+OFFSET(Assumptions!$B$61,0,$C$1))/(1+OFFSET(Assumptions!$B$62,0,$C$1))-R$267,0))</f>
        <v>4.1730081854778405</v>
      </c>
      <c r="T267" s="16">
        <f ca="1">S$267+IF(OFFSET(Assumptions!$B$57,0,$C$1)="Yes",Allocation!$B$28*Allocation!$B$16*T$247,IF(OFFSET(Assumptions!$B$58,0,$C$1)="Yes",S$267*(1+SUMPRODUCT(Exogenous!$B$65:$B$70,'Population Treasury'!AE$214:AE$219)+SUMPRODUCT(Exogenous!$C$65:$C$70,'Population Treasury'!AE$259:AE$264))*(1+T$25)*(1+T$29)*(1+OFFSET(Assumptions!$B$61,0,$C$1))/(1+OFFSET(Assumptions!$B$62,0,$C$1))-S$267,0))</f>
        <v>4.3249528278489722</v>
      </c>
      <c r="U267" s="16">
        <f ca="1">T$267+IF(OFFSET(Assumptions!$B$57,0,$C$1)="Yes",Allocation!$B$28*Allocation!$B$16*U$247,IF(OFFSET(Assumptions!$B$58,0,$C$1)="Yes",T$267*(1+SUMPRODUCT(Exogenous!$B$65:$B$70,'Population Treasury'!AF$214:AF$219)+SUMPRODUCT(Exogenous!$C$65:$C$70,'Population Treasury'!AF$259:AF$264))*(1+U$25)*(1+U$29)*(1+OFFSET(Assumptions!$B$61,0,$C$1))/(1+OFFSET(Assumptions!$B$62,0,$C$1))-T$267,0))</f>
        <v>4.4821436357944249</v>
      </c>
      <c r="V267" s="16">
        <f ca="1">U$267+IF(OFFSET(Assumptions!$B$57,0,$C$1)="Yes",Allocation!$B$28*Allocation!$B$16*V$247,IF(OFFSET(Assumptions!$B$58,0,$C$1)="Yes",U$267*(1+SUMPRODUCT(Exogenous!$B$65:$B$70,'Population Treasury'!AG$214:AG$219)+SUMPRODUCT(Exogenous!$C$65:$C$70,'Population Treasury'!AG$259:AG$264))*(1+V$25)*(1+V$29)*(1+OFFSET(Assumptions!$B$61,0,$C$1))/(1+OFFSET(Assumptions!$B$62,0,$C$1))-U$267,0))</f>
        <v>4.6458357893271423</v>
      </c>
      <c r="W267" s="16">
        <f ca="1">V$267+IF(OFFSET(Assumptions!$B$57,0,$C$1)="Yes",Allocation!$B$28*Allocation!$B$16*W$247,IF(OFFSET(Assumptions!$B$58,0,$C$1)="Yes",V$267*(1+SUMPRODUCT(Exogenous!$B$65:$B$70,'Population Treasury'!AH$214:AH$219)+SUMPRODUCT(Exogenous!$C$65:$C$70,'Population Treasury'!AH$259:AH$264))*(1+W$25)*(1+W$29)*(1+OFFSET(Assumptions!$B$61,0,$C$1))/(1+OFFSET(Assumptions!$B$62,0,$C$1))-V$267,0))</f>
        <v>4.8164949392400986</v>
      </c>
      <c r="X267" s="16">
        <f ca="1">W$267+IF(OFFSET(Assumptions!$B$57,0,$C$1)="Yes",Allocation!$B$28*Allocation!$B$16*X$247,IF(OFFSET(Assumptions!$B$58,0,$C$1)="Yes",W$267*(1+SUMPRODUCT(Exogenous!$B$65:$B$70,'Population Treasury'!AI$214:AI$219)+SUMPRODUCT(Exogenous!$C$65:$C$70,'Population Treasury'!AI$259:AI$264))*(1+X$25)*(1+X$29)*(1+OFFSET(Assumptions!$B$61,0,$C$1))/(1+OFFSET(Assumptions!$B$62,0,$C$1))-W$267,0))</f>
        <v>4.995736185237619</v>
      </c>
    </row>
    <row r="268" spans="1:24" x14ac:dyDescent="0.25">
      <c r="A268" s="11" t="s">
        <v>1285</v>
      </c>
      <c r="B268" s="10" t="str">
        <f t="shared" ref="B268:B270" si="164">$B$38</f>
        <v>From Fiscal Forecasts</v>
      </c>
      <c r="D268" s="35">
        <f>'Fiscal Forecasts'!D$409</f>
        <v>3.835</v>
      </c>
      <c r="E268" s="35">
        <f>'Fiscal Forecasts'!E$409</f>
        <v>4.0129999999999999</v>
      </c>
      <c r="F268" s="35">
        <f>'Fiscal Forecasts'!F$409</f>
        <v>4.6470000000000002</v>
      </c>
      <c r="G268" s="35">
        <f>'Fiscal Forecasts'!G$409</f>
        <v>4.7329999999999997</v>
      </c>
      <c r="H268" s="35">
        <f>'Fiscal Forecasts'!H$409</f>
        <v>4.7789999999999999</v>
      </c>
      <c r="I268" s="35">
        <f>'Fiscal Forecasts'!I$409</f>
        <v>5.39</v>
      </c>
      <c r="J268" s="17">
        <f ca="1">'Fiscal Forecasts'!J$409+IF(OFFSET(Assumptions!$B$56,0,$C$1)="Yes",Allocation!C$29,0)</f>
        <v>5.3480000000000008</v>
      </c>
      <c r="K268" s="17">
        <f ca="1">'Fiscal Forecasts'!K$409+IF(OFFSET(Assumptions!$B$56,0,$C$1)="Yes",Allocation!D$29,0)</f>
        <v>5.7750000000000004</v>
      </c>
      <c r="L268" s="17">
        <f ca="1">'Fiscal Forecasts'!L$409+IF(OFFSET(Assumptions!$B$56,0,$C$1)="Yes",Allocation!E$29,0)</f>
        <v>5.9140000000000006</v>
      </c>
      <c r="M268" s="17">
        <f ca="1">'Fiscal Forecasts'!M$409+IF(OFFSET(Assumptions!$B$56,0,$C$1)="Yes",Allocation!F$29,0)</f>
        <v>5.98</v>
      </c>
      <c r="N268" s="17">
        <f ca="1">'Fiscal Forecasts'!N$409+IF(OFFSET(Assumptions!$B$56,0,$C$1)="Yes",Allocation!G$29,0)</f>
        <v>6.0919999999999996</v>
      </c>
      <c r="O268" s="16">
        <f ca="1">N$268+IF(OFFSET(Assumptions!$B$57,0,$C$1)="Yes",Allocation!$B$29*Allocation!$B$16*O$247,IF(OFFSET(Assumptions!$B$58,0,$C$1)="Yes",N$268*(1+SUMPRODUCT(Exogenous!$G$65:$G$73,'Population Treasury'!Z$219:Z$227)+SUMPRODUCT(Exogenous!$H$65:$H$73,'Population Treasury'!Z$264:Z$272))*(1+O$25)*(1+O$29)*(1+OFFSET(Assumptions!$B$61,0,$C$1))/(1+OFFSET(Assumptions!$B$62,0,$C$1))-N$268,0))</f>
        <v>6.2980518194423771</v>
      </c>
      <c r="P268" s="16">
        <f ca="1">O$268+IF(OFFSET(Assumptions!$B$57,0,$C$1)="Yes",Allocation!$B$29*Allocation!$B$16*P$247,IF(OFFSET(Assumptions!$B$58,0,$C$1)="Yes",O$268*(1+SUMPRODUCT(Exogenous!$G$65:$G$73,'Population Treasury'!AA$219:AA$227)+SUMPRODUCT(Exogenous!$H$65:$H$73,'Population Treasury'!AA$264:AA$272))*(1+P$25)*(1+P$29)*(1+OFFSET(Assumptions!$B$61,0,$C$1))/(1+OFFSET(Assumptions!$B$62,0,$C$1))-O$268,0))</f>
        <v>6.5182502992426716</v>
      </c>
      <c r="Q268" s="16">
        <f ca="1">P$268+IF(OFFSET(Assumptions!$B$57,0,$C$1)="Yes",Allocation!$B$29*Allocation!$B$16*Q$247,IF(OFFSET(Assumptions!$B$58,0,$C$1)="Yes",P$268*(1+SUMPRODUCT(Exogenous!$G$65:$G$73,'Population Treasury'!AB$219:AB$227)+SUMPRODUCT(Exogenous!$H$65:$H$73,'Population Treasury'!AB$264:AB$272))*(1+Q$25)*(1+Q$29)*(1+OFFSET(Assumptions!$B$61,0,$C$1))/(1+OFFSET(Assumptions!$B$62,0,$C$1))-P$268,0))</f>
        <v>6.755691458547461</v>
      </c>
      <c r="R268" s="16">
        <f ca="1">Q$268+IF(OFFSET(Assumptions!$B$57,0,$C$1)="Yes",Allocation!$B$29*Allocation!$B$16*R$247,IF(OFFSET(Assumptions!$B$58,0,$C$1)="Yes",Q$268*(1+SUMPRODUCT(Exogenous!$G$65:$G$73,'Population Treasury'!AC$219:AC$227)+SUMPRODUCT(Exogenous!$H$65:$H$73,'Population Treasury'!AC$264:AC$272))*(1+R$25)*(1+R$29)*(1+OFFSET(Assumptions!$B$61,0,$C$1))/(1+OFFSET(Assumptions!$B$62,0,$C$1))-Q$268,0))</f>
        <v>7.0075383625804557</v>
      </c>
      <c r="S268" s="16">
        <f ca="1">R$268+IF(OFFSET(Assumptions!$B$57,0,$C$1)="Yes",Allocation!$B$29*Allocation!$B$16*S$247,IF(OFFSET(Assumptions!$B$58,0,$C$1)="Yes",R$268*(1+SUMPRODUCT(Exogenous!$G$65:$G$73,'Population Treasury'!AD$219:AD$227)+SUMPRODUCT(Exogenous!$H$65:$H$73,'Population Treasury'!AD$264:AD$272))*(1+S$25)*(1+S$29)*(1+OFFSET(Assumptions!$B$61,0,$C$1))/(1+OFFSET(Assumptions!$B$62,0,$C$1))-R$268,0))</f>
        <v>7.2627102167094879</v>
      </c>
      <c r="T268" s="16">
        <f ca="1">S$268+IF(OFFSET(Assumptions!$B$57,0,$C$1)="Yes",Allocation!$B$29*Allocation!$B$16*T$247,IF(OFFSET(Assumptions!$B$58,0,$C$1)="Yes",S$268*(1+SUMPRODUCT(Exogenous!$G$65:$G$73,'Population Treasury'!AE$219:AE$227)+SUMPRODUCT(Exogenous!$H$65:$H$73,'Population Treasury'!AE$264:AE$272))*(1+T$25)*(1+T$29)*(1+OFFSET(Assumptions!$B$61,0,$C$1))/(1+OFFSET(Assumptions!$B$62,0,$C$1))-S$268,0))</f>
        <v>7.5136772960830784</v>
      </c>
      <c r="U268" s="16">
        <f ca="1">T$268+IF(OFFSET(Assumptions!$B$57,0,$C$1)="Yes",Allocation!$B$29*Allocation!$B$16*U$247,IF(OFFSET(Assumptions!$B$58,0,$C$1)="Yes",T$268*(1+SUMPRODUCT(Exogenous!$G$65:$G$73,'Population Treasury'!AF$219:AF$227)+SUMPRODUCT(Exogenous!$H$65:$H$73,'Population Treasury'!AF$264:AF$272))*(1+U$25)*(1+U$29)*(1+OFFSET(Assumptions!$B$61,0,$C$1))/(1+OFFSET(Assumptions!$B$62,0,$C$1))-T$268,0))</f>
        <v>7.7750349445852365</v>
      </c>
      <c r="V268" s="16">
        <f ca="1">U$268+IF(OFFSET(Assumptions!$B$57,0,$C$1)="Yes",Allocation!$B$29*Allocation!$B$16*V$247,IF(OFFSET(Assumptions!$B$58,0,$C$1)="Yes",U$268*(1+SUMPRODUCT(Exogenous!$G$65:$G$73,'Population Treasury'!AG$219:AG$227)+SUMPRODUCT(Exogenous!$H$65:$H$73,'Population Treasury'!AG$264:AG$272))*(1+V$25)*(1+V$29)*(1+OFFSET(Assumptions!$B$61,0,$C$1))/(1+OFFSET(Assumptions!$B$62,0,$C$1))-U$268,0))</f>
        <v>8.048527068036428</v>
      </c>
      <c r="W268" s="16">
        <f ca="1">V$268+IF(OFFSET(Assumptions!$B$57,0,$C$1)="Yes",Allocation!$B$29*Allocation!$B$16*W$247,IF(OFFSET(Assumptions!$B$58,0,$C$1)="Yes",V$268*(1+SUMPRODUCT(Exogenous!$G$65:$G$73,'Population Treasury'!AH$219:AH$227)+SUMPRODUCT(Exogenous!$H$65:$H$73,'Population Treasury'!AH$264:AH$272))*(1+W$25)*(1+W$29)*(1+OFFSET(Assumptions!$B$61,0,$C$1))/(1+OFFSET(Assumptions!$B$62,0,$C$1))-V$268,0))</f>
        <v>8.3256305022059944</v>
      </c>
      <c r="X268" s="16">
        <f ca="1">W$268+IF(OFFSET(Assumptions!$B$57,0,$C$1)="Yes",Allocation!$B$29*Allocation!$B$16*X$247,IF(OFFSET(Assumptions!$B$58,0,$C$1)="Yes",W$268*(1+SUMPRODUCT(Exogenous!$G$65:$G$73,'Population Treasury'!AI$219:AI$227)+SUMPRODUCT(Exogenous!$H$65:$H$73,'Population Treasury'!AI$264:AI$272))*(1+X$25)*(1+X$29)*(1+OFFSET(Assumptions!$B$61,0,$C$1))/(1+OFFSET(Assumptions!$B$62,0,$C$1))-W$268,0))</f>
        <v>8.6089592262727272</v>
      </c>
    </row>
    <row r="269" spans="1:24" x14ac:dyDescent="0.25">
      <c r="A269" s="11" t="s">
        <v>1286</v>
      </c>
      <c r="B269" s="10" t="str">
        <f t="shared" si="164"/>
        <v>From Fiscal Forecasts</v>
      </c>
      <c r="D269" s="35">
        <f>'Fiscal Forecasts'!D$410</f>
        <v>2.988</v>
      </c>
      <c r="E269" s="35">
        <f>'Fiscal Forecasts'!E$410</f>
        <v>3.0950000000000002</v>
      </c>
      <c r="F269" s="35">
        <f>'Fiscal Forecasts'!F$410</f>
        <v>3.5830000000000002</v>
      </c>
      <c r="G269" s="35">
        <f>'Fiscal Forecasts'!G$410</f>
        <v>3.7450000000000001</v>
      </c>
      <c r="H269" s="35">
        <f>'Fiscal Forecasts'!H$410</f>
        <v>3.8370000000000002</v>
      </c>
      <c r="I269" s="35">
        <f>'Fiscal Forecasts'!I$410</f>
        <v>4.351</v>
      </c>
      <c r="J269" s="17">
        <f ca="1">'Fiscal Forecasts'!J$410+IF(OFFSET(Assumptions!$B$56,0,$C$1)="Yes",Allocation!C$30,0)</f>
        <v>4.3759999999999994</v>
      </c>
      <c r="K269" s="17">
        <f ca="1">'Fiscal Forecasts'!K$410+IF(OFFSET(Assumptions!$B$56,0,$C$1)="Yes",Allocation!D$30,0)</f>
        <v>4.7910000000000004</v>
      </c>
      <c r="L269" s="17">
        <f ca="1">'Fiscal Forecasts'!L$410+IF(OFFSET(Assumptions!$B$56,0,$C$1)="Yes",Allocation!E$30,0)</f>
        <v>4.9049999999999994</v>
      </c>
      <c r="M269" s="17">
        <f ca="1">'Fiscal Forecasts'!M$410+IF(OFFSET(Assumptions!$B$56,0,$C$1)="Yes",Allocation!F$30,0)</f>
        <v>4.97</v>
      </c>
      <c r="N269" s="17">
        <f ca="1">'Fiscal Forecasts'!N$410+IF(OFFSET(Assumptions!$B$56,0,$C$1)="Yes",Allocation!G$30,0)</f>
        <v>5.0890000000000004</v>
      </c>
      <c r="O269" s="16">
        <f ca="1">N$269+IF(OFFSET(Assumptions!$B$57,0,$C$1)="Yes",Allocation!$B$30*Allocation!$B$16*O$247,IF(OFFSET(Assumptions!$B$58,0,$C$1)="Yes",N$269*(1+SUMPRODUCT(Exogenous!$L$65:$L$71,'Population Treasury'!Z$227:Z$233)+SUMPRODUCT(Exogenous!$M$65:$M$71,'Population Treasury'!Z$272:Z$278))*(1+O$25)*(1+O$29)*(1+OFFSET(Assumptions!$B$61,0,$C$1))/(1+OFFSET(Assumptions!$B$62,0,$C$1))-N$269,0))</f>
        <v>5.2433665102793698</v>
      </c>
      <c r="P269" s="16">
        <f ca="1">O$269+IF(OFFSET(Assumptions!$B$57,0,$C$1)="Yes",Allocation!$B$30*Allocation!$B$16*P$247,IF(OFFSET(Assumptions!$B$58,0,$C$1)="Yes",O$269*(1+SUMPRODUCT(Exogenous!$L$65:$L$71,'Population Treasury'!AA$227:AA$233)+SUMPRODUCT(Exogenous!$M$65:$M$71,'Population Treasury'!AA$272:AA$278))*(1+P$25)*(1+P$29)*(1+OFFSET(Assumptions!$B$61,0,$C$1))/(1+OFFSET(Assumptions!$B$62,0,$C$1))-O$269,0))</f>
        <v>5.3983152018111973</v>
      </c>
      <c r="Q269" s="16">
        <f ca="1">P$269+IF(OFFSET(Assumptions!$B$57,0,$C$1)="Yes",Allocation!$B$30*Allocation!$B$16*Q$247,IF(OFFSET(Assumptions!$B$58,0,$C$1)="Yes",P$269*(1+SUMPRODUCT(Exogenous!$L$65:$L$71,'Population Treasury'!AB$227:AB$233)+SUMPRODUCT(Exogenous!$M$65:$M$71,'Population Treasury'!AB$272:AB$278))*(1+Q$25)*(1+Q$29)*(1+OFFSET(Assumptions!$B$61,0,$C$1))/(1+OFFSET(Assumptions!$B$62,0,$C$1))-P$269,0))</f>
        <v>5.5610318132800955</v>
      </c>
      <c r="R269" s="16">
        <f ca="1">Q$269+IF(OFFSET(Assumptions!$B$57,0,$C$1)="Yes",Allocation!$B$30*Allocation!$B$16*R$247,IF(OFFSET(Assumptions!$B$58,0,$C$1)="Yes",Q$269*(1+SUMPRODUCT(Exogenous!$L$65:$L$71,'Population Treasury'!AC$227:AC$233)+SUMPRODUCT(Exogenous!$M$65:$M$71,'Population Treasury'!AC$272:AC$278))*(1+R$25)*(1+R$29)*(1+OFFSET(Assumptions!$B$61,0,$C$1))/(1+OFFSET(Assumptions!$B$62,0,$C$1))-Q$269,0))</f>
        <v>5.7227434313047905</v>
      </c>
      <c r="S269" s="16">
        <f ca="1">R$269+IF(OFFSET(Assumptions!$B$57,0,$C$1)="Yes",Allocation!$B$30*Allocation!$B$16*S$247,IF(OFFSET(Assumptions!$B$58,0,$C$1)="Yes",R$269*(1+SUMPRODUCT(Exogenous!$L$65:$L$71,'Population Treasury'!AD$227:AD$233)+SUMPRODUCT(Exogenous!$M$65:$M$71,'Population Treasury'!AD$272:AD$278))*(1+S$25)*(1+S$29)*(1+OFFSET(Assumptions!$B$61,0,$C$1))/(1+OFFSET(Assumptions!$B$62,0,$C$1))-R$269,0))</f>
        <v>5.9026072008625441</v>
      </c>
      <c r="T269" s="16">
        <f ca="1">S$269+IF(OFFSET(Assumptions!$B$57,0,$C$1)="Yes",Allocation!$B$30*Allocation!$B$16*T$247,IF(OFFSET(Assumptions!$B$58,0,$C$1)="Yes",S$269*(1+SUMPRODUCT(Exogenous!$L$65:$L$71,'Population Treasury'!AE$227:AE$233)+SUMPRODUCT(Exogenous!$M$65:$M$71,'Population Treasury'!AE$272:AE$278))*(1+T$25)*(1+T$29)*(1+OFFSET(Assumptions!$B$61,0,$C$1))/(1+OFFSET(Assumptions!$B$62,0,$C$1))-S$269,0))</f>
        <v>6.1061008660384308</v>
      </c>
      <c r="U269" s="16">
        <f ca="1">T$269+IF(OFFSET(Assumptions!$B$57,0,$C$1)="Yes",Allocation!$B$30*Allocation!$B$16*U$247,IF(OFFSET(Assumptions!$B$58,0,$C$1)="Yes",T$269*(1+SUMPRODUCT(Exogenous!$L$65:$L$71,'Population Treasury'!AF$227:AF$233)+SUMPRODUCT(Exogenous!$M$65:$M$71,'Population Treasury'!AF$272:AF$278))*(1+U$25)*(1+U$29)*(1+OFFSET(Assumptions!$B$61,0,$C$1))/(1+OFFSET(Assumptions!$B$62,0,$C$1))-T$269,0))</f>
        <v>6.3235106016639264</v>
      </c>
      <c r="V269" s="16">
        <f ca="1">U$269+IF(OFFSET(Assumptions!$B$57,0,$C$1)="Yes",Allocation!$B$30*Allocation!$B$16*V$247,IF(OFFSET(Assumptions!$B$58,0,$C$1)="Yes",U$269*(1+SUMPRODUCT(Exogenous!$L$65:$L$71,'Population Treasury'!AG$227:AG$233)+SUMPRODUCT(Exogenous!$M$65:$M$71,'Population Treasury'!AG$272:AG$278))*(1+V$25)*(1+V$29)*(1+OFFSET(Assumptions!$B$61,0,$C$1))/(1+OFFSET(Assumptions!$B$62,0,$C$1))-U$269,0))</f>
        <v>6.5395922206665977</v>
      </c>
      <c r="W269" s="16">
        <f ca="1">V$269+IF(OFFSET(Assumptions!$B$57,0,$C$1)="Yes",Allocation!$B$30*Allocation!$B$16*W$247,IF(OFFSET(Assumptions!$B$58,0,$C$1)="Yes",V$269*(1+SUMPRODUCT(Exogenous!$L$65:$L$71,'Population Treasury'!AH$227:AH$233)+SUMPRODUCT(Exogenous!$M$65:$M$71,'Population Treasury'!AH$272:AH$278))*(1+W$25)*(1+W$29)*(1+OFFSET(Assumptions!$B$61,0,$C$1))/(1+OFFSET(Assumptions!$B$62,0,$C$1))-V$269,0))</f>
        <v>6.7625708317827451</v>
      </c>
      <c r="X269" s="16">
        <f ca="1">W$269+IF(OFFSET(Assumptions!$B$57,0,$C$1)="Yes",Allocation!$B$30*Allocation!$B$16*X$247,IF(OFFSET(Assumptions!$B$58,0,$C$1)="Yes",W$269*(1+SUMPRODUCT(Exogenous!$L$65:$L$71,'Population Treasury'!AI$227:AI$233)+SUMPRODUCT(Exogenous!$M$65:$M$71,'Population Treasury'!AI$272:AI$278))*(1+X$25)*(1+X$29)*(1+OFFSET(Assumptions!$B$61,0,$C$1))/(1+OFFSET(Assumptions!$B$62,0,$C$1))-W$269,0))</f>
        <v>6.9780890771260493</v>
      </c>
    </row>
    <row r="270" spans="1:24" x14ac:dyDescent="0.25">
      <c r="A270" s="11" t="s">
        <v>1288</v>
      </c>
      <c r="B270" s="10" t="str">
        <f t="shared" si="164"/>
        <v>From Fiscal Forecasts</v>
      </c>
      <c r="D270" s="35">
        <f>'Fiscal Forecasts'!D$411</f>
        <v>2.9660000000000002</v>
      </c>
      <c r="E270" s="35">
        <f>'Fiscal Forecasts'!E$411</f>
        <v>4.548</v>
      </c>
      <c r="F270" s="35">
        <f>'Fiscal Forecasts'!F$411</f>
        <v>2.4600000000000004</v>
      </c>
      <c r="G270" s="35">
        <f>'Fiscal Forecasts'!G$411</f>
        <v>3.7590000000000003</v>
      </c>
      <c r="H270" s="35">
        <f>'Fiscal Forecasts'!H$411</f>
        <v>3.5869999999999997</v>
      </c>
      <c r="I270" s="35">
        <f>'Fiscal Forecasts'!I$411</f>
        <v>3.9439999999999995</v>
      </c>
      <c r="J270" s="17">
        <f ca="1">'Fiscal Forecasts'!J$411+IF(OFFSET(Assumptions!$B$56,0,$C$1)="Yes",Allocation!C$31,0)</f>
        <v>3.7979999999999996</v>
      </c>
      <c r="K270" s="17">
        <f ca="1">'Fiscal Forecasts'!K$411+IF(OFFSET(Assumptions!$B$56,0,$C$1)="Yes",Allocation!D$31,0)</f>
        <v>3.9210000000000003</v>
      </c>
      <c r="L270" s="17">
        <f ca="1">'Fiscal Forecasts'!L$411+IF(OFFSET(Assumptions!$B$56,0,$C$1)="Yes",Allocation!E$31,0)</f>
        <v>4.0629999999999997</v>
      </c>
      <c r="M270" s="17">
        <f ca="1">'Fiscal Forecasts'!M$411+IF(OFFSET(Assumptions!$B$56,0,$C$1)="Yes",Allocation!F$31,0)</f>
        <v>4.242</v>
      </c>
      <c r="N270" s="17">
        <f ca="1">'Fiscal Forecasts'!N$411+IF(OFFSET(Assumptions!$B$56,0,$C$1)="Yes",Allocation!G$31,0)</f>
        <v>4.4620000000000006</v>
      </c>
      <c r="O270" s="16">
        <f ca="1">N$270+IF(OFFSET(Assumptions!$B$57,0,$C$1)="Yes",Allocation!$B$31*Allocation!$B$16*O$247,IF(OFFSET(Assumptions!$B$58,0,$C$1)="Yes",N$270*(1+Exogenous!$Q$65*'Population Treasury'!Z$231+SUMPRODUCT(Exogenous!$Q$66:$Q$69,'Population Treasury'!Z$234:Z$237)+Exogenous!$R$65*'Population Treasury'!Z$276+SUMPRODUCT(Exogenous!$R$66:$R$69,'Population Treasury'!Z$279:Z$282))*(1+O$25)*(1+O$29)*(1+OFFSET(Assumptions!$B$61,0,$C$1))/(1+OFFSET(Assumptions!$B$62,0,$C$1))-N$270,0))</f>
        <v>4.6774647010022816</v>
      </c>
      <c r="P270" s="16">
        <f ca="1">O$270+IF(OFFSET(Assumptions!$B$57,0,$C$1)="Yes",Allocation!$B$31*Allocation!$B$16*P$247,IF(OFFSET(Assumptions!$B$58,0,$C$1)="Yes",O$270*(1+Exogenous!$Q$65*'Population Treasury'!AA$231+SUMPRODUCT(Exogenous!$Q$66:$Q$69,'Population Treasury'!AA$234:AA$237)+Exogenous!$R$65*'Population Treasury'!AA$276+SUMPRODUCT(Exogenous!$R$66:$R$69,'Population Treasury'!AA$279:AA$282))*(1+P$25)*(1+P$29)*(1+OFFSET(Assumptions!$B$61,0,$C$1))/(1+OFFSET(Assumptions!$B$62,0,$C$1))-O$270,0))</f>
        <v>4.8913386543899984</v>
      </c>
      <c r="Q270" s="16">
        <f ca="1">P$270+IF(OFFSET(Assumptions!$B$57,0,$C$1)="Yes",Allocation!$B$31*Allocation!$B$16*Q$247,IF(OFFSET(Assumptions!$B$58,0,$C$1)="Yes",P$270*(1+Exogenous!$Q$65*'Population Treasury'!AB$231+SUMPRODUCT(Exogenous!$Q$66:$Q$69,'Population Treasury'!AB$234:AB$237)+Exogenous!$R$65*'Population Treasury'!AB$276+SUMPRODUCT(Exogenous!$R$66:$R$69,'Population Treasury'!AB$279:AB$282))*(1+Q$25)*(1+Q$29)*(1+OFFSET(Assumptions!$B$61,0,$C$1))/(1+OFFSET(Assumptions!$B$62,0,$C$1))-P$270,0))</f>
        <v>5.0909373427358844</v>
      </c>
      <c r="R270" s="16">
        <f ca="1">Q$270+IF(OFFSET(Assumptions!$B$57,0,$C$1)="Yes",Allocation!$B$31*Allocation!$B$16*R$247,IF(OFFSET(Assumptions!$B$58,0,$C$1)="Yes",Q$270*(1+Exogenous!$Q$65*'Population Treasury'!AC$231+SUMPRODUCT(Exogenous!$Q$66:$Q$69,'Population Treasury'!AC$234:AC$237)+Exogenous!$R$65*'Population Treasury'!AC$276+SUMPRODUCT(Exogenous!$R$66:$R$69,'Population Treasury'!AC$279:AC$282))*(1+R$25)*(1+R$29)*(1+OFFSET(Assumptions!$B$61,0,$C$1))/(1+OFFSET(Assumptions!$B$62,0,$C$1))-Q$270,0))</f>
        <v>5.2877800588599815</v>
      </c>
      <c r="S270" s="16">
        <f ca="1">R$270+IF(OFFSET(Assumptions!$B$57,0,$C$1)="Yes",Allocation!$B$31*Allocation!$B$16*S$247,IF(OFFSET(Assumptions!$B$58,0,$C$1)="Yes",R$270*(1+Exogenous!$Q$65*'Population Treasury'!AD$231+SUMPRODUCT(Exogenous!$Q$66:$Q$69,'Population Treasury'!AD$234:AD$237)+Exogenous!$R$65*'Population Treasury'!AD$276+SUMPRODUCT(Exogenous!$R$66:$R$69,'Population Treasury'!AD$279:AD$282))*(1+S$25)*(1+S$29)*(1+OFFSET(Assumptions!$B$61,0,$C$1))/(1+OFFSET(Assumptions!$B$62,0,$C$1))-R$270,0))</f>
        <v>5.4883301006531671</v>
      </c>
      <c r="T270" s="16">
        <f ca="1">S$270+IF(OFFSET(Assumptions!$B$57,0,$C$1)="Yes",Allocation!$B$31*Allocation!$B$16*T$247,IF(OFFSET(Assumptions!$B$58,0,$C$1)="Yes",S$270*(1+Exogenous!$Q$65*'Population Treasury'!AE$231+SUMPRODUCT(Exogenous!$Q$66:$Q$69,'Population Treasury'!AE$234:AE$237)+Exogenous!$R$65*'Population Treasury'!AE$276+SUMPRODUCT(Exogenous!$R$66:$R$69,'Population Treasury'!AE$279:AE$282))*(1+T$25)*(1+T$29)*(1+OFFSET(Assumptions!$B$61,0,$C$1))/(1+OFFSET(Assumptions!$B$62,0,$C$1))-S$270,0))</f>
        <v>5.6846692174021953</v>
      </c>
      <c r="U270" s="16">
        <f ca="1">T$270+IF(OFFSET(Assumptions!$B$57,0,$C$1)="Yes",Allocation!$B$31*Allocation!$B$16*U$247,IF(OFFSET(Assumptions!$B$58,0,$C$1)="Yes",T$270*(1+Exogenous!$Q$65*'Population Treasury'!AF$231+SUMPRODUCT(Exogenous!$Q$66:$Q$69,'Population Treasury'!AF$234:AF$237)+Exogenous!$R$65*'Population Treasury'!AF$276+SUMPRODUCT(Exogenous!$R$66:$R$69,'Population Treasury'!AF$279:AF$282))*(1+U$25)*(1+U$29)*(1+OFFSET(Assumptions!$B$61,0,$C$1))/(1+OFFSET(Assumptions!$B$62,0,$C$1))-T$270,0))</f>
        <v>5.8781752018468776</v>
      </c>
      <c r="V270" s="16">
        <f ca="1">U$270+IF(OFFSET(Assumptions!$B$57,0,$C$1)="Yes",Allocation!$B$31*Allocation!$B$16*V$247,IF(OFFSET(Assumptions!$B$58,0,$C$1)="Yes",U$270*(1+Exogenous!$Q$65*'Population Treasury'!AG$231+SUMPRODUCT(Exogenous!$Q$66:$Q$69,'Population Treasury'!AG$234:AG$237)+Exogenous!$R$65*'Population Treasury'!AG$276+SUMPRODUCT(Exogenous!$R$66:$R$69,'Population Treasury'!AG$279:AG$282))*(1+V$25)*(1+V$29)*(1+OFFSET(Assumptions!$B$61,0,$C$1))/(1+OFFSET(Assumptions!$B$62,0,$C$1))-U$270,0))</f>
        <v>6.0715210931033976</v>
      </c>
      <c r="W270" s="16">
        <f ca="1">V$270+IF(OFFSET(Assumptions!$B$57,0,$C$1)="Yes",Allocation!$B$31*Allocation!$B$16*W$247,IF(OFFSET(Assumptions!$B$58,0,$C$1)="Yes",V$270*(1+Exogenous!$Q$65*'Population Treasury'!AH$231+SUMPRODUCT(Exogenous!$Q$66:$Q$69,'Population Treasury'!AH$234:AH$237)+Exogenous!$R$65*'Population Treasury'!AH$276+SUMPRODUCT(Exogenous!$R$66:$R$69,'Population Treasury'!AH$279:AH$282))*(1+W$25)*(1+W$29)*(1+OFFSET(Assumptions!$B$61,0,$C$1))/(1+OFFSET(Assumptions!$B$62,0,$C$1))-V$270,0))</f>
        <v>6.2701108944402471</v>
      </c>
      <c r="X270" s="16">
        <f ca="1">W$270+IF(OFFSET(Assumptions!$B$57,0,$C$1)="Yes",Allocation!$B$31*Allocation!$B$16*X$247,IF(OFFSET(Assumptions!$B$58,0,$C$1)="Yes",W$270*(1+Exogenous!$Q$65*'Population Treasury'!AI$231+SUMPRODUCT(Exogenous!$Q$66:$Q$69,'Population Treasury'!AI$234:AI$237)+Exogenous!$R$65*'Population Treasury'!AI$276+SUMPRODUCT(Exogenous!$R$66:$R$69,'Population Treasury'!AI$279:AI$282))*(1+X$25)*(1+X$29)*(1+OFFSET(Assumptions!$B$61,0,$C$1))/(1+OFFSET(Assumptions!$B$62,0,$C$1))-W$270,0))</f>
        <v>6.4894069485745227</v>
      </c>
    </row>
    <row r="271" spans="1:24" x14ac:dyDescent="0.25">
      <c r="A271" s="11" t="s">
        <v>721</v>
      </c>
      <c r="D271" s="35">
        <f>D$190</f>
        <v>0.58299999999999996</v>
      </c>
      <c r="E271" s="35">
        <f t="shared" ref="E271:X271" si="165">E$190</f>
        <v>0.56699999999999995</v>
      </c>
      <c r="F271" s="35">
        <f t="shared" si="165"/>
        <v>0.59</v>
      </c>
      <c r="G271" s="35">
        <f t="shared" si="165"/>
        <v>0.55600000000000005</v>
      </c>
      <c r="H271" s="35">
        <f t="shared" si="165"/>
        <v>0.52500000000000002</v>
      </c>
      <c r="I271" s="35">
        <f t="shared" si="165"/>
        <v>0.52600000000000002</v>
      </c>
      <c r="J271" s="17">
        <f t="shared" si="165"/>
        <v>0.57799999999999996</v>
      </c>
      <c r="K271" s="17">
        <f t="shared" si="165"/>
        <v>0.63500000000000001</v>
      </c>
      <c r="L271" s="17">
        <f t="shared" si="165"/>
        <v>0.64</v>
      </c>
      <c r="M271" s="17">
        <f t="shared" si="165"/>
        <v>0.63700000000000001</v>
      </c>
      <c r="N271" s="17">
        <f t="shared" si="165"/>
        <v>0.628</v>
      </c>
      <c r="O271" s="16">
        <f t="shared" ca="1" si="165"/>
        <v>0.64562485974176986</v>
      </c>
      <c r="P271" s="16">
        <f t="shared" ca="1" si="165"/>
        <v>0.66194568964686296</v>
      </c>
      <c r="Q271" s="16">
        <f t="shared" ca="1" si="165"/>
        <v>0.67712377808722313</v>
      </c>
      <c r="R271" s="16">
        <f t="shared" ca="1" si="165"/>
        <v>0.69245219913184963</v>
      </c>
      <c r="S271" s="16">
        <f t="shared" ca="1" si="165"/>
        <v>0.70825442012990725</v>
      </c>
      <c r="T271" s="16">
        <f t="shared" ca="1" si="165"/>
        <v>0.72507180469317367</v>
      </c>
      <c r="U271" s="16">
        <f t="shared" ca="1" si="165"/>
        <v>0.74154264390725988</v>
      </c>
      <c r="V271" s="16">
        <f t="shared" ca="1" si="165"/>
        <v>0.75822655773090308</v>
      </c>
      <c r="W271" s="16">
        <f t="shared" ca="1" si="165"/>
        <v>0.77527296537521928</v>
      </c>
      <c r="X271" s="16">
        <f t="shared" ca="1" si="165"/>
        <v>0.79306000206523053</v>
      </c>
    </row>
    <row r="272" spans="1:24" x14ac:dyDescent="0.25">
      <c r="A272" s="11" t="s">
        <v>980</v>
      </c>
      <c r="D272" s="35">
        <f>D$411</f>
        <v>0.56299999999999994</v>
      </c>
      <c r="E272" s="35">
        <f t="shared" ref="E272:X272" si="166">E$411</f>
        <v>0.50600000000000001</v>
      </c>
      <c r="F272" s="35">
        <f t="shared" si="166"/>
        <v>0.46899999999999997</v>
      </c>
      <c r="G272" s="35">
        <f t="shared" si="166"/>
        <v>0.48899999999999999</v>
      </c>
      <c r="H272" s="35">
        <f t="shared" si="166"/>
        <v>0.55100000000000005</v>
      </c>
      <c r="I272" s="35">
        <f t="shared" si="166"/>
        <v>0.54400000000000004</v>
      </c>
      <c r="J272" s="17">
        <f t="shared" si="166"/>
        <v>0.56000000000000005</v>
      </c>
      <c r="K272" s="17">
        <f t="shared" si="166"/>
        <v>0.63600000000000001</v>
      </c>
      <c r="L272" s="17">
        <f t="shared" si="166"/>
        <v>0.628</v>
      </c>
      <c r="M272" s="17">
        <f t="shared" si="166"/>
        <v>0.627</v>
      </c>
      <c r="N272" s="17">
        <f t="shared" si="166"/>
        <v>0.65300000000000002</v>
      </c>
      <c r="O272" s="16">
        <f t="shared" si="166"/>
        <v>0.65600000000000003</v>
      </c>
      <c r="P272" s="16">
        <f t="shared" si="166"/>
        <v>0.67400000000000004</v>
      </c>
      <c r="Q272" s="16">
        <f t="shared" si="166"/>
        <v>0.69299999999999995</v>
      </c>
      <c r="R272" s="16">
        <f t="shared" si="166"/>
        <v>0.71099999999999997</v>
      </c>
      <c r="S272" s="16">
        <f t="shared" si="166"/>
        <v>0.72699999999999998</v>
      </c>
      <c r="T272" s="16">
        <f t="shared" si="166"/>
        <v>0.74199999999999999</v>
      </c>
      <c r="U272" s="16">
        <f t="shared" si="166"/>
        <v>0.75600000000000001</v>
      </c>
      <c r="V272" s="16">
        <f t="shared" si="166"/>
        <v>0.76900000000000002</v>
      </c>
      <c r="W272" s="16">
        <f t="shared" si="166"/>
        <v>0.78300000000000003</v>
      </c>
      <c r="X272" s="16">
        <f t="shared" si="166"/>
        <v>0.79700000000000004</v>
      </c>
    </row>
    <row r="273" spans="1:24" x14ac:dyDescent="0.25">
      <c r="A273" s="11" t="s">
        <v>1287</v>
      </c>
      <c r="B273" s="10" t="str">
        <f>$B$38</f>
        <v>From Fiscal Forecasts</v>
      </c>
      <c r="C273" s="64" cm="1">
        <f t="array" aca="1" ref="C273" ca="1">SUMPRODUCT(OFFSET($N$273,0,0,1,-OFFSET(Assumptions!$B$59,0,$C$1))/OFFSET($N$13,0,0,1,-OFFSET(Assumptions!$B$59,0,$C$1)))/OFFSET(Assumptions!$B$59,0,$C$1)</f>
        <v>6.1849088482578765E-3</v>
      </c>
      <c r="D273" s="35">
        <f>'Fiscal Forecasts'!D$414</f>
        <v>1.462</v>
      </c>
      <c r="E273" s="35">
        <f>'Fiscal Forecasts'!E$414</f>
        <v>1.5860000000000001</v>
      </c>
      <c r="F273" s="35">
        <f>'Fiscal Forecasts'!F$414</f>
        <v>2.1579999999999999</v>
      </c>
      <c r="G273" s="35">
        <f>'Fiscal Forecasts'!G$414</f>
        <v>2.4940000000000002</v>
      </c>
      <c r="H273" s="35">
        <f>'Fiscal Forecasts'!H$414</f>
        <v>2.7690000000000001</v>
      </c>
      <c r="I273" s="35">
        <f>'Fiscal Forecasts'!I$414</f>
        <v>2.758</v>
      </c>
      <c r="J273" s="17">
        <f ca="1">'Fiscal Forecasts'!J$414+IF(OFFSET(Assumptions!$B$56,0,$C$1)="Yes",Allocation!C$32,0)</f>
        <v>2.6779999999999999</v>
      </c>
      <c r="K273" s="17">
        <f ca="1">'Fiscal Forecasts'!K$414+IF(OFFSET(Assumptions!$B$56,0,$C$1)="Yes",Allocation!D$32,0)</f>
        <v>2.819</v>
      </c>
      <c r="L273" s="17">
        <f ca="1">'Fiscal Forecasts'!L$414+IF(OFFSET(Assumptions!$B$56,0,$C$1)="Yes",Allocation!E$32,0)</f>
        <v>2.931</v>
      </c>
      <c r="M273" s="17">
        <f ca="1">'Fiscal Forecasts'!M$414+IF(OFFSET(Assumptions!$B$56,0,$C$1)="Yes",Allocation!F$32,0)</f>
        <v>2.988</v>
      </c>
      <c r="N273" s="17">
        <f ca="1">'Fiscal Forecasts'!N$414+IF(OFFSET(Assumptions!$B$56,0,$C$1)="Yes",Allocation!G$32,0)</f>
        <v>3.0759999999999996</v>
      </c>
      <c r="O273" s="16">
        <f ca="1">N$273+IF(OFFSET(Assumptions!$B$57,0,$C$1)="Yes",Allocation!$B$32*Allocation!$B$16*O$247,IF(OFFSET(Assumptions!$B$58,0,$C$1)="Yes",(N$273/N$13+MIN(ABS($C$273-N$273/N$13),OFFSET(Assumptions!$B$60,0,$C$1))*SIGN($C$273-N$273/N$13))*O$13-N$273,0))</f>
        <v>3.3815158923204764</v>
      </c>
      <c r="P273" s="16">
        <f ca="1">O$273+IF(OFFSET(Assumptions!$B$57,0,$C$1)="Yes",Allocation!$B$32*Allocation!$B$16*P$247,IF(OFFSET(Assumptions!$B$58,0,$C$1)="Yes",(O$273/O$13+MIN(ABS($C$273-O$273/O$13),OFFSET(Assumptions!$B$60,0,$C$1))*SIGN($C$273-O$273/O$13))*P$13-O$273,0))</f>
        <v>3.5257380811480412</v>
      </c>
      <c r="Q273" s="16">
        <f ca="1">P$273+IF(OFFSET(Assumptions!$B$57,0,$C$1)="Yes",Allocation!$B$32*Allocation!$B$16*Q$247,IF(OFFSET(Assumptions!$B$58,0,$C$1)="Yes",(P$273/P$13+MIN(ABS($C$273-P$273/P$13),OFFSET(Assumptions!$B$60,0,$C$1))*SIGN($C$273-P$273/P$13))*Q$13-P$273,0))</f>
        <v>3.6702734157507075</v>
      </c>
      <c r="R273" s="16">
        <f ca="1">Q$273+IF(OFFSET(Assumptions!$B$57,0,$C$1)="Yes",Allocation!$B$32*Allocation!$B$16*R$247,IF(OFFSET(Assumptions!$B$58,0,$C$1)="Yes",(Q$273/Q$13+MIN(ABS($C$273-Q$273/Q$13),OFFSET(Assumptions!$B$60,0,$C$1))*SIGN($C$273-Q$273/Q$13))*R$13-Q$273,0))</f>
        <v>3.8147959379483463</v>
      </c>
      <c r="S273" s="16">
        <f ca="1">R$273+IF(OFFSET(Assumptions!$B$57,0,$C$1)="Yes",Allocation!$B$32*Allocation!$B$16*S$247,IF(OFFSET(Assumptions!$B$58,0,$C$1)="Yes",(R$273/R$13+MIN(ABS($C$273-R$273/R$13),OFFSET(Assumptions!$B$60,0,$C$1))*SIGN($C$273-R$273/R$13))*S$13-R$273,0))</f>
        <v>3.9625051327700103</v>
      </c>
      <c r="T273" s="16">
        <f ca="1">S$273+IF(OFFSET(Assumptions!$B$57,0,$C$1)="Yes",Allocation!$B$32*Allocation!$B$16*T$247,IF(OFFSET(Assumptions!$B$58,0,$C$1)="Yes",(S$273/S$13+MIN(ABS($C$273-S$273/S$13),OFFSET(Assumptions!$B$60,0,$C$1))*SIGN($C$273-S$273/S$13))*T$13-S$273,0))</f>
        <v>4.1131755827777798</v>
      </c>
      <c r="U273" s="16">
        <f ca="1">T$273+IF(OFFSET(Assumptions!$B$57,0,$C$1)="Yes",Allocation!$B$32*Allocation!$B$16*U$247,IF(OFFSET(Assumptions!$B$58,0,$C$1)="Yes",(T$273/T$13+MIN(ABS($C$273-T$273/T$13),OFFSET(Assumptions!$B$60,0,$C$1))*SIGN($C$273-T$273/T$13))*U$13-T$273,0))</f>
        <v>4.2658549297458341</v>
      </c>
      <c r="V273" s="16">
        <f ca="1">U$273+IF(OFFSET(Assumptions!$B$57,0,$C$1)="Yes",Allocation!$B$32*Allocation!$B$16*V$247,IF(OFFSET(Assumptions!$B$58,0,$C$1)="Yes",(U$273/U$13+MIN(ABS($C$273-U$273/U$13),OFFSET(Assumptions!$B$60,0,$C$1))*SIGN($C$273-U$273/U$13))*V$13-U$273,0))</f>
        <v>4.4208297812339525</v>
      </c>
      <c r="W273" s="16">
        <f ca="1">V$273+IF(OFFSET(Assumptions!$B$57,0,$C$1)="Yes",Allocation!$B$32*Allocation!$B$16*W$247,IF(OFFSET(Assumptions!$B$58,0,$C$1)="Yes",(V$273/V$13+MIN(ABS($C$273-V$273/V$13),OFFSET(Assumptions!$B$60,0,$C$1))*SIGN($C$273-V$273/V$13))*W$13-V$273,0))</f>
        <v>4.5780943634237303</v>
      </c>
      <c r="X273" s="16">
        <f ca="1">W$273+IF(OFFSET(Assumptions!$B$57,0,$C$1)="Yes",Allocation!$B$32*Allocation!$B$16*X$247,IF(OFFSET(Assumptions!$B$58,0,$C$1)="Yes",(W$273/W$13+MIN(ABS($C$273-W$273/W$13),OFFSET(Assumptions!$B$60,0,$C$1))*SIGN($C$273-W$273/W$13))*X$13-W$273,0))</f>
        <v>4.7388337481971794</v>
      </c>
    </row>
    <row r="274" spans="1:24" x14ac:dyDescent="0.25">
      <c r="A274" s="9" t="s">
        <v>981</v>
      </c>
      <c r="D274" s="65">
        <f>SUM(D$267:D$273)</f>
        <v>14.292999999999999</v>
      </c>
      <c r="E274" s="65">
        <f t="shared" ref="E274:X274" si="167">SUM(E$267:E$273)</f>
        <v>16.321999999999999</v>
      </c>
      <c r="F274" s="65">
        <f t="shared" si="167"/>
        <v>16.039000000000001</v>
      </c>
      <c r="G274" s="65">
        <f t="shared" si="167"/>
        <v>18.023</v>
      </c>
      <c r="H274" s="65">
        <f t="shared" si="167"/>
        <v>18.402999999999999</v>
      </c>
      <c r="I274" s="65">
        <f t="shared" si="167"/>
        <v>20.222999999999999</v>
      </c>
      <c r="J274" s="66">
        <f t="shared" ca="1" si="167"/>
        <v>20.206</v>
      </c>
      <c r="K274" s="66">
        <f t="shared" ca="1" si="167"/>
        <v>21.670999999999999</v>
      </c>
      <c r="L274" s="66">
        <f t="shared" ca="1" si="167"/>
        <v>22.305000000000003</v>
      </c>
      <c r="M274" s="66">
        <f t="shared" ca="1" si="167"/>
        <v>22.806000000000001</v>
      </c>
      <c r="N274" s="66">
        <f t="shared" ca="1" si="167"/>
        <v>23.495000000000001</v>
      </c>
      <c r="O274" s="67">
        <f t="shared" ca="1" si="167"/>
        <v>24.524292532296592</v>
      </c>
      <c r="P274" s="67">
        <f t="shared" ca="1" si="167"/>
        <v>25.42261526114843</v>
      </c>
      <c r="Q274" s="67">
        <f t="shared" ca="1" si="167"/>
        <v>26.335880635928376</v>
      </c>
      <c r="R274" s="67">
        <f t="shared" ca="1" si="167"/>
        <v>27.264251449588301</v>
      </c>
      <c r="S274" s="67">
        <f t="shared" ca="1" si="167"/>
        <v>28.22441525660296</v>
      </c>
      <c r="T274" s="67">
        <f t="shared" ca="1" si="167"/>
        <v>29.209647594843631</v>
      </c>
      <c r="U274" s="67">
        <f t="shared" ca="1" si="167"/>
        <v>30.222261957543559</v>
      </c>
      <c r="V274" s="67">
        <f t="shared" ca="1" si="167"/>
        <v>31.253532510098417</v>
      </c>
      <c r="W274" s="67">
        <f t="shared" ca="1" si="167"/>
        <v>32.311174496468041</v>
      </c>
      <c r="X274" s="67">
        <f t="shared" ca="1" si="167"/>
        <v>33.401085187473328</v>
      </c>
    </row>
    <row r="275" spans="1:24" x14ac:dyDescent="0.25">
      <c r="A275" s="11" t="s">
        <v>707</v>
      </c>
      <c r="B275" s="10" t="str">
        <f>$B$38</f>
        <v>From Fiscal Forecasts</v>
      </c>
      <c r="D275" s="35">
        <f>'Fiscal Forecasts'!D$208</f>
        <v>11.428000000000001</v>
      </c>
      <c r="E275" s="35">
        <f>'Fiscal Forecasts'!E$208</f>
        <v>13.705</v>
      </c>
      <c r="F275" s="35">
        <f>'Fiscal Forecasts'!F$208</f>
        <v>12.840999999999999</v>
      </c>
      <c r="G275" s="35">
        <f>'Fiscal Forecasts'!G$208</f>
        <v>13.805</v>
      </c>
      <c r="H275" s="35">
        <f>'Fiscal Forecasts'!H$208</f>
        <v>14.166</v>
      </c>
      <c r="I275" s="35">
        <f>'Fiscal Forecasts'!I$208</f>
        <v>15.346</v>
      </c>
      <c r="J275" s="17">
        <f>'Fiscal Forecasts'!J$208</f>
        <v>16.146999999999998</v>
      </c>
      <c r="K275" s="17">
        <f>'Fiscal Forecasts'!K$208</f>
        <v>16.46</v>
      </c>
      <c r="L275" s="17">
        <f>'Fiscal Forecasts'!L$208</f>
        <v>16.408999999999999</v>
      </c>
      <c r="M275" s="17">
        <f>'Fiscal Forecasts'!M$208</f>
        <v>16.244</v>
      </c>
      <c r="N275" s="17">
        <f>'Fiscal Forecasts'!N$208</f>
        <v>16.202999999999999</v>
      </c>
      <c r="O275" s="16">
        <f ca="1">N$275+SUM(O$267:O$270,O$273)-SUM(N$267:N$270,N$273)</f>
        <v>17.211667672554821</v>
      </c>
      <c r="P275" s="16">
        <f t="shared" ref="P275:X275" ca="1" si="168">O$275+SUM(P$267:P$270,P$273)-SUM(O$267:O$270,O$273)</f>
        <v>18.07566957150156</v>
      </c>
      <c r="Q275" s="16">
        <f t="shared" ca="1" si="168"/>
        <v>18.95475685784114</v>
      </c>
      <c r="R275" s="16">
        <f t="shared" ca="1" si="168"/>
        <v>19.849799250456442</v>
      </c>
      <c r="S275" s="16">
        <f t="shared" ca="1" si="168"/>
        <v>20.778160836473042</v>
      </c>
      <c r="T275" s="16">
        <f t="shared" ca="1" si="168"/>
        <v>21.731575790150444</v>
      </c>
      <c r="U275" s="16">
        <f t="shared" ca="1" si="168"/>
        <v>22.71371931363629</v>
      </c>
      <c r="V275" s="16">
        <f t="shared" ca="1" si="168"/>
        <v>23.715305952367501</v>
      </c>
      <c r="W275" s="16">
        <f t="shared" ca="1" si="168"/>
        <v>24.741901531092804</v>
      </c>
      <c r="X275" s="16">
        <f t="shared" ca="1" si="168"/>
        <v>25.800025185408089</v>
      </c>
    </row>
    <row r="276" spans="1:24" x14ac:dyDescent="0.25">
      <c r="A276" s="11" t="s">
        <v>866</v>
      </c>
      <c r="B276" s="10" t="str">
        <f>$B$38</f>
        <v>From Fiscal Forecasts</v>
      </c>
      <c r="D276" s="35">
        <f>'Fiscal Forecasts'!D$42-SUM(D$274:D$275)</f>
        <v>-10.441000000000001</v>
      </c>
      <c r="E276" s="35">
        <f>'Fiscal Forecasts'!E$42-SUM(E$274:E$275)</f>
        <v>-12.446000000000002</v>
      </c>
      <c r="F276" s="35">
        <f>'Fiscal Forecasts'!F$42-SUM(F$274:F$275)</f>
        <v>-11.496000000000002</v>
      </c>
      <c r="G276" s="35">
        <f>'Fiscal Forecasts'!G$42-SUM(G$274:G$275)</f>
        <v>-12.916999999999998</v>
      </c>
      <c r="H276" s="35">
        <f>'Fiscal Forecasts'!H$42-SUM(H$274:H$275)</f>
        <v>-12.96</v>
      </c>
      <c r="I276" s="35">
        <f>'Fiscal Forecasts'!I$42-SUM(I$274:I$275)</f>
        <v>-14.383000000000003</v>
      </c>
      <c r="J276" s="17">
        <f ca="1">'Fiscal Forecasts'!J$42-SUM(J$274:J$275)+IF(OFFSET(Assumptions!$B$56,0,$C$1)="Yes",Allocation!C$16,0)</f>
        <v>-14.744999999999992</v>
      </c>
      <c r="K276" s="17">
        <f ca="1">'Fiscal Forecasts'!K$42-SUM(K$274:K$275)+IF(OFFSET(Assumptions!$B$56,0,$C$1)="Yes",Allocation!D$16,0)</f>
        <v>-14.964999999999998</v>
      </c>
      <c r="L276" s="17">
        <f ca="1">'Fiscal Forecasts'!L$42-SUM(L$274:L$275)+IF(OFFSET(Assumptions!$B$56,0,$C$1)="Yes",Allocation!E$16,0)</f>
        <v>-14.852999999999998</v>
      </c>
      <c r="M276" s="17">
        <f ca="1">'Fiscal Forecasts'!M$42-SUM(M$274:M$275)+IF(OFFSET(Assumptions!$B$56,0,$C$1)="Yes",Allocation!F$16,0)</f>
        <v>-14.611999999999997</v>
      </c>
      <c r="N276" s="17">
        <f ca="1">'Fiscal Forecasts'!N$42-SUM(N$274:N$275)+IF(OFFSET(Assumptions!$B$56,0,$C$1)="Yes",Allocation!G$16,0)</f>
        <v>-14.517999999999999</v>
      </c>
      <c r="O276" s="16">
        <f ca="1">N$276-(SUM(O$267:O$270,O$273)-SUM(N$267:N$270,N$273))</f>
        <v>-15.52666767255482</v>
      </c>
      <c r="P276" s="16">
        <f t="shared" ref="P276:X276" ca="1" si="169">O$276-(SUM(P$267:P$270,P$273)-SUM(O$267:O$270,O$273))</f>
        <v>-16.390669571501562</v>
      </c>
      <c r="Q276" s="16">
        <f t="shared" ca="1" si="169"/>
        <v>-17.269756857841145</v>
      </c>
      <c r="R276" s="16">
        <f t="shared" ca="1" si="169"/>
        <v>-18.164799250456447</v>
      </c>
      <c r="S276" s="16">
        <f t="shared" ca="1" si="169"/>
        <v>-19.093160836473047</v>
      </c>
      <c r="T276" s="16">
        <f t="shared" ca="1" si="169"/>
        <v>-20.046575790150449</v>
      </c>
      <c r="U276" s="16">
        <f t="shared" ca="1" si="169"/>
        <v>-21.028719313636294</v>
      </c>
      <c r="V276" s="16">
        <f t="shared" ca="1" si="169"/>
        <v>-22.03030595236751</v>
      </c>
      <c r="W276" s="16">
        <f t="shared" ca="1" si="169"/>
        <v>-23.056901531092812</v>
      </c>
      <c r="X276" s="16">
        <f t="shared" ca="1" si="169"/>
        <v>-24.115025185408093</v>
      </c>
    </row>
    <row r="277" spans="1:24" x14ac:dyDescent="0.25">
      <c r="A277" s="9" t="s">
        <v>982</v>
      </c>
      <c r="D277" s="65">
        <f t="shared" ref="D277:I277" si="170">SUM(D$274:D$276)</f>
        <v>15.28</v>
      </c>
      <c r="E277" s="65">
        <f t="shared" si="170"/>
        <v>17.581</v>
      </c>
      <c r="F277" s="65">
        <f t="shared" si="170"/>
        <v>17.384</v>
      </c>
      <c r="G277" s="65">
        <f t="shared" si="170"/>
        <v>18.911000000000001</v>
      </c>
      <c r="H277" s="65">
        <f t="shared" si="170"/>
        <v>19.609000000000002</v>
      </c>
      <c r="I277" s="65">
        <f t="shared" si="170"/>
        <v>21.186</v>
      </c>
      <c r="J277" s="66">
        <f t="shared" ref="J277:X277" ca="1" si="171">SUM(J$274:J$276)</f>
        <v>21.608000000000004</v>
      </c>
      <c r="K277" s="66">
        <f t="shared" ca="1" si="171"/>
        <v>23.166000000000004</v>
      </c>
      <c r="L277" s="66">
        <f t="shared" ca="1" si="171"/>
        <v>23.861000000000001</v>
      </c>
      <c r="M277" s="66">
        <f t="shared" ca="1" si="171"/>
        <v>24.438000000000002</v>
      </c>
      <c r="N277" s="66">
        <f t="shared" ca="1" si="171"/>
        <v>25.18</v>
      </c>
      <c r="O277" s="67">
        <f t="shared" ca="1" si="171"/>
        <v>26.209292532296587</v>
      </c>
      <c r="P277" s="67">
        <f t="shared" ca="1" si="171"/>
        <v>27.107615261148425</v>
      </c>
      <c r="Q277" s="67">
        <f t="shared" ca="1" si="171"/>
        <v>28.020880635928371</v>
      </c>
      <c r="R277" s="67">
        <f t="shared" ca="1" si="171"/>
        <v>28.949251449588296</v>
      </c>
      <c r="S277" s="67">
        <f t="shared" ca="1" si="171"/>
        <v>29.909415256602955</v>
      </c>
      <c r="T277" s="67">
        <f t="shared" ca="1" si="171"/>
        <v>30.894647594843626</v>
      </c>
      <c r="U277" s="67">
        <f t="shared" ca="1" si="171"/>
        <v>31.907261957543554</v>
      </c>
      <c r="V277" s="67">
        <f t="shared" ca="1" si="171"/>
        <v>32.938532510098412</v>
      </c>
      <c r="W277" s="67">
        <f t="shared" ca="1" si="171"/>
        <v>33.996174496468036</v>
      </c>
      <c r="X277" s="67">
        <f t="shared" ca="1" si="171"/>
        <v>35.086085187473323</v>
      </c>
    </row>
    <row r="279" spans="1:24" x14ac:dyDescent="0.25">
      <c r="A279" s="9" t="s">
        <v>983</v>
      </c>
    </row>
    <row r="280" spans="1:24" x14ac:dyDescent="0.25">
      <c r="A280" s="11" t="s">
        <v>984</v>
      </c>
      <c r="D280" s="35">
        <f t="shared" ref="D280:X280" si="172">D$386</f>
        <v>0.13</v>
      </c>
      <c r="E280" s="35">
        <f t="shared" si="172"/>
        <v>0.15</v>
      </c>
      <c r="F280" s="35">
        <f t="shared" si="172"/>
        <v>0.125</v>
      </c>
      <c r="G280" s="35">
        <f t="shared" si="172"/>
        <v>-0.51700000000000002</v>
      </c>
      <c r="H280" s="35">
        <f t="shared" si="172"/>
        <v>1.054</v>
      </c>
      <c r="I280" s="35">
        <f t="shared" si="172"/>
        <v>0.189</v>
      </c>
      <c r="J280" s="17">
        <f t="shared" si="172"/>
        <v>0.253</v>
      </c>
      <c r="K280" s="17">
        <f t="shared" si="172"/>
        <v>0.314</v>
      </c>
      <c r="L280" s="17">
        <f t="shared" si="172"/>
        <v>0.33600000000000002</v>
      </c>
      <c r="M280" s="17">
        <f t="shared" si="172"/>
        <v>0.36</v>
      </c>
      <c r="N280" s="17">
        <f t="shared" si="172"/>
        <v>0.38700000000000001</v>
      </c>
      <c r="O280" s="16">
        <f t="shared" si="172"/>
        <v>0.40498692258685287</v>
      </c>
      <c r="P280" s="16">
        <f t="shared" si="172"/>
        <v>0.4290963400981489</v>
      </c>
      <c r="Q280" s="16">
        <f t="shared" si="172"/>
        <v>0.45411227529667048</v>
      </c>
      <c r="R280" s="16">
        <f t="shared" si="172"/>
        <v>0.47990498066057363</v>
      </c>
      <c r="S280" s="16">
        <f t="shared" si="172"/>
        <v>0.50634223057610017</v>
      </c>
      <c r="T280" s="16">
        <f t="shared" si="172"/>
        <v>0.53340778741471007</v>
      </c>
      <c r="U280" s="16">
        <f t="shared" si="172"/>
        <v>0.56106866972067093</v>
      </c>
      <c r="V280" s="16">
        <f t="shared" si="172"/>
        <v>0.58929195862916683</v>
      </c>
      <c r="W280" s="16">
        <f t="shared" si="172"/>
        <v>0.61827941534955011</v>
      </c>
      <c r="X280" s="16">
        <f t="shared" si="172"/>
        <v>0.64836147366566821</v>
      </c>
    </row>
    <row r="281" spans="1:24" x14ac:dyDescent="0.25">
      <c r="A281" s="11" t="s">
        <v>985</v>
      </c>
      <c r="D281" s="35">
        <f t="shared" ref="D281:X281" si="173">D$193</f>
        <v>0.70799999999999996</v>
      </c>
      <c r="E281" s="35">
        <f t="shared" si="173"/>
        <v>0.73599999999999999</v>
      </c>
      <c r="F281" s="35">
        <f t="shared" si="173"/>
        <v>0.80400000000000005</v>
      </c>
      <c r="G281" s="35">
        <f t="shared" si="173"/>
        <v>0.82699999999999996</v>
      </c>
      <c r="H281" s="35">
        <f t="shared" si="173"/>
        <v>0.97099999999999997</v>
      </c>
      <c r="I281" s="35">
        <f t="shared" si="173"/>
        <v>1.202</v>
      </c>
      <c r="J281" s="17">
        <f t="shared" si="173"/>
        <v>1.1160000000000001</v>
      </c>
      <c r="K281" s="17">
        <f t="shared" si="173"/>
        <v>0.995</v>
      </c>
      <c r="L281" s="17">
        <f t="shared" si="173"/>
        <v>0.94099999999999995</v>
      </c>
      <c r="M281" s="17">
        <f t="shared" si="173"/>
        <v>0.94099999999999995</v>
      </c>
      <c r="N281" s="17">
        <f t="shared" si="173"/>
        <v>0.94099999999999995</v>
      </c>
      <c r="O281" s="16">
        <f t="shared" si="173"/>
        <v>0.94099999999999995</v>
      </c>
      <c r="P281" s="16">
        <f t="shared" si="173"/>
        <v>0.94099999999999995</v>
      </c>
      <c r="Q281" s="16">
        <f t="shared" si="173"/>
        <v>0.94099999999999995</v>
      </c>
      <c r="R281" s="16">
        <f t="shared" si="173"/>
        <v>0.94099999999999995</v>
      </c>
      <c r="S281" s="16">
        <f t="shared" si="173"/>
        <v>0.94099999999999995</v>
      </c>
      <c r="T281" s="16">
        <f t="shared" si="173"/>
        <v>0.94099999999999995</v>
      </c>
      <c r="U281" s="16">
        <f t="shared" si="173"/>
        <v>0.94099999999999995</v>
      </c>
      <c r="V281" s="16">
        <f t="shared" si="173"/>
        <v>0.94099999999999995</v>
      </c>
      <c r="W281" s="16">
        <f t="shared" si="173"/>
        <v>0.94099999999999995</v>
      </c>
      <c r="X281" s="16">
        <f t="shared" si="173"/>
        <v>0.94099999999999995</v>
      </c>
    </row>
    <row r="282" spans="1:24" x14ac:dyDescent="0.25">
      <c r="A282" s="11" t="s">
        <v>986</v>
      </c>
      <c r="B282" s="10" t="s">
        <v>989</v>
      </c>
      <c r="D282" s="35">
        <f>Exogenous!O$39</f>
        <v>0.82899999999999996</v>
      </c>
      <c r="E282" s="35">
        <f>Exogenous!P$39</f>
        <v>1.3560000000000001</v>
      </c>
      <c r="F282" s="35">
        <f>Exogenous!Q$39</f>
        <v>0.88200000000000001</v>
      </c>
      <c r="G282" s="35">
        <f>Exogenous!R$39</f>
        <v>0.66200000000000003</v>
      </c>
      <c r="H282" s="35">
        <f>Exogenous!S$39</f>
        <v>1.4530000000000001</v>
      </c>
      <c r="I282" s="35">
        <f>Exogenous!T$39</f>
        <v>2.3929999999999998</v>
      </c>
      <c r="J282" s="17">
        <f>Exogenous!U$39</f>
        <v>1.994</v>
      </c>
      <c r="K282" s="17">
        <f>Exogenous!V$39</f>
        <v>1.52</v>
      </c>
      <c r="L282" s="17">
        <f>Exogenous!W$39</f>
        <v>1.425</v>
      </c>
      <c r="M282" s="17">
        <f>Exogenous!X$39</f>
        <v>1.238</v>
      </c>
      <c r="N282" s="17">
        <f>Exogenous!Y$39</f>
        <v>1.238</v>
      </c>
      <c r="O282" s="16">
        <f t="shared" ref="O282:X282" ca="1" si="174">N$282*O$142/N$142</f>
        <v>1.2854607655512149</v>
      </c>
      <c r="P282" s="16">
        <f t="shared" ca="1" si="174"/>
        <v>1.3382317611796564</v>
      </c>
      <c r="Q282" s="16">
        <f t="shared" ca="1" si="174"/>
        <v>1.3926302293240715</v>
      </c>
      <c r="R282" s="16">
        <f t="shared" ca="1" si="174"/>
        <v>1.4471866698592484</v>
      </c>
      <c r="S282" s="16">
        <f t="shared" ca="1" si="174"/>
        <v>1.5029328600455183</v>
      </c>
      <c r="T282" s="16">
        <f t="shared" ca="1" si="174"/>
        <v>1.5597829402393923</v>
      </c>
      <c r="U282" s="16">
        <f t="shared" ca="1" si="174"/>
        <v>1.6173963268725879</v>
      </c>
      <c r="V282" s="16">
        <f t="shared" ca="1" si="174"/>
        <v>1.6758743965777725</v>
      </c>
      <c r="W282" s="16">
        <f t="shared" ca="1" si="174"/>
        <v>1.7352007866578412</v>
      </c>
      <c r="X282" s="16">
        <f t="shared" ca="1" si="174"/>
        <v>1.7958255617751693</v>
      </c>
    </row>
    <row r="283" spans="1:24" x14ac:dyDescent="0.25">
      <c r="A283" s="11" t="s">
        <v>997</v>
      </c>
      <c r="B283" s="10" t="str">
        <f>$B$38</f>
        <v>From Fiscal Forecasts</v>
      </c>
      <c r="C283" s="64" cm="1">
        <f t="array" aca="1" ref="C283" ca="1">SUMPRODUCT(OFFSET($N$283,0,0,1,-OFFSET(Assumptions!$B$59,0,$C$1))/OFFSET($N$13,0,0,1,-OFFSET(Assumptions!$B$59,0,$C$1)))/OFFSET(Assumptions!$B$59,0,$C$1)</f>
        <v>1.0109390389915447E-2</v>
      </c>
      <c r="D283" s="35">
        <f>'Fiscal Forecasts'!D$60-SUM(D$280:D$282)</f>
        <v>3.4990000000000006</v>
      </c>
      <c r="E283" s="35">
        <f>'Fiscal Forecasts'!E$60-SUM(E$280:E$282)</f>
        <v>3.8410000000000002</v>
      </c>
      <c r="F283" s="35">
        <f>'Fiscal Forecasts'!F$60-SUM(F$280:F$282)</f>
        <v>3.9429999999999996</v>
      </c>
      <c r="G283" s="35">
        <f>'Fiscal Forecasts'!G$60-SUM(G$280:G$282)</f>
        <v>4.7479999999999993</v>
      </c>
      <c r="H283" s="35">
        <f>'Fiscal Forecasts'!H$60-SUM(H$280:H$282)</f>
        <v>3.3280000000000003</v>
      </c>
      <c r="I283" s="35">
        <f>'Fiscal Forecasts'!I$60-SUM(I$280:I$282)</f>
        <v>4.6840000000000002</v>
      </c>
      <c r="J283" s="17">
        <f ca="1">'Fiscal Forecasts'!J$60-SUM(J$280:J$282)+IF(OFFSET(Assumptions!$B$56,0,$C$1)="Yes",Allocation!C$17,0)</f>
        <v>4.7039999999999988</v>
      </c>
      <c r="K283" s="17">
        <f ca="1">'Fiscal Forecasts'!K$60-SUM(K$280:K$282)+IF(OFFSET(Assumptions!$B$56,0,$C$1)="Yes",Allocation!D$17,0)</f>
        <v>3.96</v>
      </c>
      <c r="L283" s="17">
        <f ca="1">'Fiscal Forecasts'!L$60-SUM(L$280:L$282)+IF(OFFSET(Assumptions!$B$56,0,$C$1)="Yes",Allocation!E$17,0)</f>
        <v>4.3689999999999998</v>
      </c>
      <c r="M283" s="17">
        <f ca="1">'Fiscal Forecasts'!M$60-SUM(M$280:M$282)+IF(OFFSET(Assumptions!$B$56,0,$C$1)="Yes",Allocation!F$17,0)</f>
        <v>4.1059999999999999</v>
      </c>
      <c r="N283" s="17">
        <f ca="1">'Fiscal Forecasts'!N$60-SUM(N$280:N$282)+IF(OFFSET(Assumptions!$B$56,0,$C$1)="Yes",Allocation!G$17,0)</f>
        <v>4.3420000000000005</v>
      </c>
      <c r="O283" s="16">
        <f ca="1">N$283+IF(OFFSET(Assumptions!$B$57,0,$C$1)="Yes",Allocation!$B$17*O$247,IF(OFFSET(Assumptions!$B$58,0,$C$1)="Yes",(N$283/N$13+MIN(ABS($C$283-N$283/N$13),OFFSET(Assumptions!$B$60,0,$C$1))*SIGN($C$283-N$283/N$13))*O$13-N$283,0))</f>
        <v>4.8027149234659801</v>
      </c>
      <c r="P283" s="16">
        <f ca="1">O$283+IF(OFFSET(Assumptions!$B$57,0,$C$1)="Yes",Allocation!$B$17*P$247,IF(OFFSET(Assumptions!$B$58,0,$C$1)="Yes",(O$283/O$13+MIN(ABS($C$283-O$283/O$13),OFFSET(Assumptions!$B$60,0,$C$1))*SIGN($C$283-O$283/O$13))*P$13-O$283,0))</f>
        <v>5.2925789655538136</v>
      </c>
      <c r="Q283" s="16">
        <f ca="1">P$283+IF(OFFSET(Assumptions!$B$57,0,$C$1)="Yes",Allocation!$B$17*Q$247,IF(OFFSET(Assumptions!$B$58,0,$C$1)="Yes",(P$283/P$13+MIN(ABS($C$283-P$283/P$13),OFFSET(Assumptions!$B$60,0,$C$1))*SIGN($C$283-P$283/P$13))*Q$13-P$283,0))</f>
        <v>5.8062567960541971</v>
      </c>
      <c r="R283" s="16">
        <f ca="1">Q$283+IF(OFFSET(Assumptions!$B$57,0,$C$1)="Yes",Allocation!$B$17*R$247,IF(OFFSET(Assumptions!$B$58,0,$C$1)="Yes",(Q$283/Q$13+MIN(ABS($C$283-Q$283/Q$13),OFFSET(Assumptions!$B$60,0,$C$1))*SIGN($C$283-Q$283/Q$13))*R$13-Q$283,0))</f>
        <v>6.23538072116395</v>
      </c>
      <c r="S283" s="16">
        <f ca="1">R$283+IF(OFFSET(Assumptions!$B$57,0,$C$1)="Yes",Allocation!$B$17*S$247,IF(OFFSET(Assumptions!$B$58,0,$C$1)="Yes",(R$283/R$13+MIN(ABS($C$283-R$283/R$13),OFFSET(Assumptions!$B$60,0,$C$1))*SIGN($C$283-R$283/R$13))*S$13-R$283,0))</f>
        <v>6.4768151466774135</v>
      </c>
      <c r="T283" s="16">
        <f ca="1">S$283+IF(OFFSET(Assumptions!$B$57,0,$C$1)="Yes",Allocation!$B$17*T$247,IF(OFFSET(Assumptions!$B$58,0,$C$1)="Yes",(S$283/S$13+MIN(ABS($C$283-S$283/S$13),OFFSET(Assumptions!$B$60,0,$C$1))*SIGN($C$283-S$283/S$13))*T$13-S$283,0))</f>
        <v>6.7230898189034765</v>
      </c>
      <c r="U283" s="16">
        <f ca="1">T$283+IF(OFFSET(Assumptions!$B$57,0,$C$1)="Yes",Allocation!$B$17*U$247,IF(OFFSET(Assumptions!$B$58,0,$C$1)="Yes",(T$283/T$13+MIN(ABS($C$283-T$283/T$13),OFFSET(Assumptions!$B$60,0,$C$1))*SIGN($C$283-T$283/T$13))*U$13-T$283,0))</f>
        <v>6.9726480841658933</v>
      </c>
      <c r="V283" s="16">
        <f ca="1">U$283+IF(OFFSET(Assumptions!$B$57,0,$C$1)="Yes",Allocation!$B$17*V$247,IF(OFFSET(Assumptions!$B$58,0,$C$1)="Yes",(U$283/U$13+MIN(ABS($C$283-U$283/U$13),OFFSET(Assumptions!$B$60,0,$C$1))*SIGN($C$283-U$283/U$13))*V$13-U$283,0))</f>
        <v>7.225958409790799</v>
      </c>
      <c r="W283" s="16">
        <f ca="1">V$283+IF(OFFSET(Assumptions!$B$57,0,$C$1)="Yes",Allocation!$B$17*W$247,IF(OFFSET(Assumptions!$B$58,0,$C$1)="Yes",(V$283/V$13+MIN(ABS($C$283-V$283/V$13),OFFSET(Assumptions!$B$60,0,$C$1))*SIGN($C$283-V$283/V$13))*W$13-V$283,0))</f>
        <v>7.483011358325558</v>
      </c>
      <c r="X283" s="16">
        <f ca="1">W$283+IF(OFFSET(Assumptions!$B$57,0,$C$1)="Yes",Allocation!$B$17*X$247,IF(OFFSET(Assumptions!$B$58,0,$C$1)="Yes",(W$283/W$13+MIN(ABS($C$283-W$283/W$13),OFFSET(Assumptions!$B$60,0,$C$1))*SIGN($C$283-W$283/W$13))*X$13-W$283,0))</f>
        <v>7.7457439598201363</v>
      </c>
    </row>
    <row r="284" spans="1:24" x14ac:dyDescent="0.25">
      <c r="A284" s="9" t="s">
        <v>987</v>
      </c>
      <c r="D284" s="65">
        <f t="shared" ref="D284:X284" si="175">SUM(D$280:D$283)</f>
        <v>5.1660000000000004</v>
      </c>
      <c r="E284" s="65">
        <f t="shared" si="175"/>
        <v>6.0830000000000002</v>
      </c>
      <c r="F284" s="65">
        <f t="shared" si="175"/>
        <v>5.7539999999999996</v>
      </c>
      <c r="G284" s="65">
        <f t="shared" si="175"/>
        <v>5.7199999999999989</v>
      </c>
      <c r="H284" s="65">
        <f t="shared" si="175"/>
        <v>6.806</v>
      </c>
      <c r="I284" s="65">
        <f t="shared" si="175"/>
        <v>8.468</v>
      </c>
      <c r="J284" s="66">
        <f t="shared" ca="1" si="175"/>
        <v>8.0670000000000002</v>
      </c>
      <c r="K284" s="66">
        <f t="shared" ca="1" si="175"/>
        <v>6.7889999999999997</v>
      </c>
      <c r="L284" s="66">
        <f t="shared" ca="1" si="175"/>
        <v>7.0709999999999997</v>
      </c>
      <c r="M284" s="66">
        <f t="shared" ca="1" si="175"/>
        <v>6.6449999999999996</v>
      </c>
      <c r="N284" s="66">
        <f t="shared" ca="1" si="175"/>
        <v>6.9080000000000004</v>
      </c>
      <c r="O284" s="67">
        <f t="shared" ca="1" si="175"/>
        <v>7.434162611604048</v>
      </c>
      <c r="P284" s="67">
        <f t="shared" ca="1" si="175"/>
        <v>8.0009070668316191</v>
      </c>
      <c r="Q284" s="67">
        <f t="shared" ca="1" si="175"/>
        <v>8.5939993006749393</v>
      </c>
      <c r="R284" s="67">
        <f t="shared" ca="1" si="175"/>
        <v>9.1034723716837718</v>
      </c>
      <c r="S284" s="67">
        <f t="shared" ca="1" si="175"/>
        <v>9.4270902372990317</v>
      </c>
      <c r="T284" s="67">
        <f t="shared" ca="1" si="175"/>
        <v>9.7572805465575794</v>
      </c>
      <c r="U284" s="67">
        <f t="shared" ca="1" si="175"/>
        <v>10.092113080759152</v>
      </c>
      <c r="V284" s="67">
        <f t="shared" ca="1" si="175"/>
        <v>10.432124764997738</v>
      </c>
      <c r="W284" s="67">
        <f t="shared" ca="1" si="175"/>
        <v>10.777491560332949</v>
      </c>
      <c r="X284" s="67">
        <f t="shared" ca="1" si="175"/>
        <v>11.130930995260973</v>
      </c>
    </row>
    <row r="285" spans="1:24" x14ac:dyDescent="0.25">
      <c r="A285" s="9" t="s">
        <v>988</v>
      </c>
      <c r="B285" s="10" t="str">
        <f>$B$38</f>
        <v>From Fiscal Forecasts</v>
      </c>
      <c r="D285" s="42">
        <f>'Fiscal Forecasts'!D$43</f>
        <v>4.7320000000000002</v>
      </c>
      <c r="E285" s="42">
        <f>'Fiscal Forecasts'!E$43</f>
        <v>5.8689999999999998</v>
      </c>
      <c r="F285" s="42">
        <f>'Fiscal Forecasts'!F$43</f>
        <v>5.6020000000000003</v>
      </c>
      <c r="G285" s="42">
        <f>'Fiscal Forecasts'!G$43</f>
        <v>5.4260000000000002</v>
      </c>
      <c r="H285" s="42">
        <f>'Fiscal Forecasts'!H$43</f>
        <v>6.6630000000000003</v>
      </c>
      <c r="I285" s="42">
        <f>'Fiscal Forecasts'!I$43</f>
        <v>8.1780000000000008</v>
      </c>
      <c r="J285" s="43">
        <f ca="1">'Fiscal Forecasts'!J$43+IF(OFFSET(Assumptions!$B$56,0,$C$1)="Yes",Allocation!C$17,0)</f>
        <v>7.7389999999999999</v>
      </c>
      <c r="K285" s="43">
        <f ca="1">'Fiscal Forecasts'!K$43+IF(OFFSET(Assumptions!$B$56,0,$C$1)="Yes",Allocation!D$17,0)</f>
        <v>6.6179999999999994</v>
      </c>
      <c r="L285" s="43">
        <f ca="1">'Fiscal Forecasts'!L$43+IF(OFFSET(Assumptions!$B$56,0,$C$1)="Yes",Allocation!E$17,0)</f>
        <v>6.9809999999999999</v>
      </c>
      <c r="M285" s="43">
        <f ca="1">'Fiscal Forecasts'!M$43+IF(OFFSET(Assumptions!$B$56,0,$C$1)="Yes",Allocation!F$17,0)</f>
        <v>6.5049999999999999</v>
      </c>
      <c r="N285" s="43">
        <f ca="1">'Fiscal Forecasts'!N$43+IF(OFFSET(Assumptions!$B$56,0,$C$1)="Yes",Allocation!G$17,0)</f>
        <v>6.8120000000000003</v>
      </c>
      <c r="O285" s="47">
        <f t="shared" ref="O285:X285" ca="1" si="176">O$284+N$285-N$284</f>
        <v>7.3381626116040488</v>
      </c>
      <c r="P285" s="47">
        <f t="shared" ca="1" si="176"/>
        <v>7.904907066831619</v>
      </c>
      <c r="Q285" s="47">
        <f t="shared" ca="1" si="176"/>
        <v>8.4979993006749375</v>
      </c>
      <c r="R285" s="47">
        <f t="shared" ca="1" si="176"/>
        <v>9.0074723716837699</v>
      </c>
      <c r="S285" s="47">
        <f t="shared" ca="1" si="176"/>
        <v>9.3310902372990299</v>
      </c>
      <c r="T285" s="47">
        <f t="shared" ca="1" si="176"/>
        <v>9.6612805465575793</v>
      </c>
      <c r="U285" s="47">
        <f t="shared" ca="1" si="176"/>
        <v>9.9961130807591534</v>
      </c>
      <c r="V285" s="47">
        <f t="shared" ca="1" si="176"/>
        <v>10.336124764997738</v>
      </c>
      <c r="W285" s="47">
        <f t="shared" ca="1" si="176"/>
        <v>10.681491560332951</v>
      </c>
      <c r="X285" s="47">
        <f t="shared" ca="1" si="176"/>
        <v>11.034930995260977</v>
      </c>
    </row>
    <row r="287" spans="1:24" x14ac:dyDescent="0.25">
      <c r="A287" s="9" t="s">
        <v>990</v>
      </c>
    </row>
    <row r="288" spans="1:24" x14ac:dyDescent="0.25">
      <c r="A288" s="9" t="s">
        <v>991</v>
      </c>
      <c r="B288" s="10" t="str">
        <f>$B$38</f>
        <v>From Fiscal Forecasts</v>
      </c>
      <c r="C288" s="64" cm="1">
        <f t="array" aca="1" ref="C288" ca="1">SUMPRODUCT(OFFSET($N$288,0,0,1,-OFFSET(Assumptions!$B$59,0,$C$1))/OFFSET($N$13,0,0,1,-OFFSET(Assumptions!$B$59,0,$C$1)))/OFFSET(Assumptions!$B$59,0,$C$1)</f>
        <v>1.5423850390844965E-2</v>
      </c>
      <c r="D288" s="42">
        <f>'Fiscal Forecasts'!D$61</f>
        <v>4.625</v>
      </c>
      <c r="E288" s="42">
        <f>'Fiscal Forecasts'!E$61</f>
        <v>4.9109999999999996</v>
      </c>
      <c r="F288" s="42">
        <f>'Fiscal Forecasts'!F$61</f>
        <v>5.202</v>
      </c>
      <c r="G288" s="42">
        <f>'Fiscal Forecasts'!G$61</f>
        <v>5.444</v>
      </c>
      <c r="H288" s="42">
        <f>'Fiscal Forecasts'!H$61</f>
        <v>6.165</v>
      </c>
      <c r="I288" s="42">
        <f>'Fiscal Forecasts'!I$61</f>
        <v>6.5270000000000001</v>
      </c>
      <c r="J288" s="43">
        <f ca="1">'Fiscal Forecasts'!J$61+IF(OFFSET(Assumptions!$B$56,0,$C$1)="Yes",Allocation!C$18,0)</f>
        <v>6.7349999999999994</v>
      </c>
      <c r="K288" s="43">
        <f ca="1">'Fiscal Forecasts'!K$61+IF(OFFSET(Assumptions!$B$56,0,$C$1)="Yes",Allocation!D$18,0)</f>
        <v>7.4159999999999995</v>
      </c>
      <c r="L288" s="43">
        <f ca="1">'Fiscal Forecasts'!L$61+IF(OFFSET(Assumptions!$B$56,0,$C$1)="Yes",Allocation!E$18,0)</f>
        <v>7.577</v>
      </c>
      <c r="M288" s="43">
        <f ca="1">'Fiscal Forecasts'!M$61+IF(OFFSET(Assumptions!$B$56,0,$C$1)="Yes",Allocation!F$18,0)</f>
        <v>7.6660000000000004</v>
      </c>
      <c r="N288" s="43">
        <f ca="1">'Fiscal Forecasts'!N$61+IF(OFFSET(Assumptions!$B$56,0,$C$1)="Yes",Allocation!G$18,0)</f>
        <v>7.8529999999999998</v>
      </c>
      <c r="O288" s="47">
        <f ca="1">N$288+IF(OFFSET(Assumptions!$B$57,0,$C$1)="Yes",Allocation!$B$18*O$247,IF(OFFSET(Assumptions!$B$58,0,$C$1)="Yes",(N$288/N$13+MIN(ABS($C$288-N$288/N$13),OFFSET(Assumptions!$B$60,0,$C$1))*SIGN($C$288-N$288/N$13))*O$13-N$288,0))</f>
        <v>8.4327831657707613</v>
      </c>
      <c r="P288" s="47">
        <f ca="1">O$288+IF(OFFSET(Assumptions!$B$57,0,$C$1)="Yes",Allocation!$B$18*P$247,IF(OFFSET(Assumptions!$B$58,0,$C$1)="Yes",(O$288/O$13+MIN(ABS($C$288-O$288/O$13),OFFSET(Assumptions!$B$60,0,$C$1))*SIGN($C$288-O$288/O$13))*P$13-O$288,0))</f>
        <v>8.7924427045112736</v>
      </c>
      <c r="Q288" s="47">
        <f ca="1">P$288+IF(OFFSET(Assumptions!$B$57,0,$C$1)="Yes",Allocation!$B$18*Q$247,IF(OFFSET(Assumptions!$B$58,0,$C$1)="Yes",(P$288/P$13+MIN(ABS($C$288-P$288/P$13),OFFSET(Assumptions!$B$60,0,$C$1))*SIGN($C$288-P$288/P$13))*Q$13-P$288,0))</f>
        <v>9.1528831623735059</v>
      </c>
      <c r="R288" s="47">
        <f ca="1">Q$288+IF(OFFSET(Assumptions!$B$57,0,$C$1)="Yes",Allocation!$B$18*R$247,IF(OFFSET(Assumptions!$B$58,0,$C$1)="Yes",(Q$288/Q$13+MIN(ABS($C$288-Q$288/Q$13),OFFSET(Assumptions!$B$60,0,$C$1))*SIGN($C$288-Q$288/Q$13))*R$13-Q$288,0))</f>
        <v>9.5132916688160591</v>
      </c>
      <c r="S288" s="47">
        <f ca="1">R$288+IF(OFFSET(Assumptions!$B$57,0,$C$1)="Yes",Allocation!$B$18*S$247,IF(OFFSET(Assumptions!$B$58,0,$C$1)="Yes",(R$288/R$13+MIN(ABS($C$288-R$288/R$13),OFFSET(Assumptions!$B$60,0,$C$1))*SIGN($C$288-R$288/R$13))*S$13-R$288,0))</f>
        <v>9.8816470606539255</v>
      </c>
      <c r="T288" s="47">
        <f ca="1">S$288+IF(OFFSET(Assumptions!$B$57,0,$C$1)="Yes",Allocation!$B$18*T$247,IF(OFFSET(Assumptions!$B$58,0,$C$1)="Yes",(S$288/S$13+MIN(ABS($C$288-S$288/S$13),OFFSET(Assumptions!$B$60,0,$C$1))*SIGN($C$288-S$288/S$13))*T$13-S$288,0))</f>
        <v>10.257387194624648</v>
      </c>
      <c r="U288" s="47">
        <f ca="1">T$288+IF(OFFSET(Assumptions!$B$57,0,$C$1)="Yes",Allocation!$B$18*U$247,IF(OFFSET(Assumptions!$B$58,0,$C$1)="Yes",(T$288/T$13+MIN(ABS($C$288-T$288/T$13),OFFSET(Assumptions!$B$60,0,$C$1))*SIGN($C$288-T$288/T$13))*U$13-T$288,0))</f>
        <v>10.638137091378663</v>
      </c>
      <c r="V288" s="47">
        <f ca="1">U$288+IF(OFFSET(Assumptions!$B$57,0,$C$1)="Yes",Allocation!$B$18*V$247,IF(OFFSET(Assumptions!$B$58,0,$C$1)="Yes",(U$288/U$13+MIN(ABS($C$288-U$288/U$13),OFFSET(Assumptions!$B$60,0,$C$1))*SIGN($C$288-U$288/U$13))*V$13-U$288,0))</f>
        <v>11.024611489359394</v>
      </c>
      <c r="W288" s="47">
        <f ca="1">V$288+IF(OFFSET(Assumptions!$B$57,0,$C$1)="Yes",Allocation!$B$18*W$247,IF(OFFSET(Assumptions!$B$58,0,$C$1)="Yes",(V$288/V$13+MIN(ABS($C$288-V$288/V$13),OFFSET(Assumptions!$B$60,0,$C$1))*SIGN($C$288-V$288/V$13))*W$13-V$288,0))</f>
        <v>11.416795989888794</v>
      </c>
      <c r="X288" s="47">
        <f ca="1">W$288+IF(OFFSET(Assumptions!$B$57,0,$C$1)="Yes",Allocation!$B$18*X$247,IF(OFFSET(Assumptions!$B$58,0,$C$1)="Yes",(W$288/W$13+MIN(ABS($C$288-W$288/W$13),OFFSET(Assumptions!$B$60,0,$C$1))*SIGN($C$288-W$288/W$13))*X$13-W$288,0))</f>
        <v>11.817645910799182</v>
      </c>
    </row>
    <row r="289" spans="1:24" x14ac:dyDescent="0.25">
      <c r="A289" s="9" t="s">
        <v>992</v>
      </c>
      <c r="B289" s="10" t="str">
        <f>$B$38</f>
        <v>From Fiscal Forecasts</v>
      </c>
      <c r="D289" s="42">
        <f>'Fiscal Forecasts'!D$44</f>
        <v>5.05</v>
      </c>
      <c r="E289" s="42">
        <f>'Fiscal Forecasts'!E$44</f>
        <v>5.3040000000000003</v>
      </c>
      <c r="F289" s="42">
        <f>'Fiscal Forecasts'!F$44</f>
        <v>5.5330000000000004</v>
      </c>
      <c r="G289" s="42">
        <f>'Fiscal Forecasts'!G$44</f>
        <v>5.9210000000000003</v>
      </c>
      <c r="H289" s="42">
        <f>'Fiscal Forecasts'!H$44</f>
        <v>6.6660000000000004</v>
      </c>
      <c r="I289" s="42">
        <f>'Fiscal Forecasts'!I$44</f>
        <v>7.0720000000000001</v>
      </c>
      <c r="J289" s="43">
        <f ca="1">'Fiscal Forecasts'!J$44+IF(OFFSET(Assumptions!$B$56,0,$C$1)="Yes",Allocation!C$18,0)</f>
        <v>7.3069999999999995</v>
      </c>
      <c r="K289" s="43">
        <f ca="1">'Fiscal Forecasts'!K$44+IF(OFFSET(Assumptions!$B$56,0,$C$1)="Yes",Allocation!D$18,0)</f>
        <v>8.02</v>
      </c>
      <c r="L289" s="43">
        <f ca="1">'Fiscal Forecasts'!L$44+IF(OFFSET(Assumptions!$B$56,0,$C$1)="Yes",Allocation!E$18,0)</f>
        <v>8.0830000000000002</v>
      </c>
      <c r="M289" s="43">
        <f ca="1">'Fiscal Forecasts'!M$44+IF(OFFSET(Assumptions!$B$56,0,$C$1)="Yes",Allocation!F$18,0)</f>
        <v>8.2990000000000013</v>
      </c>
      <c r="N289" s="43">
        <f ca="1">'Fiscal Forecasts'!N$44+IF(OFFSET(Assumptions!$B$56,0,$C$1)="Yes",Allocation!G$18,0)</f>
        <v>8.4740000000000002</v>
      </c>
      <c r="O289" s="47">
        <f t="shared" ref="O289:X289" ca="1" si="177">O$288+(N$289-N$288)*(1+O$29)</f>
        <v>9.0662031657707622</v>
      </c>
      <c r="P289" s="47">
        <f t="shared" ca="1" si="177"/>
        <v>9.4385311045112754</v>
      </c>
      <c r="Q289" s="47">
        <f t="shared" ca="1" si="177"/>
        <v>9.8118933303735076</v>
      </c>
      <c r="R289" s="47">
        <f t="shared" ca="1" si="177"/>
        <v>10.18548204017606</v>
      </c>
      <c r="S289" s="47">
        <f t="shared" ca="1" si="177"/>
        <v>10.567281239441126</v>
      </c>
      <c r="T289" s="47">
        <f t="shared" ca="1" si="177"/>
        <v>10.956734056987592</v>
      </c>
      <c r="U289" s="47">
        <f t="shared" ca="1" si="177"/>
        <v>11.351470890988866</v>
      </c>
      <c r="V289" s="47">
        <f t="shared" ca="1" si="177"/>
        <v>11.7522119649618</v>
      </c>
      <c r="W289" s="47">
        <f t="shared" ca="1" si="177"/>
        <v>12.158948475003248</v>
      </c>
      <c r="X289" s="47">
        <f t="shared" ca="1" si="177"/>
        <v>12.574641445615926</v>
      </c>
    </row>
    <row r="291" spans="1:24" x14ac:dyDescent="0.25">
      <c r="A291" s="9" t="s">
        <v>993</v>
      </c>
    </row>
    <row r="292" spans="1:24" x14ac:dyDescent="0.25">
      <c r="A292" s="9" t="s">
        <v>1106</v>
      </c>
      <c r="B292" s="10" t="str">
        <f>$B$38</f>
        <v>From Fiscal Forecasts</v>
      </c>
      <c r="D292" s="42">
        <f>'Fiscal Forecasts'!D$62</f>
        <v>2.8889999999999998</v>
      </c>
      <c r="E292" s="42">
        <f>'Fiscal Forecasts'!E$62</f>
        <v>3.1789999999999998</v>
      </c>
      <c r="F292" s="42">
        <f>'Fiscal Forecasts'!F$62</f>
        <v>5.6559999999999997</v>
      </c>
      <c r="G292" s="42">
        <f>'Fiscal Forecasts'!G$62</f>
        <v>4.657</v>
      </c>
      <c r="H292" s="42">
        <f>'Fiscal Forecasts'!H$62</f>
        <v>5.4720000000000004</v>
      </c>
      <c r="I292" s="42">
        <f>'Fiscal Forecasts'!I$62</f>
        <v>5.4870000000000001</v>
      </c>
      <c r="J292" s="43">
        <f>'Fiscal Forecasts'!J$62</f>
        <v>5.9160000000000004</v>
      </c>
      <c r="K292" s="43">
        <f>'Fiscal Forecasts'!K$62</f>
        <v>7.226</v>
      </c>
      <c r="L292" s="43">
        <f>'Fiscal Forecasts'!L$62</f>
        <v>5.0199999999999996</v>
      </c>
      <c r="M292" s="43">
        <f>'Fiscal Forecasts'!M$62</f>
        <v>4.7279999999999998</v>
      </c>
      <c r="N292" s="43">
        <f>'Fiscal Forecasts'!N$62</f>
        <v>5.1059999999999999</v>
      </c>
      <c r="O292" s="47">
        <f t="shared" ref="O292:X292" ca="1" si="178">N$292*O$138/N$138</f>
        <v>5.0972257715457987</v>
      </c>
      <c r="P292" s="47">
        <f t="shared" ca="1" si="178"/>
        <v>5.0757671352064904</v>
      </c>
      <c r="Q292" s="47">
        <f t="shared" ca="1" si="178"/>
        <v>5.2436769084205697</v>
      </c>
      <c r="R292" s="47">
        <f t="shared" ca="1" si="178"/>
        <v>5.4501545536941585</v>
      </c>
      <c r="S292" s="47">
        <f t="shared" ca="1" si="178"/>
        <v>5.6611849610539693</v>
      </c>
      <c r="T292" s="47">
        <f t="shared" ca="1" si="178"/>
        <v>5.8764460792302238</v>
      </c>
      <c r="U292" s="47">
        <f t="shared" ca="1" si="178"/>
        <v>6.0945772851107982</v>
      </c>
      <c r="V292" s="47">
        <f t="shared" ca="1" si="178"/>
        <v>6.3159880515803426</v>
      </c>
      <c r="W292" s="47">
        <f t="shared" ca="1" si="178"/>
        <v>6.5406701296517049</v>
      </c>
      <c r="X292" s="47">
        <f t="shared" ca="1" si="178"/>
        <v>6.7703166177289056</v>
      </c>
    </row>
    <row r="293" spans="1:24" x14ac:dyDescent="0.25">
      <c r="A293" s="11" t="s">
        <v>707</v>
      </c>
      <c r="B293" s="10" t="str">
        <f>$B$38</f>
        <v>From Fiscal Forecasts</v>
      </c>
      <c r="D293" s="35">
        <f>'Fiscal Forecasts'!D$209</f>
        <v>3.21</v>
      </c>
      <c r="E293" s="35">
        <f>'Fiscal Forecasts'!E$209</f>
        <v>3.8239999999999998</v>
      </c>
      <c r="F293" s="35">
        <f>'Fiscal Forecasts'!F$209</f>
        <v>4.2590000000000003</v>
      </c>
      <c r="G293" s="35">
        <f>'Fiscal Forecasts'!G$209</f>
        <v>4.5030000000000001</v>
      </c>
      <c r="H293" s="35">
        <f>'Fiscal Forecasts'!H$209</f>
        <v>6.1050000000000004</v>
      </c>
      <c r="I293" s="35">
        <f>'Fiscal Forecasts'!I$209</f>
        <v>6.6280000000000001</v>
      </c>
      <c r="J293" s="17">
        <f>'Fiscal Forecasts'!J$209</f>
        <v>6.51</v>
      </c>
      <c r="K293" s="17">
        <f>'Fiscal Forecasts'!K$209</f>
        <v>5.9379999999999997</v>
      </c>
      <c r="L293" s="17">
        <f>'Fiscal Forecasts'!L$209</f>
        <v>5.9710000000000001</v>
      </c>
      <c r="M293" s="17">
        <f>'Fiscal Forecasts'!M$209</f>
        <v>5.1829999999999998</v>
      </c>
      <c r="N293" s="17">
        <f>'Fiscal Forecasts'!N$209</f>
        <v>5.306</v>
      </c>
      <c r="O293" s="16">
        <f t="shared" ref="O293:X293" ca="1" si="179">O$292+(N$293-N$292)*(1+O$14)</f>
        <v>5.305855280297572</v>
      </c>
      <c r="P293" s="16">
        <f t="shared" ca="1" si="179"/>
        <v>5.2932947255773781</v>
      </c>
      <c r="Q293" s="16">
        <f t="shared" ca="1" si="179"/>
        <v>5.4701219005768253</v>
      </c>
      <c r="R293" s="16">
        <f t="shared" ca="1" si="179"/>
        <v>5.6855161571483634</v>
      </c>
      <c r="S293" s="16">
        <f t="shared" ca="1" si="179"/>
        <v>5.9056597840626788</v>
      </c>
      <c r="T293" s="16">
        <f t="shared" ca="1" si="179"/>
        <v>6.1302168224621436</v>
      </c>
      <c r="U293" s="16">
        <f t="shared" ca="1" si="179"/>
        <v>6.357767891554607</v>
      </c>
      <c r="V293" s="16">
        <f t="shared" ca="1" si="179"/>
        <v>6.5887401470617375</v>
      </c>
      <c r="W293" s="16">
        <f t="shared" ca="1" si="179"/>
        <v>6.8231249837688992</v>
      </c>
      <c r="X293" s="16">
        <f t="shared" ca="1" si="179"/>
        <v>7.062688615503034</v>
      </c>
    </row>
    <row r="294" spans="1:24" x14ac:dyDescent="0.25">
      <c r="A294" s="11" t="s">
        <v>904</v>
      </c>
      <c r="B294" s="10" t="str">
        <f>$B$38</f>
        <v>From Fiscal Forecasts</v>
      </c>
      <c r="D294" s="35">
        <f>'Fiscal Forecasts'!D$210</f>
        <v>5.4009999999999998</v>
      </c>
      <c r="E294" s="35">
        <f>'Fiscal Forecasts'!E$210</f>
        <v>8.9149999999999991</v>
      </c>
      <c r="F294" s="35">
        <f>'Fiscal Forecasts'!F$210</f>
        <v>5.8360000000000003</v>
      </c>
      <c r="G294" s="35">
        <f>'Fiscal Forecasts'!G$210</f>
        <v>4.8730000000000002</v>
      </c>
      <c r="H294" s="35">
        <f>'Fiscal Forecasts'!H$210</f>
        <v>8.5990000000000002</v>
      </c>
      <c r="I294" s="35">
        <f>'Fiscal Forecasts'!I$210</f>
        <v>10.317</v>
      </c>
      <c r="J294" s="17">
        <f>'Fiscal Forecasts'!J$210</f>
        <v>9.6999999999999993</v>
      </c>
      <c r="K294" s="17">
        <f>'Fiscal Forecasts'!K$210</f>
        <v>10.332000000000001</v>
      </c>
      <c r="L294" s="17">
        <f>'Fiscal Forecasts'!L$210</f>
        <v>10.58</v>
      </c>
      <c r="M294" s="17">
        <f>'Fiscal Forecasts'!M$210</f>
        <v>10.975</v>
      </c>
      <c r="N294" s="17">
        <f>'Fiscal Forecasts'!N$210</f>
        <v>11.539</v>
      </c>
      <c r="O294" s="16">
        <f t="shared" ref="O294:X294" ca="1" si="180">N$294*(1+O$19)*(1+O$29)</f>
        <v>11.91558332577668</v>
      </c>
      <c r="P294" s="16">
        <f t="shared" ca="1" si="180"/>
        <v>12.295729163494226</v>
      </c>
      <c r="Q294" s="16">
        <f t="shared" ca="1" si="180"/>
        <v>12.680445043678345</v>
      </c>
      <c r="R294" s="16">
        <f t="shared" ca="1" si="180"/>
        <v>13.066279166812539</v>
      </c>
      <c r="S294" s="16">
        <f t="shared" ca="1" si="180"/>
        <v>13.455279449697001</v>
      </c>
      <c r="T294" s="16">
        <f t="shared" ca="1" si="180"/>
        <v>13.846534233795651</v>
      </c>
      <c r="U294" s="16">
        <f t="shared" ca="1" si="180"/>
        <v>14.245158691202095</v>
      </c>
      <c r="V294" s="16">
        <f t="shared" ca="1" si="180"/>
        <v>14.649160143755896</v>
      </c>
      <c r="W294" s="16">
        <f t="shared" ca="1" si="180"/>
        <v>15.052784605713301</v>
      </c>
      <c r="X294" s="16">
        <f t="shared" ca="1" si="180"/>
        <v>15.46029102219522</v>
      </c>
    </row>
    <row r="295" spans="1:24" x14ac:dyDescent="0.25">
      <c r="A295" s="11" t="s">
        <v>866</v>
      </c>
      <c r="B295" s="10" t="str">
        <f>$B$38</f>
        <v>From Fiscal Forecasts</v>
      </c>
      <c r="D295" s="35">
        <f>'Fiscal Forecasts'!D$45-SUM(D$292:D$294)</f>
        <v>-3.0709999999999997</v>
      </c>
      <c r="E295" s="35">
        <f>'Fiscal Forecasts'!E$45-SUM(E$292:E$294)</f>
        <v>-2.9559999999999995</v>
      </c>
      <c r="F295" s="35">
        <f>'Fiscal Forecasts'!F$45-SUM(F$292:F$294)</f>
        <v>-5.4159999999999986</v>
      </c>
      <c r="G295" s="35">
        <f>'Fiscal Forecasts'!G$45-SUM(G$292:G$294)</f>
        <v>-4.5050000000000008</v>
      </c>
      <c r="H295" s="35">
        <f>'Fiscal Forecasts'!H$45-SUM(H$292:H$294)</f>
        <v>-5.7480000000000011</v>
      </c>
      <c r="I295" s="35">
        <f>'Fiscal Forecasts'!I$45-SUM(I$292:I$294)</f>
        <v>-5.6990000000000016</v>
      </c>
      <c r="J295" s="17">
        <f>'Fiscal Forecasts'!J$45-SUM(J$292:J$294)</f>
        <v>-5.9019999999999975</v>
      </c>
      <c r="K295" s="17">
        <f>'Fiscal Forecasts'!K$45-SUM(K$292:K$294)</f>
        <v>-5.1730000000000018</v>
      </c>
      <c r="L295" s="17">
        <f>'Fiscal Forecasts'!L$45-SUM(L$292:L$294)</f>
        <v>-5.0519999999999996</v>
      </c>
      <c r="M295" s="17">
        <f>'Fiscal Forecasts'!M$45-SUM(M$292:M$294)</f>
        <v>-4.7740000000000009</v>
      </c>
      <c r="N295" s="17">
        <f>'Fiscal Forecasts'!N$45-SUM(N$292:N$294)</f>
        <v>-5.2390000000000008</v>
      </c>
      <c r="O295" s="16">
        <f t="shared" ref="O295:X295" ca="1" si="181">N$295-(O$292-N$292)</f>
        <v>-5.2302257715457996</v>
      </c>
      <c r="P295" s="16">
        <f t="shared" ca="1" si="181"/>
        <v>-5.2087671352064913</v>
      </c>
      <c r="Q295" s="16">
        <f t="shared" ca="1" si="181"/>
        <v>-5.3766769084205706</v>
      </c>
      <c r="R295" s="16">
        <f t="shared" ca="1" si="181"/>
        <v>-5.5831545536941594</v>
      </c>
      <c r="S295" s="16">
        <f t="shared" ca="1" si="181"/>
        <v>-5.7941849610539702</v>
      </c>
      <c r="T295" s="16">
        <f t="shared" ca="1" si="181"/>
        <v>-6.0094460792302247</v>
      </c>
      <c r="U295" s="16">
        <f t="shared" ca="1" si="181"/>
        <v>-6.2275772851107991</v>
      </c>
      <c r="V295" s="16">
        <f t="shared" ca="1" si="181"/>
        <v>-6.4489880515803435</v>
      </c>
      <c r="W295" s="16">
        <f t="shared" ca="1" si="181"/>
        <v>-6.6736701296517058</v>
      </c>
      <c r="X295" s="16">
        <f t="shared" ca="1" si="181"/>
        <v>-6.9033166177289065</v>
      </c>
    </row>
    <row r="296" spans="1:24" x14ac:dyDescent="0.25">
      <c r="A296" s="9" t="s">
        <v>994</v>
      </c>
      <c r="D296" s="65">
        <f t="shared" ref="D296:X296" si="182">SUM(D$292:D$295)</f>
        <v>8.4290000000000003</v>
      </c>
      <c r="E296" s="65">
        <f t="shared" si="182"/>
        <v>12.962</v>
      </c>
      <c r="F296" s="65">
        <f t="shared" si="182"/>
        <v>10.335000000000001</v>
      </c>
      <c r="G296" s="65">
        <f t="shared" si="182"/>
        <v>9.5280000000000005</v>
      </c>
      <c r="H296" s="65">
        <f t="shared" si="182"/>
        <v>14.428000000000001</v>
      </c>
      <c r="I296" s="65">
        <f t="shared" si="182"/>
        <v>16.733000000000001</v>
      </c>
      <c r="J296" s="66">
        <f t="shared" si="182"/>
        <v>16.224</v>
      </c>
      <c r="K296" s="66">
        <f t="shared" si="182"/>
        <v>18.323</v>
      </c>
      <c r="L296" s="66">
        <f t="shared" si="182"/>
        <v>16.518999999999998</v>
      </c>
      <c r="M296" s="66">
        <f t="shared" si="182"/>
        <v>16.111999999999998</v>
      </c>
      <c r="N296" s="66">
        <f t="shared" si="182"/>
        <v>16.712</v>
      </c>
      <c r="O296" s="67">
        <f t="shared" ca="1" si="182"/>
        <v>17.088438606074252</v>
      </c>
      <c r="P296" s="67">
        <f t="shared" ca="1" si="182"/>
        <v>17.456023889071602</v>
      </c>
      <c r="Q296" s="67">
        <f t="shared" ca="1" si="182"/>
        <v>18.017566944255172</v>
      </c>
      <c r="R296" s="67">
        <f t="shared" ca="1" si="182"/>
        <v>18.618795323960903</v>
      </c>
      <c r="S296" s="67">
        <f t="shared" ca="1" si="182"/>
        <v>19.227939233759678</v>
      </c>
      <c r="T296" s="67">
        <f t="shared" ca="1" si="182"/>
        <v>19.843751056257794</v>
      </c>
      <c r="U296" s="67">
        <f t="shared" ca="1" si="182"/>
        <v>20.469926582756699</v>
      </c>
      <c r="V296" s="67">
        <f t="shared" ca="1" si="182"/>
        <v>21.104900290817632</v>
      </c>
      <c r="W296" s="67">
        <f t="shared" ca="1" si="182"/>
        <v>21.742909589482203</v>
      </c>
      <c r="X296" s="67">
        <f t="shared" ca="1" si="182"/>
        <v>22.389979637698254</v>
      </c>
    </row>
    <row r="298" spans="1:24" x14ac:dyDescent="0.25">
      <c r="A298" s="9" t="s">
        <v>995</v>
      </c>
    </row>
    <row r="299" spans="1:24" x14ac:dyDescent="0.25">
      <c r="A299" s="11" t="s">
        <v>996</v>
      </c>
      <c r="D299" s="35">
        <f t="shared" ref="D299:X299" si="183">D$237</f>
        <v>0</v>
      </c>
      <c r="E299" s="35">
        <f t="shared" si="183"/>
        <v>0</v>
      </c>
      <c r="F299" s="35">
        <f t="shared" si="183"/>
        <v>1E-3</v>
      </c>
      <c r="G299" s="35">
        <f t="shared" si="183"/>
        <v>1E-3</v>
      </c>
      <c r="H299" s="35">
        <f t="shared" si="183"/>
        <v>3.0000000000000001E-3</v>
      </c>
      <c r="I299" s="35">
        <f t="shared" si="183"/>
        <v>2E-3</v>
      </c>
      <c r="J299" s="17">
        <f t="shared" si="183"/>
        <v>3.0000000000000001E-3</v>
      </c>
      <c r="K299" s="17">
        <f t="shared" si="183"/>
        <v>3.0000000000000001E-3</v>
      </c>
      <c r="L299" s="17">
        <f t="shared" si="183"/>
        <v>3.0000000000000001E-3</v>
      </c>
      <c r="M299" s="17">
        <f t="shared" si="183"/>
        <v>2E-3</v>
      </c>
      <c r="N299" s="17">
        <f t="shared" si="183"/>
        <v>3.0000000000000001E-3</v>
      </c>
      <c r="O299" s="16">
        <f t="shared" ca="1" si="183"/>
        <v>0</v>
      </c>
      <c r="P299" s="16">
        <f t="shared" ca="1" si="183"/>
        <v>0</v>
      </c>
      <c r="Q299" s="16">
        <f t="shared" ca="1" si="183"/>
        <v>0</v>
      </c>
      <c r="R299" s="16">
        <f t="shared" ca="1" si="183"/>
        <v>0</v>
      </c>
      <c r="S299" s="16">
        <f t="shared" ca="1" si="183"/>
        <v>0</v>
      </c>
      <c r="T299" s="16">
        <f t="shared" ca="1" si="183"/>
        <v>0</v>
      </c>
      <c r="U299" s="16">
        <f t="shared" ca="1" si="183"/>
        <v>0</v>
      </c>
      <c r="V299" s="16">
        <f t="shared" ca="1" si="183"/>
        <v>0</v>
      </c>
      <c r="W299" s="16">
        <f t="shared" ca="1" si="183"/>
        <v>0</v>
      </c>
      <c r="X299" s="16">
        <f t="shared" ca="1" si="183"/>
        <v>0</v>
      </c>
    </row>
    <row r="300" spans="1:24" x14ac:dyDescent="0.25">
      <c r="A300" s="11" t="s">
        <v>952</v>
      </c>
      <c r="D300" s="35">
        <f t="shared" ref="D300:X300" si="184">D$192</f>
        <v>0.95099999999999996</v>
      </c>
      <c r="E300" s="35">
        <f t="shared" si="184"/>
        <v>0.89300000000000002</v>
      </c>
      <c r="F300" s="35">
        <f t="shared" si="184"/>
        <v>0.91600000000000004</v>
      </c>
      <c r="G300" s="35">
        <f t="shared" si="184"/>
        <v>0.96399999999999997</v>
      </c>
      <c r="H300" s="35">
        <f t="shared" si="184"/>
        <v>0.997</v>
      </c>
      <c r="I300" s="35">
        <f t="shared" si="184"/>
        <v>1.014</v>
      </c>
      <c r="J300" s="17">
        <f t="shared" si="184"/>
        <v>1.06</v>
      </c>
      <c r="K300" s="17">
        <f t="shared" si="184"/>
        <v>0.54500000000000004</v>
      </c>
      <c r="L300" s="17">
        <f t="shared" si="184"/>
        <v>0.56499999999999995</v>
      </c>
      <c r="M300" s="17">
        <f t="shared" si="184"/>
        <v>0.58799999999999997</v>
      </c>
      <c r="N300" s="17">
        <f t="shared" si="184"/>
        <v>0.61299999999999999</v>
      </c>
      <c r="O300" s="16">
        <f t="shared" si="184"/>
        <v>0.63900000000000001</v>
      </c>
      <c r="P300" s="16">
        <f t="shared" si="184"/>
        <v>0.67</v>
      </c>
      <c r="Q300" s="16">
        <f t="shared" si="184"/>
        <v>0.7</v>
      </c>
      <c r="R300" s="16">
        <f t="shared" ca="1" si="184"/>
        <v>0.72756355019879493</v>
      </c>
      <c r="S300" s="16">
        <f t="shared" ca="1" si="184"/>
        <v>0.75573486733594508</v>
      </c>
      <c r="T300" s="16">
        <f t="shared" ca="1" si="184"/>
        <v>0.78447095946271272</v>
      </c>
      <c r="U300" s="16">
        <f t="shared" ca="1" si="184"/>
        <v>0.81359019140303346</v>
      </c>
      <c r="V300" s="16">
        <f t="shared" ca="1" si="184"/>
        <v>0.84314722537661679</v>
      </c>
      <c r="W300" s="16">
        <f t="shared" ca="1" si="184"/>
        <v>0.87314096019223619</v>
      </c>
      <c r="X300" s="16">
        <f t="shared" ca="1" si="184"/>
        <v>0.90379741452028528</v>
      </c>
    </row>
    <row r="301" spans="1:24" x14ac:dyDescent="0.25">
      <c r="A301" s="11" t="s">
        <v>998</v>
      </c>
      <c r="B301" s="10" t="str">
        <f>$B$38</f>
        <v>From Fiscal Forecasts</v>
      </c>
      <c r="C301" s="64" cm="1">
        <f t="array" aca="1" ref="C301" ca="1">SUMPRODUCT(OFFSET($N$301,0,0,1,-OFFSET(Assumptions!$B$59,0,$C$1))/OFFSET($N$13,0,0,1,-OFFSET(Assumptions!$B$59,0,$C$1)))/OFFSET(Assumptions!$B$59,0,$C$1)</f>
        <v>8.1434646797816524E-3</v>
      </c>
      <c r="D301" s="35">
        <f>'Fiscal Forecasts'!D$63-SUM(D$299:D$300)</f>
        <v>2.0549999999999997</v>
      </c>
      <c r="E301" s="35">
        <f>'Fiscal Forecasts'!E$63-SUM(E$299:E$300)</f>
        <v>3.0949999999999998</v>
      </c>
      <c r="F301" s="35">
        <f>'Fiscal Forecasts'!F$63-SUM(F$299:F$300)</f>
        <v>3.5640000000000001</v>
      </c>
      <c r="G301" s="35">
        <f>'Fiscal Forecasts'!G$63-SUM(G$299:G$300)</f>
        <v>7.1129999999999995</v>
      </c>
      <c r="H301" s="35">
        <f>'Fiscal Forecasts'!H$63-SUM(H$299:H$300)</f>
        <v>2.69</v>
      </c>
      <c r="I301" s="35">
        <f>'Fiscal Forecasts'!I$63-SUM(I$299:I$300)</f>
        <v>2.9939999999999998</v>
      </c>
      <c r="J301" s="17">
        <f ca="1">'Fiscal Forecasts'!J$63-SUM(J$299:J$300)+IF(OFFSET(Assumptions!$B$56,0,$C$1)="Yes",Allocation!C$19,0)</f>
        <v>2.7319999999999998</v>
      </c>
      <c r="K301" s="17">
        <f ca="1">'Fiscal Forecasts'!K$63-SUM(K$299:K$300)+IF(OFFSET(Assumptions!$B$56,0,$C$1)="Yes",Allocation!D$19,0)</f>
        <v>2.7199999999999998</v>
      </c>
      <c r="L301" s="17">
        <f ca="1">'Fiscal Forecasts'!L$63-SUM(L$299:L$300)+IF(OFFSET(Assumptions!$B$56,0,$C$1)="Yes",Allocation!E$19,0)</f>
        <v>2.694</v>
      </c>
      <c r="M301" s="17">
        <f ca="1">'Fiscal Forecasts'!M$63-SUM(M$299:M$300)+IF(OFFSET(Assumptions!$B$56,0,$C$1)="Yes",Allocation!F$19,0)</f>
        <v>2.5840000000000001</v>
      </c>
      <c r="N301" s="17">
        <f ca="1">'Fiscal Forecasts'!N$63-SUM(N$299:N$300)+IF(OFFSET(Assumptions!$B$56,0,$C$1)="Yes",Allocation!G$19,0)</f>
        <v>2.6259999999999999</v>
      </c>
      <c r="O301" s="16">
        <f ca="1">N$301+IF(OFFSET(Assumptions!$B$57,0,$C$1)="Yes",Allocation!$B$19*O$247,IF(OFFSET(Assumptions!$B$58,0,$C$1)="Yes",(N$301/N$13+MIN(ABS($C$301-N$301/N$13),OFFSET(Assumptions!$B$60,0,$C$1))*SIGN($C$301-N$301/N$13))*O$13-N$301,0))</f>
        <v>3.0126737383757685</v>
      </c>
      <c r="P301" s="16">
        <f ca="1">O$301+IF(OFFSET(Assumptions!$B$57,0,$C$1)="Yes",Allocation!$B$19*P$247,IF(OFFSET(Assumptions!$B$58,0,$C$1)="Yes",(O$301/O$13+MIN(ABS($C$301-O$301/O$13),OFFSET(Assumptions!$B$60,0,$C$1))*SIGN($C$301-O$301/O$13))*P$13-O$301,0))</f>
        <v>3.4261922401716003</v>
      </c>
      <c r="Q301" s="16">
        <f ca="1">P$301+IF(OFFSET(Assumptions!$B$57,0,$C$1)="Yes",Allocation!$B$19*Q$247,IF(OFFSET(Assumptions!$B$58,0,$C$1)="Yes",(P$301/P$13+MIN(ABS($C$301-P$301/P$13),OFFSET(Assumptions!$B$60,0,$C$1))*SIGN($C$301-P$301/P$13))*Q$13-P$301,0))</f>
        <v>3.86335876335353</v>
      </c>
      <c r="R301" s="16">
        <f ca="1">Q$301+IF(OFFSET(Assumptions!$B$57,0,$C$1)="Yes",Allocation!$B$19*R$247,IF(OFFSET(Assumptions!$B$58,0,$C$1)="Yes",(Q$301/Q$13+MIN(ABS($C$301-Q$301/Q$13),OFFSET(Assumptions!$B$60,0,$C$1))*SIGN($C$301-Q$301/Q$13))*R$13-Q$301,0))</f>
        <v>4.3238797966099476</v>
      </c>
      <c r="S301" s="16">
        <f ca="1">R$301+IF(OFFSET(Assumptions!$B$57,0,$C$1)="Yes",Allocation!$B$19*S$247,IF(OFFSET(Assumptions!$B$58,0,$C$1)="Yes",(R$301/R$13+MIN(ABS($C$301-R$301/R$13),OFFSET(Assumptions!$B$60,0,$C$1))*SIGN($C$301-R$301/R$13))*S$13-R$301,0))</f>
        <v>4.8116373409164828</v>
      </c>
      <c r="T301" s="16">
        <f ca="1">S$301+IF(OFFSET(Assumptions!$B$57,0,$C$1)="Yes",Allocation!$B$19*T$247,IF(OFFSET(Assumptions!$B$58,0,$C$1)="Yes",(S$301/S$13+MIN(ABS($C$301-S$301/S$13),OFFSET(Assumptions!$B$60,0,$C$1))*SIGN($C$301-S$301/S$13))*T$13-S$301,0))</f>
        <v>5.3271123008981061</v>
      </c>
      <c r="U301" s="16">
        <f ca="1">T$301+IF(OFFSET(Assumptions!$B$57,0,$C$1)="Yes",Allocation!$B$19*U$247,IF(OFFSET(Assumptions!$B$58,0,$C$1)="Yes",(T$301/T$13+MIN(ABS($C$301-T$301/T$13),OFFSET(Assumptions!$B$60,0,$C$1))*SIGN($C$301-T$301/T$13))*U$13-T$301,0))</f>
        <v>5.6167099308573709</v>
      </c>
      <c r="V301" s="16">
        <f ca="1">U$301+IF(OFFSET(Assumptions!$B$57,0,$C$1)="Yes",Allocation!$B$19*V$247,IF(OFFSET(Assumptions!$B$58,0,$C$1)="Yes",(U$301/U$13+MIN(ABS($C$301-U$301/U$13),OFFSET(Assumptions!$B$60,0,$C$1))*SIGN($C$301-U$301/U$13))*V$13-U$301,0))</f>
        <v>5.8207601861337093</v>
      </c>
      <c r="W301" s="16">
        <f ca="1">V$301+IF(OFFSET(Assumptions!$B$57,0,$C$1)="Yes",Allocation!$B$19*W$247,IF(OFFSET(Assumptions!$B$58,0,$C$1)="Yes",(V$301/V$13+MIN(ABS($C$301-V$301/V$13),OFFSET(Assumptions!$B$60,0,$C$1))*SIGN($C$301-V$301/V$13))*W$13-V$301,0))</f>
        <v>6.0278252540051307</v>
      </c>
      <c r="X301" s="16">
        <f ca="1">W$301+IF(OFFSET(Assumptions!$B$57,0,$C$1)="Yes",Allocation!$B$19*X$247,IF(OFFSET(Assumptions!$B$58,0,$C$1)="Yes",(W$301/W$13+MIN(ABS($C$301-W$301/W$13),OFFSET(Assumptions!$B$60,0,$C$1))*SIGN($C$301-W$301/W$13))*X$13-W$301,0))</f>
        <v>6.2394654793774285</v>
      </c>
    </row>
    <row r="302" spans="1:24" x14ac:dyDescent="0.25">
      <c r="A302" s="9" t="s">
        <v>999</v>
      </c>
      <c r="D302" s="65">
        <f t="shared" ref="D302:X302" si="185">SUM(D$299:D$301)</f>
        <v>3.0059999999999998</v>
      </c>
      <c r="E302" s="65">
        <f t="shared" si="185"/>
        <v>3.9879999999999995</v>
      </c>
      <c r="F302" s="65">
        <f t="shared" si="185"/>
        <v>4.4809999999999999</v>
      </c>
      <c r="G302" s="65">
        <f t="shared" si="185"/>
        <v>8.0779999999999994</v>
      </c>
      <c r="H302" s="65">
        <f t="shared" si="185"/>
        <v>3.69</v>
      </c>
      <c r="I302" s="65">
        <f t="shared" si="185"/>
        <v>4.01</v>
      </c>
      <c r="J302" s="66">
        <f t="shared" ca="1" si="185"/>
        <v>3.7949999999999999</v>
      </c>
      <c r="K302" s="66">
        <f t="shared" ca="1" si="185"/>
        <v>3.2679999999999998</v>
      </c>
      <c r="L302" s="66">
        <f t="shared" ca="1" si="185"/>
        <v>3.262</v>
      </c>
      <c r="M302" s="66">
        <f t="shared" ca="1" si="185"/>
        <v>3.1739999999999999</v>
      </c>
      <c r="N302" s="66">
        <f t="shared" ca="1" si="185"/>
        <v>3.242</v>
      </c>
      <c r="O302" s="67">
        <f t="shared" ca="1" si="185"/>
        <v>3.6516737383757683</v>
      </c>
      <c r="P302" s="67">
        <f t="shared" ca="1" si="185"/>
        <v>4.0961922401716002</v>
      </c>
      <c r="Q302" s="67">
        <f t="shared" ca="1" si="185"/>
        <v>4.5633587633535297</v>
      </c>
      <c r="R302" s="67">
        <f t="shared" ca="1" si="185"/>
        <v>5.0514433468087425</v>
      </c>
      <c r="S302" s="67">
        <f t="shared" ca="1" si="185"/>
        <v>5.5673722082524275</v>
      </c>
      <c r="T302" s="67">
        <f t="shared" ca="1" si="185"/>
        <v>6.1115832603608187</v>
      </c>
      <c r="U302" s="67">
        <f t="shared" ca="1" si="185"/>
        <v>6.4303001222604044</v>
      </c>
      <c r="V302" s="67">
        <f t="shared" ca="1" si="185"/>
        <v>6.6639074115103263</v>
      </c>
      <c r="W302" s="67">
        <f t="shared" ca="1" si="185"/>
        <v>6.9009662141973669</v>
      </c>
      <c r="X302" s="67">
        <f t="shared" ca="1" si="185"/>
        <v>7.1432628938977141</v>
      </c>
    </row>
    <row r="303" spans="1:24" x14ac:dyDescent="0.25">
      <c r="A303" s="9" t="s">
        <v>1000</v>
      </c>
      <c r="B303" s="10" t="str">
        <f>$B$38</f>
        <v>From Fiscal Forecasts</v>
      </c>
      <c r="D303" s="42">
        <f>'Fiscal Forecasts'!D$46</f>
        <v>10.433</v>
      </c>
      <c r="E303" s="42">
        <f>'Fiscal Forecasts'!E$46</f>
        <v>11.246</v>
      </c>
      <c r="F303" s="42">
        <f>'Fiscal Forecasts'!F$46</f>
        <v>13.429</v>
      </c>
      <c r="G303" s="42">
        <f>'Fiscal Forecasts'!G$46</f>
        <v>16.672999999999998</v>
      </c>
      <c r="H303" s="42">
        <f>'Fiscal Forecasts'!H$46</f>
        <v>12.384</v>
      </c>
      <c r="I303" s="42">
        <f>'Fiscal Forecasts'!I$46</f>
        <v>16.007999999999999</v>
      </c>
      <c r="J303" s="43">
        <f ca="1">'Fiscal Forecasts'!J$46+IF(OFFSET(Assumptions!$B$56,0,$C$1)="Yes",Allocation!C$19,0)</f>
        <v>16.509</v>
      </c>
      <c r="K303" s="43">
        <f ca="1">'Fiscal Forecasts'!K$46+IF(OFFSET(Assumptions!$B$56,0,$C$1)="Yes",Allocation!D$19,0)</f>
        <v>15.918999999999999</v>
      </c>
      <c r="L303" s="43">
        <f ca="1">'Fiscal Forecasts'!L$46+IF(OFFSET(Assumptions!$B$56,0,$C$1)="Yes",Allocation!E$19,0)</f>
        <v>15.993</v>
      </c>
      <c r="M303" s="43">
        <f ca="1">'Fiscal Forecasts'!M$46+IF(OFFSET(Assumptions!$B$56,0,$C$1)="Yes",Allocation!F$19,0)</f>
        <v>16.52</v>
      </c>
      <c r="N303" s="43">
        <f ca="1">'Fiscal Forecasts'!N$46+IF(OFFSET(Assumptions!$B$56,0,$C$1)="Yes",Allocation!G$19,0)</f>
        <v>16.539000000000001</v>
      </c>
      <c r="O303" s="47">
        <f t="shared" ref="O303:X303" ca="1" si="186">O$302+(N$303-N$302)*(1+O$29)</f>
        <v>17.214613738375768</v>
      </c>
      <c r="P303" s="47">
        <f t="shared" ca="1" si="186"/>
        <v>17.9303910401716</v>
      </c>
      <c r="Q303" s="47">
        <f t="shared" ca="1" si="186"/>
        <v>18.674241539353531</v>
      </c>
      <c r="R303" s="47">
        <f t="shared" ca="1" si="186"/>
        <v>19.444543778328743</v>
      </c>
      <c r="S303" s="47">
        <f t="shared" ca="1" si="186"/>
        <v>20.248334648402828</v>
      </c>
      <c r="T303" s="47">
        <f t="shared" ca="1" si="186"/>
        <v>21.086164949314227</v>
      </c>
      <c r="U303" s="47">
        <f t="shared" ca="1" si="186"/>
        <v>21.704373444992882</v>
      </c>
      <c r="V303" s="47">
        <f t="shared" ca="1" si="186"/>
        <v>22.243462200697451</v>
      </c>
      <c r="W303" s="47">
        <f t="shared" ca="1" si="186"/>
        <v>22.792112099168236</v>
      </c>
      <c r="X303" s="47">
        <f t="shared" ca="1" si="186"/>
        <v>23.352231696567998</v>
      </c>
    </row>
    <row r="305" spans="1:24" x14ac:dyDescent="0.25">
      <c r="A305" s="9" t="s">
        <v>1001</v>
      </c>
    </row>
    <row r="306" spans="1:24" x14ac:dyDescent="0.25">
      <c r="A306" s="9" t="s">
        <v>1002</v>
      </c>
      <c r="B306" s="10" t="str">
        <f>$B$38</f>
        <v>From Fiscal Forecasts</v>
      </c>
      <c r="C306" s="64" cm="1">
        <f t="array" aca="1" ref="C306" ca="1">SUMPRODUCT(OFFSET($N$306,0,0,1,-OFFSET(Assumptions!$B$59,0,$C$1))/OFFSET($N$13,0,0,1,-OFFSET(Assumptions!$B$59,0,$C$1)))/OFFSET(Assumptions!$B$59,0,$C$1)</f>
        <v>7.6395860394259012E-3</v>
      </c>
      <c r="D306" s="42">
        <f>'Fiscal Forecasts'!D$64</f>
        <v>2.395</v>
      </c>
      <c r="E306" s="42">
        <f>'Fiscal Forecasts'!E$64</f>
        <v>2.4990000000000001</v>
      </c>
      <c r="F306" s="42">
        <f>'Fiscal Forecasts'!F$64</f>
        <v>2.6640000000000001</v>
      </c>
      <c r="G306" s="42">
        <f>'Fiscal Forecasts'!G$64</f>
        <v>2.8319999999999999</v>
      </c>
      <c r="H306" s="42">
        <f>'Fiscal Forecasts'!H$64</f>
        <v>2.8860000000000001</v>
      </c>
      <c r="I306" s="42">
        <f>'Fiscal Forecasts'!I$64</f>
        <v>3.1629999999999998</v>
      </c>
      <c r="J306" s="43">
        <f ca="1">'Fiscal Forecasts'!J$64+IF(OFFSET(Assumptions!$B$56,0,$C$1)="Yes",Allocation!C$20,0)</f>
        <v>3.1960000000000002</v>
      </c>
      <c r="K306" s="43">
        <f ca="1">'Fiscal Forecasts'!K$64+IF(OFFSET(Assumptions!$B$56,0,$C$1)="Yes",Allocation!D$20,0)</f>
        <v>3.589</v>
      </c>
      <c r="L306" s="43">
        <f ca="1">'Fiscal Forecasts'!L$64+IF(OFFSET(Assumptions!$B$56,0,$C$1)="Yes",Allocation!E$20,0)</f>
        <v>3.7320000000000002</v>
      </c>
      <c r="M306" s="43">
        <f ca="1">'Fiscal Forecasts'!M$64+IF(OFFSET(Assumptions!$B$56,0,$C$1)="Yes",Allocation!F$20,0)</f>
        <v>3.8689999999999998</v>
      </c>
      <c r="N306" s="43">
        <f ca="1">'Fiscal Forecasts'!N$64+IF(OFFSET(Assumptions!$B$56,0,$C$1)="Yes",Allocation!G$20,0)</f>
        <v>3.9710000000000001</v>
      </c>
      <c r="O306" s="47">
        <f ca="1">N$306+IF(OFFSET(Assumptions!$B$57,0,$C$1)="Yes",Allocation!$B$20*O$247,IF(OFFSET(Assumptions!$B$58,0,$C$1)="Yes",(N$306/N$13+MIN(ABS($C$306-N$306/N$13),OFFSET(Assumptions!$B$60,0,$C$1))*SIGN($C$306-N$306/N$13))*O$13-N$306,0))</f>
        <v>4.1768411203578051</v>
      </c>
      <c r="P306" s="47">
        <f ca="1">O$306+IF(OFFSET(Assumptions!$B$57,0,$C$1)="Yes",Allocation!$B$20*P$247,IF(OFFSET(Assumptions!$B$58,0,$C$1)="Yes",(O$306/O$13+MIN(ABS($C$306-O$306/O$13),OFFSET(Assumptions!$B$60,0,$C$1))*SIGN($C$306-O$306/O$13))*P$13-O$306,0))</f>
        <v>4.3549840562319293</v>
      </c>
      <c r="Q306" s="47">
        <f ca="1">P$306+IF(OFFSET(Assumptions!$B$57,0,$C$1)="Yes",Allocation!$B$20*Q$247,IF(OFFSET(Assumptions!$B$58,0,$C$1)="Yes",(P$306/P$13+MIN(ABS($C$306-P$306/P$13),OFFSET(Assumptions!$B$60,0,$C$1))*SIGN($C$306-P$306/P$13))*Q$13-P$306,0))</f>
        <v>4.5335137890905317</v>
      </c>
      <c r="R306" s="47">
        <f ca="1">Q$306+IF(OFFSET(Assumptions!$B$57,0,$C$1)="Yes",Allocation!$B$20*R$247,IF(OFFSET(Assumptions!$B$58,0,$C$1)="Yes",(Q$306/Q$13+MIN(ABS($C$306-Q$306/Q$13),OFFSET(Assumptions!$B$60,0,$C$1))*SIGN($C$306-Q$306/Q$13))*R$13-Q$306,0))</f>
        <v>4.7120276960941405</v>
      </c>
      <c r="S306" s="47">
        <f ca="1">R$306+IF(OFFSET(Assumptions!$B$57,0,$C$1)="Yes",Allocation!$B$20*S$247,IF(OFFSET(Assumptions!$B$58,0,$C$1)="Yes",(R$306/R$13+MIN(ABS($C$306-R$306/R$13),OFFSET(Assumptions!$B$60,0,$C$1))*SIGN($C$306-R$306/R$13))*S$13-R$306,0))</f>
        <v>4.8944777742343009</v>
      </c>
      <c r="T306" s="47">
        <f ca="1">S$306+IF(OFFSET(Assumptions!$B$57,0,$C$1)="Yes",Allocation!$B$20*T$247,IF(OFFSET(Assumptions!$B$58,0,$C$1)="Yes",(S$306/S$13+MIN(ABS($C$306-S$306/S$13),OFFSET(Assumptions!$B$60,0,$C$1))*SIGN($C$306-S$306/S$13))*T$13-S$306,0))</f>
        <v>5.080585588378983</v>
      </c>
      <c r="U306" s="47">
        <f ca="1">T$306+IF(OFFSET(Assumptions!$B$57,0,$C$1)="Yes",Allocation!$B$20*U$247,IF(OFFSET(Assumptions!$B$58,0,$C$1)="Yes",(T$306/T$13+MIN(ABS($C$306-T$306/T$13),OFFSET(Assumptions!$B$60,0,$C$1))*SIGN($C$306-T$306/T$13))*U$13-T$306,0))</f>
        <v>5.2691747877063673</v>
      </c>
      <c r="V306" s="47">
        <f ca="1">U$306+IF(OFFSET(Assumptions!$B$57,0,$C$1)="Yes",Allocation!$B$20*V$247,IF(OFFSET(Assumptions!$B$58,0,$C$1)="Yes",(U$306/U$13+MIN(ABS($C$306-U$306/U$13),OFFSET(Assumptions!$B$60,0,$C$1))*SIGN($C$306-U$306/U$13))*V$13-U$306,0))</f>
        <v>5.4605993892547353</v>
      </c>
      <c r="W306" s="47">
        <f ca="1">V$306+IF(OFFSET(Assumptions!$B$57,0,$C$1)="Yes",Allocation!$B$20*W$247,IF(OFFSET(Assumptions!$B$58,0,$C$1)="Yes",(V$306/V$13+MIN(ABS($C$306-V$306/V$13),OFFSET(Assumptions!$B$60,0,$C$1))*SIGN($C$306-V$306/V$13))*W$13-V$306,0))</f>
        <v>5.654852261216071</v>
      </c>
      <c r="X306" s="47">
        <f ca="1">W$306+IF(OFFSET(Assumptions!$B$57,0,$C$1)="Yes",Allocation!$B$20*X$247,IF(OFFSET(Assumptions!$B$58,0,$C$1)="Yes",(W$306/W$13+MIN(ABS($C$306-W$306/W$13),OFFSET(Assumptions!$B$60,0,$C$1))*SIGN($C$306-W$306/W$13))*X$13-W$306,0))</f>
        <v>5.8533972018172635</v>
      </c>
    </row>
    <row r="307" spans="1:24" x14ac:dyDescent="0.25">
      <c r="A307" s="9" t="s">
        <v>1003</v>
      </c>
      <c r="B307" s="10" t="str">
        <f>$B$38</f>
        <v>From Fiscal Forecasts</v>
      </c>
      <c r="D307" s="42">
        <f>'Fiscal Forecasts'!D$47</f>
        <v>2.39</v>
      </c>
      <c r="E307" s="42">
        <f>'Fiscal Forecasts'!E$47</f>
        <v>2.4820000000000002</v>
      </c>
      <c r="F307" s="42">
        <f>'Fiscal Forecasts'!F$47</f>
        <v>2.6480000000000001</v>
      </c>
      <c r="G307" s="42">
        <f>'Fiscal Forecasts'!G$47</f>
        <v>2.8029999999999999</v>
      </c>
      <c r="H307" s="42">
        <f>'Fiscal Forecasts'!H$47</f>
        <v>2.8380000000000001</v>
      </c>
      <c r="I307" s="42">
        <f>'Fiscal Forecasts'!I$47</f>
        <v>3.125</v>
      </c>
      <c r="J307" s="43">
        <f ca="1">'Fiscal Forecasts'!J$47+IF(OFFSET(Assumptions!$B$56,0,$C$1)="Yes",Allocation!C$20,0)</f>
        <v>3.1510000000000002</v>
      </c>
      <c r="K307" s="43">
        <f ca="1">'Fiscal Forecasts'!K$47+IF(OFFSET(Assumptions!$B$56,0,$C$1)="Yes",Allocation!D$20,0)</f>
        <v>3.544</v>
      </c>
      <c r="L307" s="43">
        <f ca="1">'Fiscal Forecasts'!L$47+IF(OFFSET(Assumptions!$B$56,0,$C$1)="Yes",Allocation!E$20,0)</f>
        <v>3.6859999999999999</v>
      </c>
      <c r="M307" s="43">
        <f ca="1">'Fiscal Forecasts'!M$47+IF(OFFSET(Assumptions!$B$56,0,$C$1)="Yes",Allocation!F$20,0)</f>
        <v>3.8230000000000004</v>
      </c>
      <c r="N307" s="43">
        <f ca="1">'Fiscal Forecasts'!N$47+IF(OFFSET(Assumptions!$B$56,0,$C$1)="Yes",Allocation!G$20,0)</f>
        <v>3.9250000000000003</v>
      </c>
      <c r="O307" s="47">
        <f ca="1">O$306</f>
        <v>4.1768411203578051</v>
      </c>
      <c r="P307" s="47">
        <f t="shared" ref="P307:X307" ca="1" si="187">P$306</f>
        <v>4.3549840562319293</v>
      </c>
      <c r="Q307" s="47">
        <f t="shared" ca="1" si="187"/>
        <v>4.5335137890905317</v>
      </c>
      <c r="R307" s="47">
        <f t="shared" ca="1" si="187"/>
        <v>4.7120276960941405</v>
      </c>
      <c r="S307" s="47">
        <f t="shared" ca="1" si="187"/>
        <v>4.8944777742343009</v>
      </c>
      <c r="T307" s="47">
        <f t="shared" ca="1" si="187"/>
        <v>5.080585588378983</v>
      </c>
      <c r="U307" s="47">
        <f t="shared" ca="1" si="187"/>
        <v>5.2691747877063673</v>
      </c>
      <c r="V307" s="47">
        <f t="shared" ca="1" si="187"/>
        <v>5.4605993892547353</v>
      </c>
      <c r="W307" s="47">
        <f t="shared" ca="1" si="187"/>
        <v>5.654852261216071</v>
      </c>
      <c r="X307" s="47">
        <f t="shared" ca="1" si="187"/>
        <v>5.8533972018172635</v>
      </c>
    </row>
    <row r="309" spans="1:24" x14ac:dyDescent="0.25">
      <c r="A309" s="9" t="s">
        <v>1004</v>
      </c>
    </row>
    <row r="310" spans="1:24" x14ac:dyDescent="0.25">
      <c r="A310" s="9" t="s">
        <v>1005</v>
      </c>
      <c r="B310" s="10" t="str">
        <f>$B$38</f>
        <v>From Fiscal Forecasts</v>
      </c>
      <c r="C310" s="64" cm="1">
        <f t="array" aca="1" ref="C310" ca="1">SUMPRODUCT(OFFSET($N$310,0,0,1,-OFFSET(Assumptions!$B$59,0,$C$1))/OFFSET($N$13,0,0,1,-OFFSET(Assumptions!$B$59,0,$C$1)))/OFFSET(Assumptions!$B$59,0,$C$1)</f>
        <v>3.412577449911653E-3</v>
      </c>
      <c r="D310" s="42">
        <f>'Fiscal Forecasts'!D$65</f>
        <v>0.91800000000000004</v>
      </c>
      <c r="E310" s="42">
        <f>'Fiscal Forecasts'!E$65</f>
        <v>1.1060000000000001</v>
      </c>
      <c r="F310" s="42">
        <f>'Fiscal Forecasts'!F$65</f>
        <v>1.42</v>
      </c>
      <c r="G310" s="42">
        <f>'Fiscal Forecasts'!G$65</f>
        <v>1.468</v>
      </c>
      <c r="H310" s="42">
        <f>'Fiscal Forecasts'!H$65</f>
        <v>1.5369999999999999</v>
      </c>
      <c r="I310" s="42">
        <f>'Fiscal Forecasts'!I$65</f>
        <v>1.504</v>
      </c>
      <c r="J310" s="43">
        <f ca="1">'Fiscal Forecasts'!J$65+IF(OFFSET(Assumptions!$B$56,0,$C$1)="Yes",Allocation!C$21,0)</f>
        <v>1.403</v>
      </c>
      <c r="K310" s="43">
        <f ca="1">'Fiscal Forecasts'!K$65+IF(OFFSET(Assumptions!$B$56,0,$C$1)="Yes",Allocation!D$21,0)</f>
        <v>1.4319999999999999</v>
      </c>
      <c r="L310" s="43">
        <f ca="1">'Fiscal Forecasts'!L$65+IF(OFFSET(Assumptions!$B$56,0,$C$1)="Yes",Allocation!E$21,0)</f>
        <v>1.4300000000000002</v>
      </c>
      <c r="M310" s="43">
        <f ca="1">'Fiscal Forecasts'!M$65+IF(OFFSET(Assumptions!$B$56,0,$C$1)="Yes",Allocation!F$21,0)</f>
        <v>1.4590000000000001</v>
      </c>
      <c r="N310" s="43">
        <f ca="1">'Fiscal Forecasts'!N$65+IF(OFFSET(Assumptions!$B$56,0,$C$1)="Yes",Allocation!G$21,0)</f>
        <v>1.48</v>
      </c>
      <c r="O310" s="47">
        <f ca="1">N$310+IF(OFFSET(Assumptions!$B$57,0,$C$1)="Yes",Allocation!$B$21*O$247,IF(OFFSET(Assumptions!$B$58,0,$C$1)="Yes",(N$310/N$13+MIN(ABS($C$310-N$310/N$13),OFFSET(Assumptions!$B$60,0,$C$1))*SIGN($C$310-N$310/N$13))*O$13-N$310,0))</f>
        <v>1.8172266532281103</v>
      </c>
      <c r="P310" s="47">
        <f ca="1">O$310+IF(OFFSET(Assumptions!$B$57,0,$C$1)="Yes",Allocation!$B$21*P$247,IF(OFFSET(Assumptions!$B$58,0,$C$1)="Yes",(O$310/O$13+MIN(ABS($C$310-O$310/O$13),OFFSET(Assumptions!$B$60,0,$C$1))*SIGN($C$310-O$310/O$13))*P$13-O$310,0))</f>
        <v>1.9453567651865458</v>
      </c>
      <c r="Q310" s="47">
        <f ca="1">P$310+IF(OFFSET(Assumptions!$B$57,0,$C$1)="Yes",Allocation!$B$21*Q$247,IF(OFFSET(Assumptions!$B$58,0,$C$1)="Yes",(P$310/P$13+MIN(ABS($C$310-P$310/P$13),OFFSET(Assumptions!$B$60,0,$C$1))*SIGN($C$310-P$310/P$13))*Q$13-P$310,0))</f>
        <v>2.0251053978150488</v>
      </c>
      <c r="R310" s="47">
        <f ca="1">Q$310+IF(OFFSET(Assumptions!$B$57,0,$C$1)="Yes",Allocation!$B$21*R$247,IF(OFFSET(Assumptions!$B$58,0,$C$1)="Yes",(Q$310/Q$13+MIN(ABS($C$310-Q$310/Q$13),OFFSET(Assumptions!$B$60,0,$C$1))*SIGN($C$310-Q$310/Q$13))*R$13-Q$310,0))</f>
        <v>2.1048469610872282</v>
      </c>
      <c r="S310" s="47">
        <f ca="1">R$310+IF(OFFSET(Assumptions!$B$57,0,$C$1)="Yes",Allocation!$B$21*S$247,IF(OFFSET(Assumptions!$B$58,0,$C$1)="Yes",(R$310/R$13+MIN(ABS($C$310-R$310/R$13),OFFSET(Assumptions!$B$60,0,$C$1))*SIGN($C$310-R$310/R$13))*S$13-R$310,0))</f>
        <v>2.1863467987986605</v>
      </c>
      <c r="T310" s="47">
        <f ca="1">S$310+IF(OFFSET(Assumptions!$B$57,0,$C$1)="Yes",Allocation!$B$21*T$247,IF(OFFSET(Assumptions!$B$58,0,$C$1)="Yes",(S$310/S$13+MIN(ABS($C$310-S$310/S$13),OFFSET(Assumptions!$B$60,0,$C$1))*SIGN($C$310-S$310/S$13))*T$13-S$310,0))</f>
        <v>2.2694805349101288</v>
      </c>
      <c r="U310" s="47">
        <f ca="1">T$310+IF(OFFSET(Assumptions!$B$57,0,$C$1)="Yes",Allocation!$B$21*U$247,IF(OFFSET(Assumptions!$B$58,0,$C$1)="Yes",(T$310/T$13+MIN(ABS($C$310-T$310/T$13),OFFSET(Assumptions!$B$60,0,$C$1))*SIGN($C$310-T$310/T$13))*U$13-T$310,0))</f>
        <v>2.3537226974566599</v>
      </c>
      <c r="V310" s="47">
        <f ca="1">U$310+IF(OFFSET(Assumptions!$B$57,0,$C$1)="Yes",Allocation!$B$21*V$247,IF(OFFSET(Assumptions!$B$58,0,$C$1)="Yes",(U$310/U$13+MIN(ABS($C$310-U$310/U$13),OFFSET(Assumptions!$B$60,0,$C$1))*SIGN($C$310-U$310/U$13))*V$13-U$310,0))</f>
        <v>2.4392314246613829</v>
      </c>
      <c r="W310" s="47">
        <f ca="1">V$310+IF(OFFSET(Assumptions!$B$57,0,$C$1)="Yes",Allocation!$B$21*W$247,IF(OFFSET(Assumptions!$B$58,0,$C$1)="Yes",(V$310/V$13+MIN(ABS($C$310-V$310/V$13),OFFSET(Assumptions!$B$60,0,$C$1))*SIGN($C$310-V$310/V$13))*W$13-V$310,0))</f>
        <v>2.5260035307695889</v>
      </c>
      <c r="X310" s="47">
        <f ca="1">W$310+IF(OFFSET(Assumptions!$B$57,0,$C$1)="Yes",Allocation!$B$21*X$247,IF(OFFSET(Assumptions!$B$58,0,$C$1)="Yes",(W$310/W$13+MIN(ABS($C$310-W$310/W$13),OFFSET(Assumptions!$B$60,0,$C$1))*SIGN($C$310-W$310/W$13))*X$13-W$310,0))</f>
        <v>2.6146928895375927</v>
      </c>
    </row>
    <row r="311" spans="1:24" x14ac:dyDescent="0.25">
      <c r="A311" s="9" t="s">
        <v>1006</v>
      </c>
      <c r="B311" s="10" t="str">
        <f>$B$38</f>
        <v>From Fiscal Forecasts</v>
      </c>
      <c r="D311" s="42">
        <f>'Fiscal Forecasts'!D$48</f>
        <v>2.5030000000000001</v>
      </c>
      <c r="E311" s="42">
        <f>'Fiscal Forecasts'!E$48</f>
        <v>2.9039999999999999</v>
      </c>
      <c r="F311" s="42">
        <f>'Fiscal Forecasts'!F$48</f>
        <v>3.0230000000000001</v>
      </c>
      <c r="G311" s="42">
        <f>'Fiscal Forecasts'!G$48</f>
        <v>3.26</v>
      </c>
      <c r="H311" s="42">
        <f>'Fiscal Forecasts'!H$48</f>
        <v>3.4169999999999998</v>
      </c>
      <c r="I311" s="42">
        <f>'Fiscal Forecasts'!I$48</f>
        <v>3.6080000000000001</v>
      </c>
      <c r="J311" s="43">
        <f ca="1">'Fiscal Forecasts'!J$48+IF(OFFSET(Assumptions!$B$56,0,$C$1)="Yes",Allocation!C$21,0)</f>
        <v>3.2190000000000003</v>
      </c>
      <c r="K311" s="43">
        <f ca="1">'Fiscal Forecasts'!K$48+IF(OFFSET(Assumptions!$B$56,0,$C$1)="Yes",Allocation!D$21,0)</f>
        <v>3.3839999999999999</v>
      </c>
      <c r="L311" s="43">
        <f ca="1">'Fiscal Forecasts'!L$48+IF(OFFSET(Assumptions!$B$56,0,$C$1)="Yes",Allocation!E$21,0)</f>
        <v>3.4829999999999997</v>
      </c>
      <c r="M311" s="43">
        <f ca="1">'Fiscal Forecasts'!M$48+IF(OFFSET(Assumptions!$B$56,0,$C$1)="Yes",Allocation!F$21,0)</f>
        <v>3.5640000000000001</v>
      </c>
      <c r="N311" s="43">
        <f ca="1">'Fiscal Forecasts'!N$48+IF(OFFSET(Assumptions!$B$56,0,$C$1)="Yes",Allocation!G$21,0)</f>
        <v>3.6470000000000002</v>
      </c>
      <c r="O311" s="47">
        <f t="shared" ref="O311:X311" ca="1" si="188">O$310+(N$311-N$310)*(1+O$29)</f>
        <v>4.0275666532281109</v>
      </c>
      <c r="P311" s="47">
        <f t="shared" ca="1" si="188"/>
        <v>4.1999035651865464</v>
      </c>
      <c r="Q311" s="47">
        <f t="shared" ca="1" si="188"/>
        <v>4.3247431338150495</v>
      </c>
      <c r="R311" s="47">
        <f t="shared" ca="1" si="188"/>
        <v>4.4504774518072292</v>
      </c>
      <c r="S311" s="47">
        <f t="shared" ca="1" si="188"/>
        <v>4.5788898993330616</v>
      </c>
      <c r="T311" s="47">
        <f t="shared" ca="1" si="188"/>
        <v>4.7098744974552176</v>
      </c>
      <c r="U311" s="47">
        <f t="shared" ca="1" si="188"/>
        <v>4.8429245392526505</v>
      </c>
      <c r="V311" s="47">
        <f t="shared" ca="1" si="188"/>
        <v>4.9782173032932935</v>
      </c>
      <c r="W311" s="47">
        <f t="shared" ca="1" si="188"/>
        <v>5.1157691269741381</v>
      </c>
      <c r="X311" s="47">
        <f t="shared" ca="1" si="188"/>
        <v>5.2562537976662327</v>
      </c>
    </row>
    <row r="313" spans="1:24" x14ac:dyDescent="0.25">
      <c r="A313" s="9" t="s">
        <v>1009</v>
      </c>
    </row>
    <row r="314" spans="1:24" x14ac:dyDescent="0.25">
      <c r="A314" s="9" t="s">
        <v>1007</v>
      </c>
      <c r="B314" s="10" t="str">
        <f>$B$38</f>
        <v>From Fiscal Forecasts</v>
      </c>
      <c r="C314" s="64" cm="1">
        <f t="array" aca="1" ref="C314" ca="1">SUMPRODUCT(OFFSET($N$314,0,0,1,-OFFSET(Assumptions!$B$59,0,$C$1))/OFFSET($N$13,0,0,1,-OFFSET(Assumptions!$B$59,0,$C$1)))/OFFSET(Assumptions!$B$59,0,$C$1)</f>
        <v>2.5414349436780333E-3</v>
      </c>
      <c r="D314" s="42">
        <f>'Fiscal Forecasts'!D$66</f>
        <v>0.96</v>
      </c>
      <c r="E314" s="42">
        <f>'Fiscal Forecasts'!E$66</f>
        <v>0.96099999999999997</v>
      </c>
      <c r="F314" s="42">
        <f>'Fiscal Forecasts'!F$66</f>
        <v>1.0149999999999999</v>
      </c>
      <c r="G314" s="42">
        <f>'Fiscal Forecasts'!G$66</f>
        <v>0.94899999999999995</v>
      </c>
      <c r="H314" s="42">
        <f>'Fiscal Forecasts'!H$66</f>
        <v>1.1559999999999999</v>
      </c>
      <c r="I314" s="42">
        <f>'Fiscal Forecasts'!I$66</f>
        <v>1.0620000000000001</v>
      </c>
      <c r="J314" s="43">
        <f ca="1">'Fiscal Forecasts'!J$66+IF(OFFSET(Assumptions!$B$56,0,$C$1)="Yes",Allocation!C$22,0)</f>
        <v>1.216</v>
      </c>
      <c r="K314" s="43">
        <f ca="1">'Fiscal Forecasts'!K$66+IF(OFFSET(Assumptions!$B$56,0,$C$1)="Yes",Allocation!D$22,0)</f>
        <v>1.0569999999999999</v>
      </c>
      <c r="L314" s="43">
        <f ca="1">'Fiscal Forecasts'!L$66+IF(OFFSET(Assumptions!$B$56,0,$C$1)="Yes",Allocation!E$22,0)</f>
        <v>1.03</v>
      </c>
      <c r="M314" s="43">
        <f ca="1">'Fiscal Forecasts'!M$66+IF(OFFSET(Assumptions!$B$56,0,$C$1)="Yes",Allocation!F$22,0)</f>
        <v>1.0509999999999999</v>
      </c>
      <c r="N314" s="43">
        <f ca="1">'Fiscal Forecasts'!N$66+IF(OFFSET(Assumptions!$B$56,0,$C$1)="Yes",Allocation!G$22,0)</f>
        <v>1.085</v>
      </c>
      <c r="O314" s="47">
        <f ca="1">N$314+IF(OFFSET(Assumptions!$B$57,0,$C$1)="Yes",Allocation!$B$22*O$247,IF(OFFSET(Assumptions!$B$58,0,$C$1)="Yes",(N$314/N$13+MIN(ABS($C$314-N$314/N$13),OFFSET(Assumptions!$B$60,0,$C$1))*SIGN($C$314-N$314/N$13))*O$13-N$314,0))</f>
        <v>1.3894954415967726</v>
      </c>
      <c r="P314" s="47">
        <f ca="1">O$314+IF(OFFSET(Assumptions!$B$57,0,$C$1)="Yes",Allocation!$B$22*P$247,IF(OFFSET(Assumptions!$B$58,0,$C$1)="Yes",(O$314/O$13+MIN(ABS($C$314-O$314/O$13),OFFSET(Assumptions!$B$60,0,$C$1))*SIGN($C$314-O$314/O$13))*P$13-O$314,0))</f>
        <v>1.4487576424363771</v>
      </c>
      <c r="Q314" s="47">
        <f ca="1">P$314+IF(OFFSET(Assumptions!$B$57,0,$C$1)="Yes",Allocation!$B$22*Q$247,IF(OFFSET(Assumptions!$B$58,0,$C$1)="Yes",(P$314/P$13+MIN(ABS($C$314-P$314/P$13),OFFSET(Assumptions!$B$60,0,$C$1))*SIGN($C$314-P$314/P$13))*Q$13-P$314,0))</f>
        <v>1.5081485177051175</v>
      </c>
      <c r="R314" s="47">
        <f ca="1">Q$314+IF(OFFSET(Assumptions!$B$57,0,$C$1)="Yes",Allocation!$B$22*R$247,IF(OFFSET(Assumptions!$B$58,0,$C$1)="Yes",(Q$314/Q$13+MIN(ABS($C$314-Q$314/Q$13),OFFSET(Assumptions!$B$60,0,$C$1))*SIGN($C$314-Q$314/Q$13))*R$13-Q$314,0))</f>
        <v>1.5675341282408364</v>
      </c>
      <c r="S314" s="47">
        <f ca="1">R$314+IF(OFFSET(Assumptions!$B$57,0,$C$1)="Yes",Allocation!$B$22*S$247,IF(OFFSET(Assumptions!$B$58,0,$C$1)="Yes",(R$314/R$13+MIN(ABS($C$314-R$314/R$13),OFFSET(Assumptions!$B$60,0,$C$1))*SIGN($C$314-R$314/R$13))*S$13-R$314,0))</f>
        <v>1.6282291713582562</v>
      </c>
      <c r="T314" s="47">
        <f ca="1">S$314+IF(OFFSET(Assumptions!$B$57,0,$C$1)="Yes",Allocation!$B$22*T$247,IF(OFFSET(Assumptions!$B$58,0,$C$1)="Yes",(S$314/S$13+MIN(ABS($C$314-S$314/S$13),OFFSET(Assumptions!$B$60,0,$C$1))*SIGN($C$314-S$314/S$13))*T$13-S$314,0))</f>
        <v>1.6901410209948595</v>
      </c>
      <c r="U314" s="47">
        <f ca="1">T$314+IF(OFFSET(Assumptions!$B$57,0,$C$1)="Yes",Allocation!$B$22*U$247,IF(OFFSET(Assumptions!$B$58,0,$C$1)="Yes",(T$314/T$13+MIN(ABS($C$314-T$314/T$13),OFFSET(Assumptions!$B$60,0,$C$1))*SIGN($C$314-T$314/T$13))*U$13-T$314,0))</f>
        <v>1.7528783445484397</v>
      </c>
      <c r="V314" s="47">
        <f ca="1">U$314+IF(OFFSET(Assumptions!$B$57,0,$C$1)="Yes",Allocation!$B$22*V$247,IF(OFFSET(Assumptions!$B$58,0,$C$1)="Yes",(U$314/U$13+MIN(ABS($C$314-U$314/U$13),OFFSET(Assumptions!$B$60,0,$C$1))*SIGN($C$314-U$314/U$13))*V$13-U$314,0))</f>
        <v>1.8165589116556105</v>
      </c>
      <c r="W314" s="47">
        <f ca="1">V$314+IF(OFFSET(Assumptions!$B$57,0,$C$1)="Yes",Allocation!$B$22*W$247,IF(OFFSET(Assumptions!$B$58,0,$C$1)="Yes",(V$314/V$13+MIN(ABS($C$314-V$314/V$13),OFFSET(Assumptions!$B$60,0,$C$1))*SIGN($C$314-V$314/V$13))*W$13-V$314,0))</f>
        <v>1.8811803498022057</v>
      </c>
      <c r="X314" s="47">
        <f ca="1">W$314+IF(OFFSET(Assumptions!$B$57,0,$C$1)="Yes",Allocation!$B$22*X$247,IF(OFFSET(Assumptions!$B$58,0,$C$1)="Yes",(W$314/W$13+MIN(ABS($C$314-W$314/W$13),OFFSET(Assumptions!$B$60,0,$C$1))*SIGN($C$314-W$314/W$13))*X$13-W$314,0))</f>
        <v>1.94722961573498</v>
      </c>
    </row>
    <row r="315" spans="1:24" x14ac:dyDescent="0.25">
      <c r="A315" s="9" t="s">
        <v>1008</v>
      </c>
      <c r="B315" s="10" t="str">
        <f>$B$38</f>
        <v>From Fiscal Forecasts</v>
      </c>
      <c r="D315" s="42">
        <f>'Fiscal Forecasts'!D$49</f>
        <v>2.395</v>
      </c>
      <c r="E315" s="42">
        <f>'Fiscal Forecasts'!E$49</f>
        <v>2.4300000000000002</v>
      </c>
      <c r="F315" s="42">
        <f>'Fiscal Forecasts'!F$49</f>
        <v>2.3980000000000001</v>
      </c>
      <c r="G315" s="42">
        <f>'Fiscal Forecasts'!G$49</f>
        <v>2.302</v>
      </c>
      <c r="H315" s="42">
        <f>'Fiscal Forecasts'!H$49</f>
        <v>2.74</v>
      </c>
      <c r="I315" s="42">
        <f>'Fiscal Forecasts'!I$49</f>
        <v>2.6360000000000001</v>
      </c>
      <c r="J315" s="43">
        <f ca="1">'Fiscal Forecasts'!J$49+IF(OFFSET(Assumptions!$B$56,0,$C$1)="Yes",Allocation!C$22,0)</f>
        <v>2.8320000000000003</v>
      </c>
      <c r="K315" s="43">
        <f ca="1">'Fiscal Forecasts'!K$49+IF(OFFSET(Assumptions!$B$56,0,$C$1)="Yes",Allocation!D$22,0)</f>
        <v>2.5289999999999999</v>
      </c>
      <c r="L315" s="43">
        <f ca="1">'Fiscal Forecasts'!L$49+IF(OFFSET(Assumptions!$B$56,0,$C$1)="Yes",Allocation!E$22,0)</f>
        <v>2.5100000000000002</v>
      </c>
      <c r="M315" s="43">
        <f ca="1">'Fiscal Forecasts'!M$49+IF(OFFSET(Assumptions!$B$56,0,$C$1)="Yes",Allocation!F$22,0)</f>
        <v>2.5009999999999999</v>
      </c>
      <c r="N315" s="43">
        <f ca="1">'Fiscal Forecasts'!N$49+IF(OFFSET(Assumptions!$B$56,0,$C$1)="Yes",Allocation!G$22,0)</f>
        <v>2.4910000000000001</v>
      </c>
      <c r="O315" s="47">
        <f t="shared" ref="O315:X315" ca="1" si="189">O$314+(N$315-N$314)*(1+O$29)</f>
        <v>2.8236154415967727</v>
      </c>
      <c r="P315" s="47">
        <f t="shared" ca="1" si="189"/>
        <v>2.9115600424363772</v>
      </c>
      <c r="Q315" s="47">
        <f t="shared" ca="1" si="189"/>
        <v>3.0002069657051176</v>
      </c>
      <c r="R315" s="47">
        <f t="shared" ca="1" si="189"/>
        <v>3.0894337452008367</v>
      </c>
      <c r="S315" s="47">
        <f t="shared" ca="1" si="189"/>
        <v>3.1805667806574567</v>
      </c>
      <c r="T315" s="47">
        <f t="shared" ca="1" si="189"/>
        <v>3.2735253824800443</v>
      </c>
      <c r="U315" s="47">
        <f t="shared" ca="1" si="189"/>
        <v>3.367930393263328</v>
      </c>
      <c r="V315" s="47">
        <f t="shared" ca="1" si="189"/>
        <v>3.4639120013447968</v>
      </c>
      <c r="W315" s="47">
        <f t="shared" ca="1" si="189"/>
        <v>3.5614805012851756</v>
      </c>
      <c r="X315" s="47">
        <f t="shared" ca="1" si="189"/>
        <v>3.6611357702476095</v>
      </c>
    </row>
    <row r="317" spans="1:24" x14ac:dyDescent="0.25">
      <c r="A317" s="9" t="s">
        <v>1012</v>
      </c>
    </row>
    <row r="318" spans="1:24" x14ac:dyDescent="0.25">
      <c r="A318" s="9" t="s">
        <v>1010</v>
      </c>
      <c r="B318" s="10" t="str">
        <f>$B$38</f>
        <v>From Fiscal Forecasts</v>
      </c>
      <c r="C318" s="64" cm="1">
        <f t="array" aca="1" ref="C318" ca="1">SUMPRODUCT(OFFSET($N$318,0,0,1,-OFFSET(Assumptions!$B$59,0,$C$1))/OFFSET($N$13,0,0,1,-OFFSET(Assumptions!$B$59,0,$C$1)))/OFFSET(Assumptions!$B$59,0,$C$1)</f>
        <v>4.9641595517215835E-3</v>
      </c>
      <c r="D318" s="42">
        <f>'Fiscal Forecasts'!D$67</f>
        <v>0.72699999999999998</v>
      </c>
      <c r="E318" s="42">
        <f>'Fiscal Forecasts'!E$67</f>
        <v>1.0149999999999999</v>
      </c>
      <c r="F318" s="42">
        <f>'Fiscal Forecasts'!F$67</f>
        <v>1.8129999999999999</v>
      </c>
      <c r="G318" s="42">
        <f>'Fiscal Forecasts'!G$67</f>
        <v>2.0329999999999999</v>
      </c>
      <c r="H318" s="42">
        <f>'Fiscal Forecasts'!H$67</f>
        <v>2.3119999999999998</v>
      </c>
      <c r="I318" s="42">
        <f>'Fiscal Forecasts'!I$67</f>
        <v>2.512</v>
      </c>
      <c r="J318" s="43">
        <f ca="1">'Fiscal Forecasts'!J$67+IF(OFFSET(Assumptions!$B$56,0,$C$1)="Yes",Allocation!C$23,0)</f>
        <v>2.3570000000000002</v>
      </c>
      <c r="K318" s="43">
        <f ca="1">'Fiscal Forecasts'!K$67+IF(OFFSET(Assumptions!$B$56,0,$C$1)="Yes",Allocation!D$23,0)</f>
        <v>2.4119999999999999</v>
      </c>
      <c r="L318" s="43">
        <f ca="1">'Fiscal Forecasts'!L$67+IF(OFFSET(Assumptions!$B$56,0,$C$1)="Yes",Allocation!E$23,0)</f>
        <v>2.331</v>
      </c>
      <c r="M318" s="43">
        <f ca="1">'Fiscal Forecasts'!M$67+IF(OFFSET(Assumptions!$B$56,0,$C$1)="Yes",Allocation!F$23,0)</f>
        <v>2.0499999999999998</v>
      </c>
      <c r="N318" s="43">
        <f ca="1">'Fiscal Forecasts'!N$67+IF(OFFSET(Assumptions!$B$56,0,$C$1)="Yes",Allocation!G$23,0)</f>
        <v>2.2040000000000002</v>
      </c>
      <c r="O318" s="47">
        <f ca="1">N$318+IF(OFFSET(Assumptions!$B$57,0,$C$1)="Yes",Allocation!$B$23*O$247,IF(OFFSET(Assumptions!$B$58,0,$C$1)="Yes",(N$318/N$13+MIN(ABS($C$318-N$318/N$13),OFFSET(Assumptions!$B$60,0,$C$1))*SIGN($C$318-N$318/N$13))*O$13-N$318,0))</f>
        <v>2.5724654749095279</v>
      </c>
      <c r="P318" s="47">
        <f ca="1">O$318+IF(OFFSET(Assumptions!$B$57,0,$C$1)="Yes",Allocation!$B$23*P$247,IF(OFFSET(Assumptions!$B$58,0,$C$1)="Yes",(O$318/O$13+MIN(ABS($C$318-O$318/O$13),OFFSET(Assumptions!$B$60,0,$C$1))*SIGN($C$318-O$318/O$13))*P$13-O$318,0))</f>
        <v>2.8298438670328201</v>
      </c>
      <c r="Q318" s="47">
        <f ca="1">P$318+IF(OFFSET(Assumptions!$B$57,0,$C$1)="Yes",Allocation!$B$23*Q$247,IF(OFFSET(Assumptions!$B$58,0,$C$1)="Yes",(P$318/P$13+MIN(ABS($C$318-P$318/P$13),OFFSET(Assumptions!$B$60,0,$C$1))*SIGN($C$318-P$318/P$13))*Q$13-P$318,0))</f>
        <v>2.9458514719033757</v>
      </c>
      <c r="R318" s="47">
        <f ca="1">Q$318+IF(OFFSET(Assumptions!$B$57,0,$C$1)="Yes",Allocation!$B$23*R$247,IF(OFFSET(Assumptions!$B$58,0,$C$1)="Yes",(Q$318/Q$13+MIN(ABS($C$318-Q$318/Q$13),OFFSET(Assumptions!$B$60,0,$C$1))*SIGN($C$318-Q$318/Q$13))*R$13-Q$318,0))</f>
        <v>3.0618487932233793</v>
      </c>
      <c r="S318" s="47">
        <f ca="1">R$318+IF(OFFSET(Assumptions!$B$57,0,$C$1)="Yes",Allocation!$B$23*S$247,IF(OFFSET(Assumptions!$B$58,0,$C$1)="Yes",(R$318/R$13+MIN(ABS($C$318-R$318/R$13),OFFSET(Assumptions!$B$60,0,$C$1))*SIGN($C$318-R$318/R$13))*S$13-R$318,0))</f>
        <v>3.1804038161575661</v>
      </c>
      <c r="T318" s="47">
        <f ca="1">S$318+IF(OFFSET(Assumptions!$B$57,0,$C$1)="Yes",Allocation!$B$23*T$247,IF(OFFSET(Assumptions!$B$58,0,$C$1)="Yes",(S$318/S$13+MIN(ABS($C$318-S$318/S$13),OFFSET(Assumptions!$B$60,0,$C$1))*SIGN($C$318-S$318/S$13))*T$13-S$318,0))</f>
        <v>3.3013356151409798</v>
      </c>
      <c r="U318" s="47">
        <f ca="1">T$318+IF(OFFSET(Assumptions!$B$57,0,$C$1)="Yes",Allocation!$B$23*U$247,IF(OFFSET(Assumptions!$B$58,0,$C$1)="Yes",(T$318/T$13+MIN(ABS($C$318-T$318/T$13),OFFSET(Assumptions!$B$60,0,$C$1))*SIGN($C$318-T$318/T$13))*U$13-T$318,0))</f>
        <v>3.4238798041011078</v>
      </c>
      <c r="V318" s="47">
        <f ca="1">U$318+IF(OFFSET(Assumptions!$B$57,0,$C$1)="Yes",Allocation!$B$23*V$247,IF(OFFSET(Assumptions!$B$58,0,$C$1)="Yes",(U$318/U$13+MIN(ABS($C$318-U$318/U$13),OFFSET(Assumptions!$B$60,0,$C$1))*SIGN($C$318-U$318/U$13))*V$13-U$318,0))</f>
        <v>3.5482664212956485</v>
      </c>
      <c r="W318" s="47">
        <f ca="1">V$318+IF(OFFSET(Assumptions!$B$57,0,$C$1)="Yes",Allocation!$B$23*W$247,IF(OFFSET(Assumptions!$B$58,0,$C$1)="Yes",(V$318/V$13+MIN(ABS($C$318-V$318/V$13),OFFSET(Assumptions!$B$60,0,$C$1))*SIGN($C$318-V$318/V$13))*W$13-V$318,0))</f>
        <v>3.6744908325163226</v>
      </c>
      <c r="X318" s="47">
        <f ca="1">W$318+IF(OFFSET(Assumptions!$B$57,0,$C$1)="Yes",Allocation!$B$23*X$247,IF(OFFSET(Assumptions!$B$58,0,$C$1)="Yes",(W$318/W$13+MIN(ABS($C$318-W$318/W$13),OFFSET(Assumptions!$B$60,0,$C$1))*SIGN($C$318-W$318/W$13))*X$13-W$318,0))</f>
        <v>3.8035042055243542</v>
      </c>
    </row>
    <row r="319" spans="1:24" x14ac:dyDescent="0.25">
      <c r="A319" s="9" t="s">
        <v>1011</v>
      </c>
      <c r="B319" s="10" t="str">
        <f>$B$38</f>
        <v>From Fiscal Forecasts</v>
      </c>
      <c r="D319" s="42">
        <f>'Fiscal Forecasts'!D$50</f>
        <v>2.02</v>
      </c>
      <c r="E319" s="42">
        <f>'Fiscal Forecasts'!E$50</f>
        <v>2.3929999999999998</v>
      </c>
      <c r="F319" s="42">
        <f>'Fiscal Forecasts'!F$50</f>
        <v>3.351</v>
      </c>
      <c r="G319" s="42">
        <f>'Fiscal Forecasts'!G$50</f>
        <v>3.9350000000000001</v>
      </c>
      <c r="H319" s="42">
        <f>'Fiscal Forecasts'!H$50</f>
        <v>4.3959999999999999</v>
      </c>
      <c r="I319" s="42">
        <f>'Fiscal Forecasts'!I$50</f>
        <v>4.7889999999999997</v>
      </c>
      <c r="J319" s="43">
        <f ca="1">'Fiscal Forecasts'!J$50+IF(OFFSET(Assumptions!$B$56,0,$C$1)="Yes",Allocation!C$23,0)</f>
        <v>4.7539999999999996</v>
      </c>
      <c r="K319" s="43">
        <f ca="1">'Fiscal Forecasts'!K$50+IF(OFFSET(Assumptions!$B$56,0,$C$1)="Yes",Allocation!D$23,0)</f>
        <v>4.7439999999999998</v>
      </c>
      <c r="L319" s="43">
        <f ca="1">'Fiscal Forecasts'!L$50+IF(OFFSET(Assumptions!$B$56,0,$C$1)="Yes",Allocation!E$23,0)</f>
        <v>4.8490000000000002</v>
      </c>
      <c r="M319" s="43">
        <f ca="1">'Fiscal Forecasts'!M$50+IF(OFFSET(Assumptions!$B$56,0,$C$1)="Yes",Allocation!F$23,0)</f>
        <v>4.5890000000000004</v>
      </c>
      <c r="N319" s="43">
        <f ca="1">'Fiscal Forecasts'!N$50+IF(OFFSET(Assumptions!$B$56,0,$C$1)="Yes",Allocation!G$23,0)</f>
        <v>4.6390000000000002</v>
      </c>
      <c r="O319" s="47">
        <f t="shared" ref="O319:X319" ca="1" si="190">O$318+(N$319-N$318)*(1+O$29)</f>
        <v>5.0561654749095286</v>
      </c>
      <c r="P319" s="47">
        <f t="shared" ca="1" si="190"/>
        <v>5.3632178670328212</v>
      </c>
      <c r="Q319" s="47">
        <f t="shared" ca="1" si="190"/>
        <v>5.5298929519033768</v>
      </c>
      <c r="R319" s="47">
        <f t="shared" ca="1" si="190"/>
        <v>5.69757110282338</v>
      </c>
      <c r="S319" s="47">
        <f t="shared" ca="1" si="190"/>
        <v>5.8688405719495673</v>
      </c>
      <c r="T319" s="47">
        <f t="shared" ca="1" si="190"/>
        <v>6.0435411060488207</v>
      </c>
      <c r="U319" s="47">
        <f t="shared" ca="1" si="190"/>
        <v>6.2209294048271051</v>
      </c>
      <c r="V319" s="47">
        <f t="shared" ca="1" si="190"/>
        <v>6.4012570140361653</v>
      </c>
      <c r="W319" s="47">
        <f t="shared" ca="1" si="190"/>
        <v>6.5845412371116492</v>
      </c>
      <c r="X319" s="47">
        <f t="shared" ca="1" si="190"/>
        <v>6.7717556182115874</v>
      </c>
    </row>
    <row r="321" spans="1:24" x14ac:dyDescent="0.25">
      <c r="A321" s="9" t="s">
        <v>1014</v>
      </c>
    </row>
    <row r="322" spans="1:24" x14ac:dyDescent="0.25">
      <c r="A322" s="11" t="s">
        <v>1013</v>
      </c>
      <c r="B322" s="10" t="str">
        <f>$B$38</f>
        <v>From Fiscal Forecasts</v>
      </c>
      <c r="D322" s="35">
        <f>'Fiscal Forecasts'!D$376</f>
        <v>0.54300000000000004</v>
      </c>
      <c r="E322" s="35">
        <f>'Fiscal Forecasts'!E$376</f>
        <v>0.65</v>
      </c>
      <c r="F322" s="35">
        <f>'Fiscal Forecasts'!F$376</f>
        <v>1.853</v>
      </c>
      <c r="G322" s="35">
        <f>'Fiscal Forecasts'!G$376</f>
        <v>1.4890000000000001</v>
      </c>
      <c r="H322" s="35">
        <f>'Fiscal Forecasts'!H$376</f>
        <v>1.103</v>
      </c>
      <c r="I322" s="35">
        <f>'Fiscal Forecasts'!I$376</f>
        <v>0.83399999999999996</v>
      </c>
      <c r="J322" s="17">
        <f>'Fiscal Forecasts'!J$376</f>
        <v>1.194</v>
      </c>
      <c r="K322" s="17">
        <f>'Fiscal Forecasts'!K$376</f>
        <v>1.1739999999999999</v>
      </c>
      <c r="L322" s="17">
        <f>'Fiscal Forecasts'!L$376</f>
        <v>1.3680000000000001</v>
      </c>
      <c r="M322" s="17">
        <f>'Fiscal Forecasts'!M$376</f>
        <v>1.4219999999999999</v>
      </c>
      <c r="N322" s="17">
        <f>'Fiscal Forecasts'!N$376</f>
        <v>1.448</v>
      </c>
      <c r="O322" s="16">
        <f t="shared" ref="O322:X322" ca="1" si="191">N$322*(1+O$29)</f>
        <v>1.4769600000000001</v>
      </c>
      <c r="P322" s="16">
        <f t="shared" ca="1" si="191"/>
        <v>1.5064992000000001</v>
      </c>
      <c r="Q322" s="16">
        <f t="shared" ca="1" si="191"/>
        <v>1.5366291840000001</v>
      </c>
      <c r="R322" s="16">
        <f t="shared" ca="1" si="191"/>
        <v>1.5673617676800002</v>
      </c>
      <c r="S322" s="16">
        <f t="shared" ca="1" si="191"/>
        <v>1.5987090030336002</v>
      </c>
      <c r="T322" s="16">
        <f t="shared" ca="1" si="191"/>
        <v>1.6306831830942723</v>
      </c>
      <c r="U322" s="16">
        <f t="shared" ca="1" si="191"/>
        <v>1.6632968467561577</v>
      </c>
      <c r="V322" s="16">
        <f t="shared" ca="1" si="191"/>
        <v>1.6965627836912809</v>
      </c>
      <c r="W322" s="16">
        <f t="shared" ca="1" si="191"/>
        <v>1.7304940393651065</v>
      </c>
      <c r="X322" s="16">
        <f t="shared" ca="1" si="191"/>
        <v>1.7651039201524086</v>
      </c>
    </row>
    <row r="323" spans="1:24" x14ac:dyDescent="0.25">
      <c r="A323" s="11" t="s">
        <v>1015</v>
      </c>
      <c r="B323" s="10" t="str">
        <f>$B$38</f>
        <v>From Fiscal Forecasts</v>
      </c>
      <c r="C323" s="64" cm="1">
        <f t="array" aca="1" ref="C323" ca="1">SUMPRODUCT(OFFSET($N$323,0,0,1,-OFFSET(Assumptions!$B$59,0,$C$1))/OFFSET($N$13,0,0,1,-OFFSET(Assumptions!$B$59,0,$C$1)))/OFFSET(Assumptions!$B$59,0,$C$1)</f>
        <v>2.6602238792232794E-3</v>
      </c>
      <c r="D323" s="35">
        <f>'Fiscal Forecasts'!D$68-D$322</f>
        <v>0.57599999999999996</v>
      </c>
      <c r="E323" s="35">
        <f>'Fiscal Forecasts'!E$68-E$322</f>
        <v>0.83500000000000008</v>
      </c>
      <c r="F323" s="35">
        <f>'Fiscal Forecasts'!F$68-F$322</f>
        <v>5.2999999999999936E-2</v>
      </c>
      <c r="G323" s="35">
        <f>'Fiscal Forecasts'!G$68-G$322</f>
        <v>1.0599999999999998</v>
      </c>
      <c r="H323" s="35">
        <f>'Fiscal Forecasts'!H$68-H$322</f>
        <v>1.2779999999999998</v>
      </c>
      <c r="I323" s="35">
        <f>'Fiscal Forecasts'!I$68-I$322</f>
        <v>1.4630000000000001</v>
      </c>
      <c r="J323" s="17">
        <f ca="1">'Fiscal Forecasts'!J$68-J$322+IF(OFFSET(Assumptions!$B$56,0,$C$1)="Yes",Allocation!C$24,0)</f>
        <v>1.476</v>
      </c>
      <c r="K323" s="17">
        <f ca="1">'Fiscal Forecasts'!K$68-K$322+IF(OFFSET(Assumptions!$B$56,0,$C$1)="Yes",Allocation!D$24,0)</f>
        <v>1.4530000000000003</v>
      </c>
      <c r="L323" s="17">
        <f ca="1">'Fiscal Forecasts'!L$68-L$322+IF(OFFSET(Assumptions!$B$56,0,$C$1)="Yes",Allocation!E$24,0)</f>
        <v>1.3049999999999999</v>
      </c>
      <c r="M323" s="17">
        <f ca="1">'Fiscal Forecasts'!M$68-M$322+IF(OFFSET(Assumptions!$B$56,0,$C$1)="Yes",Allocation!F$24,0)</f>
        <v>1.2510000000000001</v>
      </c>
      <c r="N323" s="17">
        <f ca="1">'Fiscal Forecasts'!N$68-N$322+IF(OFFSET(Assumptions!$B$56,0,$C$1)="Yes",Allocation!G$24,0)</f>
        <v>1.2869999999999999</v>
      </c>
      <c r="O323" s="16">
        <f ca="1">N$323+IF(OFFSET(Assumptions!$B$57,0,$C$1)="Yes",Allocation!$B$24*O$247,IF(OFFSET(Assumptions!$B$58,0,$C$1)="Yes",(N$323/N$13+MIN(ABS($C$323-N$323/N$13),OFFSET(Assumptions!$B$60,0,$C$1))*SIGN($C$323-N$323/N$13))*O$13-N$323,0))</f>
        <v>1.4544416975939369</v>
      </c>
      <c r="P323" s="16">
        <f ca="1">O$323+IF(OFFSET(Assumptions!$B$57,0,$C$1)="Yes",Allocation!$B$24*P$247,IF(OFFSET(Assumptions!$B$58,0,$C$1)="Yes",(O$323/O$13+MIN(ABS($C$323-O$323/O$13),OFFSET(Assumptions!$B$60,0,$C$1))*SIGN($C$323-O$323/O$13))*P$13-O$323,0))</f>
        <v>1.516473866546759</v>
      </c>
      <c r="Q323" s="16">
        <f ca="1">P$323+IF(OFFSET(Assumptions!$B$57,0,$C$1)="Yes",Allocation!$B$24*Q$247,IF(OFFSET(Assumptions!$B$58,0,$C$1)="Yes",(P$323/P$13+MIN(ABS($C$323-P$323/P$13),OFFSET(Assumptions!$B$60,0,$C$1))*SIGN($C$323-P$323/P$13))*Q$13-P$323,0))</f>
        <v>1.5786407242862779</v>
      </c>
      <c r="R323" s="16">
        <f ca="1">Q$323+IF(OFFSET(Assumptions!$B$57,0,$C$1)="Yes",Allocation!$B$24*R$247,IF(OFFSET(Assumptions!$B$58,0,$C$1)="Yes",(Q$323/Q$13+MIN(ABS($C$323-Q$323/Q$13),OFFSET(Assumptions!$B$60,0,$C$1))*SIGN($C$323-Q$323/Q$13))*R$13-Q$323,0))</f>
        <v>1.6408020712144591</v>
      </c>
      <c r="S323" s="16">
        <f ca="1">R$323+IF(OFFSET(Assumptions!$B$57,0,$C$1)="Yes",Allocation!$B$24*S$247,IF(OFFSET(Assumptions!$B$58,0,$C$1)="Yes",(R$323/R$13+MIN(ABS($C$323-R$323/R$13),OFFSET(Assumptions!$B$60,0,$C$1))*SIGN($C$323-R$323/R$13))*S$13-R$323,0))</f>
        <v>1.7043340547708723</v>
      </c>
      <c r="T323" s="16">
        <f ca="1">S$323+IF(OFFSET(Assumptions!$B$57,0,$C$1)="Yes",Allocation!$B$24*T$247,IF(OFFSET(Assumptions!$B$58,0,$C$1)="Yes",(S$323/S$13+MIN(ABS($C$323-S$323/S$13),OFFSET(Assumptions!$B$60,0,$C$1))*SIGN($C$323-S$323/S$13))*T$13-S$323,0))</f>
        <v>1.7691397194682406</v>
      </c>
      <c r="U323" s="16">
        <f ca="1">T$323+IF(OFFSET(Assumptions!$B$57,0,$C$1)="Yes",Allocation!$B$24*U$247,IF(OFFSET(Assumptions!$B$58,0,$C$1)="Yes",(T$323/T$13+MIN(ABS($C$323-T$323/T$13),OFFSET(Assumptions!$B$60,0,$C$1))*SIGN($C$323-T$323/T$13))*U$13-T$323,0))</f>
        <v>1.8348094414695661</v>
      </c>
      <c r="V323" s="16">
        <f ca="1">U$323+IF(OFFSET(Assumptions!$B$57,0,$C$1)="Yes",Allocation!$B$24*V$247,IF(OFFSET(Assumptions!$B$58,0,$C$1)="Yes",(U$323/U$13+MIN(ABS($C$323-U$323/U$13),OFFSET(Assumptions!$B$60,0,$C$1))*SIGN($C$323-U$323/U$13))*V$13-U$323,0))</f>
        <v>1.9014664950692972</v>
      </c>
      <c r="W323" s="16">
        <f ca="1">V$323+IF(OFFSET(Assumptions!$B$57,0,$C$1)="Yes",Allocation!$B$24*W$247,IF(OFFSET(Assumptions!$B$58,0,$C$1)="Yes",(V$323/V$13+MIN(ABS($C$323-V$323/V$13),OFFSET(Assumptions!$B$60,0,$C$1))*SIGN($C$323-V$323/V$13))*W$13-V$323,0))</f>
        <v>1.96910839685984</v>
      </c>
      <c r="X323" s="16">
        <f ca="1">W$323+IF(OFFSET(Assumptions!$B$57,0,$C$1)="Yes",Allocation!$B$24*X$247,IF(OFFSET(Assumptions!$B$58,0,$C$1)="Yes",(W$323/W$13+MIN(ABS($C$323-W$323/W$13),OFFSET(Assumptions!$B$60,0,$C$1))*SIGN($C$323-W$323/W$13))*X$13-W$323,0))</f>
        <v>2.0382448643805264</v>
      </c>
    </row>
    <row r="324" spans="1:24" x14ac:dyDescent="0.25">
      <c r="A324" s="9" t="s">
        <v>1016</v>
      </c>
      <c r="D324" s="65">
        <f t="shared" ref="D324:X324" si="192">SUM(D$322:D$323)</f>
        <v>1.119</v>
      </c>
      <c r="E324" s="65">
        <f t="shared" si="192"/>
        <v>1.4850000000000001</v>
      </c>
      <c r="F324" s="65">
        <f t="shared" si="192"/>
        <v>1.9059999999999999</v>
      </c>
      <c r="G324" s="65">
        <f t="shared" si="192"/>
        <v>2.5489999999999999</v>
      </c>
      <c r="H324" s="65">
        <f t="shared" si="192"/>
        <v>2.3809999999999998</v>
      </c>
      <c r="I324" s="65">
        <f t="shared" si="192"/>
        <v>2.2970000000000002</v>
      </c>
      <c r="J324" s="66">
        <f t="shared" ca="1" si="192"/>
        <v>2.67</v>
      </c>
      <c r="K324" s="66">
        <f t="shared" ca="1" si="192"/>
        <v>2.6270000000000002</v>
      </c>
      <c r="L324" s="66">
        <f t="shared" ca="1" si="192"/>
        <v>2.673</v>
      </c>
      <c r="M324" s="66">
        <f t="shared" ca="1" si="192"/>
        <v>2.673</v>
      </c>
      <c r="N324" s="66">
        <f t="shared" ca="1" si="192"/>
        <v>2.7349999999999999</v>
      </c>
      <c r="O324" s="67">
        <f t="shared" ca="1" si="192"/>
        <v>2.931401697593937</v>
      </c>
      <c r="P324" s="67">
        <f t="shared" ca="1" si="192"/>
        <v>3.0229730665467591</v>
      </c>
      <c r="Q324" s="67">
        <f t="shared" ca="1" si="192"/>
        <v>3.1152699082862778</v>
      </c>
      <c r="R324" s="67">
        <f t="shared" ca="1" si="192"/>
        <v>3.2081638388944596</v>
      </c>
      <c r="S324" s="67">
        <f t="shared" ca="1" si="192"/>
        <v>3.3030430578044725</v>
      </c>
      <c r="T324" s="67">
        <f t="shared" ca="1" si="192"/>
        <v>3.3998229025625131</v>
      </c>
      <c r="U324" s="67">
        <f t="shared" ca="1" si="192"/>
        <v>3.4981062882257241</v>
      </c>
      <c r="V324" s="67">
        <f t="shared" ca="1" si="192"/>
        <v>3.5980292787605781</v>
      </c>
      <c r="W324" s="67">
        <f t="shared" ca="1" si="192"/>
        <v>3.6996024362249464</v>
      </c>
      <c r="X324" s="67">
        <f t="shared" ca="1" si="192"/>
        <v>3.8033487845329352</v>
      </c>
    </row>
    <row r="325" spans="1:24" x14ac:dyDescent="0.25">
      <c r="A325" s="9" t="s">
        <v>1017</v>
      </c>
      <c r="B325" s="10" t="str">
        <f>$B$38</f>
        <v>From Fiscal Forecasts</v>
      </c>
      <c r="D325" s="42">
        <f>'Fiscal Forecasts'!D$51</f>
        <v>1.1080000000000001</v>
      </c>
      <c r="E325" s="42">
        <f>'Fiscal Forecasts'!E$51</f>
        <v>1.472</v>
      </c>
      <c r="F325" s="42">
        <f>'Fiscal Forecasts'!F$51</f>
        <v>1.889</v>
      </c>
      <c r="G325" s="42">
        <f>'Fiscal Forecasts'!G$51</f>
        <v>2.5350000000000001</v>
      </c>
      <c r="H325" s="42">
        <f>'Fiscal Forecasts'!H$51</f>
        <v>2.3530000000000002</v>
      </c>
      <c r="I325" s="42">
        <f>'Fiscal Forecasts'!I$51</f>
        <v>2.2770000000000001</v>
      </c>
      <c r="J325" s="43">
        <f ca="1">'Fiscal Forecasts'!J$51+IF(OFFSET(Assumptions!$B$56,0,$C$1)="Yes",Allocation!C$24,0)</f>
        <v>2.669</v>
      </c>
      <c r="K325" s="43">
        <f ca="1">'Fiscal Forecasts'!K$51+IF(OFFSET(Assumptions!$B$56,0,$C$1)="Yes",Allocation!D$24,0)</f>
        <v>2.6230000000000002</v>
      </c>
      <c r="L325" s="43">
        <f ca="1">'Fiscal Forecasts'!L$51+IF(OFFSET(Assumptions!$B$56,0,$C$1)="Yes",Allocation!E$24,0)</f>
        <v>2.669</v>
      </c>
      <c r="M325" s="43">
        <f ca="1">'Fiscal Forecasts'!M$51+IF(OFFSET(Assumptions!$B$56,0,$C$1)="Yes",Allocation!F$24,0)</f>
        <v>2.669</v>
      </c>
      <c r="N325" s="43">
        <f ca="1">'Fiscal Forecasts'!N$51+IF(OFFSET(Assumptions!$B$56,0,$C$1)="Yes",Allocation!G$24,0)</f>
        <v>2.7309999999999999</v>
      </c>
      <c r="O325" s="47">
        <f t="shared" ref="O325:X325" ca="1" si="193">O$324</f>
        <v>2.931401697593937</v>
      </c>
      <c r="P325" s="47">
        <f t="shared" ca="1" si="193"/>
        <v>3.0229730665467591</v>
      </c>
      <c r="Q325" s="47">
        <f t="shared" ca="1" si="193"/>
        <v>3.1152699082862778</v>
      </c>
      <c r="R325" s="47">
        <f t="shared" ca="1" si="193"/>
        <v>3.2081638388944596</v>
      </c>
      <c r="S325" s="47">
        <f t="shared" ca="1" si="193"/>
        <v>3.3030430578044725</v>
      </c>
      <c r="T325" s="47">
        <f t="shared" ca="1" si="193"/>
        <v>3.3998229025625131</v>
      </c>
      <c r="U325" s="47">
        <f t="shared" ca="1" si="193"/>
        <v>3.4981062882257241</v>
      </c>
      <c r="V325" s="47">
        <f t="shared" ca="1" si="193"/>
        <v>3.5980292787605781</v>
      </c>
      <c r="W325" s="47">
        <f t="shared" ca="1" si="193"/>
        <v>3.6996024362249464</v>
      </c>
      <c r="X325" s="47">
        <f t="shared" ca="1" si="193"/>
        <v>3.8033487845329352</v>
      </c>
    </row>
    <row r="327" spans="1:24" x14ac:dyDescent="0.25">
      <c r="A327" s="9" t="s">
        <v>1018</v>
      </c>
    </row>
    <row r="328" spans="1:24" x14ac:dyDescent="0.25">
      <c r="A328" s="9" t="s">
        <v>1019</v>
      </c>
      <c r="B328" s="10" t="str">
        <f>$B$38</f>
        <v>From Fiscal Forecasts</v>
      </c>
      <c r="D328" s="42">
        <f>'Fiscal Forecasts'!D$70</f>
        <v>9.6000000000000002E-2</v>
      </c>
      <c r="E328" s="42">
        <f>'Fiscal Forecasts'!E$70</f>
        <v>6.3E-2</v>
      </c>
      <c r="F328" s="42">
        <f>'Fiscal Forecasts'!F$70</f>
        <v>0.254</v>
      </c>
      <c r="G328" s="42">
        <f>'Fiscal Forecasts'!G$70</f>
        <v>0.26900000000000002</v>
      </c>
      <c r="H328" s="42">
        <f>'Fiscal Forecasts'!H$70</f>
        <v>0.13300000000000001</v>
      </c>
      <c r="I328" s="42">
        <f>'Fiscal Forecasts'!I$70</f>
        <v>0.14499999999999999</v>
      </c>
      <c r="J328" s="43">
        <f>'Fiscal Forecasts'!J$70+0.001</f>
        <v>0.25600000000000001</v>
      </c>
      <c r="K328" s="43">
        <f>'Fiscal Forecasts'!K$70</f>
        <v>9.2999999999999999E-2</v>
      </c>
      <c r="L328" s="43">
        <f>'Fiscal Forecasts'!L$70</f>
        <v>0.316</v>
      </c>
      <c r="M328" s="43">
        <f>'Fiscal Forecasts'!M$70</f>
        <v>0.316</v>
      </c>
      <c r="N328" s="43">
        <f>'Fiscal Forecasts'!N$70</f>
        <v>0.316</v>
      </c>
      <c r="O328" s="47">
        <f ca="1">IF(O$6=OFFSET(Assumptions!$B$8,0,$C$1),OFFSET(Assumptions!$B$9,0,$C$1),N$328)</f>
        <v>0</v>
      </c>
      <c r="P328" s="47">
        <f ca="1">IF(P$6=OFFSET(Assumptions!$B$8,0,$C$1),OFFSET(Assumptions!$B$9,0,$C$1),O$328)</f>
        <v>0</v>
      </c>
      <c r="Q328" s="47">
        <f ca="1">IF(Q$6=OFFSET(Assumptions!$B$8,0,$C$1),OFFSET(Assumptions!$B$9,0,$C$1),P$328)</f>
        <v>0</v>
      </c>
      <c r="R328" s="47">
        <f ca="1">IF(R$6=OFFSET(Assumptions!$B$8,0,$C$1),OFFSET(Assumptions!$B$9,0,$C$1),Q$328)</f>
        <v>0</v>
      </c>
      <c r="S328" s="47">
        <f ca="1">IF(S$6=OFFSET(Assumptions!$B$8,0,$C$1),OFFSET(Assumptions!$B$9,0,$C$1),R$328)</f>
        <v>0</v>
      </c>
      <c r="T328" s="47">
        <f ca="1">IF(T$6=OFFSET(Assumptions!$B$8,0,$C$1),OFFSET(Assumptions!$B$9,0,$C$1),S$328)</f>
        <v>0</v>
      </c>
      <c r="U328" s="47">
        <f ca="1">IF(U$6=OFFSET(Assumptions!$B$8,0,$C$1),OFFSET(Assumptions!$B$9,0,$C$1),T$328)</f>
        <v>0</v>
      </c>
      <c r="V328" s="47">
        <f ca="1">IF(V$6=OFFSET(Assumptions!$B$8,0,$C$1),OFFSET(Assumptions!$B$9,0,$C$1),U$328)</f>
        <v>0</v>
      </c>
      <c r="W328" s="47">
        <f ca="1">IF(W$6=OFFSET(Assumptions!$B$8,0,$C$1),OFFSET(Assumptions!$B$9,0,$C$1),V$328)</f>
        <v>0</v>
      </c>
      <c r="X328" s="47">
        <f ca="1">IF(X$6=OFFSET(Assumptions!$B$8,0,$C$1),OFFSET(Assumptions!$B$9,0,$C$1),W$328)</f>
        <v>0</v>
      </c>
    </row>
    <row r="329" spans="1:24" x14ac:dyDescent="0.25">
      <c r="A329" s="9" t="s">
        <v>1020</v>
      </c>
      <c r="B329" s="10" t="str">
        <f>$B$38</f>
        <v>From Fiscal Forecasts</v>
      </c>
      <c r="D329" s="42">
        <f>'Fiscal Forecasts'!D$53</f>
        <v>9.6000000000000002E-2</v>
      </c>
      <c r="E329" s="42">
        <f>'Fiscal Forecasts'!E$53</f>
        <v>6.3E-2</v>
      </c>
      <c r="F329" s="42">
        <f>'Fiscal Forecasts'!F$53</f>
        <v>0.254</v>
      </c>
      <c r="G329" s="42">
        <f>'Fiscal Forecasts'!G$53</f>
        <v>0.24199999999999999</v>
      </c>
      <c r="H329" s="42">
        <f>'Fiscal Forecasts'!H$53</f>
        <v>0.13300000000000001</v>
      </c>
      <c r="I329" s="42">
        <f>'Fiscal Forecasts'!I$53</f>
        <v>0.14499999999999999</v>
      </c>
      <c r="J329" s="43">
        <f>'Fiscal Forecasts'!J$53</f>
        <v>0.255</v>
      </c>
      <c r="K329" s="43">
        <f>'Fiscal Forecasts'!K$53</f>
        <v>9.2999999999999999E-2</v>
      </c>
      <c r="L329" s="43">
        <f>'Fiscal Forecasts'!L$53</f>
        <v>0.316</v>
      </c>
      <c r="M329" s="43">
        <f>'Fiscal Forecasts'!M$53</f>
        <v>0.316</v>
      </c>
      <c r="N329" s="43">
        <f>'Fiscal Forecasts'!N$53</f>
        <v>0.316</v>
      </c>
      <c r="O329" s="47">
        <f ca="1">IF(O$6=OFFSET(Assumptions!$B$8,0,$C$1),OFFSET(Assumptions!$B$9,0,$C$1),N$329)</f>
        <v>0</v>
      </c>
      <c r="P329" s="47">
        <f ca="1">IF(P$6=OFFSET(Assumptions!$B$8,0,$C$1),OFFSET(Assumptions!$B$9,0,$C$1),O$329)</f>
        <v>0</v>
      </c>
      <c r="Q329" s="47">
        <f ca="1">IF(Q$6=OFFSET(Assumptions!$B$8,0,$C$1),OFFSET(Assumptions!$B$9,0,$C$1),P$329)</f>
        <v>0</v>
      </c>
      <c r="R329" s="47">
        <f ca="1">IF(R$6=OFFSET(Assumptions!$B$8,0,$C$1),OFFSET(Assumptions!$B$9,0,$C$1),Q$329)</f>
        <v>0</v>
      </c>
      <c r="S329" s="47">
        <f ca="1">IF(S$6=OFFSET(Assumptions!$B$8,0,$C$1),OFFSET(Assumptions!$B$9,0,$C$1),R$329)</f>
        <v>0</v>
      </c>
      <c r="T329" s="47">
        <f ca="1">IF(T$6=OFFSET(Assumptions!$B$8,0,$C$1),OFFSET(Assumptions!$B$9,0,$C$1),S$329)</f>
        <v>0</v>
      </c>
      <c r="U329" s="47">
        <f ca="1">IF(U$6=OFFSET(Assumptions!$B$8,0,$C$1),OFFSET(Assumptions!$B$9,0,$C$1),T$329)</f>
        <v>0</v>
      </c>
      <c r="V329" s="47">
        <f ca="1">IF(V$6=OFFSET(Assumptions!$B$8,0,$C$1),OFFSET(Assumptions!$B$9,0,$C$1),U$329)</f>
        <v>0</v>
      </c>
      <c r="W329" s="47">
        <f ca="1">IF(W$6=OFFSET(Assumptions!$B$8,0,$C$1),OFFSET(Assumptions!$B$9,0,$C$1),V$329)</f>
        <v>0</v>
      </c>
      <c r="X329" s="47">
        <f ca="1">IF(X$6=OFFSET(Assumptions!$B$8,0,$C$1),OFFSET(Assumptions!$B$9,0,$C$1),W$329)</f>
        <v>0</v>
      </c>
    </row>
    <row r="331" spans="1:24" x14ac:dyDescent="0.25">
      <c r="A331" s="12" t="s">
        <v>1021</v>
      </c>
    </row>
    <row r="332" spans="1:24" x14ac:dyDescent="0.25">
      <c r="A332" s="9" t="s">
        <v>1022</v>
      </c>
      <c r="D332" s="42">
        <f>SUM(D$196,D$261,D$267:D$270,D$273,D$283,D$288,D$301,D$306,D$310,D$314,D$318,D$324)</f>
        <v>50.609000000000002</v>
      </c>
      <c r="E332" s="42">
        <f t="shared" ref="E332:N332" si="194">SUM(E$196,E$261,E$267:E$270,E$273,E$283,E$288,E$301,E$306,E$310,E$314,E$318,E$324)</f>
        <v>57.67</v>
      </c>
      <c r="F332" s="42">
        <f t="shared" si="194"/>
        <v>62.933000000000007</v>
      </c>
      <c r="G332" s="42">
        <f t="shared" si="194"/>
        <v>73.015000000000001</v>
      </c>
      <c r="H332" s="42">
        <f t="shared" si="194"/>
        <v>73.475000000000009</v>
      </c>
      <c r="I332" s="42">
        <f t="shared" si="194"/>
        <v>79.288999999999987</v>
      </c>
      <c r="J332" s="43">
        <f t="shared" ca="1" si="194"/>
        <v>79.472999999999999</v>
      </c>
      <c r="K332" s="43">
        <f t="shared" ca="1" si="194"/>
        <v>84.472000000000008</v>
      </c>
      <c r="L332" s="43">
        <f t="shared" ca="1" si="194"/>
        <v>86.845000000000027</v>
      </c>
      <c r="M332" s="43">
        <f t="shared" ca="1" si="194"/>
        <v>88.118999999999986</v>
      </c>
      <c r="N332" s="43">
        <f t="shared" ca="1" si="194"/>
        <v>90.845999999999989</v>
      </c>
      <c r="O332" s="47">
        <f ca="1">SUM(O$196,O$261,O$267:O$270,O$273,O$283,O$288,O$301,O$306,O$310,O$314,O$318,O$324)</f>
        <v>96.546646409051732</v>
      </c>
      <c r="P332" s="47">
        <f t="shared" ref="P332:X332" ca="1" si="195">SUM(P$196,P$261,P$267:P$270,P$273,P$283,P$288,P$301,P$306,P$310,P$314,P$318,P$324)</f>
        <v>101.52823425456353</v>
      </c>
      <c r="Q332" s="47">
        <f t="shared" ca="1" si="195"/>
        <v>106.5807362328834</v>
      </c>
      <c r="R332" s="47">
        <f t="shared" ca="1" si="195"/>
        <v>111.6506694757927</v>
      </c>
      <c r="S332" s="47">
        <f t="shared" ca="1" si="195"/>
        <v>116.69315467187539</v>
      </c>
      <c r="T332" s="47">
        <f t="shared" ca="1" si="195"/>
        <v>121.89849376463549</v>
      </c>
      <c r="U332" s="47">
        <f t="shared" ca="1" si="195"/>
        <v>126.99790483588411</v>
      </c>
      <c r="V332" s="47">
        <f t="shared" ca="1" si="195"/>
        <v>132.14508299369862</v>
      </c>
      <c r="W332" s="47">
        <f t="shared" ca="1" si="195"/>
        <v>137.39629804878751</v>
      </c>
      <c r="X332" s="47">
        <f t="shared" ca="1" si="195"/>
        <v>142.78292696868351</v>
      </c>
    </row>
    <row r="333" spans="1:24" x14ac:dyDescent="0.25">
      <c r="A333" s="9" t="s">
        <v>1023</v>
      </c>
      <c r="D333" s="42">
        <f>SUM(D$261,D$272,D$267:D$270,D$273,D$280,D$282,D$292,D$328)</f>
        <v>35.922000000000004</v>
      </c>
      <c r="E333" s="42">
        <f t="shared" ref="E333:N333" si="196">SUM(E$261,E$272,E$267:E$270,E$273,E$280,E$282,E$292,E$328)</f>
        <v>40.394000000000005</v>
      </c>
      <c r="F333" s="42">
        <f t="shared" si="196"/>
        <v>45.15</v>
      </c>
      <c r="G333" s="42">
        <f t="shared" si="196"/>
        <v>50.318999999999996</v>
      </c>
      <c r="H333" s="42">
        <f t="shared" si="196"/>
        <v>54.479000000000006</v>
      </c>
      <c r="I333" s="42">
        <f t="shared" si="196"/>
        <v>57.910000000000011</v>
      </c>
      <c r="J333" s="43">
        <f t="shared" ca="1" si="196"/>
        <v>58.012</v>
      </c>
      <c r="K333" s="43">
        <f t="shared" ca="1" si="196"/>
        <v>63.19400000000001</v>
      </c>
      <c r="L333" s="43">
        <f t="shared" ca="1" si="196"/>
        <v>62.703000000000003</v>
      </c>
      <c r="M333" s="43">
        <f t="shared" ca="1" si="196"/>
        <v>63.843999999999994</v>
      </c>
      <c r="N333" s="43">
        <f t="shared" ca="1" si="196"/>
        <v>66.007000000000005</v>
      </c>
      <c r="O333" s="47">
        <f ca="1">SUM(O$261,O$272,O$267:O$270,O$273,O$280,O$282,O$292,O$328)</f>
        <v>68.615715826215336</v>
      </c>
      <c r="P333" s="47">
        <f t="shared" ref="P333:X333" ca="1" si="197">SUM(P$261,P$272,P$267:P$270,P$273,P$280,P$282,P$292,P$328)</f>
        <v>71.500760051911143</v>
      </c>
      <c r="Q333" s="47">
        <f t="shared" ca="1" si="197"/>
        <v>74.718675011623972</v>
      </c>
      <c r="R333" s="47">
        <f t="shared" ca="1" si="197"/>
        <v>78.053219923525546</v>
      </c>
      <c r="S333" s="47">
        <f t="shared" ca="1" si="197"/>
        <v>81.499850142724</v>
      </c>
      <c r="T333" s="47">
        <f t="shared" ca="1" si="197"/>
        <v>85.05816717474508</v>
      </c>
      <c r="U333" s="47">
        <f t="shared" ca="1" si="197"/>
        <v>88.720173153197891</v>
      </c>
      <c r="V333" s="47">
        <f t="shared" ca="1" si="197"/>
        <v>92.497009116245138</v>
      </c>
      <c r="W333" s="47">
        <f t="shared" ca="1" si="197"/>
        <v>96.358600967453967</v>
      </c>
      <c r="X333" s="47">
        <f t="shared" ca="1" si="197"/>
        <v>100.32510602090107</v>
      </c>
    </row>
    <row r="334" spans="1:24" x14ac:dyDescent="0.25">
      <c r="A334" s="12" t="s">
        <v>1024</v>
      </c>
    </row>
    <row r="335" spans="1:24" x14ac:dyDescent="0.25">
      <c r="A335" s="9" t="s">
        <v>1025</v>
      </c>
      <c r="B335" s="10" t="str">
        <f>$B$38</f>
        <v>From Fiscal Forecasts</v>
      </c>
      <c r="D335" s="42">
        <f>'Fiscal Forecasts'!D$211</f>
        <v>6.7160000000000002</v>
      </c>
      <c r="E335" s="42">
        <f>'Fiscal Forecasts'!E$211</f>
        <v>7.5140000000000002</v>
      </c>
      <c r="F335" s="42">
        <f>'Fiscal Forecasts'!F$211</f>
        <v>8.0459999999999994</v>
      </c>
      <c r="G335" s="42">
        <f>'Fiscal Forecasts'!G$211</f>
        <v>8.5389999999999997</v>
      </c>
      <c r="H335" s="42">
        <f>'Fiscal Forecasts'!H$211</f>
        <v>10.163</v>
      </c>
      <c r="I335" s="42">
        <f>'Fiscal Forecasts'!I$211</f>
        <v>10.747999999999999</v>
      </c>
      <c r="J335" s="43">
        <f>'Fiscal Forecasts'!J$211</f>
        <v>10.715999999999999</v>
      </c>
      <c r="K335" s="43">
        <f>'Fiscal Forecasts'!K$211</f>
        <v>10.582000000000001</v>
      </c>
      <c r="L335" s="43">
        <f>'Fiscal Forecasts'!L$211</f>
        <v>10.785</v>
      </c>
      <c r="M335" s="43">
        <f>'Fiscal Forecasts'!M$211</f>
        <v>10.513999999999999</v>
      </c>
      <c r="N335" s="43">
        <f>'Fiscal Forecasts'!N$211</f>
        <v>10.589</v>
      </c>
      <c r="O335" s="47">
        <f ca="1">IF(O$6=OFFSET(Assumptions!$B$8,0,$C$1),AVERAGE(L$335/SUM(L$252-L$251,L$285-L$284,L$289-L$288,,L$307-L$306,L$311-L$310,L$315-L$314,L$319-L$318,L$325-L$324),M$335/SUM(M$252-M$251,M$285-M$284,M$289-M$288,,M$307-M$306,M$311-M$310,M$315-M$314,M$319-M$318,M$325-M$324),N$335/SUM(N$252-N$251,N$285-N$284,N$289-N$288,,N$307-N$306,N$311-N$310,N$315-N$314,N$319-N$318,N$325-N$324)),N$335/SUM(N$252-N$251,N$285-N$284,N$289-N$288,,N$307-N$306,N$311-N$310,N$315-N$314,N$319-N$318,N$325-N$324))*SUM(O$252-O$251,O$285-O$284,O$289-O$288,,O$307-O$306,O$311-O$310,O$315-O$314,O$319-O$318,O$325-O$324)</f>
        <v>10.933351291983378</v>
      </c>
      <c r="P335" s="47">
        <f ca="1">IF(P$6=OFFSET(Assumptions!$B$8,0,$C$1),AVERAGE(M$335/SUM(M$252-M$251,M$285-M$284,M$289-M$288,,M$307-M$306,M$311-M$310,M$315-M$314,M$319-M$318,M$325-M$324),N$335/SUM(N$252-N$251,N$285-N$284,N$289-N$288,,N$307-N$306,N$311-N$310,N$315-N$314,N$319-N$318,N$325-N$324),O$335/SUM(O$252-O$251,O$285-O$284,O$289-O$288,,O$307-O$306,O$311-O$310,O$315-O$314,O$319-O$318,O$325-O$324)),O$335/SUM(O$252-O$251,O$285-O$284,O$289-O$288,,O$307-O$306,O$311-O$310,O$315-O$314,O$319-O$318,O$325-O$324))*SUM(P$252-P$251,P$285-P$284,P$289-P$288,,P$307-P$306,P$311-P$310,P$315-P$314,P$319-P$318,P$325-P$324)</f>
        <v>11.151276459309569</v>
      </c>
      <c r="Q335" s="47">
        <f ca="1">IF(Q$6=OFFSET(Assumptions!$B$8,0,$C$1),AVERAGE(N$335/SUM(N$252-N$251,N$285-N$284,N$289-N$288,,N$307-N$306,N$311-N$310,N$315-N$314,N$319-N$318,N$325-N$324),O$335/SUM(O$252-O$251,O$285-O$284,O$289-O$288,,O$307-O$306,O$311-O$310,O$315-O$314,O$319-O$318,O$325-O$324),P$335/SUM(P$252-P$251,P$285-P$284,P$289-P$288,,P$307-P$306,P$311-P$310,P$315-P$314,P$319-P$318,P$325-P$324)),P$335/SUM(P$252-P$251,P$285-P$284,P$289-P$288,,P$307-P$306,P$311-P$310,P$315-P$314,P$319-P$318,P$325-P$324))*SUM(Q$252-Q$251,Q$285-Q$284,Q$289-Q$288,,Q$307-Q$306,Q$311-Q$310,Q$315-Q$314,Q$319-Q$318,Q$325-Q$324)</f>
        <v>11.373613760309015</v>
      </c>
      <c r="R335" s="47">
        <f ca="1">IF(R$6=OFFSET(Assumptions!$B$8,0,$C$1),AVERAGE(O$335/SUM(O$252-O$251,O$285-O$284,O$289-O$288,,O$307-O$306,O$311-O$310,O$315-O$314,O$319-O$318,O$325-O$324),P$335/SUM(P$252-P$251,P$285-P$284,P$289-P$288,,P$307-P$306,P$311-P$310,P$315-P$314,P$319-P$318,P$325-P$324),Q$335/SUM(Q$252-Q$251,Q$285-Q$284,Q$289-Q$288,,Q$307-Q$306,Q$311-Q$310,Q$315-Q$314,Q$319-Q$318,Q$325-Q$324)),Q$335/SUM(Q$252-Q$251,Q$285-Q$284,Q$289-Q$288,,Q$307-Q$306,Q$311-Q$310,Q$315-Q$314,Q$319-Q$318,Q$325-Q$324))*SUM(R$252-R$251,R$285-R$284,R$289-R$288,,R$307-R$306,R$311-R$310,R$315-R$314,R$319-R$318,R$325-R$324)</f>
        <v>11.600451437655185</v>
      </c>
      <c r="S335" s="47">
        <f ca="1">IF(S$6=OFFSET(Assumptions!$B$8,0,$C$1),AVERAGE(P$335/SUM(P$252-P$251,P$285-P$284,P$289-P$288,,P$307-P$306,P$311-P$310,P$315-P$314,P$319-P$318,P$325-P$324),Q$335/SUM(Q$252-Q$251,Q$285-Q$284,Q$289-Q$288,,Q$307-Q$306,Q$311-Q$310,Q$315-Q$314,Q$319-Q$318,Q$325-Q$324),R$335/SUM(R$252-R$251,R$285-R$284,R$289-R$288,,R$307-R$306,R$311-R$310,R$315-R$314,R$319-R$318,R$325-R$324)),R$335/SUM(R$252-R$251,R$285-R$284,R$289-R$288,,R$307-R$306,R$311-R$310,R$315-R$314,R$319-R$318,R$325-R$324))*SUM(S$252-S$251,S$285-S$284,S$289-S$288,,S$307-S$306,S$311-S$310,S$315-S$314,S$319-S$318,S$325-S$324)</f>
        <v>11.831879498875017</v>
      </c>
      <c r="T335" s="47">
        <f ca="1">IF(T$6=OFFSET(Assumptions!$B$8,0,$C$1),AVERAGE(Q$335/SUM(Q$252-Q$251,Q$285-Q$284,Q$289-Q$288,,Q$307-Q$306,Q$311-Q$310,Q$315-Q$314,Q$319-Q$318,Q$325-Q$324),R$335/SUM(R$252-R$251,R$285-R$284,R$289-R$288,,R$307-R$306,R$311-R$310,R$315-R$314,R$319-R$318,R$325-R$324),S$335/SUM(S$252-S$251,S$285-S$284,S$289-S$288,,S$307-S$306,S$311-S$310,S$315-S$314,S$319-S$318,S$325-S$324)),S$335/SUM(S$252-S$251,S$285-S$284,S$289-S$288,,S$307-S$306,S$311-S$310,S$315-S$314,S$319-S$318,S$325-S$324))*SUM(T$252-T$251,T$285-T$284,T$289-T$288,,T$307-T$306,T$311-T$310,T$315-T$314,T$319-T$318,T$325-T$324)</f>
        <v>12.067832015390877</v>
      </c>
      <c r="U335" s="47">
        <f ca="1">IF(U$6=OFFSET(Assumptions!$B$8,0,$C$1),AVERAGE(R$335/SUM(R$252-R$251,R$285-R$284,R$289-R$288,,R$307-R$306,R$311-R$310,R$315-R$314,R$319-R$318,R$325-R$324),S$335/SUM(S$252-S$251,S$285-S$284,S$289-S$288,,S$307-S$306,S$311-S$310,S$315-S$314,S$319-S$318,S$325-S$324),T$335/SUM(T$252-T$251,T$285-T$284,T$289-T$288,,T$307-T$306,T$311-T$310,T$315-T$314,T$319-T$318,T$325-T$324)),T$335/SUM(T$252-T$251,T$285-T$284,T$289-T$288,,T$307-T$306,T$311-T$310,T$315-T$314,T$319-T$318,T$325-T$324))*SUM(U$252-U$251,U$285-U$284,U$289-U$288,,U$307-U$306,U$311-U$310,U$315-U$314,U$319-U$318,U$325-U$324)</f>
        <v>12.3088758397991</v>
      </c>
      <c r="V335" s="47">
        <f ca="1">IF(V$6=OFFSET(Assumptions!$B$8,0,$C$1),AVERAGE(S$335/SUM(S$252-S$251,S$285-S$284,S$289-S$288,,S$307-S$306,S$311-S$310,S$315-S$314,S$319-S$318,S$325-S$324),T$335/SUM(T$252-T$251,T$285-T$284,T$289-T$288,,T$307-T$306,T$311-T$310,T$315-T$314,T$319-T$318,T$325-T$324),U$335/SUM(U$252-U$251,U$285-U$284,U$289-U$288,,U$307-U$306,U$311-U$310,U$315-U$314,U$319-U$318,U$325-U$324)),U$335/SUM(U$252-U$251,U$285-U$284,U$289-U$288,,U$307-U$306,U$311-U$310,U$315-U$314,U$319-U$318,U$325-U$324))*SUM(V$252-V$251,V$285-V$284,V$289-V$288,,V$307-V$306,V$311-V$310,V$315-V$314,V$319-V$318,V$325-V$324)</f>
        <v>12.554791016297116</v>
      </c>
      <c r="W335" s="47">
        <f ca="1">IF(W$6=OFFSET(Assumptions!$B$8,0,$C$1),AVERAGE(T$335/SUM(T$252-T$251,T$285-T$284,T$289-T$288,,T$307-T$306,T$311-T$310,T$315-T$314,T$319-T$318,T$325-T$324),U$335/SUM(U$252-U$251,U$285-U$284,U$289-U$288,,U$307-U$306,U$311-U$310,U$315-U$314,U$319-U$318,U$325-U$324),V$335/SUM(V$252-V$251,V$285-V$284,V$289-V$288,,V$307-V$306,V$311-V$310,V$315-V$314,V$319-V$318,V$325-V$324)),V$335/SUM(V$252-V$251,V$285-V$284,V$289-V$288,,V$307-V$306,V$311-V$310,V$315-V$314,V$319-V$318,V$325-V$324))*SUM(W$252-W$251,W$285-W$284,W$289-W$288,,W$307-W$306,W$311-W$310,W$315-W$314,W$319-W$318,W$325-W$324)</f>
        <v>12.805517235671628</v>
      </c>
      <c r="X335" s="47">
        <f ca="1">IF(X$6=OFFSET(Assumptions!$B$8,0,$C$1),AVERAGE(U$335/SUM(U$252-U$251,U$285-U$284,U$289-U$288,,U$307-U$306,U$311-U$310,U$315-U$314,U$319-U$318,U$325-U$324),V$335/SUM(V$252-V$251,V$285-V$284,V$289-V$288,,V$307-V$306,V$311-V$310,V$315-V$314,V$319-V$318,V$325-V$324),W$335/SUM(W$252-W$251,W$285-W$284,W$289-W$288,,W$307-W$306,W$311-W$310,W$315-W$314,W$319-W$318,W$325-W$324)),W$335/SUM(W$252-W$251,W$285-W$284,W$289-W$288,,W$307-W$306,W$311-W$310,W$315-W$314,W$319-W$318,W$325-W$324))*SUM(X$252-X$251,X$285-X$284,X$289-X$288,,X$307-X$306,X$311-X$310,X$315-X$314,X$319-X$318,X$325-X$324)</f>
        <v>13.061311609760368</v>
      </c>
    </row>
    <row r="336" spans="1:24" x14ac:dyDescent="0.25">
      <c r="A336" s="9" t="s">
        <v>1026</v>
      </c>
      <c r="B336" s="10" t="str">
        <f>$B$38</f>
        <v>From Fiscal Forecasts</v>
      </c>
      <c r="D336" s="42">
        <f>'Fiscal Forecasts'!D$212</f>
        <v>8.64</v>
      </c>
      <c r="E336" s="42">
        <f>'Fiscal Forecasts'!E$212</f>
        <v>8.3070000000000004</v>
      </c>
      <c r="F336" s="42">
        <f>'Fiscal Forecasts'!F$212</f>
        <v>10.321999999999999</v>
      </c>
      <c r="G336" s="42">
        <f>'Fiscal Forecasts'!G$212</f>
        <v>9.5259999999999998</v>
      </c>
      <c r="H336" s="42">
        <f>'Fiscal Forecasts'!H$212</f>
        <v>8.5609999999999999</v>
      </c>
      <c r="I336" s="42">
        <f>'Fiscal Forecasts'!I$212</f>
        <v>12.183</v>
      </c>
      <c r="J336" s="43">
        <f>'Fiscal Forecasts'!J$212</f>
        <v>12.733000000000001</v>
      </c>
      <c r="K336" s="43">
        <f>'Fiscal Forecasts'!K$212</f>
        <v>12.682</v>
      </c>
      <c r="L336" s="43">
        <f>'Fiscal Forecasts'!L$212</f>
        <v>12.77</v>
      </c>
      <c r="M336" s="43">
        <f>'Fiscal Forecasts'!M$212</f>
        <v>13.486000000000001</v>
      </c>
      <c r="N336" s="43">
        <f>'Fiscal Forecasts'!N$212</f>
        <v>13.352</v>
      </c>
      <c r="O336" s="47">
        <f ca="1">IF(O$6=OFFSET(Assumptions!$B$8,0,$C$1),AVERAGE(L$336/(L$303-L$302),M$336/(M$303-M$302),N$336/(N$303-N$302)),N$336/(N$303-N$302))*(O$303-O$302)</f>
        <v>13.642914754523929</v>
      </c>
      <c r="P336" s="47">
        <f ca="1">IF(P$6=OFFSET(Assumptions!$B$8,0,$C$1),AVERAGE(M$336/(M$303-M$302),N$336/(N$303-N$302),O$336/(O$303-O$302)),O$336/(O$303-O$302))*(P$303-P$302)</f>
        <v>13.915773049614407</v>
      </c>
      <c r="Q336" s="47">
        <f ca="1">IF(Q$6=OFFSET(Assumptions!$B$8,0,$C$1),AVERAGE(N$336/(N$303-N$302),O$336/(O$303-O$302),P$336/(P$303-P$302)),P$336/(P$303-P$302))*(Q$303-Q$302)</f>
        <v>14.194088510606695</v>
      </c>
      <c r="R336" s="47">
        <f ca="1">IF(R$6=OFFSET(Assumptions!$B$8,0,$C$1),AVERAGE(O$336/(O$303-O$302),P$336/(P$303-P$302),Q$336/(Q$303-Q$302)),Q$336/(Q$303-Q$302))*(R$303-R$302)</f>
        <v>14.47797028081883</v>
      </c>
      <c r="S336" s="47">
        <f ca="1">IF(S$6=OFFSET(Assumptions!$B$8,0,$C$1),AVERAGE(P$336/(P$303-P$302),Q$336/(Q$303-Q$302),R$336/(R$303-R$302)),R$336/(R$303-R$302))*(S$303-S$302)</f>
        <v>14.767529686435207</v>
      </c>
      <c r="T336" s="47">
        <f ca="1">IF(T$6=OFFSET(Assumptions!$B$8,0,$C$1),AVERAGE(Q$336/(Q$303-Q$302),R$336/(R$303-R$302),S$336/(S$303-S$302)),S$336/(S$303-S$302))*(T$303-T$302)</f>
        <v>15.062880280163911</v>
      </c>
      <c r="U336" s="47">
        <f ca="1">IF(U$6=OFFSET(Assumptions!$B$8,0,$C$1),AVERAGE(R$336/(R$303-R$302),S$336/(S$303-S$302),T$336/(T$303-T$302)),T$336/(T$303-T$302))*(U$303-U$302)</f>
        <v>15.364137885767189</v>
      </c>
      <c r="V336" s="47">
        <f ca="1">IF(V$6=OFFSET(Assumptions!$B$8,0,$C$1),AVERAGE(S$336/(S$303-S$302),T$336/(T$303-T$302),U$336/(U$303-U$302)),U$336/(U$303-U$302))*(V$303-V$302)</f>
        <v>15.671420643482531</v>
      </c>
      <c r="W336" s="47">
        <f ca="1">IF(W$6=OFFSET(Assumptions!$B$8,0,$C$1),AVERAGE(T$336/(T$303-T$302),U$336/(U$303-U$302),V$336/(V$303-V$302)),V$336/(V$303-V$302))*(W$303-W$302)</f>
        <v>15.984849056352182</v>
      </c>
      <c r="X336" s="47">
        <f ca="1">IF(X$6=OFFSET(Assumptions!$B$8,0,$C$1),AVERAGE(U$336/(U$303-U$302),V$336/(V$303-V$302),W$336/(W$303-W$302)),W$336/(W$303-W$302))*(X$303-X$302)</f>
        <v>16.304546037479227</v>
      </c>
    </row>
    <row r="337" spans="1:24" x14ac:dyDescent="0.25">
      <c r="A337" s="9" t="s">
        <v>1027</v>
      </c>
      <c r="B337" s="10" t="str">
        <f>$B$38</f>
        <v>From Fiscal Forecasts</v>
      </c>
      <c r="D337" s="42">
        <f>'Fiscal Forecasts'!D$213</f>
        <v>-3.629</v>
      </c>
      <c r="E337" s="42">
        <f>'Fiscal Forecasts'!E$213</f>
        <v>-3.7549999999999999</v>
      </c>
      <c r="F337" s="42">
        <f>'Fiscal Forecasts'!F$213</f>
        <v>-4.7350000000000003</v>
      </c>
      <c r="G337" s="42">
        <f>'Fiscal Forecasts'!G$213</f>
        <v>-4.2939999999999996</v>
      </c>
      <c r="H337" s="42">
        <f>'Fiscal Forecasts'!H$213</f>
        <v>-4.1829999999999998</v>
      </c>
      <c r="I337" s="42">
        <f>'Fiscal Forecasts'!I$213</f>
        <v>-4.7560000000000002</v>
      </c>
      <c r="J337" s="43">
        <f>'Fiscal Forecasts'!J$213</f>
        <v>-4.673</v>
      </c>
      <c r="K337" s="43">
        <f>'Fiscal Forecasts'!K$213</f>
        <v>-4.4359999999999999</v>
      </c>
      <c r="L337" s="43">
        <f>'Fiscal Forecasts'!L$213</f>
        <v>-4.37</v>
      </c>
      <c r="M337" s="43">
        <f>'Fiscal Forecasts'!M$213</f>
        <v>-4.0789999999999997</v>
      </c>
      <c r="N337" s="43">
        <f>'Fiscal Forecasts'!N$213</f>
        <v>-4.1230000000000002</v>
      </c>
      <c r="O337" s="47">
        <f t="shared" ref="O337:X337" ca="1" si="198">SUM(O$252-O$251,O$285-O$284,O$289-O$288,O$303-O$302,O$307-O$306,O$311-O$310,O$315-O$314,O$319-O$318,O$325-O$324,-O$335,-O$336)</f>
        <v>-4.3111964281866975</v>
      </c>
      <c r="P337" s="47">
        <f t="shared" ca="1" si="198"/>
        <v>-4.3971332565066668</v>
      </c>
      <c r="Q337" s="47">
        <f t="shared" ca="1" si="198"/>
        <v>-4.4848095764017124</v>
      </c>
      <c r="R337" s="47">
        <f t="shared" ca="1" si="198"/>
        <v>-4.5742601777033265</v>
      </c>
      <c r="S337" s="47">
        <f t="shared" ca="1" si="198"/>
        <v>-4.6655205460396427</v>
      </c>
      <c r="T337" s="47">
        <f t="shared" ca="1" si="198"/>
        <v>-4.7585658326082143</v>
      </c>
      <c r="U337" s="47">
        <f t="shared" ca="1" si="198"/>
        <v>-4.8536160890859712</v>
      </c>
      <c r="V337" s="47">
        <f t="shared" ca="1" si="198"/>
        <v>-4.9505868848190886</v>
      </c>
      <c r="W337" s="47">
        <f t="shared" ca="1" si="198"/>
        <v>-5.0494555864495307</v>
      </c>
      <c r="X337" s="47">
        <f t="shared" ca="1" si="198"/>
        <v>-5.1503224171212647</v>
      </c>
    </row>
    <row r="339" spans="1:24" x14ac:dyDescent="0.25">
      <c r="A339" s="9" t="s">
        <v>1028</v>
      </c>
    </row>
    <row r="340" spans="1:24" x14ac:dyDescent="0.25">
      <c r="A340" s="11" t="s">
        <v>1029</v>
      </c>
      <c r="D340" s="35">
        <f t="shared" ref="D340:X340" si="199">D$387</f>
        <v>1.9550000000000001</v>
      </c>
      <c r="E340" s="35">
        <f t="shared" si="199"/>
        <v>1.7000000000000001E-2</v>
      </c>
      <c r="F340" s="35">
        <f t="shared" si="199"/>
        <v>12.786</v>
      </c>
      <c r="G340" s="35">
        <f t="shared" si="199"/>
        <v>-5.133</v>
      </c>
      <c r="H340" s="35">
        <f t="shared" si="199"/>
        <v>5.766</v>
      </c>
      <c r="I340" s="35">
        <f t="shared" si="199"/>
        <v>8.3520000000000003</v>
      </c>
      <c r="J340" s="17">
        <f t="shared" si="199"/>
        <v>6.6360000000000001</v>
      </c>
      <c r="K340" s="17">
        <f t="shared" si="199"/>
        <v>4.9329999999999998</v>
      </c>
      <c r="L340" s="17">
        <f t="shared" si="199"/>
        <v>5.2549999999999999</v>
      </c>
      <c r="M340" s="17">
        <f t="shared" si="199"/>
        <v>5.57</v>
      </c>
      <c r="N340" s="17">
        <f t="shared" si="199"/>
        <v>5.9210000000000003</v>
      </c>
      <c r="O340" s="16">
        <f t="shared" si="199"/>
        <v>6.2610978231927454</v>
      </c>
      <c r="P340" s="16">
        <f t="shared" si="199"/>
        <v>6.6338294179173811</v>
      </c>
      <c r="Q340" s="16">
        <f t="shared" si="199"/>
        <v>7.0205757760865257</v>
      </c>
      <c r="R340" s="16">
        <f t="shared" si="199"/>
        <v>7.419331001012468</v>
      </c>
      <c r="S340" s="16">
        <f t="shared" si="199"/>
        <v>7.8280508847065082</v>
      </c>
      <c r="T340" s="16">
        <f t="shared" si="199"/>
        <v>8.2464843934314178</v>
      </c>
      <c r="U340" s="16">
        <f t="shared" si="199"/>
        <v>8.6741216338815725</v>
      </c>
      <c r="V340" s="16">
        <f t="shared" si="199"/>
        <v>9.1104536804069181</v>
      </c>
      <c r="W340" s="16">
        <f t="shared" si="199"/>
        <v>9.558599761304043</v>
      </c>
      <c r="X340" s="16">
        <f t="shared" si="199"/>
        <v>10.023668382871231</v>
      </c>
    </row>
    <row r="341" spans="1:24" x14ac:dyDescent="0.25">
      <c r="A341" s="11" t="s">
        <v>1030</v>
      </c>
      <c r="B341" s="10" t="str">
        <f>$B$38</f>
        <v>From Fiscal Forecasts</v>
      </c>
      <c r="D341" s="35">
        <f>SUM('Fiscal Forecasts'!D$300,'Fiscal Forecasts'!D$306)-D$340</f>
        <v>1.2330000000000001</v>
      </c>
      <c r="E341" s="35">
        <f>SUM('Fiscal Forecasts'!E$300,'Fiscal Forecasts'!E$306)-E$340</f>
        <v>-3.9489999999999994</v>
      </c>
      <c r="F341" s="35">
        <f>SUM('Fiscal Forecasts'!F$300,'Fiscal Forecasts'!F$306)-F$340</f>
        <v>-5.2540000000000004</v>
      </c>
      <c r="G341" s="35">
        <f>SUM('Fiscal Forecasts'!G$300,'Fiscal Forecasts'!G$306)-G$340</f>
        <v>-6.0860000000000012</v>
      </c>
      <c r="H341" s="35">
        <f>SUM('Fiscal Forecasts'!H$300,'Fiscal Forecasts'!H$306)-H$340</f>
        <v>6.798</v>
      </c>
      <c r="I341" s="35">
        <f>SUM('Fiscal Forecasts'!I$300,'Fiscal Forecasts'!I$306)-I$340</f>
        <v>-0.45800000000000018</v>
      </c>
      <c r="J341" s="17">
        <f>SUM('Fiscal Forecasts'!J$300,'Fiscal Forecasts'!J$306)-J$340</f>
        <v>0.60099999999999998</v>
      </c>
      <c r="K341" s="17">
        <f>SUM('Fiscal Forecasts'!K$300,'Fiscal Forecasts'!K$306)-K$340</f>
        <v>0.22799999999999976</v>
      </c>
      <c r="L341" s="17">
        <f>SUM('Fiscal Forecasts'!L$300,'Fiscal Forecasts'!L$306)-L$340</f>
        <v>0.18200000000000038</v>
      </c>
      <c r="M341" s="17">
        <f>SUM('Fiscal Forecasts'!M$300,'Fiscal Forecasts'!M$306)-M$340</f>
        <v>0.17799999999999994</v>
      </c>
      <c r="N341" s="17">
        <f>SUM('Fiscal Forecasts'!N$300,'Fiscal Forecasts'!N$306)-N$340</f>
        <v>0.16199999999999992</v>
      </c>
      <c r="O341" s="16">
        <f t="shared" ref="O341:X341" ca="1" si="200">N$341*(1+O$14)</f>
        <v>0.16898990208893588</v>
      </c>
      <c r="P341" s="16">
        <f t="shared" ca="1" si="200"/>
        <v>0.17619734820041857</v>
      </c>
      <c r="Q341" s="16">
        <f t="shared" ca="1" si="200"/>
        <v>0.18342044364656629</v>
      </c>
      <c r="R341" s="16">
        <f t="shared" ca="1" si="200"/>
        <v>0.19064289879790539</v>
      </c>
      <c r="S341" s="16">
        <f t="shared" ca="1" si="200"/>
        <v>0.19802460663705423</v>
      </c>
      <c r="T341" s="16">
        <f t="shared" ca="1" si="200"/>
        <v>0.20555430201785468</v>
      </c>
      <c r="U341" s="16">
        <f t="shared" ca="1" si="200"/>
        <v>0.21318439121948451</v>
      </c>
      <c r="V341" s="16">
        <f t="shared" ca="1" si="200"/>
        <v>0.22092919733992919</v>
      </c>
      <c r="W341" s="16">
        <f t="shared" ca="1" si="200"/>
        <v>0.22878843183492686</v>
      </c>
      <c r="X341" s="16">
        <f t="shared" ca="1" si="200"/>
        <v>0.23682131819704325</v>
      </c>
    </row>
    <row r="342" spans="1:24" x14ac:dyDescent="0.25">
      <c r="A342" s="9" t="s">
        <v>1031</v>
      </c>
      <c r="D342" s="65">
        <f t="shared" ref="D342:X342" si="201">SUM(D$340:D$341)</f>
        <v>3.1880000000000002</v>
      </c>
      <c r="E342" s="65">
        <f t="shared" si="201"/>
        <v>-3.9319999999999995</v>
      </c>
      <c r="F342" s="65">
        <f t="shared" si="201"/>
        <v>7.5319999999999991</v>
      </c>
      <c r="G342" s="65">
        <f t="shared" si="201"/>
        <v>-11.219000000000001</v>
      </c>
      <c r="H342" s="65">
        <f t="shared" si="201"/>
        <v>12.564</v>
      </c>
      <c r="I342" s="65">
        <f t="shared" si="201"/>
        <v>7.8940000000000001</v>
      </c>
      <c r="J342" s="66">
        <f t="shared" si="201"/>
        <v>7.2370000000000001</v>
      </c>
      <c r="K342" s="66">
        <f t="shared" si="201"/>
        <v>5.1609999999999996</v>
      </c>
      <c r="L342" s="66">
        <f t="shared" si="201"/>
        <v>5.4370000000000003</v>
      </c>
      <c r="M342" s="66">
        <f t="shared" si="201"/>
        <v>5.7480000000000002</v>
      </c>
      <c r="N342" s="66">
        <f t="shared" si="201"/>
        <v>6.0830000000000002</v>
      </c>
      <c r="O342" s="67">
        <f t="shared" ca="1" si="201"/>
        <v>6.4300877252816813</v>
      </c>
      <c r="P342" s="67">
        <f t="shared" ca="1" si="201"/>
        <v>6.8100267661178</v>
      </c>
      <c r="Q342" s="67">
        <f t="shared" ca="1" si="201"/>
        <v>7.2039962197330922</v>
      </c>
      <c r="R342" s="67">
        <f t="shared" ca="1" si="201"/>
        <v>7.609973899810373</v>
      </c>
      <c r="S342" s="67">
        <f t="shared" ca="1" si="201"/>
        <v>8.0260754913435619</v>
      </c>
      <c r="T342" s="67">
        <f t="shared" ca="1" si="201"/>
        <v>8.4520386954492732</v>
      </c>
      <c r="U342" s="67">
        <f t="shared" ca="1" si="201"/>
        <v>8.8873060251010578</v>
      </c>
      <c r="V342" s="67">
        <f t="shared" ca="1" si="201"/>
        <v>9.3313828777468473</v>
      </c>
      <c r="W342" s="67">
        <f t="shared" ca="1" si="201"/>
        <v>9.7873881931389697</v>
      </c>
      <c r="X342" s="67">
        <f t="shared" ca="1" si="201"/>
        <v>10.260489701068273</v>
      </c>
    </row>
    <row r="343" spans="1:24" x14ac:dyDescent="0.25">
      <c r="A343" s="11" t="s">
        <v>707</v>
      </c>
      <c r="B343" s="10" t="str">
        <f>$B$38</f>
        <v>From Fiscal Forecasts</v>
      </c>
      <c r="D343" s="35">
        <f>SUM('Fiscal Forecasts'!D$301,'Fiscal Forecasts'!D$307)</f>
        <v>-7.8920000000000003</v>
      </c>
      <c r="E343" s="35">
        <f>SUM('Fiscal Forecasts'!E$301,'Fiscal Forecasts'!E$307)</f>
        <v>-4.32</v>
      </c>
      <c r="F343" s="35">
        <f>SUM('Fiscal Forecasts'!F$301,'Fiscal Forecasts'!F$307)</f>
        <v>12.293999999999999</v>
      </c>
      <c r="G343" s="35">
        <f>SUM('Fiscal Forecasts'!G$301,'Fiscal Forecasts'!G$307)</f>
        <v>1.3290000000000006</v>
      </c>
      <c r="H343" s="35">
        <f>SUM('Fiscal Forecasts'!H$301,'Fiscal Forecasts'!H$307)</f>
        <v>3</v>
      </c>
      <c r="I343" s="35">
        <f>SUM('Fiscal Forecasts'!I$301,'Fiscal Forecasts'!I$307)</f>
        <v>-3.415</v>
      </c>
      <c r="J343" s="17">
        <f>SUM('Fiscal Forecasts'!J$301,'Fiscal Forecasts'!J$307)</f>
        <v>2.4390000000000001</v>
      </c>
      <c r="K343" s="17">
        <f>SUM('Fiscal Forecasts'!K$301,'Fiscal Forecasts'!K$307)</f>
        <v>0.495</v>
      </c>
      <c r="L343" s="17">
        <f>SUM('Fiscal Forecasts'!L$301,'Fiscal Forecasts'!L$307)</f>
        <v>0.55799999999999994</v>
      </c>
      <c r="M343" s="17">
        <f>SUM('Fiscal Forecasts'!M$301,'Fiscal Forecasts'!M$307)</f>
        <v>0.71799999999999997</v>
      </c>
      <c r="N343" s="17">
        <f>SUM('Fiscal Forecasts'!N$301,'Fiscal Forecasts'!N$307)</f>
        <v>0.84599999999999997</v>
      </c>
      <c r="O343" s="16">
        <f>N$343*Exogenous!Z$30/Exogenous!Y$30</f>
        <v>0.87030895247456774</v>
      </c>
      <c r="P343" s="16">
        <f>O$343*Exogenous!AA$30/Exogenous!Z$30</f>
        <v>0.90021458989623016</v>
      </c>
      <c r="Q343" s="16">
        <f>P$343*Exogenous!AB$30/Exogenous!AA$30</f>
        <v>0.93718600357118453</v>
      </c>
      <c r="R343" s="16">
        <f>Q$343*Exogenous!AC$30/Exogenous!AB$30</f>
        <v>0.98201162734610326</v>
      </c>
      <c r="S343" s="16">
        <f>R$343*Exogenous!AD$30/Exogenous!AC$30</f>
        <v>1.0357638501687936</v>
      </c>
      <c r="T343" s="16">
        <f>S$343*Exogenous!AE$30/Exogenous!AD$30</f>
        <v>1.0999479685204643</v>
      </c>
      <c r="U343" s="16">
        <f>T$343*Exogenous!AF$30/Exogenous!AE$30</f>
        <v>1.1760406188486949</v>
      </c>
      <c r="V343" s="16">
        <f>U$343*Exogenous!AG$30/Exogenous!AF$30</f>
        <v>1.2601233386649373</v>
      </c>
      <c r="W343" s="16">
        <f>V$343*Exogenous!AH$30/Exogenous!AG$30</f>
        <v>1.3477984052712371</v>
      </c>
      <c r="X343" s="16">
        <f>W$343*Exogenous!AI$30/Exogenous!AH$30</f>
        <v>1.4380528436061066</v>
      </c>
    </row>
    <row r="344" spans="1:24" x14ac:dyDescent="0.25">
      <c r="A344" s="11" t="s">
        <v>904</v>
      </c>
      <c r="B344" s="10" t="str">
        <f>$B$38</f>
        <v>From Fiscal Forecasts</v>
      </c>
      <c r="D344" s="35">
        <f>SUM('Fiscal Forecasts'!D$302,'Fiscal Forecasts'!D$308)</f>
        <v>0.254</v>
      </c>
      <c r="E344" s="35">
        <f>SUM('Fiscal Forecasts'!E$302,'Fiscal Forecasts'!E$308)</f>
        <v>-6.9000000000000006E-2</v>
      </c>
      <c r="F344" s="35">
        <f>SUM('Fiscal Forecasts'!F$302,'Fiscal Forecasts'!F$308)</f>
        <v>0.23199999999999998</v>
      </c>
      <c r="G344" s="35">
        <f>SUM('Fiscal Forecasts'!G$302,'Fiscal Forecasts'!G$308)</f>
        <v>0.85899999999999999</v>
      </c>
      <c r="H344" s="35">
        <f>SUM('Fiscal Forecasts'!H$302,'Fiscal Forecasts'!H$308)</f>
        <v>-0.13799999999999998</v>
      </c>
      <c r="I344" s="35">
        <f>SUM('Fiscal Forecasts'!I$302,'Fiscal Forecasts'!I$308)</f>
        <v>0.46499999999999997</v>
      </c>
      <c r="J344" s="17">
        <f>SUM('Fiscal Forecasts'!J$302,'Fiscal Forecasts'!J$308)</f>
        <v>7.5999999999999998E-2</v>
      </c>
      <c r="K344" s="17">
        <f>SUM('Fiscal Forecasts'!K$302,'Fiscal Forecasts'!K$308)</f>
        <v>0.1</v>
      </c>
      <c r="L344" s="17">
        <f>SUM('Fiscal Forecasts'!L$302,'Fiscal Forecasts'!L$308)</f>
        <v>6.4000000000000001E-2</v>
      </c>
      <c r="M344" s="17">
        <f>SUM('Fiscal Forecasts'!M$302,'Fiscal Forecasts'!M$308)</f>
        <v>5.7000000000000002E-2</v>
      </c>
      <c r="N344" s="17">
        <f>SUM('Fiscal Forecasts'!N$302,'Fiscal Forecasts'!N$308)</f>
        <v>3.7999999999999999E-2</v>
      </c>
      <c r="O344" s="16">
        <f t="shared" ref="O344:X344" ca="1" si="202">N$344*(1+O$14)</f>
        <v>3.9639606662836828E-2</v>
      </c>
      <c r="P344" s="16">
        <f t="shared" ca="1" si="202"/>
        <v>4.1330242170468573E-2</v>
      </c>
      <c r="Q344" s="16">
        <f t="shared" ca="1" si="202"/>
        <v>4.3024548509688412E-2</v>
      </c>
      <c r="R344" s="16">
        <f t="shared" ca="1" si="202"/>
        <v>4.4718704656298819E-2</v>
      </c>
      <c r="S344" s="16">
        <f t="shared" ca="1" si="202"/>
        <v>4.6450216371654723E-2</v>
      </c>
      <c r="T344" s="16">
        <f t="shared" ca="1" si="202"/>
        <v>4.8216441214064709E-2</v>
      </c>
      <c r="U344" s="16">
        <f t="shared" ca="1" si="202"/>
        <v>5.0006215224323559E-2</v>
      </c>
      <c r="V344" s="16">
        <f t="shared" ca="1" si="202"/>
        <v>5.1822898141464908E-2</v>
      </c>
      <c r="W344" s="16">
        <f t="shared" ca="1" si="202"/>
        <v>5.3666422282266833E-2</v>
      </c>
      <c r="X344" s="16">
        <f t="shared" ca="1" si="202"/>
        <v>5.5550679577084254E-2</v>
      </c>
    </row>
    <row r="345" spans="1:24" x14ac:dyDescent="0.25">
      <c r="A345" s="11" t="s">
        <v>866</v>
      </c>
      <c r="B345" s="10" t="str">
        <f>$B$38</f>
        <v>From Fiscal Forecasts</v>
      </c>
      <c r="D345" s="35">
        <f>SUM('Fiscal Forecasts'!D$24,'Fiscal Forecasts'!D$25)-SUM(D$342:D$344)</f>
        <v>-2.6809999999999983</v>
      </c>
      <c r="E345" s="35">
        <f>SUM('Fiscal Forecasts'!E$24,'Fiscal Forecasts'!E$25)-SUM(E$342:E$344)</f>
        <v>-0.4009999999999998</v>
      </c>
      <c r="F345" s="35">
        <f>SUM('Fiscal Forecasts'!F$24,'Fiscal Forecasts'!F$25)-SUM(F$342:F$344)</f>
        <v>0.96500000000000341</v>
      </c>
      <c r="G345" s="35">
        <f>SUM('Fiscal Forecasts'!G$24,'Fiscal Forecasts'!G$25)-SUM(G$342:G$344)</f>
        <v>2.3090000000000011</v>
      </c>
      <c r="H345" s="35">
        <f>SUM('Fiscal Forecasts'!H$24,'Fiscal Forecasts'!H$25)-SUM(H$342:H$344)</f>
        <v>-0.76799999999999891</v>
      </c>
      <c r="I345" s="35">
        <f>SUM('Fiscal Forecasts'!I$24,'Fiscal Forecasts'!I$25)-SUM(I$342:I$344)</f>
        <v>-0.27700000000000014</v>
      </c>
      <c r="J345" s="17">
        <f>SUM('Fiscal Forecasts'!J$24,'Fiscal Forecasts'!J$25)-SUM(J$342:J$344)</f>
        <v>-0.67099999999999937</v>
      </c>
      <c r="K345" s="17">
        <f>SUM('Fiscal Forecasts'!K$24,'Fiscal Forecasts'!K$25)-SUM(K$342:K$344)</f>
        <v>-6.3999999999999169E-2</v>
      </c>
      <c r="L345" s="17">
        <f>SUM('Fiscal Forecasts'!L$24,'Fiscal Forecasts'!L$25)-SUM(L$342:L$344)</f>
        <v>-4.1999999999999815E-2</v>
      </c>
      <c r="M345" s="17">
        <f>SUM('Fiscal Forecasts'!M$24,'Fiscal Forecasts'!M$25)-SUM(M$342:M$344)</f>
        <v>-4.9000000000000377E-2</v>
      </c>
      <c r="N345" s="17">
        <f>SUM('Fiscal Forecasts'!N$24,'Fiscal Forecasts'!N$25)-SUM(N$342:N$344)</f>
        <v>-5.3000000000000824E-2</v>
      </c>
      <c r="O345" s="16">
        <f t="shared" ref="O345:X345" ca="1" si="203">N$345*(1+O$14)</f>
        <v>-5.5286819819220651E-2</v>
      </c>
      <c r="P345" s="16">
        <f t="shared" ca="1" si="203"/>
        <v>-5.7644811448286017E-2</v>
      </c>
      <c r="Q345" s="16">
        <f t="shared" ca="1" si="203"/>
        <v>-6.0007922921408455E-2</v>
      </c>
      <c r="R345" s="16">
        <f t="shared" ca="1" si="203"/>
        <v>-6.2370824915365108E-2</v>
      </c>
      <c r="S345" s="16">
        <f t="shared" ca="1" si="203"/>
        <v>-6.4785828097308901E-2</v>
      </c>
      <c r="T345" s="16">
        <f t="shared" ca="1" si="203"/>
        <v>-6.7249246956459702E-2</v>
      </c>
      <c r="U345" s="16">
        <f t="shared" ca="1" si="203"/>
        <v>-6.9745510707610245E-2</v>
      </c>
      <c r="V345" s="16">
        <f t="shared" ca="1" si="203"/>
        <v>-7.2279305302570582E-2</v>
      </c>
      <c r="W345" s="16">
        <f t="shared" ca="1" si="203"/>
        <v>-7.4850536341057525E-2</v>
      </c>
      <c r="X345" s="16">
        <f t="shared" ca="1" si="203"/>
        <v>-7.7478579410145021E-2</v>
      </c>
    </row>
    <row r="346" spans="1:24" x14ac:dyDescent="0.25">
      <c r="A346" s="9" t="s">
        <v>1032</v>
      </c>
      <c r="D346" s="65">
        <f t="shared" ref="D346:X346" si="204">SUM(D$342:D$345)</f>
        <v>-7.1309999999999993</v>
      </c>
      <c r="E346" s="65">
        <f t="shared" si="204"/>
        <v>-8.7219999999999995</v>
      </c>
      <c r="F346" s="65">
        <f t="shared" si="204"/>
        <v>21.023</v>
      </c>
      <c r="G346" s="65">
        <f t="shared" si="204"/>
        <v>-6.7219999999999995</v>
      </c>
      <c r="H346" s="65">
        <f t="shared" si="204"/>
        <v>14.658000000000001</v>
      </c>
      <c r="I346" s="65">
        <f t="shared" si="204"/>
        <v>4.6669999999999998</v>
      </c>
      <c r="J346" s="66">
        <f t="shared" si="204"/>
        <v>9.0810000000000013</v>
      </c>
      <c r="K346" s="66">
        <f t="shared" si="204"/>
        <v>5.6920000000000002</v>
      </c>
      <c r="L346" s="66">
        <f t="shared" si="204"/>
        <v>6.0170000000000003</v>
      </c>
      <c r="M346" s="66">
        <f t="shared" si="204"/>
        <v>6.4740000000000002</v>
      </c>
      <c r="N346" s="66">
        <f t="shared" si="204"/>
        <v>6.9139999999999997</v>
      </c>
      <c r="O346" s="67">
        <f t="shared" ca="1" si="204"/>
        <v>7.2847494645998649</v>
      </c>
      <c r="P346" s="67">
        <f t="shared" ca="1" si="204"/>
        <v>7.6939267867362133</v>
      </c>
      <c r="Q346" s="67">
        <f t="shared" ca="1" si="204"/>
        <v>8.1241988488925561</v>
      </c>
      <c r="R346" s="67">
        <f t="shared" ca="1" si="204"/>
        <v>8.5743334068974093</v>
      </c>
      <c r="S346" s="67">
        <f t="shared" ca="1" si="204"/>
        <v>9.0435037297867016</v>
      </c>
      <c r="T346" s="67">
        <f t="shared" ca="1" si="204"/>
        <v>9.5329538582273425</v>
      </c>
      <c r="U346" s="67">
        <f t="shared" ca="1" si="204"/>
        <v>10.043607348466466</v>
      </c>
      <c r="V346" s="67">
        <f t="shared" ca="1" si="204"/>
        <v>10.571049809250679</v>
      </c>
      <c r="W346" s="67">
        <f t="shared" ca="1" si="204"/>
        <v>11.114002484351417</v>
      </c>
      <c r="X346" s="67">
        <f t="shared" ca="1" si="204"/>
        <v>11.676614644841319</v>
      </c>
    </row>
    <row r="348" spans="1:24" x14ac:dyDescent="0.25">
      <c r="A348" s="9" t="s">
        <v>546</v>
      </c>
    </row>
    <row r="349" spans="1:24" x14ac:dyDescent="0.25">
      <c r="A349" s="9" t="s">
        <v>1033</v>
      </c>
      <c r="B349" s="10" t="str">
        <f>$B$38</f>
        <v>From Fiscal Forecasts</v>
      </c>
      <c r="D349" s="42">
        <f>'Fiscal Forecasts'!D$177-SUM('Fiscal Forecasts'!D$300,'Fiscal Forecasts'!D$306)</f>
        <v>4.0000000000000036E-3</v>
      </c>
      <c r="E349" s="42">
        <f>'Fiscal Forecasts'!E$177-SUM('Fiscal Forecasts'!E$300,'Fiscal Forecasts'!E$306)</f>
        <v>-4.2000000000000703E-2</v>
      </c>
      <c r="F349" s="42">
        <f>'Fiscal Forecasts'!F$177-SUM('Fiscal Forecasts'!F$300,'Fiscal Forecasts'!F$306)</f>
        <v>-3.199999999999914E-2</v>
      </c>
      <c r="G349" s="42">
        <f>'Fiscal Forecasts'!G$177-SUM('Fiscal Forecasts'!G$300,'Fiscal Forecasts'!G$306)</f>
        <v>-0.18699999999999939</v>
      </c>
      <c r="H349" s="42">
        <f>'Fiscal Forecasts'!H$177-SUM('Fiscal Forecasts'!H$300,'Fiscal Forecasts'!H$306)</f>
        <v>-9.5000000000000639E-2</v>
      </c>
      <c r="I349" s="42">
        <f>'Fiscal Forecasts'!I$177-SUM('Fiscal Forecasts'!I$300,'Fiscal Forecasts'!I$306)</f>
        <v>-9.9999999999997868E-3</v>
      </c>
      <c r="J349" s="43">
        <f>'Fiscal Forecasts'!J$177-SUM('Fiscal Forecasts'!J$300,'Fiscal Forecasts'!J$306)</f>
        <v>9.0000000000003411E-3</v>
      </c>
      <c r="K349" s="43">
        <f>'Fiscal Forecasts'!K$177-SUM('Fiscal Forecasts'!K$300,'Fiscal Forecasts'!K$306)</f>
        <v>1.4000000000000234E-2</v>
      </c>
      <c r="L349" s="43">
        <f>'Fiscal Forecasts'!L$177-SUM('Fiscal Forecasts'!L$300,'Fiscal Forecasts'!L$306)</f>
        <v>1.2999999999999901E-2</v>
      </c>
      <c r="M349" s="43">
        <f>'Fiscal Forecasts'!M$177-SUM('Fiscal Forecasts'!M$300,'Fiscal Forecasts'!M$306)</f>
        <v>9.9999999999997868E-3</v>
      </c>
      <c r="N349" s="43">
        <f>'Fiscal Forecasts'!N$177-SUM('Fiscal Forecasts'!N$300,'Fiscal Forecasts'!N$306)</f>
        <v>1.4000000000000234E-2</v>
      </c>
      <c r="O349" s="47">
        <f t="shared" ref="O349:X349" ca="1" si="205">N$349*(1+O$14)</f>
        <v>1.460406561262434E-2</v>
      </c>
      <c r="P349" s="47">
        <f t="shared" ca="1" si="205"/>
        <v>1.522693132596236E-2</v>
      </c>
      <c r="Q349" s="47">
        <f t="shared" ca="1" si="205"/>
        <v>1.5851149450938101E-2</v>
      </c>
      <c r="R349" s="47">
        <f t="shared" ca="1" si="205"/>
        <v>1.6475312241794576E-2</v>
      </c>
      <c r="S349" s="47">
        <f t="shared" ca="1" si="205"/>
        <v>1.711323761060992E-2</v>
      </c>
      <c r="T349" s="47">
        <f t="shared" ca="1" si="205"/>
        <v>1.7763952026234663E-2</v>
      </c>
      <c r="U349" s="47">
        <f t="shared" ca="1" si="205"/>
        <v>1.8423342451066884E-2</v>
      </c>
      <c r="V349" s="47">
        <f t="shared" ca="1" si="205"/>
        <v>1.9092646683697919E-2</v>
      </c>
      <c r="W349" s="47">
        <f t="shared" ca="1" si="205"/>
        <v>1.9771839788203904E-2</v>
      </c>
      <c r="X349" s="47">
        <f t="shared" ca="1" si="205"/>
        <v>2.0466039844189283E-2</v>
      </c>
    </row>
    <row r="350" spans="1:24" x14ac:dyDescent="0.25">
      <c r="A350" s="9" t="s">
        <v>1034</v>
      </c>
      <c r="B350" s="10" t="str">
        <f>$B$38</f>
        <v>From Fiscal Forecasts</v>
      </c>
      <c r="D350" s="42">
        <f>'Fiscal Forecasts'!D$27</f>
        <v>0.20599999999999999</v>
      </c>
      <c r="E350" s="42">
        <f>'Fiscal Forecasts'!E$27</f>
        <v>1.1930000000000001</v>
      </c>
      <c r="F350" s="42">
        <f>'Fiscal Forecasts'!F$27</f>
        <v>-0.36</v>
      </c>
      <c r="G350" s="42">
        <f>'Fiscal Forecasts'!G$27</f>
        <v>-0.126</v>
      </c>
      <c r="H350" s="42">
        <f>'Fiscal Forecasts'!H$27</f>
        <v>2.9000000000000001E-2</v>
      </c>
      <c r="I350" s="42">
        <f>'Fiscal Forecasts'!I$27</f>
        <v>0.12</v>
      </c>
      <c r="J350" s="43">
        <f>'Fiscal Forecasts'!J$27</f>
        <v>0.192</v>
      </c>
      <c r="K350" s="43">
        <f>'Fiscal Forecasts'!K$27</f>
        <v>7.0999999999999994E-2</v>
      </c>
      <c r="L350" s="43">
        <f>'Fiscal Forecasts'!L$27</f>
        <v>0.114</v>
      </c>
      <c r="M350" s="43">
        <f>'Fiscal Forecasts'!M$27</f>
        <v>0.14799999999999999</v>
      </c>
      <c r="N350" s="43">
        <f>'Fiscal Forecasts'!N$27</f>
        <v>0.21099999999999999</v>
      </c>
      <c r="O350" s="47">
        <f t="shared" ref="O350:X350" ca="1" si="206">O$349+(N$350-N$349)*(1+O$14)</f>
        <v>0.2201041317331203</v>
      </c>
      <c r="P350" s="47">
        <f t="shared" ca="1" si="206"/>
        <v>0.22949160784128603</v>
      </c>
      <c r="Q350" s="47">
        <f t="shared" ca="1" si="206"/>
        <v>0.2388994667248488</v>
      </c>
      <c r="R350" s="47">
        <f t="shared" ca="1" si="206"/>
        <v>0.24830649164418553</v>
      </c>
      <c r="S350" s="47">
        <f t="shared" ca="1" si="206"/>
        <v>0.25792093827418805</v>
      </c>
      <c r="T350" s="47">
        <f t="shared" ca="1" si="206"/>
        <v>0.26772813410967505</v>
      </c>
      <c r="U350" s="47">
        <f t="shared" ca="1" si="206"/>
        <v>0.27766608979821761</v>
      </c>
      <c r="V350" s="47">
        <f t="shared" ca="1" si="206"/>
        <v>0.28775346073287089</v>
      </c>
      <c r="W350" s="47">
        <f t="shared" ca="1" si="206"/>
        <v>0.2979898710936395</v>
      </c>
      <c r="X350" s="47">
        <f t="shared" ca="1" si="206"/>
        <v>0.30845245765170465</v>
      </c>
    </row>
    <row r="352" spans="1:24" x14ac:dyDescent="0.25">
      <c r="A352" s="9" t="s">
        <v>618</v>
      </c>
    </row>
    <row r="353" spans="1:24" x14ac:dyDescent="0.25">
      <c r="A353" s="11" t="s">
        <v>1035</v>
      </c>
      <c r="D353" s="35">
        <f ca="1">OFFSET(Assumptions!$B$49,0,$C$1)*(D$393-D$359-D$400)</f>
        <v>2.1936</v>
      </c>
      <c r="E353" s="35">
        <f ca="1">OFFSET(Assumptions!$B$49,0,$C$1)*(E$393-E$359-E$400)</f>
        <v>2.1622500000000002</v>
      </c>
      <c r="F353" s="35">
        <f ca="1">OFFSET(Assumptions!$B$49,0,$C$1)*(F$393-F$359-F$400)</f>
        <v>2.7988999999999997</v>
      </c>
      <c r="G353" s="35">
        <f ca="1">OFFSET(Assumptions!$B$49,0,$C$1)*(G$393-G$359-G$400)</f>
        <v>3.0148999999999999</v>
      </c>
      <c r="H353" s="35">
        <f ca="1">OFFSET(Assumptions!$B$49,0,$C$1)*(H$393-H$359-H$400)</f>
        <v>2.9520000000000008</v>
      </c>
      <c r="I353" s="35">
        <f ca="1">OFFSET(Assumptions!$B$49,0,$C$1)*(I$393-I$359-I$400)</f>
        <v>3.3731499999999999</v>
      </c>
      <c r="J353" s="17">
        <f ca="1">OFFSET(Assumptions!$B$49,0,$C$1)*(J$393-J$359-J$400)</f>
        <v>4.0500500000000006</v>
      </c>
      <c r="K353" s="17">
        <f ca="1">OFFSET(Assumptions!$B$49,0,$C$1)*(K$393-K$359-K$400)</f>
        <v>4.2547000000000006</v>
      </c>
      <c r="L353" s="17">
        <f ca="1">OFFSET(Assumptions!$B$49,0,$C$1)*(L$393-L$359-L$400)</f>
        <v>4.6192500000000001</v>
      </c>
      <c r="M353" s="17">
        <f ca="1">OFFSET(Assumptions!$B$49,0,$C$1)*(M$393-M$359-M$400)</f>
        <v>4.8220500000000008</v>
      </c>
      <c r="N353" s="17">
        <f ca="1">OFFSET(Assumptions!$B$49,0,$C$1)*(N$393-N$359-N$400)</f>
        <v>5.0848000000000004</v>
      </c>
      <c r="O353" s="16">
        <f ca="1">OFFSET(Assumptions!$B$49,0,$C$1)*(O$393-O$359-O$400)</f>
        <v>5.2691407492428883</v>
      </c>
      <c r="P353" s="16">
        <f ca="1">OFFSET(Assumptions!$B$49,0,$C$1)*(P$393-P$359-P$400)</f>
        <v>5.5756066603188899</v>
      </c>
      <c r="Q353" s="16">
        <f ca="1">OFFSET(Assumptions!$B$49,0,$C$1)*(Q$393-Q$359-Q$400)</f>
        <v>5.89270989439121</v>
      </c>
      <c r="R353" s="16">
        <f ca="1">OFFSET(Assumptions!$B$49,0,$C$1)*(R$393-R$359-R$400)</f>
        <v>6.21830869392819</v>
      </c>
      <c r="S353" s="16">
        <f ca="1">OFFSET(Assumptions!$B$49,0,$C$1)*(S$393-S$359-S$400)</f>
        <v>6.551355696471119</v>
      </c>
      <c r="T353" s="16">
        <f ca="1">OFFSET(Assumptions!$B$49,0,$C$1)*(T$393-T$359-T$400)</f>
        <v>6.8926672220266711</v>
      </c>
      <c r="U353" s="16">
        <f ca="1">OFFSET(Assumptions!$B$49,0,$C$1)*(U$393-U$359-U$400)</f>
        <v>7.2403549648485566</v>
      </c>
      <c r="V353" s="16">
        <f ca="1">OFFSET(Assumptions!$B$49,0,$C$1)*(V$393-V$359-V$400)</f>
        <v>7.595790712662998</v>
      </c>
      <c r="W353" s="16">
        <f ca="1">OFFSET(Assumptions!$B$49,0,$C$1)*(W$393-W$359-W$400)</f>
        <v>7.9628571614521393</v>
      </c>
      <c r="X353" s="16">
        <f ca="1">OFFSET(Assumptions!$B$49,0,$C$1)*(X$393-X$359-X$400)</f>
        <v>8.3459421601523438</v>
      </c>
    </row>
    <row r="354" spans="1:24" x14ac:dyDescent="0.25">
      <c r="A354" s="11" t="s">
        <v>1037</v>
      </c>
      <c r="B354" s="10" t="str">
        <f>$B$38</f>
        <v>From Fiscal Forecasts</v>
      </c>
      <c r="D354" s="35">
        <f ca="1">'Fiscal Forecasts'!D$180-D$353</f>
        <v>15.1844</v>
      </c>
      <c r="E354" s="35">
        <f ca="1">'Fiscal Forecasts'!E$180-E$353</f>
        <v>16.018750000000001</v>
      </c>
      <c r="F354" s="35">
        <f ca="1">'Fiscal Forecasts'!F$180-F$353</f>
        <v>10.3301</v>
      </c>
      <c r="G354" s="35">
        <f ca="1">'Fiscal Forecasts'!G$180-G$353</f>
        <v>8.3931000000000004</v>
      </c>
      <c r="H354" s="35">
        <f ca="1">'Fiscal Forecasts'!H$180-H$353</f>
        <v>8.0210000000000008</v>
      </c>
      <c r="I354" s="35">
        <f ca="1">'Fiscal Forecasts'!I$180-I$353</f>
        <v>5.7378500000000008</v>
      </c>
      <c r="J354" s="17">
        <f ca="1">'Fiscal Forecasts'!J$180-J$353</f>
        <v>12.328950000000001</v>
      </c>
      <c r="K354" s="17">
        <f ca="1">'Fiscal Forecasts'!K$180-K$353</f>
        <v>12.519300000000001</v>
      </c>
      <c r="L354" s="17">
        <f ca="1">'Fiscal Forecasts'!L$180-L$353</f>
        <v>13.011749999999999</v>
      </c>
      <c r="M354" s="17">
        <f ca="1">'Fiscal Forecasts'!M$180-M$353</f>
        <v>11.965949999999999</v>
      </c>
      <c r="N354" s="17">
        <f ca="1">'Fiscal Forecasts'!N$180-N$353</f>
        <v>11.277199999999997</v>
      </c>
      <c r="O354" s="16">
        <f t="shared" ref="O354:X354" ca="1" si="207">N$354</f>
        <v>11.277199999999997</v>
      </c>
      <c r="P354" s="16">
        <f t="shared" ca="1" si="207"/>
        <v>11.277199999999997</v>
      </c>
      <c r="Q354" s="16">
        <f t="shared" ca="1" si="207"/>
        <v>11.277199999999997</v>
      </c>
      <c r="R354" s="16">
        <f t="shared" ca="1" si="207"/>
        <v>11.277199999999997</v>
      </c>
      <c r="S354" s="16">
        <f t="shared" ca="1" si="207"/>
        <v>11.277199999999997</v>
      </c>
      <c r="T354" s="16">
        <f t="shared" ca="1" si="207"/>
        <v>11.277199999999997</v>
      </c>
      <c r="U354" s="16">
        <f t="shared" ca="1" si="207"/>
        <v>11.277199999999997</v>
      </c>
      <c r="V354" s="16">
        <f t="shared" ca="1" si="207"/>
        <v>11.277199999999997</v>
      </c>
      <c r="W354" s="16">
        <f t="shared" ca="1" si="207"/>
        <v>11.277199999999997</v>
      </c>
      <c r="X354" s="16">
        <f t="shared" ca="1" si="207"/>
        <v>11.277199999999997</v>
      </c>
    </row>
    <row r="355" spans="1:24" x14ac:dyDescent="0.25">
      <c r="A355" s="9" t="s">
        <v>1038</v>
      </c>
      <c r="D355" s="65">
        <f t="shared" ref="D355:X355" ca="1" si="208">SUM(D$353:D$354)</f>
        <v>17.378</v>
      </c>
      <c r="E355" s="65">
        <f t="shared" ca="1" si="208"/>
        <v>18.181000000000001</v>
      </c>
      <c r="F355" s="65">
        <f t="shared" ca="1" si="208"/>
        <v>13.129</v>
      </c>
      <c r="G355" s="65">
        <f t="shared" ca="1" si="208"/>
        <v>11.408000000000001</v>
      </c>
      <c r="H355" s="65">
        <f t="shared" ca="1" si="208"/>
        <v>10.973000000000003</v>
      </c>
      <c r="I355" s="65">
        <f t="shared" ca="1" si="208"/>
        <v>9.1110000000000007</v>
      </c>
      <c r="J355" s="66">
        <f t="shared" ca="1" si="208"/>
        <v>16.379000000000001</v>
      </c>
      <c r="K355" s="66">
        <f t="shared" ca="1" si="208"/>
        <v>16.774000000000001</v>
      </c>
      <c r="L355" s="66">
        <f t="shared" ca="1" si="208"/>
        <v>17.631</v>
      </c>
      <c r="M355" s="66">
        <f t="shared" ca="1" si="208"/>
        <v>16.788</v>
      </c>
      <c r="N355" s="66">
        <f t="shared" ca="1" si="208"/>
        <v>16.361999999999998</v>
      </c>
      <c r="O355" s="67">
        <f t="shared" ca="1" si="208"/>
        <v>16.546340749242887</v>
      </c>
      <c r="P355" s="67">
        <f t="shared" ca="1" si="208"/>
        <v>16.852806660318887</v>
      </c>
      <c r="Q355" s="67">
        <f t="shared" ca="1" si="208"/>
        <v>17.169909894391207</v>
      </c>
      <c r="R355" s="67">
        <f t="shared" ca="1" si="208"/>
        <v>17.495508693928187</v>
      </c>
      <c r="S355" s="67">
        <f t="shared" ca="1" si="208"/>
        <v>17.828555696471117</v>
      </c>
      <c r="T355" s="67">
        <f t="shared" ca="1" si="208"/>
        <v>18.169867222026667</v>
      </c>
      <c r="U355" s="67">
        <f t="shared" ca="1" si="208"/>
        <v>18.517554964848554</v>
      </c>
      <c r="V355" s="67">
        <f t="shared" ca="1" si="208"/>
        <v>18.872990712662997</v>
      </c>
      <c r="W355" s="67">
        <f t="shared" ca="1" si="208"/>
        <v>19.240057161452135</v>
      </c>
      <c r="X355" s="67">
        <f t="shared" ca="1" si="208"/>
        <v>19.623142160152341</v>
      </c>
    </row>
    <row r="356" spans="1:24" x14ac:dyDescent="0.25">
      <c r="A356" s="9" t="s">
        <v>1039</v>
      </c>
      <c r="B356" s="10" t="str">
        <f>$B$38</f>
        <v>From Fiscal Forecasts</v>
      </c>
      <c r="D356" s="42">
        <f>'Fiscal Forecasts'!D$120</f>
        <v>20.248000000000001</v>
      </c>
      <c r="E356" s="42">
        <f>'Fiscal Forecasts'!E$120</f>
        <v>21.927</v>
      </c>
      <c r="F356" s="42">
        <f>'Fiscal Forecasts'!F$120</f>
        <v>18.754999999999999</v>
      </c>
      <c r="G356" s="42">
        <f>'Fiscal Forecasts'!G$120</f>
        <v>17.835000000000001</v>
      </c>
      <c r="H356" s="42">
        <f>'Fiscal Forecasts'!H$120</f>
        <v>18.791</v>
      </c>
      <c r="I356" s="42">
        <f>'Fiscal Forecasts'!I$120</f>
        <v>16.212</v>
      </c>
      <c r="J356" s="43">
        <f>'Fiscal Forecasts'!J$120</f>
        <v>22.709</v>
      </c>
      <c r="K356" s="43">
        <f>'Fiscal Forecasts'!K$120</f>
        <v>22.849</v>
      </c>
      <c r="L356" s="43">
        <f>'Fiscal Forecasts'!L$120</f>
        <v>23.614999999999998</v>
      </c>
      <c r="M356" s="43">
        <f>'Fiscal Forecasts'!M$120</f>
        <v>22.956</v>
      </c>
      <c r="N356" s="43">
        <f>'Fiscal Forecasts'!N$120</f>
        <v>22.818000000000001</v>
      </c>
      <c r="O356" s="47">
        <f t="shared" ref="O356:X356" ca="1" si="209">O$355+(N$356-N$355)*(1+O$29)</f>
        <v>23.131460749242891</v>
      </c>
      <c r="P356" s="47">
        <f t="shared" ca="1" si="209"/>
        <v>23.569629060318888</v>
      </c>
      <c r="Q356" s="47">
        <f t="shared" ca="1" si="209"/>
        <v>24.021068742391208</v>
      </c>
      <c r="R356" s="47">
        <f t="shared" ca="1" si="209"/>
        <v>24.483690718888187</v>
      </c>
      <c r="S356" s="47">
        <f t="shared" ca="1" si="209"/>
        <v>24.956501361930318</v>
      </c>
      <c r="T356" s="47">
        <f t="shared" ca="1" si="209"/>
        <v>25.440371800795052</v>
      </c>
      <c r="U356" s="47">
        <f t="shared" ca="1" si="209"/>
        <v>25.933469635192306</v>
      </c>
      <c r="V356" s="47">
        <f t="shared" ca="1" si="209"/>
        <v>26.437223676413623</v>
      </c>
      <c r="W356" s="47">
        <f t="shared" ca="1" si="209"/>
        <v>26.955574784477776</v>
      </c>
      <c r="X356" s="47">
        <f t="shared" ca="1" si="209"/>
        <v>27.492970135638494</v>
      </c>
    </row>
    <row r="358" spans="1:24" x14ac:dyDescent="0.25">
      <c r="A358" s="9" t="s">
        <v>619</v>
      </c>
    </row>
    <row r="359" spans="1:24" x14ac:dyDescent="0.25">
      <c r="A359" s="11" t="s">
        <v>1040</v>
      </c>
      <c r="D359" s="35">
        <f t="shared" ref="D359:N359" si="210">D$393-D$76+D$75-D$72</f>
        <v>-1.567999999999997</v>
      </c>
      <c r="E359" s="35">
        <f t="shared" si="210"/>
        <v>1.2899999999999934</v>
      </c>
      <c r="F359" s="35">
        <f t="shared" si="210"/>
        <v>0.86300000000000299</v>
      </c>
      <c r="G359" s="35">
        <f t="shared" si="210"/>
        <v>0.49900000000000599</v>
      </c>
      <c r="H359" s="35">
        <f t="shared" si="210"/>
        <v>1.8429999999999807</v>
      </c>
      <c r="I359" s="35">
        <f t="shared" si="210"/>
        <v>2.6770000000000094</v>
      </c>
      <c r="J359" s="17">
        <f t="shared" si="210"/>
        <v>-0.41299999999999581</v>
      </c>
      <c r="K359" s="17">
        <f t="shared" si="210"/>
        <v>-0.78700000000000259</v>
      </c>
      <c r="L359" s="17">
        <f t="shared" si="210"/>
        <v>-1.8110000000000026</v>
      </c>
      <c r="M359" s="17">
        <f t="shared" si="210"/>
        <v>-1.0680000000000067</v>
      </c>
      <c r="N359" s="17">
        <f t="shared" si="210"/>
        <v>-0.71799999999999375</v>
      </c>
      <c r="O359" s="16">
        <f t="shared" ref="O359:X359" ca="1" si="211">SUM(N$359,O$457-N$457,O$483-N$483)</f>
        <v>1.966872180400745</v>
      </c>
      <c r="P359" s="16">
        <f t="shared" ca="1" si="211"/>
        <v>2.1636306626569968</v>
      </c>
      <c r="Q359" s="16">
        <f t="shared" ca="1" si="211"/>
        <v>2.3672185619948354</v>
      </c>
      <c r="R359" s="16">
        <f t="shared" ca="1" si="211"/>
        <v>2.5762608185917402</v>
      </c>
      <c r="S359" s="16">
        <f t="shared" ca="1" si="211"/>
        <v>2.7900850005709548</v>
      </c>
      <c r="T359" s="16">
        <f t="shared" ca="1" si="211"/>
        <v>3.009215205000848</v>
      </c>
      <c r="U359" s="16">
        <f t="shared" ca="1" si="211"/>
        <v>3.2324390941980119</v>
      </c>
      <c r="V359" s="16">
        <f t="shared" ca="1" si="211"/>
        <v>3.4606373888600248</v>
      </c>
      <c r="W359" s="16">
        <f t="shared" ca="1" si="211"/>
        <v>3.6963028731462466</v>
      </c>
      <c r="X359" s="16">
        <f t="shared" ca="1" si="211"/>
        <v>3.9422526515563479</v>
      </c>
    </row>
    <row r="360" spans="1:24" x14ac:dyDescent="0.25">
      <c r="A360" s="11" t="s">
        <v>752</v>
      </c>
      <c r="B360" s="10" t="str">
        <f>$B$38</f>
        <v>From Fiscal Forecasts</v>
      </c>
      <c r="D360" s="35">
        <f>'Fiscal Forecasts'!D$318</f>
        <v>13.763999999999999</v>
      </c>
      <c r="E360" s="35">
        <f>'Fiscal Forecasts'!E$318</f>
        <v>14.29</v>
      </c>
      <c r="F360" s="35">
        <f>'Fiscal Forecasts'!F$318</f>
        <v>15.641999999999999</v>
      </c>
      <c r="G360" s="35">
        <f>'Fiscal Forecasts'!G$318</f>
        <v>20.076000000000001</v>
      </c>
      <c r="H360" s="35">
        <f>'Fiscal Forecasts'!H$318</f>
        <v>20.298999999999999</v>
      </c>
      <c r="I360" s="35">
        <f>'Fiscal Forecasts'!I$318</f>
        <v>22.413</v>
      </c>
      <c r="J360" s="17">
        <f>'Fiscal Forecasts'!J$318</f>
        <v>19.824999999999999</v>
      </c>
      <c r="K360" s="17">
        <f>'Fiscal Forecasts'!K$318</f>
        <v>20.443000000000001</v>
      </c>
      <c r="L360" s="17">
        <f>'Fiscal Forecasts'!L$318</f>
        <v>19.733000000000001</v>
      </c>
      <c r="M360" s="17">
        <f>'Fiscal Forecasts'!M$318</f>
        <v>20.024999999999999</v>
      </c>
      <c r="N360" s="17">
        <f>'Fiscal Forecasts'!N$318</f>
        <v>20.614999999999998</v>
      </c>
      <c r="O360" s="16">
        <f t="shared" ref="O360:X360" ca="1" si="212">N$360*O$142/N$142</f>
        <v>21.405309920709445</v>
      </c>
      <c r="P360" s="16">
        <f t="shared" ca="1" si="212"/>
        <v>22.284045037737169</v>
      </c>
      <c r="Q360" s="16">
        <f t="shared" ca="1" si="212"/>
        <v>23.189880595731612</v>
      </c>
      <c r="R360" s="16">
        <f t="shared" ca="1" si="212"/>
        <v>24.098346687518909</v>
      </c>
      <c r="S360" s="16">
        <f t="shared" ca="1" si="212"/>
        <v>25.026624321355708</v>
      </c>
      <c r="T360" s="16">
        <f t="shared" ca="1" si="212"/>
        <v>25.97328377466485</v>
      </c>
      <c r="U360" s="16">
        <f t="shared" ca="1" si="212"/>
        <v>26.932653698286277</v>
      </c>
      <c r="V360" s="16">
        <f t="shared" ca="1" si="212"/>
        <v>27.906422201494983</v>
      </c>
      <c r="W360" s="16">
        <f t="shared" ca="1" si="212"/>
        <v>28.894316814984979</v>
      </c>
      <c r="X360" s="16">
        <f t="shared" ca="1" si="212"/>
        <v>29.903831951530794</v>
      </c>
    </row>
    <row r="361" spans="1:24" x14ac:dyDescent="0.25">
      <c r="A361" s="11" t="s">
        <v>1041</v>
      </c>
      <c r="B361" s="10" t="str">
        <f>$B$38</f>
        <v>From Fiscal Forecasts</v>
      </c>
      <c r="D361" s="35">
        <f>'Fiscal Forecasts'!D$181-SUM(D$359:D$360)</f>
        <v>4.3769999999999989</v>
      </c>
      <c r="E361" s="35">
        <f>'Fiscal Forecasts'!E$181-SUM(E$359:E$360)</f>
        <v>2.5200000000000085</v>
      </c>
      <c r="F361" s="35">
        <f>'Fiscal Forecasts'!F$181-SUM(F$359:F$360)</f>
        <v>3.7319999999999958</v>
      </c>
      <c r="G361" s="35">
        <f>'Fiscal Forecasts'!G$181-SUM(G$359:G$360)</f>
        <v>7.7129999999999939</v>
      </c>
      <c r="H361" s="35">
        <f>'Fiscal Forecasts'!H$181-SUM(H$359:H$360)</f>
        <v>3.5320000000000178</v>
      </c>
      <c r="I361" s="35">
        <f>'Fiscal Forecasts'!I$181-SUM(I$359:I$360)</f>
        <v>3.5489999999999888</v>
      </c>
      <c r="J361" s="17">
        <f>'Fiscal Forecasts'!J$181-SUM(J$359:J$360)</f>
        <v>8.519999999999996</v>
      </c>
      <c r="K361" s="17">
        <f>'Fiscal Forecasts'!K$181-SUM(K$359:K$360)</f>
        <v>8.5370000000000026</v>
      </c>
      <c r="L361" s="17">
        <f>'Fiscal Forecasts'!L$181-SUM(L$359:L$360)</f>
        <v>9.8010000000000019</v>
      </c>
      <c r="M361" s="17">
        <f>'Fiscal Forecasts'!M$181-SUM(M$359:M$360)</f>
        <v>9.3910000000000053</v>
      </c>
      <c r="N361" s="17">
        <f>'Fiscal Forecasts'!N$181-SUM(N$359:N$360)</f>
        <v>9.3809999999999931</v>
      </c>
      <c r="O361" s="16">
        <f t="shared" ref="O361:X361" ca="1" si="213">SUM(N$361,O$459-N$459,O$484-N$484)</f>
        <v>9.7844199999999919</v>
      </c>
      <c r="P361" s="16">
        <f t="shared" ca="1" si="213"/>
        <v>10.195908399999992</v>
      </c>
      <c r="Q361" s="16">
        <f t="shared" ca="1" si="213"/>
        <v>10.615626567999991</v>
      </c>
      <c r="R361" s="16">
        <f t="shared" ca="1" si="213"/>
        <v>11.043739099359991</v>
      </c>
      <c r="S361" s="16">
        <f t="shared" ca="1" si="213"/>
        <v>11.480413881347191</v>
      </c>
      <c r="T361" s="16">
        <f t="shared" ca="1" si="213"/>
        <v>11.925822158974135</v>
      </c>
      <c r="U361" s="16">
        <f t="shared" ca="1" si="213"/>
        <v>12.380138602153618</v>
      </c>
      <c r="V361" s="16">
        <f t="shared" ca="1" si="213"/>
        <v>12.843541374196692</v>
      </c>
      <c r="W361" s="16">
        <f t="shared" ca="1" si="213"/>
        <v>13.316212201680626</v>
      </c>
      <c r="X361" s="16">
        <f t="shared" ca="1" si="213"/>
        <v>13.79833644571424</v>
      </c>
    </row>
    <row r="362" spans="1:24" x14ac:dyDescent="0.25">
      <c r="A362" s="9" t="s">
        <v>1042</v>
      </c>
      <c r="D362" s="65">
        <f t="shared" ref="D362:X362" si="214">SUM(D$359:D$361)</f>
        <v>16.573</v>
      </c>
      <c r="E362" s="65">
        <f t="shared" si="214"/>
        <v>18.100000000000001</v>
      </c>
      <c r="F362" s="65">
        <f t="shared" si="214"/>
        <v>20.236999999999998</v>
      </c>
      <c r="G362" s="65">
        <f t="shared" si="214"/>
        <v>28.288</v>
      </c>
      <c r="H362" s="65">
        <f t="shared" si="214"/>
        <v>25.673999999999999</v>
      </c>
      <c r="I362" s="65">
        <f t="shared" si="214"/>
        <v>28.638999999999999</v>
      </c>
      <c r="J362" s="66">
        <f t="shared" si="214"/>
        <v>27.931999999999999</v>
      </c>
      <c r="K362" s="66">
        <f t="shared" si="214"/>
        <v>28.193000000000001</v>
      </c>
      <c r="L362" s="66">
        <f t="shared" si="214"/>
        <v>27.722999999999999</v>
      </c>
      <c r="M362" s="66">
        <f t="shared" si="214"/>
        <v>28.347999999999999</v>
      </c>
      <c r="N362" s="66">
        <f t="shared" si="214"/>
        <v>29.277999999999999</v>
      </c>
      <c r="O362" s="67">
        <f t="shared" ca="1" si="214"/>
        <v>33.156602101110181</v>
      </c>
      <c r="P362" s="67">
        <f t="shared" ca="1" si="214"/>
        <v>34.643584100394158</v>
      </c>
      <c r="Q362" s="67">
        <f t="shared" ca="1" si="214"/>
        <v>36.172725725726437</v>
      </c>
      <c r="R362" s="67">
        <f t="shared" ca="1" si="214"/>
        <v>37.718346605470643</v>
      </c>
      <c r="S362" s="67">
        <f t="shared" ca="1" si="214"/>
        <v>39.297123203273856</v>
      </c>
      <c r="T362" s="67">
        <f t="shared" ca="1" si="214"/>
        <v>40.908321138639835</v>
      </c>
      <c r="U362" s="67">
        <f t="shared" ca="1" si="214"/>
        <v>42.545231394637909</v>
      </c>
      <c r="V362" s="67">
        <f t="shared" ca="1" si="214"/>
        <v>44.210600964551702</v>
      </c>
      <c r="W362" s="67">
        <f t="shared" ca="1" si="214"/>
        <v>45.906831889811855</v>
      </c>
      <c r="X362" s="67">
        <f t="shared" ca="1" si="214"/>
        <v>47.644421048801384</v>
      </c>
    </row>
    <row r="363" spans="1:24" x14ac:dyDescent="0.25">
      <c r="A363" s="9" t="s">
        <v>1043</v>
      </c>
      <c r="B363" s="10" t="str">
        <f>$B$38</f>
        <v>From Fiscal Forecasts</v>
      </c>
      <c r="D363" s="42">
        <f>'Fiscal Forecasts'!D$121</f>
        <v>23.327000000000002</v>
      </c>
      <c r="E363" s="42">
        <f>'Fiscal Forecasts'!E$121</f>
        <v>24.742999999999999</v>
      </c>
      <c r="F363" s="42">
        <f>'Fiscal Forecasts'!F$121</f>
        <v>26.829000000000001</v>
      </c>
      <c r="G363" s="42">
        <f>'Fiscal Forecasts'!G$121</f>
        <v>35.134999999999998</v>
      </c>
      <c r="H363" s="42">
        <f>'Fiscal Forecasts'!H$121</f>
        <v>33.548000000000002</v>
      </c>
      <c r="I363" s="42">
        <f>'Fiscal Forecasts'!I$121</f>
        <v>37.231999999999999</v>
      </c>
      <c r="J363" s="43">
        <f>'Fiscal Forecasts'!J$121</f>
        <v>36.374000000000002</v>
      </c>
      <c r="K363" s="43">
        <f>'Fiscal Forecasts'!K$121</f>
        <v>37.006999999999998</v>
      </c>
      <c r="L363" s="43">
        <f>'Fiscal Forecasts'!L$121</f>
        <v>37.020000000000003</v>
      </c>
      <c r="M363" s="43">
        <f>'Fiscal Forecasts'!M$121</f>
        <v>38.235999999999997</v>
      </c>
      <c r="N363" s="43">
        <f>'Fiscal Forecasts'!N$121</f>
        <v>39.780999999999999</v>
      </c>
      <c r="O363" s="47">
        <f t="shared" ref="O363:X363" ca="1" si="215">SUM(N$363,O$362-N$362,,O$461-N$461,O$469-N$469,O$486-N$486)-SUM(O$460-N$460,O$468-N$468,O$485-N$485)</f>
        <v>43.981242101110183</v>
      </c>
      <c r="P363" s="47">
        <f t="shared" ca="1" si="215"/>
        <v>45.796296900394161</v>
      </c>
      <c r="Q363" s="47">
        <f t="shared" ca="1" si="215"/>
        <v>47.660072781726448</v>
      </c>
      <c r="R363" s="47">
        <f t="shared" ca="1" si="215"/>
        <v>49.547020602590656</v>
      </c>
      <c r="S363" s="47">
        <f t="shared" ca="1" si="215"/>
        <v>51.473950680336273</v>
      </c>
      <c r="T363" s="47">
        <f t="shared" ca="1" si="215"/>
        <v>53.440265165243503</v>
      </c>
      <c r="U363" s="47">
        <f t="shared" ca="1" si="215"/>
        <v>55.439394301773646</v>
      </c>
      <c r="V363" s="47">
        <f t="shared" ca="1" si="215"/>
        <v>57.474227129830147</v>
      </c>
      <c r="W363" s="47">
        <f t="shared" ca="1" si="215"/>
        <v>59.547310578395866</v>
      </c>
      <c r="X363" s="47">
        <f t="shared" ca="1" si="215"/>
        <v>61.66928931115708</v>
      </c>
    </row>
    <row r="365" spans="1:24" x14ac:dyDescent="0.25">
      <c r="A365" s="9" t="s">
        <v>620</v>
      </c>
    </row>
    <row r="366" spans="1:24" x14ac:dyDescent="0.25">
      <c r="A366" s="11" t="s">
        <v>1049</v>
      </c>
      <c r="D366" s="35">
        <f ca="1">OFFSET(Assumptions!$B$50,0,$C$1)*(D$393-D$359-D$400)</f>
        <v>14.03904</v>
      </c>
      <c r="E366" s="35">
        <f ca="1">OFFSET(Assumptions!$B$50,0,$C$1)*(E$393-E$359-E$400)</f>
        <v>13.838400000000002</v>
      </c>
      <c r="F366" s="35">
        <f ca="1">OFFSET(Assumptions!$B$50,0,$C$1)*(F$393-F$359-F$400)</f>
        <v>17.912959999999998</v>
      </c>
      <c r="G366" s="35">
        <f ca="1">OFFSET(Assumptions!$B$50,0,$C$1)*(G$393-G$359-G$400)</f>
        <v>19.295359999999999</v>
      </c>
      <c r="H366" s="35">
        <f ca="1">OFFSET(Assumptions!$B$50,0,$C$1)*(H$393-H$359-H$400)</f>
        <v>18.892800000000005</v>
      </c>
      <c r="I366" s="35">
        <f ca="1">OFFSET(Assumptions!$B$50,0,$C$1)*(I$393-I$359-I$400)</f>
        <v>21.588159999999998</v>
      </c>
      <c r="J366" s="17">
        <f ca="1">OFFSET(Assumptions!$B$50,0,$C$1)*(J$393-J$359-J$400)</f>
        <v>25.920320000000004</v>
      </c>
      <c r="K366" s="17">
        <f ca="1">OFFSET(Assumptions!$B$50,0,$C$1)*(K$393-K$359-K$400)</f>
        <v>27.230080000000005</v>
      </c>
      <c r="L366" s="17">
        <f ca="1">OFFSET(Assumptions!$B$50,0,$C$1)*(L$393-L$359-L$400)</f>
        <v>29.563200000000002</v>
      </c>
      <c r="M366" s="17">
        <f ca="1">OFFSET(Assumptions!$B$50,0,$C$1)*(M$393-M$359-M$400)</f>
        <v>30.861120000000003</v>
      </c>
      <c r="N366" s="17">
        <f ca="1">OFFSET(Assumptions!$B$50,0,$C$1)*(N$393-N$359-N$400)</f>
        <v>32.542720000000003</v>
      </c>
      <c r="O366" s="16">
        <f ca="1">OFFSET(Assumptions!$B$50,0,$C$1)*(O$393-O$359-O$400)</f>
        <v>33.722500795154481</v>
      </c>
      <c r="P366" s="16">
        <f ca="1">OFFSET(Assumptions!$B$50,0,$C$1)*(P$393-P$359-P$400)</f>
        <v>35.683882626040898</v>
      </c>
      <c r="Q366" s="16">
        <f ca="1">OFFSET(Assumptions!$B$50,0,$C$1)*(Q$393-Q$359-Q$400)</f>
        <v>37.713343324103739</v>
      </c>
      <c r="R366" s="16">
        <f ca="1">OFFSET(Assumptions!$B$50,0,$C$1)*(R$393-R$359-R$400)</f>
        <v>39.79717564114042</v>
      </c>
      <c r="S366" s="16">
        <f ca="1">OFFSET(Assumptions!$B$50,0,$C$1)*(S$393-S$359-S$400)</f>
        <v>41.928676457415158</v>
      </c>
      <c r="T366" s="16">
        <f ca="1">OFFSET(Assumptions!$B$50,0,$C$1)*(T$393-T$359-T$400)</f>
        <v>44.113070220970698</v>
      </c>
      <c r="U366" s="16">
        <f ca="1">OFFSET(Assumptions!$B$50,0,$C$1)*(U$393-U$359-U$400)</f>
        <v>46.338271775030762</v>
      </c>
      <c r="V366" s="16">
        <f ca="1">OFFSET(Assumptions!$B$50,0,$C$1)*(V$393-V$359-V$400)</f>
        <v>48.613060561043184</v>
      </c>
      <c r="W366" s="16">
        <f ca="1">OFFSET(Assumptions!$B$50,0,$C$1)*(W$393-W$359-W$400)</f>
        <v>50.962285833293691</v>
      </c>
      <c r="X366" s="16">
        <f ca="1">OFFSET(Assumptions!$B$50,0,$C$1)*(X$393-X$359-X$400)</f>
        <v>53.414029824974996</v>
      </c>
    </row>
    <row r="367" spans="1:24" x14ac:dyDescent="0.25">
      <c r="A367" s="11" t="s">
        <v>1050</v>
      </c>
      <c r="B367" s="10" t="str">
        <f>$B$38</f>
        <v>From Fiscal Forecasts</v>
      </c>
      <c r="D367" s="35">
        <f ca="1">'Fiscal Forecasts'!D$182-D$366</f>
        <v>13.366959999999999</v>
      </c>
      <c r="E367" s="35">
        <f ca="1">'Fiscal Forecasts'!E$182-E$366</f>
        <v>29.827599999999997</v>
      </c>
      <c r="F367" s="35">
        <f ca="1">'Fiscal Forecasts'!F$182-F$366</f>
        <v>19.820039999999999</v>
      </c>
      <c r="G367" s="35">
        <f ca="1">'Fiscal Forecasts'!G$182-G$366</f>
        <v>24.468640000000004</v>
      </c>
      <c r="H367" s="35">
        <f ca="1">'Fiscal Forecasts'!H$182-H$366</f>
        <v>25.522199999999994</v>
      </c>
      <c r="I367" s="35">
        <f ca="1">'Fiscal Forecasts'!I$182-I$366</f>
        <v>30.382839999999998</v>
      </c>
      <c r="J367" s="17">
        <f ca="1">'Fiscal Forecasts'!J$182-J$366</f>
        <v>38.730679999999992</v>
      </c>
      <c r="K367" s="17">
        <f ca="1">'Fiscal Forecasts'!K$182-K$366</f>
        <v>46.704920000000001</v>
      </c>
      <c r="L367" s="17">
        <f ca="1">'Fiscal Forecasts'!L$182-L$366</f>
        <v>45.037799999999997</v>
      </c>
      <c r="M367" s="17">
        <f ca="1">'Fiscal Forecasts'!M$182-M$366</f>
        <v>45.951880000000003</v>
      </c>
      <c r="N367" s="17">
        <f ca="1">'Fiscal Forecasts'!N$182-N$366</f>
        <v>46.982280000000003</v>
      </c>
      <c r="O367" s="16">
        <f t="shared" ref="O367:X367" ca="1" si="216">N$367</f>
        <v>46.982280000000003</v>
      </c>
      <c r="P367" s="16">
        <f t="shared" ca="1" si="216"/>
        <v>46.982280000000003</v>
      </c>
      <c r="Q367" s="16">
        <f t="shared" ca="1" si="216"/>
        <v>46.982280000000003</v>
      </c>
      <c r="R367" s="16">
        <f t="shared" ca="1" si="216"/>
        <v>46.982280000000003</v>
      </c>
      <c r="S367" s="16">
        <f t="shared" ca="1" si="216"/>
        <v>46.982280000000003</v>
      </c>
      <c r="T367" s="16">
        <f t="shared" ca="1" si="216"/>
        <v>46.982280000000003</v>
      </c>
      <c r="U367" s="16">
        <f t="shared" ca="1" si="216"/>
        <v>46.982280000000003</v>
      </c>
      <c r="V367" s="16">
        <f t="shared" ca="1" si="216"/>
        <v>46.982280000000003</v>
      </c>
      <c r="W367" s="16">
        <f t="shared" ca="1" si="216"/>
        <v>46.982280000000003</v>
      </c>
      <c r="X367" s="16">
        <f t="shared" ca="1" si="216"/>
        <v>46.982280000000003</v>
      </c>
    </row>
    <row r="368" spans="1:24" x14ac:dyDescent="0.25">
      <c r="A368" s="9" t="s">
        <v>1051</v>
      </c>
      <c r="D368" s="65">
        <f t="shared" ref="D368:X368" ca="1" si="217">SUM(D$366:D$367)</f>
        <v>27.405999999999999</v>
      </c>
      <c r="E368" s="65">
        <f t="shared" ca="1" si="217"/>
        <v>43.665999999999997</v>
      </c>
      <c r="F368" s="65">
        <f t="shared" ca="1" si="217"/>
        <v>37.732999999999997</v>
      </c>
      <c r="G368" s="65">
        <f t="shared" ca="1" si="217"/>
        <v>43.764000000000003</v>
      </c>
      <c r="H368" s="65">
        <f t="shared" ca="1" si="217"/>
        <v>44.414999999999999</v>
      </c>
      <c r="I368" s="65">
        <f t="shared" ca="1" si="217"/>
        <v>51.970999999999997</v>
      </c>
      <c r="J368" s="66">
        <f t="shared" ca="1" si="217"/>
        <v>64.650999999999996</v>
      </c>
      <c r="K368" s="66">
        <f t="shared" ca="1" si="217"/>
        <v>73.935000000000002</v>
      </c>
      <c r="L368" s="66">
        <f t="shared" ca="1" si="217"/>
        <v>74.600999999999999</v>
      </c>
      <c r="M368" s="66">
        <f t="shared" ca="1" si="217"/>
        <v>76.813000000000002</v>
      </c>
      <c r="N368" s="66">
        <f t="shared" ca="1" si="217"/>
        <v>79.525000000000006</v>
      </c>
      <c r="O368" s="67">
        <f t="shared" ca="1" si="217"/>
        <v>80.704780795154477</v>
      </c>
      <c r="P368" s="67">
        <f t="shared" ca="1" si="217"/>
        <v>82.666162626040901</v>
      </c>
      <c r="Q368" s="67">
        <f t="shared" ca="1" si="217"/>
        <v>84.695623324103735</v>
      </c>
      <c r="R368" s="67">
        <f t="shared" ca="1" si="217"/>
        <v>86.77945564114043</v>
      </c>
      <c r="S368" s="67">
        <f t="shared" ca="1" si="217"/>
        <v>88.910956457415153</v>
      </c>
      <c r="T368" s="67">
        <f t="shared" ca="1" si="217"/>
        <v>91.095350220970701</v>
      </c>
      <c r="U368" s="67">
        <f t="shared" ca="1" si="217"/>
        <v>93.320551775030765</v>
      </c>
      <c r="V368" s="67">
        <f t="shared" ca="1" si="217"/>
        <v>95.595340561043187</v>
      </c>
      <c r="W368" s="67">
        <f t="shared" ca="1" si="217"/>
        <v>97.944565833293694</v>
      </c>
      <c r="X368" s="67">
        <f t="shared" ca="1" si="217"/>
        <v>100.39630982497499</v>
      </c>
    </row>
    <row r="369" spans="1:24" x14ac:dyDescent="0.25">
      <c r="A369" s="11" t="s">
        <v>707</v>
      </c>
      <c r="B369" s="10" t="str">
        <f>$B$38</f>
        <v>From Fiscal Forecasts</v>
      </c>
      <c r="D369" s="35">
        <f>'Fiscal Forecasts'!D$214</f>
        <v>33.838000000000001</v>
      </c>
      <c r="E369" s="35">
        <f>'Fiscal Forecasts'!E$214</f>
        <v>34.494</v>
      </c>
      <c r="F369" s="35">
        <f>'Fiscal Forecasts'!F$214</f>
        <v>33.545999999999999</v>
      </c>
      <c r="G369" s="35">
        <f>'Fiscal Forecasts'!G$214</f>
        <v>31.513000000000002</v>
      </c>
      <c r="H369" s="35">
        <f>'Fiscal Forecasts'!H$214</f>
        <v>34.506</v>
      </c>
      <c r="I369" s="35">
        <f>'Fiscal Forecasts'!I$214</f>
        <v>39.212000000000003</v>
      </c>
      <c r="J369" s="17">
        <f>'Fiscal Forecasts'!J$214</f>
        <v>44.709000000000003</v>
      </c>
      <c r="K369" s="17">
        <f>'Fiscal Forecasts'!K$214</f>
        <v>45.356000000000002</v>
      </c>
      <c r="L369" s="17">
        <f>'Fiscal Forecasts'!L$214</f>
        <v>45.789000000000001</v>
      </c>
      <c r="M369" s="17">
        <f>'Fiscal Forecasts'!M$214</f>
        <v>46.503999999999998</v>
      </c>
      <c r="N369" s="17">
        <f>'Fiscal Forecasts'!N$214</f>
        <v>47.848999999999997</v>
      </c>
      <c r="O369" s="16">
        <f ca="1">N$369*AVERAGE(Exogenous!Z$30/Exogenous!Y$30,1+O$29)</f>
        <v>49.014936257065948</v>
      </c>
      <c r="P369" s="16">
        <f ca="1">O$369*AVERAGE(Exogenous!AA$30/Exogenous!Z$30,1+P$29)</f>
        <v>50.347213525928908</v>
      </c>
      <c r="Q369" s="16">
        <f ca="1">P$369*AVERAGE(Exogenous!AB$30/Exogenous!AA$30,1+Q$29)</f>
        <v>51.884554518425304</v>
      </c>
      <c r="R369" s="16">
        <f ca="1">Q$369*AVERAGE(Exogenous!AC$30/Exogenous!AB$30,1+R$29)</f>
        <v>53.644219661698841</v>
      </c>
      <c r="S369" s="16">
        <f ca="1">R$369*AVERAGE(Exogenous!AD$30/Exogenous!AC$30,1+S$29)</f>
        <v>55.648819652026312</v>
      </c>
      <c r="T369" s="16">
        <f ca="1">S$369*AVERAGE(Exogenous!AE$30/Exogenous!AD$30,1+T$29)</f>
        <v>57.929528300001017</v>
      </c>
      <c r="U369" s="16">
        <f ca="1">T$369*AVERAGE(Exogenous!AF$30/Exogenous!AE$30,1+U$29)</f>
        <v>60.512559880882698</v>
      </c>
      <c r="V369" s="16">
        <f ca="1">U$369*AVERAGE(Exogenous!AG$30/Exogenous!AF$30,1+V$29)</f>
        <v>63.28090184155873</v>
      </c>
      <c r="W369" s="16">
        <f ca="1">V$369*AVERAGE(Exogenous!AH$30/Exogenous!AG$30,1+W$29)</f>
        <v>66.115145082176525</v>
      </c>
      <c r="X369" s="16">
        <f ca="1">W$369*AVERAGE(Exogenous!AI$30/Exogenous!AH$30,1+X$29)</f>
        <v>68.989975248406552</v>
      </c>
    </row>
    <row r="370" spans="1:24" x14ac:dyDescent="0.25">
      <c r="A370" s="11" t="s">
        <v>904</v>
      </c>
      <c r="B370" s="10" t="str">
        <f t="shared" ref="B370:B371" si="218">$B$38</f>
        <v>From Fiscal Forecasts</v>
      </c>
      <c r="D370" s="35">
        <f>'Fiscal Forecasts'!D$215</f>
        <v>3.3879999999999999</v>
      </c>
      <c r="E370" s="35">
        <f>'Fiscal Forecasts'!E$215</f>
        <v>3.88</v>
      </c>
      <c r="F370" s="35">
        <f>'Fiscal Forecasts'!F$215</f>
        <v>3.3250000000000002</v>
      </c>
      <c r="G370" s="35">
        <f>'Fiscal Forecasts'!G$215</f>
        <v>5.3479999999999999</v>
      </c>
      <c r="H370" s="35">
        <f>'Fiscal Forecasts'!H$215</f>
        <v>3.9380000000000002</v>
      </c>
      <c r="I370" s="35">
        <f>'Fiscal Forecasts'!I$215</f>
        <v>2.9710000000000001</v>
      </c>
      <c r="J370" s="17">
        <f>'Fiscal Forecasts'!J$215</f>
        <v>3.2130000000000001</v>
      </c>
      <c r="K370" s="17">
        <f>'Fiscal Forecasts'!K$215</f>
        <v>2.7749999999999999</v>
      </c>
      <c r="L370" s="17">
        <f>'Fiscal Forecasts'!L$215</f>
        <v>2.8260000000000001</v>
      </c>
      <c r="M370" s="17">
        <f>'Fiscal Forecasts'!M$215</f>
        <v>3.0030000000000001</v>
      </c>
      <c r="N370" s="17">
        <f>'Fiscal Forecasts'!N$215</f>
        <v>2.976</v>
      </c>
      <c r="O370" s="16">
        <f t="shared" ref="O370:X370" ca="1" si="219">N$370*(1+O$14)</f>
        <v>3.1044070902263794</v>
      </c>
      <c r="P370" s="16">
        <f t="shared" ca="1" si="219"/>
        <v>3.2368105447188023</v>
      </c>
      <c r="Q370" s="16">
        <f t="shared" ca="1" si="219"/>
        <v>3.3695014832850716</v>
      </c>
      <c r="R370" s="16">
        <f t="shared" ca="1" si="219"/>
        <v>3.5021806593985603</v>
      </c>
      <c r="S370" s="16">
        <f t="shared" ca="1" si="219"/>
        <v>3.6377853663695907</v>
      </c>
      <c r="T370" s="16">
        <f t="shared" ca="1" si="219"/>
        <v>3.7761086592909621</v>
      </c>
      <c r="U370" s="16">
        <f t="shared" ca="1" si="219"/>
        <v>3.916276223883866</v>
      </c>
      <c r="V370" s="16">
        <f t="shared" ca="1" si="219"/>
        <v>4.0585511807631462</v>
      </c>
      <c r="W370" s="16">
        <f t="shared" ca="1" si="219"/>
        <v>4.2029282292638444</v>
      </c>
      <c r="X370" s="16">
        <f t="shared" ca="1" si="219"/>
        <v>4.3504953268790194</v>
      </c>
    </row>
    <row r="371" spans="1:24" x14ac:dyDescent="0.25">
      <c r="A371" s="11" t="s">
        <v>866</v>
      </c>
      <c r="B371" s="10" t="str">
        <f t="shared" si="218"/>
        <v>From Fiscal Forecasts</v>
      </c>
      <c r="D371" s="35">
        <f ca="1">'Fiscal Forecasts'!D$122-SUM(D$368:D$370)</f>
        <v>-21.016000000000005</v>
      </c>
      <c r="E371" s="35">
        <f ca="1">'Fiscal Forecasts'!E$122-SUM(E$368:E$370)</f>
        <v>-21.034999999999989</v>
      </c>
      <c r="F371" s="35">
        <f ca="1">'Fiscal Forecasts'!F$122-SUM(F$368:F$370)</f>
        <v>-17.820999999999998</v>
      </c>
      <c r="G371" s="35">
        <f ca="1">'Fiscal Forecasts'!G$122-SUM(G$368:G$370)</f>
        <v>-15.168999999999997</v>
      </c>
      <c r="H371" s="35">
        <f ca="1">'Fiscal Forecasts'!H$122-SUM(H$368:H$370)</f>
        <v>-16.369</v>
      </c>
      <c r="I371" s="35">
        <f ca="1">'Fiscal Forecasts'!I$122-SUM(I$368:I$370)</f>
        <v>-20.507999999999996</v>
      </c>
      <c r="J371" s="17">
        <f ca="1">'Fiscal Forecasts'!J$122-SUM(J$368:J$370)</f>
        <v>-26.075999999999993</v>
      </c>
      <c r="K371" s="17">
        <f ca="1">'Fiscal Forecasts'!K$122-SUM(K$368:K$370)</f>
        <v>-26.134</v>
      </c>
      <c r="L371" s="17">
        <f ca="1">'Fiscal Forecasts'!L$122-SUM(L$368:L$370)</f>
        <v>-26.244</v>
      </c>
      <c r="M371" s="17">
        <f ca="1">'Fiscal Forecasts'!M$122-SUM(M$368:M$370)</f>
        <v>-26.624000000000009</v>
      </c>
      <c r="N371" s="17">
        <f ca="1">'Fiscal Forecasts'!N$122-SUM(N$368:N$370)</f>
        <v>-27.197999999999993</v>
      </c>
      <c r="O371" s="16">
        <f t="shared" ref="O371:X371" ca="1" si="220">N$371*O$369/N$369</f>
        <v>-27.860733480734797</v>
      </c>
      <c r="P371" s="16">
        <f t="shared" ca="1" si="220"/>
        <v>-28.618017377128343</v>
      </c>
      <c r="Q371" s="16">
        <f t="shared" ca="1" si="220"/>
        <v>-29.491862187133087</v>
      </c>
      <c r="R371" s="16">
        <f t="shared" ca="1" si="220"/>
        <v>-30.492078964218368</v>
      </c>
      <c r="S371" s="16">
        <f t="shared" ca="1" si="220"/>
        <v>-31.631519925093755</v>
      </c>
      <c r="T371" s="16">
        <f t="shared" ca="1" si="220"/>
        <v>-32.927904673105537</v>
      </c>
      <c r="U371" s="16">
        <f t="shared" ca="1" si="220"/>
        <v>-34.396133746582933</v>
      </c>
      <c r="V371" s="16">
        <f t="shared" ca="1" si="220"/>
        <v>-35.969695673613103</v>
      </c>
      <c r="W371" s="16">
        <f t="shared" ca="1" si="220"/>
        <v>-37.58071675364242</v>
      </c>
      <c r="X371" s="16">
        <f t="shared" ca="1" si="220"/>
        <v>-39.214807975217042</v>
      </c>
    </row>
    <row r="372" spans="1:24" x14ac:dyDescent="0.25">
      <c r="A372" s="9" t="s">
        <v>1052</v>
      </c>
      <c r="D372" s="65">
        <f t="shared" ref="D372:X372" ca="1" si="221">SUM(D$368:D$371)</f>
        <v>43.616</v>
      </c>
      <c r="E372" s="65">
        <f t="shared" ca="1" si="221"/>
        <v>61.005000000000003</v>
      </c>
      <c r="F372" s="65">
        <f t="shared" ca="1" si="221"/>
        <v>56.783000000000001</v>
      </c>
      <c r="G372" s="65">
        <f t="shared" ca="1" si="221"/>
        <v>65.456000000000003</v>
      </c>
      <c r="H372" s="65">
        <f t="shared" ca="1" si="221"/>
        <v>66.489999999999995</v>
      </c>
      <c r="I372" s="65">
        <f t="shared" ca="1" si="221"/>
        <v>73.646000000000001</v>
      </c>
      <c r="J372" s="66">
        <f t="shared" ca="1" si="221"/>
        <v>86.497</v>
      </c>
      <c r="K372" s="66">
        <f t="shared" ca="1" si="221"/>
        <v>95.932000000000002</v>
      </c>
      <c r="L372" s="66">
        <f t="shared" ca="1" si="221"/>
        <v>96.971999999999994</v>
      </c>
      <c r="M372" s="66">
        <f t="shared" ca="1" si="221"/>
        <v>99.695999999999998</v>
      </c>
      <c r="N372" s="66">
        <f t="shared" ca="1" si="221"/>
        <v>103.152</v>
      </c>
      <c r="O372" s="67">
        <f t="shared" ca="1" si="221"/>
        <v>104.96339066171201</v>
      </c>
      <c r="P372" s="67">
        <f t="shared" ca="1" si="221"/>
        <v>107.63216931956025</v>
      </c>
      <c r="Q372" s="67">
        <f t="shared" ca="1" si="221"/>
        <v>110.45781713868104</v>
      </c>
      <c r="R372" s="67">
        <f t="shared" ca="1" si="221"/>
        <v>113.43377699801948</v>
      </c>
      <c r="S372" s="67">
        <f t="shared" ca="1" si="221"/>
        <v>116.5660415507173</v>
      </c>
      <c r="T372" s="67">
        <f t="shared" ca="1" si="221"/>
        <v>119.87308250715716</v>
      </c>
      <c r="U372" s="67">
        <f t="shared" ca="1" si="221"/>
        <v>123.35325413321439</v>
      </c>
      <c r="V372" s="67">
        <f t="shared" ca="1" si="221"/>
        <v>126.96509790975196</v>
      </c>
      <c r="W372" s="67">
        <f t="shared" ca="1" si="221"/>
        <v>130.68192239109163</v>
      </c>
      <c r="X372" s="67">
        <f t="shared" ca="1" si="221"/>
        <v>134.52197242504351</v>
      </c>
    </row>
    <row r="374" spans="1:24" x14ac:dyDescent="0.25">
      <c r="A374" s="9" t="s">
        <v>621</v>
      </c>
    </row>
    <row r="375" spans="1:24" x14ac:dyDescent="0.25">
      <c r="A375" s="11" t="s">
        <v>1053</v>
      </c>
      <c r="D375" s="35">
        <f ca="1">SUM(OFFSET(Assumptions!$B$51,0,$C$1),OFFSET(Assumptions!$B$52,0,$C$1))*(D$393-D$359-D$400)-D$397</f>
        <v>23.951360000000001</v>
      </c>
      <c r="E375" s="35">
        <f ca="1">SUM(OFFSET(Assumptions!$B$51,0,$C$1),OFFSET(Assumptions!$B$52,0,$C$1))*(E$393-E$359-E$400)-E$397</f>
        <v>23.024350000000005</v>
      </c>
      <c r="F375" s="35">
        <f ca="1">SUM(OFFSET(Assumptions!$B$51,0,$C$1),OFFSET(Assumptions!$B$52,0,$C$1))*(F$393-F$359-F$400)-F$397</f>
        <v>30.54814</v>
      </c>
      <c r="G375" s="35">
        <f ca="1">SUM(OFFSET(Assumptions!$B$51,0,$C$1),OFFSET(Assumptions!$B$52,0,$C$1))*(G$393-G$359-G$400)-G$397</f>
        <v>31.891739999999995</v>
      </c>
      <c r="H375" s="35">
        <f ca="1">SUM(OFFSET(Assumptions!$B$51,0,$C$1),OFFSET(Assumptions!$B$52,0,$C$1))*(H$393-H$359-H$400)-H$397</f>
        <v>29.878200000000007</v>
      </c>
      <c r="I375" s="35">
        <f ca="1">SUM(OFFSET(Assumptions!$B$51,0,$C$1),OFFSET(Assumptions!$B$52,0,$C$1))*(I$393-I$359-I$400)-I$397</f>
        <v>35.327689999999997</v>
      </c>
      <c r="J375" s="17">
        <f ca="1">SUM(OFFSET(Assumptions!$B$51,0,$C$1),OFFSET(Assumptions!$B$52,0,$C$1))*(J$393-J$359-J$400)-J$397</f>
        <v>42.631630000000001</v>
      </c>
      <c r="K375" s="17">
        <f ca="1">SUM(OFFSET(Assumptions!$B$51,0,$C$1),OFFSET(Assumptions!$B$52,0,$C$1))*(K$393-K$359-K$400)-K$397</f>
        <v>44.30022000000001</v>
      </c>
      <c r="L375" s="17">
        <f ca="1">SUM(OFFSET(Assumptions!$B$51,0,$C$1),OFFSET(Assumptions!$B$52,0,$C$1))*(L$393-L$359-L$400)-L$397</f>
        <v>47.376550000000002</v>
      </c>
      <c r="M375" s="17">
        <f ca="1">SUM(OFFSET(Assumptions!$B$51,0,$C$1),OFFSET(Assumptions!$B$52,0,$C$1))*(M$393-M$359-M$400)-M$397</f>
        <v>48.376830000000005</v>
      </c>
      <c r="N375" s="17">
        <f ca="1">SUM(OFFSET(Assumptions!$B$51,0,$C$1),OFFSET(Assumptions!$B$52,0,$C$1))*(N$393-N$359-N$400)-N$397</f>
        <v>50.054479999999998</v>
      </c>
      <c r="O375" s="16">
        <f ca="1">OFFSET(Assumptions!$B$51,0,$C$1)*(O$393-O$359-O$400)</f>
        <v>55.852891941974619</v>
      </c>
      <c r="P375" s="16">
        <f ca="1">OFFSET(Assumptions!$B$51,0,$C$1)*(P$393-P$359-P$400)</f>
        <v>59.101430599380237</v>
      </c>
      <c r="Q375" s="16">
        <f ca="1">OFFSET(Assumptions!$B$51,0,$C$1)*(Q$393-Q$359-Q$400)</f>
        <v>62.462724880546823</v>
      </c>
      <c r="R375" s="16">
        <f ca="1">OFFSET(Assumptions!$B$51,0,$C$1)*(R$393-R$359-R$400)</f>
        <v>65.91407215563882</v>
      </c>
      <c r="S375" s="16">
        <f ca="1">OFFSET(Assumptions!$B$51,0,$C$1)*(S$393-S$359-S$400)</f>
        <v>69.44437038259386</v>
      </c>
      <c r="T375" s="16">
        <f ca="1">OFFSET(Assumptions!$B$51,0,$C$1)*(T$393-T$359-T$400)</f>
        <v>73.062272553482714</v>
      </c>
      <c r="U375" s="16">
        <f ca="1">OFFSET(Assumptions!$B$51,0,$C$1)*(U$393-U$359-U$400)</f>
        <v>76.747762627394707</v>
      </c>
      <c r="V375" s="16">
        <f ca="1">OFFSET(Assumptions!$B$51,0,$C$1)*(V$393-V$359-V$400)</f>
        <v>80.515381554227773</v>
      </c>
      <c r="W375" s="16">
        <f ca="1">OFFSET(Assumptions!$B$51,0,$C$1)*(W$393-W$359-W$400)</f>
        <v>84.406285911392672</v>
      </c>
      <c r="X375" s="16">
        <f ca="1">OFFSET(Assumptions!$B$51,0,$C$1)*(X$393-X$359-X$400)</f>
        <v>88.466986897614845</v>
      </c>
    </row>
    <row r="376" spans="1:24" x14ac:dyDescent="0.25">
      <c r="A376" s="11" t="s">
        <v>1054</v>
      </c>
      <c r="B376" s="10" t="str">
        <f>$B$38</f>
        <v>From Fiscal Forecasts</v>
      </c>
      <c r="D376" s="35">
        <f ca="1">'Fiscal Forecasts'!D$183-D$375</f>
        <v>2.4436399999999985</v>
      </c>
      <c r="E376" s="35">
        <f ca="1">'Fiscal Forecasts'!E$183-E$375</f>
        <v>-5.164350000000006</v>
      </c>
      <c r="F376" s="35">
        <f ca="1">'Fiscal Forecasts'!F$183-F$375</f>
        <v>-1.9041400000000017</v>
      </c>
      <c r="G376" s="35">
        <f ca="1">'Fiscal Forecasts'!G$183-G$375</f>
        <v>-2.7387399999999964</v>
      </c>
      <c r="H376" s="35">
        <f ca="1">'Fiscal Forecasts'!H$183-H$375</f>
        <v>-0.88020000000000564</v>
      </c>
      <c r="I376" s="35">
        <f ca="1">'Fiscal Forecasts'!I$183-I$375</f>
        <v>2.010310000000004</v>
      </c>
      <c r="J376" s="17">
        <f ca="1">'Fiscal Forecasts'!J$183-J$375</f>
        <v>1.3833699999999993</v>
      </c>
      <c r="K376" s="17">
        <f ca="1">'Fiscal Forecasts'!K$183-K$375</f>
        <v>0.96277999999998798</v>
      </c>
      <c r="L376" s="17">
        <f ca="1">'Fiscal Forecasts'!L$183-L$375</f>
        <v>-0.15955000000000297</v>
      </c>
      <c r="M376" s="17">
        <f ca="1">'Fiscal Forecasts'!M$183-M$375</f>
        <v>0.82116999999999507</v>
      </c>
      <c r="N376" s="17">
        <f ca="1">'Fiscal Forecasts'!N$183-N$375</f>
        <v>1.1585200000000029</v>
      </c>
      <c r="O376" s="16">
        <f t="shared" ref="O376:X376" ca="1" si="222">N$376</f>
        <v>1.1585200000000029</v>
      </c>
      <c r="P376" s="16">
        <f t="shared" ca="1" si="222"/>
        <v>1.1585200000000029</v>
      </c>
      <c r="Q376" s="16">
        <f t="shared" ca="1" si="222"/>
        <v>1.1585200000000029</v>
      </c>
      <c r="R376" s="16">
        <f t="shared" ca="1" si="222"/>
        <v>1.1585200000000029</v>
      </c>
      <c r="S376" s="16">
        <f t="shared" ca="1" si="222"/>
        <v>1.1585200000000029</v>
      </c>
      <c r="T376" s="16">
        <f t="shared" ca="1" si="222"/>
        <v>1.1585200000000029</v>
      </c>
      <c r="U376" s="16">
        <f t="shared" ca="1" si="222"/>
        <v>1.1585200000000029</v>
      </c>
      <c r="V376" s="16">
        <f t="shared" ca="1" si="222"/>
        <v>1.1585200000000029</v>
      </c>
      <c r="W376" s="16">
        <f t="shared" ca="1" si="222"/>
        <v>1.1585200000000029</v>
      </c>
      <c r="X376" s="16">
        <f t="shared" ca="1" si="222"/>
        <v>1.1585200000000029</v>
      </c>
    </row>
    <row r="377" spans="1:24" x14ac:dyDescent="0.25">
      <c r="A377" s="9" t="s">
        <v>1055</v>
      </c>
      <c r="D377" s="65">
        <f t="shared" ref="D377:X377" ca="1" si="223">SUM(D$375:D$376)</f>
        <v>26.395</v>
      </c>
      <c r="E377" s="65">
        <f t="shared" ca="1" si="223"/>
        <v>17.86</v>
      </c>
      <c r="F377" s="65">
        <f t="shared" ca="1" si="223"/>
        <v>28.643999999999998</v>
      </c>
      <c r="G377" s="65">
        <f t="shared" ca="1" si="223"/>
        <v>29.152999999999999</v>
      </c>
      <c r="H377" s="65">
        <f t="shared" ca="1" si="223"/>
        <v>28.998000000000001</v>
      </c>
      <c r="I377" s="65">
        <f t="shared" ca="1" si="223"/>
        <v>37.338000000000001</v>
      </c>
      <c r="J377" s="66">
        <f t="shared" ca="1" si="223"/>
        <v>44.015000000000001</v>
      </c>
      <c r="K377" s="66">
        <f t="shared" ca="1" si="223"/>
        <v>45.262999999999998</v>
      </c>
      <c r="L377" s="66">
        <f t="shared" ca="1" si="223"/>
        <v>47.216999999999999</v>
      </c>
      <c r="M377" s="66">
        <f t="shared" ca="1" si="223"/>
        <v>49.198</v>
      </c>
      <c r="N377" s="66">
        <f t="shared" ca="1" si="223"/>
        <v>51.213000000000001</v>
      </c>
      <c r="O377" s="67">
        <f t="shared" ca="1" si="223"/>
        <v>57.011411941974622</v>
      </c>
      <c r="P377" s="67">
        <f t="shared" ca="1" si="223"/>
        <v>60.25995059938024</v>
      </c>
      <c r="Q377" s="67">
        <f t="shared" ca="1" si="223"/>
        <v>63.621244880546826</v>
      </c>
      <c r="R377" s="67">
        <f t="shared" ca="1" si="223"/>
        <v>67.07259215563883</v>
      </c>
      <c r="S377" s="67">
        <f t="shared" ca="1" si="223"/>
        <v>70.60289038259387</v>
      </c>
      <c r="T377" s="67">
        <f t="shared" ca="1" si="223"/>
        <v>74.22079255348271</v>
      </c>
      <c r="U377" s="67">
        <f t="shared" ca="1" si="223"/>
        <v>77.906282627394717</v>
      </c>
      <c r="V377" s="67">
        <f t="shared" ca="1" si="223"/>
        <v>81.673901554227768</v>
      </c>
      <c r="W377" s="67">
        <f t="shared" ca="1" si="223"/>
        <v>85.564805911392682</v>
      </c>
      <c r="X377" s="67">
        <f t="shared" ca="1" si="223"/>
        <v>89.625506897614855</v>
      </c>
    </row>
    <row r="378" spans="1:24" x14ac:dyDescent="0.25">
      <c r="A378" s="11" t="s">
        <v>707</v>
      </c>
      <c r="B378" s="10" t="str">
        <f>$B$38</f>
        <v>From Fiscal Forecasts</v>
      </c>
      <c r="D378" s="35">
        <f>'Fiscal Forecasts'!D$216</f>
        <v>14.254</v>
      </c>
      <c r="E378" s="35">
        <f>'Fiscal Forecasts'!E$216</f>
        <v>17.135000000000002</v>
      </c>
      <c r="F378" s="35">
        <f>'Fiscal Forecasts'!F$216</f>
        <v>21.521999999999998</v>
      </c>
      <c r="G378" s="35">
        <f>'Fiscal Forecasts'!G$216</f>
        <v>18.613</v>
      </c>
      <c r="H378" s="35">
        <f>'Fiscal Forecasts'!H$216</f>
        <v>19.635000000000002</v>
      </c>
      <c r="I378" s="35">
        <f>'Fiscal Forecasts'!I$216</f>
        <v>16.818999999999999</v>
      </c>
      <c r="J378" s="17">
        <f>'Fiscal Forecasts'!J$216</f>
        <v>16.510000000000002</v>
      </c>
      <c r="K378" s="17">
        <f>'Fiscal Forecasts'!K$216</f>
        <v>16.564</v>
      </c>
      <c r="L378" s="17">
        <f>'Fiscal Forecasts'!L$216</f>
        <v>16.648</v>
      </c>
      <c r="M378" s="17">
        <f>'Fiscal Forecasts'!M$216</f>
        <v>16.707999999999998</v>
      </c>
      <c r="N378" s="17">
        <f>'Fiscal Forecasts'!N$216</f>
        <v>16.702999999999999</v>
      </c>
      <c r="O378" s="16">
        <f ca="1">N$378*AVERAGE(Exogenous!Z$30/Exogenous!Y$30,1+O$29)</f>
        <v>17.11000188722382</v>
      </c>
      <c r="P378" s="16">
        <f ca="1">O$378*AVERAGE(Exogenous!AA$30/Exogenous!Z$30,1+P$29)</f>
        <v>17.575069646671626</v>
      </c>
      <c r="Q378" s="16">
        <f ca="1">P$378*AVERAGE(Exogenous!AB$30/Exogenous!AA$30,1+Q$29)</f>
        <v>18.111720498260318</v>
      </c>
      <c r="R378" s="16">
        <f ca="1">Q$378*AVERAGE(Exogenous!AC$30/Exogenous!AB$30,1+R$29)</f>
        <v>18.725979665392295</v>
      </c>
      <c r="S378" s="16">
        <f ca="1">R$378*AVERAGE(Exogenous!AD$30/Exogenous!AC$30,1+S$29)</f>
        <v>19.425740029003649</v>
      </c>
      <c r="T378" s="16">
        <f ca="1">S$378*AVERAGE(Exogenous!AE$30/Exogenous!AD$30,1+T$29)</f>
        <v>20.22188365890441</v>
      </c>
      <c r="U378" s="16">
        <f ca="1">T$378*AVERAGE(Exogenous!AF$30/Exogenous!AE$30,1+U$29)</f>
        <v>21.123561363672884</v>
      </c>
      <c r="V378" s="16">
        <f ca="1">U$378*AVERAGE(Exogenous!AG$30/Exogenous!AF$30,1+V$29)</f>
        <v>22.089926716536514</v>
      </c>
      <c r="W378" s="16">
        <f ca="1">V$378*AVERAGE(Exogenous!AH$30/Exogenous!AG$30,1+W$29)</f>
        <v>23.079296710643789</v>
      </c>
      <c r="X378" s="16">
        <f ca="1">W$378*AVERAGE(Exogenous!AI$30/Exogenous!AH$30,1+X$29)</f>
        <v>24.082834679390057</v>
      </c>
    </row>
    <row r="379" spans="1:24" x14ac:dyDescent="0.25">
      <c r="A379" s="11" t="s">
        <v>904</v>
      </c>
      <c r="B379" s="10" t="str">
        <f t="shared" ref="B379:B380" si="224">$B$38</f>
        <v>From Fiscal Forecasts</v>
      </c>
      <c r="D379" s="35">
        <f>'Fiscal Forecasts'!D$217</f>
        <v>0.27900000000000003</v>
      </c>
      <c r="E379" s="35">
        <f>'Fiscal Forecasts'!E$217</f>
        <v>3.7999999999999999E-2</v>
      </c>
      <c r="F379" s="35">
        <f>'Fiscal Forecasts'!F$217</f>
        <v>3.7999999999999999E-2</v>
      </c>
      <c r="G379" s="35">
        <f>'Fiscal Forecasts'!G$217</f>
        <v>3.4000000000000002E-2</v>
      </c>
      <c r="H379" s="35">
        <f>'Fiscal Forecasts'!H$217</f>
        <v>3.5999999999999997E-2</v>
      </c>
      <c r="I379" s="35">
        <f>'Fiscal Forecasts'!I$217</f>
        <v>3.2000000000000001E-2</v>
      </c>
      <c r="J379" s="17">
        <f>'Fiscal Forecasts'!J$217</f>
        <v>3.2000000000000001E-2</v>
      </c>
      <c r="K379" s="17">
        <f>'Fiscal Forecasts'!K$217</f>
        <v>2.1999999999999999E-2</v>
      </c>
      <c r="L379" s="17">
        <f>'Fiscal Forecasts'!L$217</f>
        <v>2.3E-2</v>
      </c>
      <c r="M379" s="17">
        <f>'Fiscal Forecasts'!M$217</f>
        <v>2.3E-2</v>
      </c>
      <c r="N379" s="17">
        <f>'Fiscal Forecasts'!N$217</f>
        <v>2.3E-2</v>
      </c>
      <c r="O379" s="16">
        <f t="shared" ref="O379:X379" si="225">N$379</f>
        <v>2.3E-2</v>
      </c>
      <c r="P379" s="16">
        <f t="shared" si="225"/>
        <v>2.3E-2</v>
      </c>
      <c r="Q379" s="16">
        <f t="shared" si="225"/>
        <v>2.3E-2</v>
      </c>
      <c r="R379" s="16">
        <f t="shared" si="225"/>
        <v>2.3E-2</v>
      </c>
      <c r="S379" s="16">
        <f t="shared" si="225"/>
        <v>2.3E-2</v>
      </c>
      <c r="T379" s="16">
        <f t="shared" si="225"/>
        <v>2.3E-2</v>
      </c>
      <c r="U379" s="16">
        <f t="shared" si="225"/>
        <v>2.3E-2</v>
      </c>
      <c r="V379" s="16">
        <f t="shared" si="225"/>
        <v>2.3E-2</v>
      </c>
      <c r="W379" s="16">
        <f t="shared" si="225"/>
        <v>2.3E-2</v>
      </c>
      <c r="X379" s="16">
        <f t="shared" si="225"/>
        <v>2.3E-2</v>
      </c>
    </row>
    <row r="380" spans="1:24" x14ac:dyDescent="0.25">
      <c r="A380" s="11" t="s">
        <v>866</v>
      </c>
      <c r="B380" s="10" t="str">
        <f t="shared" si="224"/>
        <v>From Fiscal Forecasts</v>
      </c>
      <c r="D380" s="35">
        <f ca="1">'Fiscal Forecasts'!D$123-SUM(D$377:D$379)</f>
        <v>-1.3760000000000048</v>
      </c>
      <c r="E380" s="35">
        <f ca="1">'Fiscal Forecasts'!E$123-SUM(E$377:E$379)</f>
        <v>-1.2420000000000044</v>
      </c>
      <c r="F380" s="35">
        <f ca="1">'Fiscal Forecasts'!F$123-SUM(F$377:F$379)</f>
        <v>-1.664999999999992</v>
      </c>
      <c r="G380" s="35">
        <f ca="1">'Fiscal Forecasts'!G$123-SUM(G$377:G$379)</f>
        <v>-1.5389999999999944</v>
      </c>
      <c r="H380" s="35">
        <f ca="1">'Fiscal Forecasts'!H$123-SUM(H$377:H$379)</f>
        <v>-0.62300000000000466</v>
      </c>
      <c r="I380" s="35">
        <f ca="1">'Fiscal Forecasts'!I$123-SUM(I$377:I$379)</f>
        <v>-0.69399999999999551</v>
      </c>
      <c r="J380" s="17">
        <f ca="1">'Fiscal Forecasts'!J$123-SUM(J$377:J$379)</f>
        <v>-0.67500000000000426</v>
      </c>
      <c r="K380" s="17">
        <f ca="1">'Fiscal Forecasts'!K$123-SUM(K$377:K$379)</f>
        <v>-0.68599999999999994</v>
      </c>
      <c r="L380" s="17">
        <f ca="1">'Fiscal Forecasts'!L$123-SUM(L$377:L$379)</f>
        <v>-0.70199999999999818</v>
      </c>
      <c r="M380" s="17">
        <f ca="1">'Fiscal Forecasts'!M$123-SUM(M$377:M$379)</f>
        <v>-0.72100000000000364</v>
      </c>
      <c r="N380" s="17">
        <f ca="1">'Fiscal Forecasts'!N$123-SUM(N$377:N$379)</f>
        <v>-0.74699999999999989</v>
      </c>
      <c r="O380" s="16">
        <f t="shared" ref="O380:X380" ca="1" si="226">N$380*AVERAGE(O$377/N$377,O$378/N$378)</f>
        <v>-0.79838929682699777</v>
      </c>
      <c r="P380" s="16">
        <f t="shared" ca="1" si="226"/>
        <v>-0.83198613514568998</v>
      </c>
      <c r="Q380" s="16">
        <f t="shared" ca="1" si="226"/>
        <v>-0.86789244467487292</v>
      </c>
      <c r="R380" s="16">
        <f t="shared" ca="1" si="226"/>
        <v>-0.90615059940228104</v>
      </c>
      <c r="S380" s="16">
        <f t="shared" ca="1" si="226"/>
        <v>-0.94692847103303912</v>
      </c>
      <c r="T380" s="16">
        <f t="shared" ca="1" si="226"/>
        <v>-0.99059462348465999</v>
      </c>
      <c r="U380" s="16">
        <f t="shared" ca="1" si="226"/>
        <v>-1.0372739024343125</v>
      </c>
      <c r="V380" s="16">
        <f t="shared" ca="1" si="226"/>
        <v>-1.0860823765602119</v>
      </c>
      <c r="W380" s="16">
        <f t="shared" ca="1" si="226"/>
        <v>-1.1362744757333609</v>
      </c>
      <c r="X380" s="16">
        <f t="shared" ca="1" si="226"/>
        <v>-1.1879407514277145</v>
      </c>
    </row>
    <row r="381" spans="1:24" x14ac:dyDescent="0.25">
      <c r="A381" s="9" t="s">
        <v>1056</v>
      </c>
      <c r="D381" s="65">
        <f t="shared" ref="D381:X381" ca="1" si="227">SUM(D$377:D$380)</f>
        <v>39.552</v>
      </c>
      <c r="E381" s="65">
        <f t="shared" ca="1" si="227"/>
        <v>33.790999999999997</v>
      </c>
      <c r="F381" s="65">
        <f t="shared" ca="1" si="227"/>
        <v>48.539000000000001</v>
      </c>
      <c r="G381" s="65">
        <f t="shared" ca="1" si="227"/>
        <v>46.261000000000003</v>
      </c>
      <c r="H381" s="65">
        <f t="shared" ca="1" si="227"/>
        <v>48.045999999999999</v>
      </c>
      <c r="I381" s="65">
        <f t="shared" ca="1" si="227"/>
        <v>53.494999999999997</v>
      </c>
      <c r="J381" s="66">
        <f t="shared" ca="1" si="227"/>
        <v>59.881999999999998</v>
      </c>
      <c r="K381" s="66">
        <f t="shared" ca="1" si="227"/>
        <v>61.162999999999997</v>
      </c>
      <c r="L381" s="66">
        <f t="shared" ca="1" si="227"/>
        <v>63.186</v>
      </c>
      <c r="M381" s="66">
        <f t="shared" ca="1" si="227"/>
        <v>65.207999999999998</v>
      </c>
      <c r="N381" s="66">
        <f t="shared" ca="1" si="227"/>
        <v>67.191999999999993</v>
      </c>
      <c r="O381" s="67">
        <f t="shared" ca="1" si="227"/>
        <v>73.346024532371445</v>
      </c>
      <c r="P381" s="67">
        <f t="shared" ca="1" si="227"/>
        <v>77.026034110906181</v>
      </c>
      <c r="Q381" s="67">
        <f t="shared" ca="1" si="227"/>
        <v>80.888072934132254</v>
      </c>
      <c r="R381" s="67">
        <f t="shared" ca="1" si="227"/>
        <v>84.915421221628833</v>
      </c>
      <c r="S381" s="67">
        <f t="shared" ca="1" si="227"/>
        <v>89.104701940564482</v>
      </c>
      <c r="T381" s="67">
        <f t="shared" ca="1" si="227"/>
        <v>93.475081588902455</v>
      </c>
      <c r="U381" s="67">
        <f t="shared" ca="1" si="227"/>
        <v>98.015570088633282</v>
      </c>
      <c r="V381" s="67">
        <f t="shared" ca="1" si="227"/>
        <v>102.70074589420406</v>
      </c>
      <c r="W381" s="67">
        <f t="shared" ca="1" si="227"/>
        <v>107.53082814630311</v>
      </c>
      <c r="X381" s="67">
        <f t="shared" ca="1" si="227"/>
        <v>112.54340082557719</v>
      </c>
    </row>
    <row r="383" spans="1:24" x14ac:dyDescent="0.25">
      <c r="A383" s="9" t="s">
        <v>777</v>
      </c>
    </row>
    <row r="384" spans="1:24" x14ac:dyDescent="0.25">
      <c r="A384" s="11" t="s">
        <v>778</v>
      </c>
      <c r="B384" s="10" t="str">
        <f>$B$38</f>
        <v>From Fiscal Forecasts</v>
      </c>
      <c r="D384" s="35">
        <f>'Fiscal Forecasts'!D$358</f>
        <v>0.98199999999999998</v>
      </c>
      <c r="E384" s="35">
        <f>'Fiscal Forecasts'!E$358</f>
        <v>0.80300000000000005</v>
      </c>
      <c r="F384" s="35">
        <f>'Fiscal Forecasts'!F$358</f>
        <v>0.74199999999999999</v>
      </c>
      <c r="G384" s="35">
        <f>'Fiscal Forecasts'!G$358</f>
        <v>1.077</v>
      </c>
      <c r="H384" s="35">
        <f>'Fiscal Forecasts'!H$358</f>
        <v>1.32</v>
      </c>
      <c r="I384" s="35">
        <f>'Fiscal Forecasts'!I$358</f>
        <v>1.659</v>
      </c>
      <c r="J384" s="17">
        <f>'Fiscal Forecasts'!J$358</f>
        <v>1.7050000000000001</v>
      </c>
      <c r="K384" s="17">
        <f>'Fiscal Forecasts'!K$358</f>
        <v>1.7729999999999999</v>
      </c>
      <c r="L384" s="17">
        <f>'Fiscal Forecasts'!L$358</f>
        <v>1.869</v>
      </c>
      <c r="M384" s="17">
        <f>'Fiscal Forecasts'!M$358</f>
        <v>1.9930000000000001</v>
      </c>
      <c r="N384" s="17">
        <f>'Fiscal Forecasts'!N$358</f>
        <v>2.1160000000000001</v>
      </c>
      <c r="O384" s="16">
        <f>Exogenous!Z$7</f>
        <v>2.2436275511311652</v>
      </c>
      <c r="P384" s="16">
        <f>Exogenous!AA$7</f>
        <v>2.3771937241437446</v>
      </c>
      <c r="Q384" s="16">
        <f>Exogenous!AB$7</f>
        <v>2.5157820051435547</v>
      </c>
      <c r="R384" s="16">
        <f>Exogenous!AC$7</f>
        <v>2.6586735928595782</v>
      </c>
      <c r="S384" s="16">
        <f>Exogenous!AD$7</f>
        <v>2.8051359573915953</v>
      </c>
      <c r="T384" s="16">
        <f>Exogenous!AE$7</f>
        <v>2.9550791422774938</v>
      </c>
      <c r="U384" s="16">
        <f>Exogenous!AF$7</f>
        <v>3.1083204302525171</v>
      </c>
      <c r="V384" s="16">
        <f>Exogenous!AG$7</f>
        <v>3.2646774508055842</v>
      </c>
      <c r="W384" s="16">
        <f>Exogenous!AH$7</f>
        <v>3.4252679610365075</v>
      </c>
      <c r="X384" s="16">
        <f>Exogenous!AI$7</f>
        <v>3.5919225641078021</v>
      </c>
    </row>
    <row r="385" spans="1:24" x14ac:dyDescent="0.25">
      <c r="A385" s="11" t="s">
        <v>872</v>
      </c>
      <c r="B385" s="10" t="str">
        <f t="shared" ref="B385:B390" si="228">$B$38</f>
        <v>From Fiscal Forecasts</v>
      </c>
      <c r="D385" s="35">
        <f>'Fiscal Forecasts'!D$359</f>
        <v>0.504</v>
      </c>
      <c r="E385" s="35">
        <f>'Fiscal Forecasts'!E$359</f>
        <v>0.44800000000000001</v>
      </c>
      <c r="F385" s="35">
        <f>'Fiscal Forecasts'!F$359</f>
        <v>2.1560000000000001</v>
      </c>
      <c r="G385" s="35">
        <f>'Fiscal Forecasts'!G$359</f>
        <v>3.5000000000000003E-2</v>
      </c>
      <c r="H385" s="35">
        <f>'Fiscal Forecasts'!H$359</f>
        <v>0.127</v>
      </c>
      <c r="I385" s="35">
        <f>'Fiscal Forecasts'!I$359</f>
        <v>1.29</v>
      </c>
      <c r="J385" s="17">
        <f>'Fiscal Forecasts'!J$359</f>
        <v>1.389</v>
      </c>
      <c r="K385" s="17">
        <f>'Fiscal Forecasts'!K$359</f>
        <v>1.518</v>
      </c>
      <c r="L385" s="17">
        <f>'Fiscal Forecasts'!L$359</f>
        <v>1.6120000000000001</v>
      </c>
      <c r="M385" s="17">
        <f>'Fiscal Forecasts'!M$359</f>
        <v>1.7110000000000001</v>
      </c>
      <c r="N385" s="17">
        <f>'Fiscal Forecasts'!N$359</f>
        <v>1.8169999999999999</v>
      </c>
      <c r="O385" s="16">
        <f>Exogenous!Z$8</f>
        <v>1.9439372284168936</v>
      </c>
      <c r="P385" s="16">
        <f>Exogenous!AA$8</f>
        <v>2.0596624324711144</v>
      </c>
      <c r="Q385" s="16">
        <f>Exogenous!AB$8</f>
        <v>2.1797389214240179</v>
      </c>
      <c r="R385" s="16">
        <f>Exogenous!AC$8</f>
        <v>2.3035439071707531</v>
      </c>
      <c r="S385" s="16">
        <f>Exogenous!AD$8</f>
        <v>2.4304427067652807</v>
      </c>
      <c r="T385" s="16">
        <f>Exogenous!AE$8</f>
        <v>2.5603573795906081</v>
      </c>
      <c r="U385" s="16">
        <f>Exogenous!AF$8</f>
        <v>2.6931296146592203</v>
      </c>
      <c r="V385" s="16">
        <f>Exogenous!AG$8</f>
        <v>2.8286014014200003</v>
      </c>
      <c r="W385" s="16">
        <f>Exogenous!AH$8</f>
        <v>2.9677411936778402</v>
      </c>
      <c r="X385" s="16">
        <f>Exogenous!AI$8</f>
        <v>3.1121350735952071</v>
      </c>
    </row>
    <row r="386" spans="1:24" x14ac:dyDescent="0.25">
      <c r="A386" s="11" t="s">
        <v>873</v>
      </c>
      <c r="B386" s="10" t="str">
        <f t="shared" si="228"/>
        <v>From Fiscal Forecasts</v>
      </c>
      <c r="D386" s="35">
        <f>'Fiscal Forecasts'!D$360</f>
        <v>0.13</v>
      </c>
      <c r="E386" s="35">
        <f>'Fiscal Forecasts'!E$360</f>
        <v>0.15</v>
      </c>
      <c r="F386" s="35">
        <f>'Fiscal Forecasts'!F$360</f>
        <v>0.125</v>
      </c>
      <c r="G386" s="35">
        <f>'Fiscal Forecasts'!G$360</f>
        <v>-0.51700000000000002</v>
      </c>
      <c r="H386" s="35">
        <f>'Fiscal Forecasts'!H$360</f>
        <v>1.054</v>
      </c>
      <c r="I386" s="35">
        <f>'Fiscal Forecasts'!I$360</f>
        <v>0.189</v>
      </c>
      <c r="J386" s="17">
        <f>'Fiscal Forecasts'!J$360</f>
        <v>0.253</v>
      </c>
      <c r="K386" s="17">
        <f>'Fiscal Forecasts'!K$360</f>
        <v>0.314</v>
      </c>
      <c r="L386" s="17">
        <f>'Fiscal Forecasts'!L$360</f>
        <v>0.33600000000000002</v>
      </c>
      <c r="M386" s="17">
        <f>'Fiscal Forecasts'!M$360</f>
        <v>0.36</v>
      </c>
      <c r="N386" s="17">
        <f>'Fiscal Forecasts'!N$360</f>
        <v>0.38700000000000001</v>
      </c>
      <c r="O386" s="16">
        <f>Exogenous!Z$9</f>
        <v>0.40498692258685287</v>
      </c>
      <c r="P386" s="16">
        <f>Exogenous!AA$9</f>
        <v>0.4290963400981489</v>
      </c>
      <c r="Q386" s="16">
        <f>Exogenous!AB$9</f>
        <v>0.45411227529667048</v>
      </c>
      <c r="R386" s="16">
        <f>Exogenous!AC$9</f>
        <v>0.47990498066057363</v>
      </c>
      <c r="S386" s="16">
        <f>Exogenous!AD$9</f>
        <v>0.50634223057610017</v>
      </c>
      <c r="T386" s="16">
        <f>Exogenous!AE$9</f>
        <v>0.53340778741471007</v>
      </c>
      <c r="U386" s="16">
        <f>Exogenous!AF$9</f>
        <v>0.56106866972067093</v>
      </c>
      <c r="V386" s="16">
        <f>Exogenous!AG$9</f>
        <v>0.58929195862916683</v>
      </c>
      <c r="W386" s="16">
        <f>Exogenous!AH$9</f>
        <v>0.61827941534955011</v>
      </c>
      <c r="X386" s="16">
        <f>Exogenous!AI$9</f>
        <v>0.64836147366566821</v>
      </c>
    </row>
    <row r="387" spans="1:24" x14ac:dyDescent="0.25">
      <c r="A387" s="11" t="s">
        <v>868</v>
      </c>
      <c r="B387" s="10" t="str">
        <f t="shared" si="228"/>
        <v>From Fiscal Forecasts</v>
      </c>
      <c r="D387" s="35">
        <f>'Fiscal Forecasts'!D$361</f>
        <v>1.9550000000000001</v>
      </c>
      <c r="E387" s="35">
        <f>'Fiscal Forecasts'!E$361</f>
        <v>1.7000000000000001E-2</v>
      </c>
      <c r="F387" s="35">
        <f>'Fiscal Forecasts'!F$361</f>
        <v>12.786</v>
      </c>
      <c r="G387" s="35">
        <f>'Fiscal Forecasts'!G$361</f>
        <v>-5.133</v>
      </c>
      <c r="H387" s="35">
        <f>'Fiscal Forecasts'!H$361</f>
        <v>5.766</v>
      </c>
      <c r="I387" s="35">
        <f>'Fiscal Forecasts'!I$361</f>
        <v>8.3520000000000003</v>
      </c>
      <c r="J387" s="17">
        <f>'Fiscal Forecasts'!J$361</f>
        <v>6.6360000000000001</v>
      </c>
      <c r="K387" s="17">
        <f>'Fiscal Forecasts'!K$361</f>
        <v>4.9329999999999998</v>
      </c>
      <c r="L387" s="17">
        <f>'Fiscal Forecasts'!L$361</f>
        <v>5.2549999999999999</v>
      </c>
      <c r="M387" s="17">
        <f>'Fiscal Forecasts'!M$361</f>
        <v>5.57</v>
      </c>
      <c r="N387" s="17">
        <f>'Fiscal Forecasts'!N$361</f>
        <v>5.9210000000000003</v>
      </c>
      <c r="O387" s="16">
        <f>Exogenous!Z$10</f>
        <v>6.2610978231927454</v>
      </c>
      <c r="P387" s="16">
        <f>Exogenous!AA$10</f>
        <v>6.6338294179173811</v>
      </c>
      <c r="Q387" s="16">
        <f>Exogenous!AB$10</f>
        <v>7.0205757760865257</v>
      </c>
      <c r="R387" s="16">
        <f>Exogenous!AC$10</f>
        <v>7.419331001012468</v>
      </c>
      <c r="S387" s="16">
        <f>Exogenous!AD$10</f>
        <v>7.8280508847065082</v>
      </c>
      <c r="T387" s="16">
        <f>Exogenous!AE$10</f>
        <v>8.2464843934314178</v>
      </c>
      <c r="U387" s="16">
        <f>Exogenous!AF$10</f>
        <v>8.6741216338815725</v>
      </c>
      <c r="V387" s="16">
        <f>Exogenous!AG$10</f>
        <v>9.1104536804069181</v>
      </c>
      <c r="W387" s="16">
        <f>Exogenous!AH$10</f>
        <v>9.558599761304043</v>
      </c>
      <c r="X387" s="16">
        <f>Exogenous!AI$10</f>
        <v>10.023668382871231</v>
      </c>
    </row>
    <row r="388" spans="1:24" x14ac:dyDescent="0.25">
      <c r="A388" s="9" t="s">
        <v>874</v>
      </c>
      <c r="D388" s="65">
        <f t="shared" ref="D388:X388" si="229">D$384-D$385-D$386+D$387</f>
        <v>2.3029999999999999</v>
      </c>
      <c r="E388" s="65">
        <f t="shared" si="229"/>
        <v>0.22200000000000003</v>
      </c>
      <c r="F388" s="65">
        <f t="shared" si="229"/>
        <v>11.247</v>
      </c>
      <c r="G388" s="65">
        <f t="shared" si="229"/>
        <v>-3.5739999999999998</v>
      </c>
      <c r="H388" s="65">
        <f t="shared" si="229"/>
        <v>5.9050000000000002</v>
      </c>
      <c r="I388" s="65">
        <f t="shared" si="229"/>
        <v>8.532</v>
      </c>
      <c r="J388" s="66">
        <f t="shared" si="229"/>
        <v>6.6989999999999998</v>
      </c>
      <c r="K388" s="66">
        <f t="shared" si="229"/>
        <v>4.8739999999999997</v>
      </c>
      <c r="L388" s="66">
        <f t="shared" si="229"/>
        <v>5.1760000000000002</v>
      </c>
      <c r="M388" s="66">
        <f t="shared" si="229"/>
        <v>5.492</v>
      </c>
      <c r="N388" s="66">
        <f t="shared" si="229"/>
        <v>5.8330000000000002</v>
      </c>
      <c r="O388" s="67">
        <f t="shared" si="229"/>
        <v>6.1558012233201644</v>
      </c>
      <c r="P388" s="67">
        <f t="shared" si="229"/>
        <v>6.5222643694918627</v>
      </c>
      <c r="Q388" s="67">
        <f t="shared" si="229"/>
        <v>6.9025065845093918</v>
      </c>
      <c r="R388" s="67">
        <f t="shared" si="229"/>
        <v>7.2945557060407191</v>
      </c>
      <c r="S388" s="67">
        <f t="shared" si="229"/>
        <v>7.6964019047567227</v>
      </c>
      <c r="T388" s="67">
        <f t="shared" si="229"/>
        <v>8.1077983687035928</v>
      </c>
      <c r="U388" s="67">
        <f t="shared" si="229"/>
        <v>8.5282437797541988</v>
      </c>
      <c r="V388" s="67">
        <f t="shared" si="229"/>
        <v>8.9572377711633351</v>
      </c>
      <c r="W388" s="67">
        <f t="shared" si="229"/>
        <v>9.3978471133131602</v>
      </c>
      <c r="X388" s="67">
        <f t="shared" si="229"/>
        <v>9.8550943997181566</v>
      </c>
    </row>
    <row r="389" spans="1:24" x14ac:dyDescent="0.25">
      <c r="A389" s="11" t="s">
        <v>869</v>
      </c>
      <c r="B389" s="10" t="str">
        <f t="shared" si="228"/>
        <v>From Fiscal Forecasts</v>
      </c>
      <c r="D389" s="35">
        <f>'Fiscal Forecasts'!D$362</f>
        <v>1</v>
      </c>
      <c r="E389" s="35">
        <f>'Fiscal Forecasts'!E$362</f>
        <v>1.46</v>
      </c>
      <c r="F389" s="35">
        <f>'Fiscal Forecasts'!F$362</f>
        <v>2.12</v>
      </c>
      <c r="G389" s="35">
        <f>'Fiscal Forecasts'!G$362</f>
        <v>2.42</v>
      </c>
      <c r="H389" s="35">
        <f>'Fiscal Forecasts'!H$362</f>
        <v>2.5579999999999998</v>
      </c>
      <c r="I389" s="35">
        <f>'Fiscal Forecasts'!I$362</f>
        <v>1.6140000000000001</v>
      </c>
      <c r="J389" s="17">
        <f>'Fiscal Forecasts'!J$362</f>
        <v>0.879</v>
      </c>
      <c r="K389" s="17">
        <f>'Fiscal Forecasts'!K$362</f>
        <v>0</v>
      </c>
      <c r="L389" s="17">
        <f>'Fiscal Forecasts'!L$362</f>
        <v>4.0000000000000001E-3</v>
      </c>
      <c r="M389" s="17">
        <f>'Fiscal Forecasts'!M$362</f>
        <v>-3.2000000000000001E-2</v>
      </c>
      <c r="N389" s="17">
        <f>'Fiscal Forecasts'!N$362</f>
        <v>6.3E-2</v>
      </c>
      <c r="O389" s="16">
        <f>Exogenous!Z$11</f>
        <v>7.8931226568819568E-2</v>
      </c>
      <c r="P389" s="16">
        <f>Exogenous!AA$11</f>
        <v>-3.7546449235872359E-2</v>
      </c>
      <c r="Q389" s="16">
        <f>Exogenous!AB$11</f>
        <v>-0.19270640692964491</v>
      </c>
      <c r="R389" s="16">
        <f>Exogenous!AC$11</f>
        <v>-0.40499215635222185</v>
      </c>
      <c r="S389" s="16">
        <f>Exogenous!AD$11</f>
        <v>-0.64923682824001006</v>
      </c>
      <c r="T389" s="16">
        <f>Exogenous!AE$11</f>
        <v>-0.88575870240245536</v>
      </c>
      <c r="U389" s="16">
        <f>Exogenous!AF$11</f>
        <v>-1.1712854524337715</v>
      </c>
      <c r="V389" s="16">
        <f>Exogenous!AG$11</f>
        <v>-1.4363342055452506</v>
      </c>
      <c r="W389" s="16">
        <f>Exogenous!AH$11</f>
        <v>-1.6308417389458754</v>
      </c>
      <c r="X389" s="16">
        <f>Exogenous!AI$11</f>
        <v>-1.7491417757201475</v>
      </c>
    </row>
    <row r="390" spans="1:24" x14ac:dyDescent="0.25">
      <c r="A390" s="11" t="s">
        <v>468</v>
      </c>
      <c r="B390" s="10" t="str">
        <f t="shared" si="228"/>
        <v>From Fiscal Forecasts</v>
      </c>
      <c r="D390" s="35">
        <f>'Fiscal Forecasts'!D$363</f>
        <v>8.8999999999999996E-2</v>
      </c>
      <c r="E390" s="35">
        <f>'Fiscal Forecasts'!E$363</f>
        <v>-0.13</v>
      </c>
      <c r="F390" s="35">
        <f>'Fiscal Forecasts'!F$363</f>
        <v>1E-3</v>
      </c>
      <c r="G390" s="35">
        <f>'Fiscal Forecasts'!G$363</f>
        <v>-1E-3</v>
      </c>
      <c r="H390" s="35">
        <f>'Fiscal Forecasts'!H$363</f>
        <v>0</v>
      </c>
      <c r="I390" s="35">
        <f>'Fiscal Forecasts'!I$363</f>
        <v>0</v>
      </c>
      <c r="J390" s="17">
        <f>'Fiscal Forecasts'!J$363</f>
        <v>0</v>
      </c>
      <c r="K390" s="17">
        <f>'Fiscal Forecasts'!K$363</f>
        <v>0</v>
      </c>
      <c r="L390" s="17">
        <f>'Fiscal Forecasts'!L$363</f>
        <v>0</v>
      </c>
      <c r="M390" s="17">
        <f>'Fiscal Forecasts'!M$363</f>
        <v>0</v>
      </c>
      <c r="N390" s="17">
        <f>'Fiscal Forecasts'!N$363</f>
        <v>0</v>
      </c>
      <c r="O390" s="16">
        <f>Exogenous!Z$12</f>
        <v>0</v>
      </c>
      <c r="P390" s="16">
        <f>Exogenous!AA$12</f>
        <v>0</v>
      </c>
      <c r="Q390" s="16">
        <f>Exogenous!AB$12</f>
        <v>0</v>
      </c>
      <c r="R390" s="16">
        <f>Exogenous!AC$12</f>
        <v>0</v>
      </c>
      <c r="S390" s="16">
        <f>Exogenous!AD$12</f>
        <v>0</v>
      </c>
      <c r="T390" s="16">
        <f>Exogenous!AE$12</f>
        <v>0</v>
      </c>
      <c r="U390" s="16">
        <f>Exogenous!AF$12</f>
        <v>0</v>
      </c>
      <c r="V390" s="16">
        <f>Exogenous!AG$12</f>
        <v>0</v>
      </c>
      <c r="W390" s="16">
        <f>Exogenous!AH$12</f>
        <v>0</v>
      </c>
      <c r="X390" s="16">
        <f>Exogenous!AI$12</f>
        <v>0</v>
      </c>
    </row>
    <row r="391" spans="1:24" x14ac:dyDescent="0.25">
      <c r="A391" s="9" t="s">
        <v>783</v>
      </c>
      <c r="C391" s="76">
        <f>'Fiscal Forecasts'!$C$364</f>
        <v>39.052999999999997</v>
      </c>
      <c r="D391" s="65">
        <f t="shared" ref="D391:X391" si="230">SUM(C$391,D$388,D$389,D$390)</f>
        <v>42.444999999999993</v>
      </c>
      <c r="E391" s="65">
        <f t="shared" si="230"/>
        <v>43.996999999999993</v>
      </c>
      <c r="F391" s="65">
        <f t="shared" si="230"/>
        <v>57.364999999999988</v>
      </c>
      <c r="G391" s="65">
        <f t="shared" si="230"/>
        <v>56.209999999999994</v>
      </c>
      <c r="H391" s="65">
        <f t="shared" si="230"/>
        <v>64.673000000000002</v>
      </c>
      <c r="I391" s="65">
        <f t="shared" si="230"/>
        <v>74.819000000000003</v>
      </c>
      <c r="J391" s="66">
        <f t="shared" si="230"/>
        <v>82.397000000000006</v>
      </c>
      <c r="K391" s="66">
        <f t="shared" si="230"/>
        <v>87.271000000000001</v>
      </c>
      <c r="L391" s="66">
        <f t="shared" si="230"/>
        <v>92.451000000000008</v>
      </c>
      <c r="M391" s="66">
        <f t="shared" si="230"/>
        <v>97.911000000000016</v>
      </c>
      <c r="N391" s="66">
        <f t="shared" si="230"/>
        <v>103.80700000000002</v>
      </c>
      <c r="O391" s="67">
        <f t="shared" si="230"/>
        <v>110.041732449889</v>
      </c>
      <c r="P391" s="67">
        <f t="shared" si="230"/>
        <v>116.52645037014499</v>
      </c>
      <c r="Q391" s="67">
        <f t="shared" si="230"/>
        <v>123.23625054772474</v>
      </c>
      <c r="R391" s="67">
        <f t="shared" si="230"/>
        <v>130.12581409741324</v>
      </c>
      <c r="S391" s="67">
        <f t="shared" si="230"/>
        <v>137.17297917392995</v>
      </c>
      <c r="T391" s="67">
        <f t="shared" si="230"/>
        <v>144.39501884023107</v>
      </c>
      <c r="U391" s="67">
        <f t="shared" si="230"/>
        <v>151.7519771675515</v>
      </c>
      <c r="V391" s="67">
        <f t="shared" si="230"/>
        <v>159.27288073316959</v>
      </c>
      <c r="W391" s="67">
        <f t="shared" si="230"/>
        <v>167.03988610753686</v>
      </c>
      <c r="X391" s="67">
        <f t="shared" si="230"/>
        <v>175.14583873153487</v>
      </c>
    </row>
    <row r="392" spans="1:24" x14ac:dyDescent="0.25">
      <c r="A392" s="10" t="s">
        <v>870</v>
      </c>
    </row>
    <row r="393" spans="1:24" x14ac:dyDescent="0.25">
      <c r="A393" s="11" t="s">
        <v>784</v>
      </c>
      <c r="B393" s="10" t="str">
        <f>$B$38</f>
        <v>From Fiscal Forecasts</v>
      </c>
      <c r="D393" s="35">
        <f>'Fiscal Forecasts'!D$365</f>
        <v>44.307000000000002</v>
      </c>
      <c r="E393" s="35">
        <f>'Fiscal Forecasts'!E$365</f>
        <v>48.220999999999997</v>
      </c>
      <c r="F393" s="35">
        <f>'Fiscal Forecasts'!F$365</f>
        <v>62.311999999999998</v>
      </c>
      <c r="G393" s="35">
        <f>'Fiscal Forecasts'!G$365</f>
        <v>65.411000000000001</v>
      </c>
      <c r="H393" s="35">
        <f>'Fiscal Forecasts'!H$365</f>
        <v>68.233999999999995</v>
      </c>
      <c r="I393" s="35">
        <f>'Fiscal Forecasts'!I$365</f>
        <v>79.058000000000007</v>
      </c>
      <c r="J393" s="17">
        <f>'Fiscal Forecasts'!J$365</f>
        <v>90.405000000000001</v>
      </c>
      <c r="K393" s="17">
        <f>'Fiscal Forecasts'!K$365</f>
        <v>94.126000000000005</v>
      </c>
      <c r="L393" s="17">
        <f>'Fiscal Forecasts'!L$365</f>
        <v>100.392</v>
      </c>
      <c r="M393" s="17">
        <f>'Fiscal Forecasts'!M$365</f>
        <v>105.19</v>
      </c>
      <c r="N393" s="17">
        <f>'Fiscal Forecasts'!N$365</f>
        <v>110.79600000000001</v>
      </c>
      <c r="O393" s="16">
        <f ca="1">IF(O$6=OFFSET(Assumptions!$B$8,0,$C$1),AVERAGE(L$393/L$391,M$393/M$391,N$393/N$391),N$393/N$391)*O$391</f>
        <v>118.38891290089084</v>
      </c>
      <c r="P393" s="16">
        <f ca="1">IF(P$6=OFFSET(Assumptions!$B$8,0,$C$1),AVERAGE(M$393/M$391,N$393/N$391,O$393/O$391),O$393/O$391)*P$391</f>
        <v>125.36552702678746</v>
      </c>
      <c r="Q393" s="16">
        <f ca="1">IF(Q$6=OFFSET(Assumptions!$B$8,0,$C$1),AVERAGE(N$393/N$391,O$393/O$391,P$393/P$391),P$393/P$391)*Q$391</f>
        <v>132.58429695271181</v>
      </c>
      <c r="R393" s="16">
        <f ca="1">IF(R$6=OFFSET(Assumptions!$B$8,0,$C$1),AVERAGE(O$393/O$391,P$393/P$391,Q$393/Q$391),Q$393/Q$391)*R$391</f>
        <v>139.99646614389258</v>
      </c>
      <c r="S393" s="16">
        <f ca="1">IF(S$6=OFFSET(Assumptions!$B$8,0,$C$1),AVERAGE(P$393/P$391,Q$393/Q$391,R$393/R$391),R$393/R$391)*S$391</f>
        <v>147.57819167535732</v>
      </c>
      <c r="T393" s="16">
        <f ca="1">IF(T$6=OFFSET(Assumptions!$B$8,0,$C$1),AVERAGE(Q$393/Q$391,R$393/R$391,S$393/S$391),S$393/S$391)*T$391</f>
        <v>155.34805685273318</v>
      </c>
      <c r="U393" s="16">
        <f ca="1">IF(U$6=OFFSET(Assumptions!$B$8,0,$C$1),AVERAGE(R$393/R$391,S$393/S$391,T$393/T$391),T$393/T$391)*U$391</f>
        <v>163.26307490304652</v>
      </c>
      <c r="V393" s="16">
        <f ca="1">IF(V$6=OFFSET(Assumptions!$B$8,0,$C$1),AVERAGE(S$393/S$391,T$393/T$391,U$393/U$391),U$393/U$391)*V$391</f>
        <v>171.35447420531963</v>
      </c>
      <c r="W393" s="16">
        <f ca="1">IF(W$6=OFFSET(Assumptions!$B$8,0,$C$1),AVERAGE(T$393/T$391,U$393/U$391,V$393/V$391),V$393/V$391)*W$391</f>
        <v>179.71064329040246</v>
      </c>
      <c r="X393" s="16">
        <f ca="1">IF(X$6=OFFSET(Assumptions!$B$8,0,$C$1),AVERAGE(U$393/U$391,V$393/V$391,W$393/W$391),W$393/W$391)*X$391</f>
        <v>188.43147036042572</v>
      </c>
    </row>
    <row r="394" spans="1:24" x14ac:dyDescent="0.25">
      <c r="A394" s="11" t="s">
        <v>871</v>
      </c>
      <c r="B394" s="10" t="str">
        <f t="shared" ref="B394:B400" si="231">$B$38</f>
        <v>From Fiscal Forecasts</v>
      </c>
      <c r="D394" s="35">
        <f>-'Fiscal Forecasts'!D$366</f>
        <v>1.9910000000000001</v>
      </c>
      <c r="E394" s="35">
        <f>-'Fiscal Forecasts'!E$366</f>
        <v>4.226</v>
      </c>
      <c r="F394" s="35">
        <f>-'Fiscal Forecasts'!F$366</f>
        <v>4.9489999999999998</v>
      </c>
      <c r="G394" s="35">
        <f>-'Fiscal Forecasts'!G$366</f>
        <v>9.1020000000000003</v>
      </c>
      <c r="H394" s="35">
        <f>-'Fiscal Forecasts'!H$366</f>
        <v>3.5009999999999999</v>
      </c>
      <c r="I394" s="35">
        <f>-'Fiscal Forecasts'!I$366</f>
        <v>4.2350000000000003</v>
      </c>
      <c r="J394" s="17">
        <f>-'Fiscal Forecasts'!J$366</f>
        <v>7.984</v>
      </c>
      <c r="K394" s="17">
        <f>-'Fiscal Forecasts'!K$366</f>
        <v>6.8</v>
      </c>
      <c r="L394" s="17">
        <f>-'Fiscal Forecasts'!L$366</f>
        <v>7.8959999999999999</v>
      </c>
      <c r="M394" s="17">
        <f>-'Fiscal Forecasts'!M$366</f>
        <v>7.2270000000000003</v>
      </c>
      <c r="N394" s="17">
        <f>-'Fiscal Forecasts'!N$366</f>
        <v>6.9290000000000003</v>
      </c>
      <c r="O394" s="16">
        <f t="shared" ref="O394:X394" ca="1" si="232">O$393-O$391</f>
        <v>8.3471804510018472</v>
      </c>
      <c r="P394" s="16">
        <f t="shared" ca="1" si="232"/>
        <v>8.8390766566424759</v>
      </c>
      <c r="Q394" s="16">
        <f t="shared" ca="1" si="232"/>
        <v>9.3480464049870733</v>
      </c>
      <c r="R394" s="16">
        <f t="shared" ca="1" si="232"/>
        <v>9.8706520464793357</v>
      </c>
      <c r="S394" s="16">
        <f t="shared" ca="1" si="232"/>
        <v>10.405212501427371</v>
      </c>
      <c r="T394" s="16">
        <f t="shared" ca="1" si="232"/>
        <v>10.953038012502105</v>
      </c>
      <c r="U394" s="16">
        <f t="shared" ca="1" si="232"/>
        <v>11.511097735495014</v>
      </c>
      <c r="V394" s="16">
        <f t="shared" ca="1" si="232"/>
        <v>12.081593472150047</v>
      </c>
      <c r="W394" s="16">
        <f t="shared" ca="1" si="232"/>
        <v>12.6707571828656</v>
      </c>
      <c r="X394" s="16">
        <f t="shared" ca="1" si="232"/>
        <v>13.285631628890854</v>
      </c>
    </row>
    <row r="395" spans="1:24" x14ac:dyDescent="0.25">
      <c r="A395" s="11" t="s">
        <v>786</v>
      </c>
      <c r="B395" s="10" t="str">
        <f t="shared" si="231"/>
        <v>From Fiscal Forecasts</v>
      </c>
      <c r="D395" s="35">
        <f>'Fiscal Forecasts'!D$367</f>
        <v>0</v>
      </c>
      <c r="E395" s="35">
        <f>'Fiscal Forecasts'!E$367</f>
        <v>2E-3</v>
      </c>
      <c r="F395" s="35">
        <f>'Fiscal Forecasts'!F$367</f>
        <v>2E-3</v>
      </c>
      <c r="G395" s="35">
        <f>'Fiscal Forecasts'!G$367</f>
        <v>-9.9000000000000005E-2</v>
      </c>
      <c r="H395" s="35">
        <f>'Fiscal Forecasts'!H$367</f>
        <v>-0.06</v>
      </c>
      <c r="I395" s="35">
        <f>'Fiscal Forecasts'!I$367</f>
        <v>-4.0000000000000001E-3</v>
      </c>
      <c r="J395" s="17">
        <f>'Fiscal Forecasts'!J$367</f>
        <v>-2.4E-2</v>
      </c>
      <c r="K395" s="17">
        <f>'Fiscal Forecasts'!K$367</f>
        <v>-5.5E-2</v>
      </c>
      <c r="L395" s="17">
        <f>'Fiscal Forecasts'!L$367</f>
        <v>-4.4999999999999998E-2</v>
      </c>
      <c r="M395" s="17">
        <f>'Fiscal Forecasts'!M$367</f>
        <v>-5.1999999999999998E-2</v>
      </c>
      <c r="N395" s="17">
        <f>'Fiscal Forecasts'!N$367</f>
        <v>-0.06</v>
      </c>
      <c r="O395" s="16">
        <f ca="1">IF(O$6=OFFSET(Assumptions!$B$8,0,$C$1),OFFSET(Assumptions!$B$9,0,$C$1),N$395)</f>
        <v>0</v>
      </c>
      <c r="P395" s="16">
        <f ca="1">IF(P$6=OFFSET(Assumptions!$B$8,0,$C$1),OFFSET(Assumptions!$B$9,0,$C$1),O$395)</f>
        <v>0</v>
      </c>
      <c r="Q395" s="16">
        <f ca="1">IF(Q$6=OFFSET(Assumptions!$B$8,0,$C$1),OFFSET(Assumptions!$B$9,0,$C$1),P$395)</f>
        <v>0</v>
      </c>
      <c r="R395" s="16">
        <f ca="1">IF(R$6=OFFSET(Assumptions!$B$8,0,$C$1),OFFSET(Assumptions!$B$9,0,$C$1),Q$395)</f>
        <v>0</v>
      </c>
      <c r="S395" s="16">
        <f ca="1">IF(S$6=OFFSET(Assumptions!$B$8,0,$C$1),OFFSET(Assumptions!$B$9,0,$C$1),R$395)</f>
        <v>0</v>
      </c>
      <c r="T395" s="16">
        <f ca="1">IF(T$6=OFFSET(Assumptions!$B$8,0,$C$1),OFFSET(Assumptions!$B$9,0,$C$1),S$395)</f>
        <v>0</v>
      </c>
      <c r="U395" s="16">
        <f ca="1">IF(U$6=OFFSET(Assumptions!$B$8,0,$C$1),OFFSET(Assumptions!$B$9,0,$C$1),T$395)</f>
        <v>0</v>
      </c>
      <c r="V395" s="16">
        <f ca="1">IF(V$6=OFFSET(Assumptions!$B$8,0,$C$1),OFFSET(Assumptions!$B$9,0,$C$1),U$395)</f>
        <v>0</v>
      </c>
      <c r="W395" s="16">
        <f ca="1">IF(W$6=OFFSET(Assumptions!$B$8,0,$C$1),OFFSET(Assumptions!$B$9,0,$C$1),V$395)</f>
        <v>0</v>
      </c>
      <c r="X395" s="16">
        <f ca="1">IF(X$6=OFFSET(Assumptions!$B$8,0,$C$1),OFFSET(Assumptions!$B$9,0,$C$1),W$395)</f>
        <v>0</v>
      </c>
    </row>
    <row r="397" spans="1:24" x14ac:dyDescent="0.25">
      <c r="A397" s="9" t="s">
        <v>1108</v>
      </c>
      <c r="B397" s="10" t="str">
        <f t="shared" si="231"/>
        <v>From Fiscal Forecasts</v>
      </c>
      <c r="D397" s="42">
        <f>'Fiscal Forecasts'!D$125</f>
        <v>3.6880000000000002</v>
      </c>
      <c r="E397" s="42">
        <f>'Fiscal Forecasts'!E$125</f>
        <v>4.22</v>
      </c>
      <c r="F397" s="42">
        <f>'Fiscal Forecasts'!F$125</f>
        <v>4.718</v>
      </c>
      <c r="G397" s="42">
        <f>'Fiscal Forecasts'!G$125</f>
        <v>6.0960000000000001</v>
      </c>
      <c r="H397" s="42">
        <f>'Fiscal Forecasts'!H$125</f>
        <v>7.3170000000000002</v>
      </c>
      <c r="I397" s="42">
        <f>'Fiscal Forecasts'!I$125</f>
        <v>7.1740000000000004</v>
      </c>
      <c r="J397" s="43">
        <f>'Fiscal Forecasts'!J$125</f>
        <v>8.3989999999999991</v>
      </c>
      <c r="K397" s="43">
        <f>'Fiscal Forecasts'!K$125</f>
        <v>9.3089999999999993</v>
      </c>
      <c r="L397" s="43">
        <f>'Fiscal Forecasts'!L$125</f>
        <v>10.826000000000001</v>
      </c>
      <c r="M397" s="43">
        <f>'Fiscal Forecasts'!M$125</f>
        <v>12.381</v>
      </c>
      <c r="N397" s="43">
        <f>'Fiscal Forecasts'!N$125</f>
        <v>14.013999999999999</v>
      </c>
      <c r="O397" s="47">
        <f ca="1">OFFSET(Assumptions!$B$52,0,$C$1)*(O$393-O$359-O$400)</f>
        <v>10.538281498485777</v>
      </c>
      <c r="P397" s="47">
        <f ca="1">OFFSET(Assumptions!$B$52,0,$C$1)*(P$393-P$359-P$400)</f>
        <v>11.15121332063778</v>
      </c>
      <c r="Q397" s="47">
        <f ca="1">OFFSET(Assumptions!$B$52,0,$C$1)*(Q$393-Q$359-Q$400)</f>
        <v>11.78541978878242</v>
      </c>
      <c r="R397" s="47">
        <f ca="1">OFFSET(Assumptions!$B$52,0,$C$1)*(R$393-R$359-R$400)</f>
        <v>12.43661738785638</v>
      </c>
      <c r="S397" s="47">
        <f ca="1">OFFSET(Assumptions!$B$52,0,$C$1)*(S$393-S$359-S$400)</f>
        <v>13.102711392942238</v>
      </c>
      <c r="T397" s="47">
        <f ca="1">OFFSET(Assumptions!$B$52,0,$C$1)*(T$393-T$359-T$400)</f>
        <v>13.785334444053342</v>
      </c>
      <c r="U397" s="47">
        <f ca="1">OFFSET(Assumptions!$B$52,0,$C$1)*(U$393-U$359-U$400)</f>
        <v>14.480709929697113</v>
      </c>
      <c r="V397" s="47">
        <f ca="1">OFFSET(Assumptions!$B$52,0,$C$1)*(V$393-V$359-V$400)</f>
        <v>15.191581425325996</v>
      </c>
      <c r="W397" s="47">
        <f ca="1">OFFSET(Assumptions!$B$52,0,$C$1)*(W$393-W$359-W$400)</f>
        <v>15.925714322904279</v>
      </c>
      <c r="X397" s="47">
        <f ca="1">OFFSET(Assumptions!$B$52,0,$C$1)*(X$393-X$359-X$400)</f>
        <v>16.691884320304688</v>
      </c>
    </row>
    <row r="398" spans="1:24" x14ac:dyDescent="0.25">
      <c r="A398" s="9"/>
      <c r="B398" s="10"/>
      <c r="D398" s="35"/>
      <c r="E398" s="35"/>
      <c r="F398" s="35"/>
      <c r="G398" s="35"/>
      <c r="H398" s="35"/>
      <c r="I398" s="35"/>
      <c r="J398" s="17"/>
      <c r="K398" s="17"/>
      <c r="L398" s="17"/>
      <c r="M398" s="17"/>
      <c r="N398" s="17"/>
    </row>
    <row r="399" spans="1:24" x14ac:dyDescent="0.25">
      <c r="A399" s="9" t="s">
        <v>622</v>
      </c>
    </row>
    <row r="400" spans="1:24" x14ac:dyDescent="0.25">
      <c r="A400" s="11" t="s">
        <v>1036</v>
      </c>
      <c r="B400" s="10" t="str">
        <f t="shared" si="231"/>
        <v>From Fiscal Forecasts</v>
      </c>
      <c r="D400" s="35">
        <f>'Fiscal Forecasts'!D$185-D$77</f>
        <v>2.0030000000000001</v>
      </c>
      <c r="E400" s="35">
        <f>'Fiscal Forecasts'!E$185-E$77</f>
        <v>3.6860000000000017</v>
      </c>
      <c r="F400" s="35">
        <f>'Fiscal Forecasts'!F$185-F$77</f>
        <v>5.4710000000000001</v>
      </c>
      <c r="G400" s="35">
        <f>'Fiscal Forecasts'!G$185-G$77</f>
        <v>4.6139999999999972</v>
      </c>
      <c r="H400" s="35">
        <f>'Fiscal Forecasts'!H$185-H$77</f>
        <v>7.3510000000000062</v>
      </c>
      <c r="I400" s="35">
        <f>'Fiscal Forecasts'!I$185-I$77</f>
        <v>8.9179999999999993</v>
      </c>
      <c r="J400" s="17">
        <f>'Fiscal Forecasts'!J$185-J$77</f>
        <v>9.8170000000000002</v>
      </c>
      <c r="K400" s="17">
        <f>'Fiscal Forecasts'!K$185-K$77</f>
        <v>9.8189999999999991</v>
      </c>
      <c r="L400" s="17">
        <f>'Fiscal Forecasts'!L$185-L$77</f>
        <v>9.8179999999999978</v>
      </c>
      <c r="M400" s="17">
        <f>'Fiscal Forecasts'!M$185-M$77</f>
        <v>9.8170000000000002</v>
      </c>
      <c r="N400" s="17">
        <f>'Fiscal Forecasts'!N$185-N$77</f>
        <v>9.8179999999999978</v>
      </c>
      <c r="O400" s="16">
        <f ca="1">IF(O$6=OFFSET(Assumptions!$B$8,0,$C$1),AVERAGE(L$400/L$393,M$400/M$393,N$400/N$393),N$400/N$393)*O$393</f>
        <v>11.039225735632337</v>
      </c>
      <c r="P400" s="16">
        <f ca="1">IF(P$6=OFFSET(Assumptions!$B$8,0,$C$1),AVERAGE(M$400/M$393,N$400/N$393,O$400/O$393),O$400/O$393)*P$393</f>
        <v>11.689763157752671</v>
      </c>
      <c r="Q400" s="16">
        <f ca="1">IF(Q$6=OFFSET(Assumptions!$B$8,0,$C$1),AVERAGE(N$400/N$393,O$400/O$393,P$400/P$393),P$400/P$393)*Q$393</f>
        <v>12.362880502892793</v>
      </c>
      <c r="R400" s="16">
        <f ca="1">IF(R$6=OFFSET(Assumptions!$B$8,0,$C$1),AVERAGE(O$400/O$393,P$400/P$393,Q$400/Q$393),Q$400/Q$393)*R$393</f>
        <v>13.05403144673703</v>
      </c>
      <c r="S400" s="16">
        <f ca="1">IF(S$6=OFFSET(Assumptions!$B$8,0,$C$1),AVERAGE(P$400/P$393,Q$400/Q$393,R$400/R$393),R$400/R$393)*S$393</f>
        <v>13.760992745363977</v>
      </c>
      <c r="T400" s="16">
        <f ca="1">IF(T$6=OFFSET(Assumptions!$B$8,0,$C$1),AVERAGE(Q$400/Q$393,R$400/R$393,S$400/S$393),S$400/S$393)*T$393</f>
        <v>14.485497207198897</v>
      </c>
      <c r="U400" s="16">
        <f ca="1">IF(U$6=OFFSET(Assumptions!$B$8,0,$C$1),AVERAGE(R$400/R$393,S$400/S$393,T$400/T$393),T$400/T$393)*U$393</f>
        <v>15.223536511877366</v>
      </c>
      <c r="V400" s="16">
        <f ca="1">IF(V$6=OFFSET(Assumptions!$B$8,0,$C$1),AVERAGE(S$400/S$393,T$400/T$393,U$400/U$393),U$400/U$393)*V$393</f>
        <v>15.978022563199652</v>
      </c>
      <c r="W400" s="16">
        <f ca="1">IF(W$6=OFFSET(Assumptions!$B$8,0,$C$1),AVERAGE(T$400/T$393,U$400/U$393,V$400/V$393),V$400/V$393)*W$393</f>
        <v>16.757197188213439</v>
      </c>
      <c r="X400" s="16">
        <f ca="1">IF(X$6=OFFSET(Assumptions!$B$8,0,$C$1),AVERAGE(U$400/U$393,V$400/V$393,W$400/W$393),W$400/W$393)*X$393</f>
        <v>17.570374505822507</v>
      </c>
    </row>
    <row r="401" spans="1:24" x14ac:dyDescent="0.25">
      <c r="A401" s="11" t="s">
        <v>878</v>
      </c>
      <c r="D401" s="35">
        <f t="shared" ref="D401:X401" si="233">D$416</f>
        <v>10.731000000000002</v>
      </c>
      <c r="E401" s="35">
        <f t="shared" si="233"/>
        <v>10.395</v>
      </c>
      <c r="F401" s="35">
        <f t="shared" si="233"/>
        <v>10.840999999999999</v>
      </c>
      <c r="G401" s="35">
        <f t="shared" si="233"/>
        <v>9.2089999999999996</v>
      </c>
      <c r="H401" s="35">
        <f t="shared" si="233"/>
        <v>9.3729999999999993</v>
      </c>
      <c r="I401" s="35">
        <f t="shared" si="233"/>
        <v>9.5960000000000001</v>
      </c>
      <c r="J401" s="17">
        <f t="shared" si="233"/>
        <v>10.012</v>
      </c>
      <c r="K401" s="17">
        <f t="shared" si="233"/>
        <v>10.026000000000002</v>
      </c>
      <c r="L401" s="17">
        <f t="shared" si="233"/>
        <v>9.9530000000000012</v>
      </c>
      <c r="M401" s="17">
        <f t="shared" si="233"/>
        <v>9.8220000000000027</v>
      </c>
      <c r="N401" s="17">
        <f t="shared" si="233"/>
        <v>9.6330000000000027</v>
      </c>
      <c r="O401" s="16">
        <f t="shared" si="233"/>
        <v>9.5700000000000021</v>
      </c>
      <c r="P401" s="16">
        <f t="shared" si="233"/>
        <v>9.4880000000000013</v>
      </c>
      <c r="Q401" s="16">
        <f t="shared" si="233"/>
        <v>9.3870000000000005</v>
      </c>
      <c r="R401" s="16">
        <f t="shared" si="233"/>
        <v>9.2650000000000023</v>
      </c>
      <c r="S401" s="16">
        <f t="shared" si="233"/>
        <v>9.1210000000000022</v>
      </c>
      <c r="T401" s="16">
        <f t="shared" si="233"/>
        <v>8.9440000000000008</v>
      </c>
      <c r="U401" s="16">
        <f t="shared" si="233"/>
        <v>8.7349999999999994</v>
      </c>
      <c r="V401" s="16">
        <f t="shared" si="233"/>
        <v>8.4890000000000008</v>
      </c>
      <c r="W401" s="16">
        <f t="shared" si="233"/>
        <v>8.2050000000000018</v>
      </c>
      <c r="X401" s="16">
        <f t="shared" si="233"/>
        <v>7.8840000000000003</v>
      </c>
    </row>
    <row r="402" spans="1:24" x14ac:dyDescent="0.25">
      <c r="A402" s="11" t="s">
        <v>1057</v>
      </c>
      <c r="D402" s="35">
        <f t="shared" ref="D402:N402" si="234">D$77-D$416</f>
        <v>3.113999999999999</v>
      </c>
      <c r="E402" s="35">
        <f t="shared" si="234"/>
        <v>4.1609999999999996</v>
      </c>
      <c r="F402" s="35">
        <f t="shared" si="234"/>
        <v>7.8870000000000022</v>
      </c>
      <c r="G402" s="35">
        <f t="shared" si="234"/>
        <v>16.894000000000002</v>
      </c>
      <c r="H402" s="35">
        <f t="shared" si="234"/>
        <v>27.167999999999999</v>
      </c>
      <c r="I402" s="35">
        <f t="shared" si="234"/>
        <v>30.791999999999998</v>
      </c>
      <c r="J402" s="17">
        <f t="shared" si="234"/>
        <v>25.054000000000002</v>
      </c>
      <c r="K402" s="17">
        <f t="shared" si="234"/>
        <v>19.222000000000001</v>
      </c>
      <c r="L402" s="17">
        <f t="shared" si="234"/>
        <v>22.138999999999996</v>
      </c>
      <c r="M402" s="17">
        <f t="shared" si="234"/>
        <v>23.891999999999996</v>
      </c>
      <c r="N402" s="17">
        <f t="shared" si="234"/>
        <v>25.784999999999997</v>
      </c>
      <c r="O402" s="16">
        <f t="shared" ref="O402:X402" si="235">N$402</f>
        <v>25.784999999999997</v>
      </c>
      <c r="P402" s="16">
        <f t="shared" si="235"/>
        <v>25.784999999999997</v>
      </c>
      <c r="Q402" s="16">
        <f t="shared" si="235"/>
        <v>25.784999999999997</v>
      </c>
      <c r="R402" s="16">
        <f t="shared" si="235"/>
        <v>25.784999999999997</v>
      </c>
      <c r="S402" s="16">
        <f t="shared" si="235"/>
        <v>25.784999999999997</v>
      </c>
      <c r="T402" s="16">
        <f t="shared" si="235"/>
        <v>25.784999999999997</v>
      </c>
      <c r="U402" s="16">
        <f t="shared" si="235"/>
        <v>25.784999999999997</v>
      </c>
      <c r="V402" s="16">
        <f t="shared" si="235"/>
        <v>25.784999999999997</v>
      </c>
      <c r="W402" s="16">
        <f t="shared" si="235"/>
        <v>25.784999999999997</v>
      </c>
      <c r="X402" s="16">
        <f t="shared" si="235"/>
        <v>25.784999999999997</v>
      </c>
    </row>
    <row r="403" spans="1:24" x14ac:dyDescent="0.25">
      <c r="A403" s="9" t="s">
        <v>1058</v>
      </c>
      <c r="D403" s="65">
        <f t="shared" ref="D403:X403" si="236">SUM(D$400:D$402)</f>
        <v>15.848000000000001</v>
      </c>
      <c r="E403" s="65">
        <f t="shared" si="236"/>
        <v>18.242000000000001</v>
      </c>
      <c r="F403" s="65">
        <f t="shared" si="236"/>
        <v>24.198999999999998</v>
      </c>
      <c r="G403" s="65">
        <f t="shared" si="236"/>
        <v>30.716999999999999</v>
      </c>
      <c r="H403" s="65">
        <f t="shared" si="236"/>
        <v>43.892000000000003</v>
      </c>
      <c r="I403" s="65">
        <f t="shared" si="236"/>
        <v>49.305999999999997</v>
      </c>
      <c r="J403" s="66">
        <f t="shared" si="236"/>
        <v>44.883000000000003</v>
      </c>
      <c r="K403" s="66">
        <f t="shared" si="236"/>
        <v>39.067</v>
      </c>
      <c r="L403" s="66">
        <f t="shared" si="236"/>
        <v>41.91</v>
      </c>
      <c r="M403" s="66">
        <f t="shared" si="236"/>
        <v>43.530999999999999</v>
      </c>
      <c r="N403" s="66">
        <f t="shared" si="236"/>
        <v>45.235999999999997</v>
      </c>
      <c r="O403" s="67">
        <f t="shared" ca="1" si="236"/>
        <v>46.394225735632332</v>
      </c>
      <c r="P403" s="67">
        <f t="shared" ca="1" si="236"/>
        <v>46.962763157752669</v>
      </c>
      <c r="Q403" s="67">
        <f t="shared" ca="1" si="236"/>
        <v>47.53488050289279</v>
      </c>
      <c r="R403" s="67">
        <f t="shared" ca="1" si="236"/>
        <v>48.104031446737025</v>
      </c>
      <c r="S403" s="67">
        <f t="shared" ca="1" si="236"/>
        <v>48.666992745363977</v>
      </c>
      <c r="T403" s="67">
        <f t="shared" ca="1" si="236"/>
        <v>49.214497207198896</v>
      </c>
      <c r="U403" s="67">
        <f t="shared" ca="1" si="236"/>
        <v>49.743536511877366</v>
      </c>
      <c r="V403" s="67">
        <f t="shared" ca="1" si="236"/>
        <v>50.252022563199645</v>
      </c>
      <c r="W403" s="67">
        <f t="shared" ca="1" si="236"/>
        <v>50.747197188213434</v>
      </c>
      <c r="X403" s="67">
        <f t="shared" ca="1" si="236"/>
        <v>51.239374505822504</v>
      </c>
    </row>
    <row r="404" spans="1:24" x14ac:dyDescent="0.25">
      <c r="A404" s="11" t="s">
        <v>1059</v>
      </c>
      <c r="B404" s="10" t="str">
        <f t="shared" ref="B404:B405" si="237">$B$38</f>
        <v>From Fiscal Forecasts</v>
      </c>
      <c r="D404" s="35">
        <f>'Fiscal Forecasts'!D$323</f>
        <v>20.411000000000001</v>
      </c>
      <c r="E404" s="35">
        <f>'Fiscal Forecasts'!E$323</f>
        <v>22.189</v>
      </c>
      <c r="F404" s="35">
        <f>'Fiscal Forecasts'!F$323</f>
        <v>25.206</v>
      </c>
      <c r="G404" s="35">
        <f>'Fiscal Forecasts'!G$323</f>
        <v>27.786000000000001</v>
      </c>
      <c r="H404" s="35">
        <f>'Fiscal Forecasts'!H$323</f>
        <v>29.785</v>
      </c>
      <c r="I404" s="35">
        <f>'Fiscal Forecasts'!I$323</f>
        <v>32.487000000000002</v>
      </c>
      <c r="J404" s="17">
        <f>'Fiscal Forecasts'!J$323</f>
        <v>35.345999999999997</v>
      </c>
      <c r="K404" s="17">
        <f>'Fiscal Forecasts'!K$323</f>
        <v>38.869999999999997</v>
      </c>
      <c r="L404" s="17">
        <f>'Fiscal Forecasts'!L$323</f>
        <v>42.386000000000003</v>
      </c>
      <c r="M404" s="17">
        <f>'Fiscal Forecasts'!M$323</f>
        <v>46.438000000000002</v>
      </c>
      <c r="N404" s="17">
        <f>'Fiscal Forecasts'!N$323</f>
        <v>50.116999999999997</v>
      </c>
      <c r="O404" s="16">
        <f t="shared" ref="O404:X404" ca="1" si="238">N$404*(1+O$14)</f>
        <v>52.279425450562982</v>
      </c>
      <c r="P404" s="16">
        <f t="shared" ca="1" si="238"/>
        <v>54.509151233088772</v>
      </c>
      <c r="Q404" s="16">
        <f t="shared" ca="1" si="238"/>
        <v>56.743718359475103</v>
      </c>
      <c r="R404" s="16">
        <f t="shared" ca="1" si="238"/>
        <v>58.978087401571777</v>
      </c>
      <c r="S404" s="16">
        <f t="shared" ca="1" si="238"/>
        <v>61.26172352363735</v>
      </c>
      <c r="T404" s="16">
        <f t="shared" ca="1" si="238"/>
        <v>63.591141692770542</v>
      </c>
      <c r="U404" s="16">
        <f t="shared" ca="1" si="238"/>
        <v>65.951618115721672</v>
      </c>
      <c r="V404" s="16">
        <f t="shared" ca="1" si="238"/>
        <v>68.347583846205168</v>
      </c>
      <c r="W404" s="16">
        <f t="shared" ca="1" si="238"/>
        <v>70.778949618957014</v>
      </c>
      <c r="X404" s="16">
        <f t="shared" ca="1" si="238"/>
        <v>73.264037062229775</v>
      </c>
    </row>
    <row r="405" spans="1:24" x14ac:dyDescent="0.25">
      <c r="A405" s="11" t="s">
        <v>1060</v>
      </c>
      <c r="B405" s="10" t="str">
        <f t="shared" si="237"/>
        <v>From Fiscal Forecasts</v>
      </c>
      <c r="D405" s="35">
        <f>'Fiscal Forecasts'!D$124-SUM(D$403:D$404)</f>
        <v>-2.5690000000000026</v>
      </c>
      <c r="E405" s="35">
        <f>'Fiscal Forecasts'!E$124-SUM(E$403:E$404)</f>
        <v>-2.8019999999999996</v>
      </c>
      <c r="F405" s="35">
        <f>'Fiscal Forecasts'!F$124-SUM(F$403:F$404)</f>
        <v>-3.7929999999999993</v>
      </c>
      <c r="G405" s="35">
        <f>'Fiscal Forecasts'!G$124-SUM(G$403:G$404)</f>
        <v>-3.8440000000000012</v>
      </c>
      <c r="H405" s="35">
        <f>'Fiscal Forecasts'!H$124-SUM(H$403:H$404)</f>
        <v>-7.1880000000000024</v>
      </c>
      <c r="I405" s="35">
        <f>'Fiscal Forecasts'!I$124-SUM(I$403:I$404)</f>
        <v>-12.415000000000006</v>
      </c>
      <c r="J405" s="17">
        <f>'Fiscal Forecasts'!J$124-SUM(J$403:J$404)</f>
        <v>-15.823999999999998</v>
      </c>
      <c r="K405" s="17">
        <f>'Fiscal Forecasts'!K$124-SUM(K$403:K$404)</f>
        <v>-17.169999999999995</v>
      </c>
      <c r="L405" s="17">
        <f>'Fiscal Forecasts'!L$124-SUM(L$403:L$404)</f>
        <v>-19.888999999999996</v>
      </c>
      <c r="M405" s="17">
        <f>'Fiscal Forecasts'!M$124-SUM(M$403:M$404)</f>
        <v>-21.447999999999993</v>
      </c>
      <c r="N405" s="17">
        <f>'Fiscal Forecasts'!N$124-SUM(N$403:N$404)</f>
        <v>-23.143999999999991</v>
      </c>
      <c r="O405" s="16">
        <f t="shared" ref="O405:X405" si="239">N$405*O$402/N$402</f>
        <v>-23.143999999999991</v>
      </c>
      <c r="P405" s="16">
        <f t="shared" si="239"/>
        <v>-23.143999999999991</v>
      </c>
      <c r="Q405" s="16">
        <f t="shared" si="239"/>
        <v>-23.143999999999991</v>
      </c>
      <c r="R405" s="16">
        <f t="shared" si="239"/>
        <v>-23.143999999999991</v>
      </c>
      <c r="S405" s="16">
        <f t="shared" si="239"/>
        <v>-23.143999999999991</v>
      </c>
      <c r="T405" s="16">
        <f t="shared" si="239"/>
        <v>-23.143999999999991</v>
      </c>
      <c r="U405" s="16">
        <f t="shared" si="239"/>
        <v>-23.143999999999991</v>
      </c>
      <c r="V405" s="16">
        <f t="shared" si="239"/>
        <v>-23.143999999999991</v>
      </c>
      <c r="W405" s="16">
        <f t="shared" si="239"/>
        <v>-23.143999999999991</v>
      </c>
      <c r="X405" s="16">
        <f t="shared" si="239"/>
        <v>-23.143999999999991</v>
      </c>
    </row>
    <row r="406" spans="1:24" x14ac:dyDescent="0.25">
      <c r="A406" s="9" t="s">
        <v>1061</v>
      </c>
      <c r="D406" s="65">
        <f t="shared" ref="D406:X406" si="240">SUM(D$403:D$405)</f>
        <v>33.69</v>
      </c>
      <c r="E406" s="65">
        <f t="shared" si="240"/>
        <v>37.628999999999998</v>
      </c>
      <c r="F406" s="65">
        <f t="shared" si="240"/>
        <v>45.612000000000002</v>
      </c>
      <c r="G406" s="65">
        <f t="shared" si="240"/>
        <v>54.658999999999999</v>
      </c>
      <c r="H406" s="65">
        <f t="shared" si="240"/>
        <v>66.489000000000004</v>
      </c>
      <c r="I406" s="65">
        <f t="shared" si="240"/>
        <v>69.378</v>
      </c>
      <c r="J406" s="66">
        <f t="shared" si="240"/>
        <v>64.405000000000001</v>
      </c>
      <c r="K406" s="66">
        <f t="shared" si="240"/>
        <v>60.767000000000003</v>
      </c>
      <c r="L406" s="66">
        <f t="shared" si="240"/>
        <v>64.406999999999996</v>
      </c>
      <c r="M406" s="66">
        <f t="shared" si="240"/>
        <v>68.521000000000001</v>
      </c>
      <c r="N406" s="66">
        <f t="shared" si="240"/>
        <v>72.209000000000003</v>
      </c>
      <c r="O406" s="67">
        <f t="shared" ca="1" si="240"/>
        <v>75.529651186195323</v>
      </c>
      <c r="P406" s="67">
        <f t="shared" ca="1" si="240"/>
        <v>78.327914390841457</v>
      </c>
      <c r="Q406" s="67">
        <f t="shared" ca="1" si="240"/>
        <v>81.134598862367895</v>
      </c>
      <c r="R406" s="67">
        <f t="shared" ca="1" si="240"/>
        <v>83.938118848308804</v>
      </c>
      <c r="S406" s="67">
        <f t="shared" ca="1" si="240"/>
        <v>86.784716269001336</v>
      </c>
      <c r="T406" s="67">
        <f t="shared" ca="1" si="240"/>
        <v>89.661638899969446</v>
      </c>
      <c r="U406" s="67">
        <f t="shared" ca="1" si="240"/>
        <v>92.551154627599047</v>
      </c>
      <c r="V406" s="67">
        <f t="shared" ca="1" si="240"/>
        <v>95.455606409404822</v>
      </c>
      <c r="W406" s="67">
        <f t="shared" ca="1" si="240"/>
        <v>98.382146807170457</v>
      </c>
      <c r="X406" s="67">
        <f t="shared" ca="1" si="240"/>
        <v>101.35941156805229</v>
      </c>
    </row>
    <row r="408" spans="1:24" x14ac:dyDescent="0.25">
      <c r="A408" s="9" t="s">
        <v>878</v>
      </c>
    </row>
    <row r="409" spans="1:24" x14ac:dyDescent="0.25">
      <c r="A409" s="11" t="s">
        <v>471</v>
      </c>
      <c r="B409" s="10" t="str">
        <f>$B$38</f>
        <v>From Fiscal Forecasts</v>
      </c>
      <c r="D409" s="35">
        <f>'Fiscal Forecasts'!D$325</f>
        <v>1.361</v>
      </c>
      <c r="E409" s="35">
        <f>'Fiscal Forecasts'!E$325</f>
        <v>1.413</v>
      </c>
      <c r="F409" s="35">
        <f>'Fiscal Forecasts'!F$325</f>
        <v>1.43</v>
      </c>
      <c r="G409" s="35">
        <f>'Fiscal Forecasts'!G$325</f>
        <v>1.2949999999999999</v>
      </c>
      <c r="H409" s="35">
        <f>'Fiscal Forecasts'!H$325</f>
        <v>1.2709999999999999</v>
      </c>
      <c r="I409" s="35">
        <f>'Fiscal Forecasts'!I$325</f>
        <v>1.3480000000000001</v>
      </c>
      <c r="J409" s="17">
        <f>'Fiscal Forecasts'!J$325</f>
        <v>1.6339999999999999</v>
      </c>
      <c r="K409" s="17">
        <f>'Fiscal Forecasts'!K$325</f>
        <v>1.877</v>
      </c>
      <c r="L409" s="17">
        <f>'Fiscal Forecasts'!L$325</f>
        <v>1.855</v>
      </c>
      <c r="M409" s="17">
        <f>'Fiscal Forecasts'!M$325</f>
        <v>1.8620000000000001</v>
      </c>
      <c r="N409" s="17">
        <f>'Fiscal Forecasts'!N$325</f>
        <v>1.907</v>
      </c>
      <c r="O409" s="16">
        <f>Exogenous!Z$16</f>
        <v>1.9390000000000001</v>
      </c>
      <c r="P409" s="16">
        <f>Exogenous!AA$16</f>
        <v>1.994</v>
      </c>
      <c r="Q409" s="16">
        <f>Exogenous!AB$16</f>
        <v>2.044</v>
      </c>
      <c r="R409" s="16">
        <f>Exogenous!AC$16</f>
        <v>2.0880000000000001</v>
      </c>
      <c r="S409" s="16">
        <f>Exogenous!AD$16</f>
        <v>2.1309999999999998</v>
      </c>
      <c r="T409" s="16">
        <f>Exogenous!AE$16</f>
        <v>2.1709999999999998</v>
      </c>
      <c r="U409" s="16">
        <f>Exogenous!AF$16</f>
        <v>2.21</v>
      </c>
      <c r="V409" s="16">
        <f>Exogenous!AG$16</f>
        <v>2.25</v>
      </c>
      <c r="W409" s="16">
        <f>Exogenous!AH$16</f>
        <v>2.2909999999999999</v>
      </c>
      <c r="X409" s="16">
        <f>Exogenous!AI$16</f>
        <v>2.3340000000000001</v>
      </c>
    </row>
    <row r="410" spans="1:24" x14ac:dyDescent="0.25">
      <c r="A410" s="11" t="s">
        <v>472</v>
      </c>
      <c r="B410" s="10" t="str">
        <f t="shared" ref="B410:B415" si="241">$B$38</f>
        <v>From Fiscal Forecasts</v>
      </c>
      <c r="D410" s="35">
        <f>'Fiscal Forecasts'!D$326</f>
        <v>3.5999999999999997E-2</v>
      </c>
      <c r="E410" s="35">
        <f>'Fiscal Forecasts'!E$326</f>
        <v>3.5999999999999997E-2</v>
      </c>
      <c r="F410" s="35">
        <f>'Fiscal Forecasts'!F$326</f>
        <v>3.7999999999999999E-2</v>
      </c>
      <c r="G410" s="35">
        <f>'Fiscal Forecasts'!G$326</f>
        <v>3.7999999999999999E-2</v>
      </c>
      <c r="H410" s="35">
        <f>'Fiscal Forecasts'!H$326</f>
        <v>0.03</v>
      </c>
      <c r="I410" s="35">
        <f>'Fiscal Forecasts'!I$326</f>
        <v>2.8000000000000001E-2</v>
      </c>
      <c r="J410" s="17">
        <f>'Fiscal Forecasts'!J$326</f>
        <v>2.5999999999999999E-2</v>
      </c>
      <c r="K410" s="17">
        <f>'Fiscal Forecasts'!K$326</f>
        <v>2.5000000000000001E-2</v>
      </c>
      <c r="L410" s="17">
        <f>'Fiscal Forecasts'!L$326</f>
        <v>2.4E-2</v>
      </c>
      <c r="M410" s="17">
        <f>'Fiscal Forecasts'!M$326</f>
        <v>2.5000000000000001E-2</v>
      </c>
      <c r="N410" s="17">
        <f>'Fiscal Forecasts'!N$326</f>
        <v>2.5999999999999999E-2</v>
      </c>
      <c r="O410" s="16">
        <f>Exogenous!Z$17</f>
        <v>2.5999999999999999E-2</v>
      </c>
      <c r="P410" s="16">
        <f>Exogenous!AA$17</f>
        <v>2.7E-2</v>
      </c>
      <c r="Q410" s="16">
        <f>Exogenous!AB$17</f>
        <v>2.8000000000000001E-2</v>
      </c>
      <c r="R410" s="16">
        <f>Exogenous!AC$17</f>
        <v>2.8000000000000001E-2</v>
      </c>
      <c r="S410" s="16">
        <f>Exogenous!AD$17</f>
        <v>2.9000000000000001E-2</v>
      </c>
      <c r="T410" s="16">
        <f>Exogenous!AE$17</f>
        <v>2.7E-2</v>
      </c>
      <c r="U410" s="16">
        <f>Exogenous!AF$17</f>
        <v>3.1E-2</v>
      </c>
      <c r="V410" s="16">
        <f>Exogenous!AG$17</f>
        <v>3.1E-2</v>
      </c>
      <c r="W410" s="16">
        <f>Exogenous!AH$17</f>
        <v>3.2000000000000001E-2</v>
      </c>
      <c r="X410" s="16">
        <f>Exogenous!AI$17</f>
        <v>3.3000000000000002E-2</v>
      </c>
    </row>
    <row r="411" spans="1:24" x14ac:dyDescent="0.25">
      <c r="A411" s="11" t="s">
        <v>879</v>
      </c>
      <c r="B411" s="10" t="str">
        <f t="shared" si="241"/>
        <v>From Fiscal Forecasts</v>
      </c>
      <c r="D411" s="35">
        <f>'Fiscal Forecasts'!D$327</f>
        <v>0.56299999999999994</v>
      </c>
      <c r="E411" s="35">
        <f>'Fiscal Forecasts'!E$327</f>
        <v>0.50600000000000001</v>
      </c>
      <c r="F411" s="35">
        <f>'Fiscal Forecasts'!F$327</f>
        <v>0.46899999999999997</v>
      </c>
      <c r="G411" s="35">
        <f>'Fiscal Forecasts'!G$327</f>
        <v>0.48899999999999999</v>
      </c>
      <c r="H411" s="35">
        <f>'Fiscal Forecasts'!H$327</f>
        <v>0.55100000000000005</v>
      </c>
      <c r="I411" s="35">
        <f>'Fiscal Forecasts'!I$327</f>
        <v>0.54400000000000004</v>
      </c>
      <c r="J411" s="17">
        <f>'Fiscal Forecasts'!J$327</f>
        <v>0.56000000000000005</v>
      </c>
      <c r="K411" s="17">
        <f>'Fiscal Forecasts'!K$327</f>
        <v>0.63600000000000001</v>
      </c>
      <c r="L411" s="17">
        <f>'Fiscal Forecasts'!L$327</f>
        <v>0.628</v>
      </c>
      <c r="M411" s="17">
        <f>'Fiscal Forecasts'!M$327</f>
        <v>0.627</v>
      </c>
      <c r="N411" s="17">
        <f>'Fiscal Forecasts'!N$327</f>
        <v>0.65300000000000002</v>
      </c>
      <c r="O411" s="16">
        <f>Exogenous!Z$18</f>
        <v>0.65600000000000003</v>
      </c>
      <c r="P411" s="16">
        <f>Exogenous!AA$18</f>
        <v>0.67400000000000004</v>
      </c>
      <c r="Q411" s="16">
        <f>Exogenous!AB$18</f>
        <v>0.69299999999999995</v>
      </c>
      <c r="R411" s="16">
        <f>Exogenous!AC$18</f>
        <v>0.71099999999999997</v>
      </c>
      <c r="S411" s="16">
        <f>Exogenous!AD$18</f>
        <v>0.72699999999999998</v>
      </c>
      <c r="T411" s="16">
        <f>Exogenous!AE$18</f>
        <v>0.74199999999999999</v>
      </c>
      <c r="U411" s="16">
        <f>Exogenous!AF$18</f>
        <v>0.75600000000000001</v>
      </c>
      <c r="V411" s="16">
        <f>Exogenous!AG$18</f>
        <v>0.76900000000000002</v>
      </c>
      <c r="W411" s="16">
        <f>Exogenous!AH$18</f>
        <v>0.78300000000000003</v>
      </c>
      <c r="X411" s="16">
        <f>Exogenous!AI$18</f>
        <v>0.79700000000000004</v>
      </c>
    </row>
    <row r="412" spans="1:24" x14ac:dyDescent="0.25">
      <c r="A412" s="11" t="s">
        <v>880</v>
      </c>
      <c r="B412" s="10" t="str">
        <f>$B$38</f>
        <v>From Fiscal Forecasts</v>
      </c>
      <c r="D412" s="35">
        <f>'Fiscal Forecasts'!D$328</f>
        <v>1.371</v>
      </c>
      <c r="E412" s="35">
        <f>'Fiscal Forecasts'!E$328</f>
        <v>1.4770000000000001</v>
      </c>
      <c r="F412" s="35">
        <f>'Fiscal Forecasts'!F$328</f>
        <v>1.4950000000000001</v>
      </c>
      <c r="G412" s="35">
        <f>'Fiscal Forecasts'!G$328</f>
        <v>1.605</v>
      </c>
      <c r="H412" s="35">
        <f>'Fiscal Forecasts'!H$328</f>
        <v>1.6339999999999999</v>
      </c>
      <c r="I412" s="35">
        <f>'Fiscal Forecasts'!I$328</f>
        <v>1.5980000000000001</v>
      </c>
      <c r="J412" s="17">
        <f>'Fiscal Forecasts'!J$328</f>
        <v>1.5669999999999999</v>
      </c>
      <c r="K412" s="17">
        <f>'Fiscal Forecasts'!K$328</f>
        <v>1.631</v>
      </c>
      <c r="L412" s="17">
        <f>'Fiscal Forecasts'!L$328</f>
        <v>1.6890000000000001</v>
      </c>
      <c r="M412" s="17">
        <f>'Fiscal Forecasts'!M$328</f>
        <v>1.736</v>
      </c>
      <c r="N412" s="17">
        <f>'Fiscal Forecasts'!N$328</f>
        <v>1.7869999999999999</v>
      </c>
      <c r="O412" s="16">
        <f>Exogenous!Z$19</f>
        <v>1.6779999999999999</v>
      </c>
      <c r="P412" s="16">
        <f>Exogenous!AA$19</f>
        <v>1.736</v>
      </c>
      <c r="Q412" s="16">
        <f>Exogenous!AB$19</f>
        <v>1.79</v>
      </c>
      <c r="R412" s="16">
        <f>Exogenous!AC$19</f>
        <v>1.839</v>
      </c>
      <c r="S412" s="16">
        <f>Exogenous!AD$19</f>
        <v>1.887</v>
      </c>
      <c r="T412" s="16">
        <f>Exogenous!AE$19</f>
        <v>1.9350000000000001</v>
      </c>
      <c r="U412" s="16">
        <f>Exogenous!AF$19</f>
        <v>1.9810000000000001</v>
      </c>
      <c r="V412" s="16">
        <f>Exogenous!AG$19</f>
        <v>2.0249999999999999</v>
      </c>
      <c r="W412" s="16">
        <f>Exogenous!AH$19</f>
        <v>2.069</v>
      </c>
      <c r="X412" s="16">
        <f>Exogenous!AI$19</f>
        <v>2.1110000000000002</v>
      </c>
    </row>
    <row r="413" spans="1:24" x14ac:dyDescent="0.25">
      <c r="A413" s="11" t="s">
        <v>473</v>
      </c>
      <c r="B413" s="10" t="str">
        <f t="shared" si="241"/>
        <v>From Fiscal Forecasts</v>
      </c>
      <c r="D413" s="35">
        <f>'Fiscal Forecasts'!D$329</f>
        <v>0.39400000000000002</v>
      </c>
      <c r="E413" s="35">
        <f>'Fiscal Forecasts'!E$329</f>
        <v>0.33100000000000002</v>
      </c>
      <c r="F413" s="35">
        <f>'Fiscal Forecasts'!F$329</f>
        <v>0.23499999999999999</v>
      </c>
      <c r="G413" s="35">
        <f>'Fiscal Forecasts'!G$329</f>
        <v>0.28000000000000003</v>
      </c>
      <c r="H413" s="35">
        <f>'Fiscal Forecasts'!H$329</f>
        <v>0.57699999999999996</v>
      </c>
      <c r="I413" s="35">
        <f>'Fiscal Forecasts'!I$329</f>
        <v>0.63400000000000001</v>
      </c>
      <c r="J413" s="17">
        <f>'Fiscal Forecasts'!J$329</f>
        <v>0.502</v>
      </c>
      <c r="K413" s="17">
        <f>'Fiscal Forecasts'!K$329</f>
        <v>0.41299999999999998</v>
      </c>
      <c r="L413" s="17">
        <f>'Fiscal Forecasts'!L$329</f>
        <v>0.42899999999999999</v>
      </c>
      <c r="M413" s="17">
        <f>'Fiscal Forecasts'!M$329</f>
        <v>0.46100000000000002</v>
      </c>
      <c r="N413" s="17">
        <f>'Fiscal Forecasts'!N$329</f>
        <v>0.48599999999999999</v>
      </c>
      <c r="O413" s="16">
        <f>Exogenous!Z$20</f>
        <v>0.50700000000000001</v>
      </c>
      <c r="P413" s="16">
        <f>Exogenous!AA$20</f>
        <v>0.52800000000000002</v>
      </c>
      <c r="Q413" s="16">
        <f>Exogenous!AB$20</f>
        <v>0.54300000000000004</v>
      </c>
      <c r="R413" s="16">
        <f>Exogenous!AC$20</f>
        <v>0.55300000000000005</v>
      </c>
      <c r="S413" s="16">
        <f>Exogenous!AD$20</f>
        <v>0.55800000000000005</v>
      </c>
      <c r="T413" s="16">
        <f>Exogenous!AE$20</f>
        <v>0.55700000000000005</v>
      </c>
      <c r="U413" s="16">
        <f>Exogenous!AF$20</f>
        <v>0.54800000000000004</v>
      </c>
      <c r="V413" s="16">
        <f>Exogenous!AG$20</f>
        <v>0.53400000000000003</v>
      </c>
      <c r="W413" s="16">
        <f>Exogenous!AH$20</f>
        <v>0.51800000000000002</v>
      </c>
      <c r="X413" s="16">
        <f>Exogenous!AI$20</f>
        <v>0.498</v>
      </c>
    </row>
    <row r="414" spans="1:24" x14ac:dyDescent="0.25">
      <c r="A414" s="11" t="s">
        <v>1241</v>
      </c>
      <c r="B414" s="10" t="str">
        <f t="shared" si="241"/>
        <v>From Fiscal Forecasts</v>
      </c>
      <c r="D414" s="35">
        <f>'Fiscal Forecasts'!D$330</f>
        <v>0</v>
      </c>
      <c r="E414" s="35">
        <f>'Fiscal Forecasts'!E$330</f>
        <v>0</v>
      </c>
      <c r="F414" s="35">
        <f>'Fiscal Forecasts'!F$330</f>
        <v>0</v>
      </c>
      <c r="G414" s="35">
        <f>'Fiscal Forecasts'!G$330</f>
        <v>0</v>
      </c>
      <c r="H414" s="35">
        <f>'Fiscal Forecasts'!H$330</f>
        <v>0</v>
      </c>
      <c r="I414" s="35">
        <f>'Fiscal Forecasts'!I$330</f>
        <v>0</v>
      </c>
      <c r="J414" s="17">
        <f>'Fiscal Forecasts'!J$330</f>
        <v>0</v>
      </c>
      <c r="K414" s="17">
        <f>'Fiscal Forecasts'!K$330</f>
        <v>3.4000000000000002E-2</v>
      </c>
      <c r="L414" s="17">
        <f>'Fiscal Forecasts'!L$330</f>
        <v>6.4000000000000001E-2</v>
      </c>
      <c r="M414" s="17">
        <f>'Fiscal Forecasts'!M$330</f>
        <v>0.11600000000000001</v>
      </c>
      <c r="N414" s="17">
        <f>'Fiscal Forecasts'!N$330</f>
        <v>0.16800000000000001</v>
      </c>
      <c r="O414" s="16">
        <f>Exogenous!Z$21</f>
        <v>0.20100000000000001</v>
      </c>
      <c r="P414" s="16">
        <f>Exogenous!AA$21</f>
        <v>0.221</v>
      </c>
      <c r="Q414" s="16">
        <f>Exogenous!AB$21</f>
        <v>0.23300000000000001</v>
      </c>
      <c r="R414" s="16">
        <f>Exogenous!AC$21</f>
        <v>0.24099999999999999</v>
      </c>
      <c r="S414" s="16">
        <f>Exogenous!AD$21</f>
        <v>0.248</v>
      </c>
      <c r="T414" s="16">
        <f>Exogenous!AE$21</f>
        <v>0.255</v>
      </c>
      <c r="U414" s="16">
        <f>Exogenous!AF$21</f>
        <v>0.26100000000000001</v>
      </c>
      <c r="V414" s="16">
        <f>Exogenous!AG$21</f>
        <v>0.26700000000000002</v>
      </c>
      <c r="W414" s="16">
        <f>Exogenous!AH$21</f>
        <v>0.27300000000000002</v>
      </c>
      <c r="X414" s="16">
        <f>Exogenous!AI$21</f>
        <v>0.27800000000000002</v>
      </c>
    </row>
    <row r="415" spans="1:24" x14ac:dyDescent="0.25">
      <c r="A415" s="11" t="s">
        <v>474</v>
      </c>
      <c r="B415" s="10" t="str">
        <f t="shared" si="241"/>
        <v>From Fiscal Forecasts</v>
      </c>
      <c r="D415" s="35">
        <f>'Fiscal Forecasts'!D$331</f>
        <v>0.94499999999999995</v>
      </c>
      <c r="E415" s="35">
        <f>'Fiscal Forecasts'!E$331</f>
        <v>-0.13300000000000001</v>
      </c>
      <c r="F415" s="35">
        <f>'Fiscal Forecasts'!F$331</f>
        <v>0.70699999999999996</v>
      </c>
      <c r="G415" s="35">
        <f>'Fiscal Forecasts'!G$331</f>
        <v>-1.151</v>
      </c>
      <c r="H415" s="35">
        <f>'Fiscal Forecasts'!H$331</f>
        <v>0.47099999999999997</v>
      </c>
      <c r="I415" s="35">
        <f>'Fiscal Forecasts'!I$331</f>
        <v>0.35499999999999998</v>
      </c>
      <c r="J415" s="17">
        <f>'Fiscal Forecasts'!J$331</f>
        <v>0.38100000000000001</v>
      </c>
      <c r="K415" s="17">
        <f>'Fiscal Forecasts'!K$331</f>
        <v>0</v>
      </c>
      <c r="L415" s="17">
        <f>'Fiscal Forecasts'!L$331</f>
        <v>0</v>
      </c>
      <c r="M415" s="17">
        <f>'Fiscal Forecasts'!M$331</f>
        <v>0</v>
      </c>
      <c r="N415" s="17">
        <f>'Fiscal Forecasts'!N$331</f>
        <v>0</v>
      </c>
      <c r="O415" s="16">
        <f>Exogenous!Z$22</f>
        <v>0</v>
      </c>
      <c r="P415" s="16">
        <f>Exogenous!AA$22</f>
        <v>0</v>
      </c>
      <c r="Q415" s="16">
        <f>Exogenous!AB$22</f>
        <v>0</v>
      </c>
      <c r="R415" s="16">
        <f>Exogenous!AC$22</f>
        <v>0</v>
      </c>
      <c r="S415" s="16">
        <f>Exogenous!AD$22</f>
        <v>0</v>
      </c>
      <c r="T415" s="16">
        <f>Exogenous!AE$22</f>
        <v>0</v>
      </c>
      <c r="U415" s="16">
        <f>Exogenous!AF$22</f>
        <v>0</v>
      </c>
      <c r="V415" s="16">
        <f>Exogenous!AG$22</f>
        <v>0</v>
      </c>
      <c r="W415" s="16">
        <f>Exogenous!AH$22</f>
        <v>0</v>
      </c>
      <c r="X415" s="16">
        <f>Exogenous!AI$22</f>
        <v>0</v>
      </c>
    </row>
    <row r="416" spans="1:24" x14ac:dyDescent="0.25">
      <c r="A416" s="9" t="s">
        <v>760</v>
      </c>
      <c r="C416" s="76">
        <f>'Fiscal Forecasts'!$C$332</f>
        <v>9.9290000000000003</v>
      </c>
      <c r="D416" s="65">
        <f>SUM(C$416,D$409,D$410,D$413,D$415)-SUM(D$411,D$412,D$414)</f>
        <v>10.731000000000002</v>
      </c>
      <c r="E416" s="65">
        <f t="shared" ref="E416:X416" si="242">SUM(D$416,E$409,E$410,E$413,E$415)-SUM(E$411,E$412,E$414)</f>
        <v>10.395</v>
      </c>
      <c r="F416" s="65">
        <f t="shared" si="242"/>
        <v>10.840999999999999</v>
      </c>
      <c r="G416" s="65">
        <f t="shared" si="242"/>
        <v>9.2089999999999996</v>
      </c>
      <c r="H416" s="65">
        <f t="shared" si="242"/>
        <v>9.3729999999999993</v>
      </c>
      <c r="I416" s="65">
        <f t="shared" si="242"/>
        <v>9.5960000000000001</v>
      </c>
      <c r="J416" s="66">
        <f t="shared" si="242"/>
        <v>10.012</v>
      </c>
      <c r="K416" s="66">
        <f t="shared" si="242"/>
        <v>10.026000000000002</v>
      </c>
      <c r="L416" s="66">
        <f t="shared" si="242"/>
        <v>9.9530000000000012</v>
      </c>
      <c r="M416" s="66">
        <f t="shared" si="242"/>
        <v>9.8220000000000027</v>
      </c>
      <c r="N416" s="66">
        <f t="shared" si="242"/>
        <v>9.6330000000000027</v>
      </c>
      <c r="O416" s="67">
        <f t="shared" si="242"/>
        <v>9.5700000000000021</v>
      </c>
      <c r="P416" s="67">
        <f t="shared" si="242"/>
        <v>9.4880000000000013</v>
      </c>
      <c r="Q416" s="67">
        <f t="shared" si="242"/>
        <v>9.3870000000000005</v>
      </c>
      <c r="R416" s="67">
        <f t="shared" si="242"/>
        <v>9.2650000000000023</v>
      </c>
      <c r="S416" s="67">
        <f t="shared" si="242"/>
        <v>9.1210000000000022</v>
      </c>
      <c r="T416" s="67">
        <f t="shared" si="242"/>
        <v>8.9440000000000008</v>
      </c>
      <c r="U416" s="67">
        <f t="shared" si="242"/>
        <v>8.7349999999999994</v>
      </c>
      <c r="V416" s="67">
        <f t="shared" si="242"/>
        <v>8.4890000000000008</v>
      </c>
      <c r="W416" s="67">
        <f t="shared" si="242"/>
        <v>8.2050000000000018</v>
      </c>
      <c r="X416" s="67">
        <f t="shared" si="242"/>
        <v>7.8840000000000003</v>
      </c>
    </row>
    <row r="418" spans="1:24" x14ac:dyDescent="0.25">
      <c r="A418" s="9" t="s">
        <v>624</v>
      </c>
    </row>
    <row r="419" spans="1:24" x14ac:dyDescent="0.25">
      <c r="A419" s="9" t="s">
        <v>1062</v>
      </c>
      <c r="B419" s="10" t="str">
        <f t="shared" ref="B419:B420" si="243">$B$38</f>
        <v>From Fiscal Forecasts</v>
      </c>
      <c r="D419" s="42">
        <f>ROUND('Fiscal Forecasts'!D$189*D$420/SUM(D$420,D$424),3)</f>
        <v>0.75700000000000001</v>
      </c>
      <c r="E419" s="42">
        <f>ROUND('Fiscal Forecasts'!E$189*E$420/SUM(E$420,E$424),3)</f>
        <v>1.0569999999999999</v>
      </c>
      <c r="F419" s="42">
        <f>ROUND('Fiscal Forecasts'!F$189*F$420/SUM(F$420,F$424),3)</f>
        <v>1.169</v>
      </c>
      <c r="G419" s="42">
        <f>ROUND('Fiscal Forecasts'!G$189*G$420/SUM(G$420,G$424),3)</f>
        <v>1.7330000000000001</v>
      </c>
      <c r="H419" s="42">
        <f>ROUND('Fiscal Forecasts'!H$189*H$420/SUM(H$420,H$424),3)</f>
        <v>1.5860000000000001</v>
      </c>
      <c r="I419" s="42">
        <f>ROUND('Fiscal Forecasts'!I$189*I$420/SUM(I$420,I$424),3)</f>
        <v>1.6120000000000001</v>
      </c>
      <c r="J419" s="43">
        <f>ROUND('Fiscal Forecasts'!J$189*J$420/SUM(J$420,J$424),3)</f>
        <v>1.899</v>
      </c>
      <c r="K419" s="43">
        <f>ROUND('Fiscal Forecasts'!K$189*K$420/SUM(K$420,K$424),3)</f>
        <v>1.835</v>
      </c>
      <c r="L419" s="43">
        <f>ROUND('Fiscal Forecasts'!L$189*L$420/SUM(L$420,L$424),3)</f>
        <v>1.8320000000000001</v>
      </c>
      <c r="M419" s="43">
        <f>ROUND('Fiscal Forecasts'!M$189*M$420/SUM(M$420,M$424),3)</f>
        <v>1.734</v>
      </c>
      <c r="N419" s="43">
        <f>ROUND('Fiscal Forecasts'!N$189*N$420/SUM(N$420,N$424),3)</f>
        <v>1.649</v>
      </c>
      <c r="O419" s="47">
        <f t="shared" ref="O419:X419" si="244">N$419</f>
        <v>1.649</v>
      </c>
      <c r="P419" s="47">
        <f t="shared" si="244"/>
        <v>1.649</v>
      </c>
      <c r="Q419" s="47">
        <f t="shared" si="244"/>
        <v>1.649</v>
      </c>
      <c r="R419" s="47">
        <f t="shared" si="244"/>
        <v>1.649</v>
      </c>
      <c r="S419" s="47">
        <f t="shared" si="244"/>
        <v>1.649</v>
      </c>
      <c r="T419" s="47">
        <f t="shared" si="244"/>
        <v>1.649</v>
      </c>
      <c r="U419" s="47">
        <f t="shared" si="244"/>
        <v>1.649</v>
      </c>
      <c r="V419" s="47">
        <f t="shared" si="244"/>
        <v>1.649</v>
      </c>
      <c r="W419" s="47">
        <f t="shared" si="244"/>
        <v>1.649</v>
      </c>
      <c r="X419" s="47">
        <f t="shared" si="244"/>
        <v>1.649</v>
      </c>
    </row>
    <row r="420" spans="1:24" x14ac:dyDescent="0.25">
      <c r="A420" s="9" t="s">
        <v>1063</v>
      </c>
      <c r="B420" s="10" t="str">
        <f t="shared" si="243"/>
        <v>From Fiscal Forecasts</v>
      </c>
      <c r="D420" s="42">
        <f>'Fiscal Forecasts'!D$126</f>
        <v>1.5169999999999999</v>
      </c>
      <c r="E420" s="42">
        <f>'Fiscal Forecasts'!E$126</f>
        <v>1.7729999999999999</v>
      </c>
      <c r="F420" s="42">
        <f>'Fiscal Forecasts'!F$126</f>
        <v>2.194</v>
      </c>
      <c r="G420" s="42">
        <f>'Fiscal Forecasts'!G$126</f>
        <v>3.0680000000000001</v>
      </c>
      <c r="H420" s="42">
        <f>'Fiscal Forecasts'!H$126</f>
        <v>3.0409999999999999</v>
      </c>
      <c r="I420" s="42">
        <f>'Fiscal Forecasts'!I$126</f>
        <v>2.8610000000000002</v>
      </c>
      <c r="J420" s="43">
        <f>'Fiscal Forecasts'!J$126</f>
        <v>3.4049999999999998</v>
      </c>
      <c r="K420" s="43">
        <f>'Fiscal Forecasts'!K$126</f>
        <v>3.5169999999999999</v>
      </c>
      <c r="L420" s="43">
        <f>'Fiscal Forecasts'!L$126</f>
        <v>3.5590000000000002</v>
      </c>
      <c r="M420" s="43">
        <f>'Fiscal Forecasts'!M$126</f>
        <v>3.488</v>
      </c>
      <c r="N420" s="43">
        <f>'Fiscal Forecasts'!N$126</f>
        <v>3.395</v>
      </c>
      <c r="O420" s="47">
        <f t="shared" ref="O420:X420" ca="1" si="245">O$419+(N$420-N$419)*(1+O$29)</f>
        <v>3.4299200000000001</v>
      </c>
      <c r="P420" s="47">
        <f t="shared" ca="1" si="245"/>
        <v>3.4655383999999998</v>
      </c>
      <c r="Q420" s="47">
        <f t="shared" ca="1" si="245"/>
        <v>3.5018691679999998</v>
      </c>
      <c r="R420" s="47">
        <f t="shared" ca="1" si="245"/>
        <v>3.5389265513599999</v>
      </c>
      <c r="S420" s="47">
        <f t="shared" ca="1" si="245"/>
        <v>3.5767250823871999</v>
      </c>
      <c r="T420" s="47">
        <f t="shared" ca="1" si="245"/>
        <v>3.6152795840349441</v>
      </c>
      <c r="U420" s="47">
        <f t="shared" ca="1" si="245"/>
        <v>3.654605175715643</v>
      </c>
      <c r="V420" s="47">
        <f t="shared" ca="1" si="245"/>
        <v>3.6947172792299559</v>
      </c>
      <c r="W420" s="47">
        <f t="shared" ca="1" si="245"/>
        <v>3.7356316248145549</v>
      </c>
      <c r="X420" s="47">
        <f t="shared" ca="1" si="245"/>
        <v>3.7773642573108459</v>
      </c>
    </row>
    <row r="422" spans="1:24" x14ac:dyDescent="0.25">
      <c r="A422" s="9" t="s">
        <v>1064</v>
      </c>
    </row>
    <row r="423" spans="1:24" x14ac:dyDescent="0.25">
      <c r="A423" s="9" t="s">
        <v>1062</v>
      </c>
      <c r="B423" s="10" t="str">
        <f t="shared" ref="B423:B424" si="246">$B$38</f>
        <v>From Fiscal Forecasts</v>
      </c>
      <c r="D423" s="42">
        <f>'Fiscal Forecasts'!D$189-D$419</f>
        <v>1.4119999999999999</v>
      </c>
      <c r="E423" s="42">
        <f>'Fiscal Forecasts'!E$189-E$419</f>
        <v>2.153</v>
      </c>
      <c r="F423" s="42">
        <f>'Fiscal Forecasts'!F$189-F$419</f>
        <v>2.0920000000000001</v>
      </c>
      <c r="G423" s="42">
        <f>'Fiscal Forecasts'!G$189-G$419</f>
        <v>2.3759999999999999</v>
      </c>
      <c r="H423" s="42">
        <f>'Fiscal Forecasts'!H$189-H$419</f>
        <v>2.4050000000000002</v>
      </c>
      <c r="I423" s="42">
        <f>'Fiscal Forecasts'!I$189-I$419</f>
        <v>2.8419999999999996</v>
      </c>
      <c r="J423" s="43">
        <f>'Fiscal Forecasts'!J$189-J$419</f>
        <v>3.0019999999999998</v>
      </c>
      <c r="K423" s="43">
        <f>'Fiscal Forecasts'!K$189-K$419</f>
        <v>2.63</v>
      </c>
      <c r="L423" s="43">
        <f>'Fiscal Forecasts'!L$189-L$419</f>
        <v>2.6539999999999999</v>
      </c>
      <c r="M423" s="43">
        <f>'Fiscal Forecasts'!M$189-M$419</f>
        <v>2.6340000000000003</v>
      </c>
      <c r="N423" s="43">
        <f>'Fiscal Forecasts'!N$189-N$419</f>
        <v>2.5919999999999996</v>
      </c>
      <c r="O423" s="47">
        <f t="shared" ref="O423:X423" si="247">N$423</f>
        <v>2.5919999999999996</v>
      </c>
      <c r="P423" s="47">
        <f t="shared" si="247"/>
        <v>2.5919999999999996</v>
      </c>
      <c r="Q423" s="47">
        <f t="shared" si="247"/>
        <v>2.5919999999999996</v>
      </c>
      <c r="R423" s="47">
        <f t="shared" si="247"/>
        <v>2.5919999999999996</v>
      </c>
      <c r="S423" s="47">
        <f t="shared" si="247"/>
        <v>2.5919999999999996</v>
      </c>
      <c r="T423" s="47">
        <f t="shared" si="247"/>
        <v>2.5919999999999996</v>
      </c>
      <c r="U423" s="47">
        <f t="shared" si="247"/>
        <v>2.5919999999999996</v>
      </c>
      <c r="V423" s="47">
        <f t="shared" si="247"/>
        <v>2.5919999999999996</v>
      </c>
      <c r="W423" s="47">
        <f t="shared" si="247"/>
        <v>2.5919999999999996</v>
      </c>
      <c r="X423" s="47">
        <f t="shared" si="247"/>
        <v>2.5919999999999996</v>
      </c>
    </row>
    <row r="424" spans="1:24" x14ac:dyDescent="0.25">
      <c r="A424" s="9" t="s">
        <v>1063</v>
      </c>
      <c r="B424" s="10" t="str">
        <f t="shared" si="246"/>
        <v>From Fiscal Forecasts</v>
      </c>
      <c r="D424" s="42">
        <f>'Fiscal Forecasts'!D$127</f>
        <v>2.8279999999999998</v>
      </c>
      <c r="E424" s="42">
        <f>'Fiscal Forecasts'!E$127</f>
        <v>3.61</v>
      </c>
      <c r="F424" s="42">
        <f>'Fiscal Forecasts'!F$127</f>
        <v>3.9279999999999999</v>
      </c>
      <c r="G424" s="42">
        <f>'Fiscal Forecasts'!G$127</f>
        <v>4.2080000000000002</v>
      </c>
      <c r="H424" s="42">
        <f>'Fiscal Forecasts'!H$127</f>
        <v>4.6120000000000001</v>
      </c>
      <c r="I424" s="42">
        <f>'Fiscal Forecasts'!I$127</f>
        <v>5.0449999999999999</v>
      </c>
      <c r="J424" s="43">
        <f>'Fiscal Forecasts'!J$127</f>
        <v>5.3849999999999998</v>
      </c>
      <c r="K424" s="43">
        <f>'Fiscal Forecasts'!K$127</f>
        <v>5.0410000000000004</v>
      </c>
      <c r="L424" s="43">
        <f>'Fiscal Forecasts'!L$127</f>
        <v>5.1580000000000004</v>
      </c>
      <c r="M424" s="43">
        <f>'Fiscal Forecasts'!M$127</f>
        <v>5.3</v>
      </c>
      <c r="N424" s="43">
        <f>'Fiscal Forecasts'!N$127</f>
        <v>5.3339999999999996</v>
      </c>
      <c r="O424" s="47">
        <f t="shared" ref="O424:X424" ca="1" si="248">O$423+(N$424-N$423)*(1+O$29)</f>
        <v>5.3888400000000001</v>
      </c>
      <c r="P424" s="47">
        <f t="shared" ca="1" si="248"/>
        <v>5.4447767999999996</v>
      </c>
      <c r="Q424" s="47">
        <f t="shared" ca="1" si="248"/>
        <v>5.5018323359999997</v>
      </c>
      <c r="R424" s="47">
        <f t="shared" ca="1" si="248"/>
        <v>5.5600289827199996</v>
      </c>
      <c r="S424" s="47">
        <f t="shared" ca="1" si="248"/>
        <v>5.6193895623743995</v>
      </c>
      <c r="T424" s="47">
        <f t="shared" ca="1" si="248"/>
        <v>5.679937353621888</v>
      </c>
      <c r="U424" s="47">
        <f t="shared" ca="1" si="248"/>
        <v>5.7416961006943259</v>
      </c>
      <c r="V424" s="47">
        <f t="shared" ca="1" si="248"/>
        <v>5.804690022708213</v>
      </c>
      <c r="W424" s="47">
        <f t="shared" ca="1" si="248"/>
        <v>5.8689438231623772</v>
      </c>
      <c r="X424" s="47">
        <f t="shared" ca="1" si="248"/>
        <v>5.9344826996256241</v>
      </c>
    </row>
    <row r="426" spans="1:24" x14ac:dyDescent="0.25">
      <c r="A426" s="9" t="s">
        <v>1065</v>
      </c>
    </row>
    <row r="427" spans="1:24" x14ac:dyDescent="0.25">
      <c r="A427" s="9" t="s">
        <v>1066</v>
      </c>
      <c r="B427" s="10" t="str">
        <f t="shared" ref="B427:B428" si="249">$B$38</f>
        <v>From Fiscal Forecasts</v>
      </c>
      <c r="C427" s="64" cm="1">
        <f t="array" aca="1" ref="C427" ca="1">SUMPRODUCT(OFFSET($N$427,0,0,1,-OFFSET(Assumptions!$B$59,0,$C$1))/OFFSET($N$13,0,0,1,-OFFSET(Assumptions!$B$59,0,$C$1)))/OFFSET(Assumptions!$B$59,0,$C$1)</f>
        <v>0.15052333138299728</v>
      </c>
      <c r="D427" s="42">
        <f>'Fiscal Forecasts'!D$186</f>
        <v>43.683999999999997</v>
      </c>
      <c r="E427" s="42">
        <f>'Fiscal Forecasts'!E$186</f>
        <v>45.167000000000002</v>
      </c>
      <c r="F427" s="42">
        <f>'Fiscal Forecasts'!F$186</f>
        <v>51.92</v>
      </c>
      <c r="G427" s="42">
        <f>'Fiscal Forecasts'!G$186</f>
        <v>56.518999999999998</v>
      </c>
      <c r="H427" s="42">
        <f>'Fiscal Forecasts'!H$186</f>
        <v>63.033999999999999</v>
      </c>
      <c r="I427" s="42">
        <f>'Fiscal Forecasts'!I$186</f>
        <v>67.997</v>
      </c>
      <c r="J427" s="43">
        <f>'Fiscal Forecasts'!J$186</f>
        <v>69.701999999999998</v>
      </c>
      <c r="K427" s="43">
        <f>'Fiscal Forecasts'!K$186</f>
        <v>70.847999999999999</v>
      </c>
      <c r="L427" s="43">
        <f>'Fiscal Forecasts'!L$186</f>
        <v>71.221000000000004</v>
      </c>
      <c r="M427" s="43">
        <f>'Fiscal Forecasts'!M$186</f>
        <v>70.656999999999996</v>
      </c>
      <c r="N427" s="43">
        <f>'Fiscal Forecasts'!N$186</f>
        <v>69.775000000000006</v>
      </c>
      <c r="O427" s="47">
        <f t="shared" ref="O427:X427" ca="1" si="250">N$427+O$430</f>
        <v>69.775000000000006</v>
      </c>
      <c r="P427" s="47">
        <f t="shared" ca="1" si="250"/>
        <v>69.775000000000006</v>
      </c>
      <c r="Q427" s="47">
        <f t="shared" ca="1" si="250"/>
        <v>69.775000000000006</v>
      </c>
      <c r="R427" s="47">
        <f t="shared" ca="1" si="250"/>
        <v>69.775000000000006</v>
      </c>
      <c r="S427" s="47">
        <f t="shared" ca="1" si="250"/>
        <v>69.775000000000006</v>
      </c>
      <c r="T427" s="47">
        <f t="shared" ca="1" si="250"/>
        <v>69.775000000000006</v>
      </c>
      <c r="U427" s="47">
        <f t="shared" ca="1" si="250"/>
        <v>69.775000000000006</v>
      </c>
      <c r="V427" s="47">
        <f t="shared" ca="1" si="250"/>
        <v>69.775000000000006</v>
      </c>
      <c r="W427" s="47">
        <f t="shared" ca="1" si="250"/>
        <v>69.775000000000006</v>
      </c>
      <c r="X427" s="47">
        <f t="shared" ca="1" si="250"/>
        <v>69.775000000000006</v>
      </c>
    </row>
    <row r="428" spans="1:24" x14ac:dyDescent="0.25">
      <c r="A428" s="11" t="s">
        <v>1073</v>
      </c>
      <c r="B428" s="10" t="str">
        <f t="shared" si="249"/>
        <v>From Fiscal Forecasts</v>
      </c>
      <c r="C428" s="64" cm="1">
        <f t="array" aca="1" ref="C428" ca="1">SUMPRODUCT(OFFSET($N$428,0,0,1,-OFFSET(Assumptions!$B$59,0,$C$1))/OFFSET($N$13,0,0,1,-OFFSET(Assumptions!$B$59,0,$C$1)))/OFFSET(Assumptions!$B$59,0,$C$1)</f>
        <v>0.49343205869727769</v>
      </c>
      <c r="D428" s="35">
        <f>SUM('Fiscal Forecasts'!D$335:D$337)</f>
        <v>133.941</v>
      </c>
      <c r="E428" s="35">
        <f>SUM('Fiscal Forecasts'!E$335:E$337)</f>
        <v>141.33499999999998</v>
      </c>
      <c r="F428" s="35">
        <f>SUM('Fiscal Forecasts'!F$335:F$337)</f>
        <v>161.29599999999999</v>
      </c>
      <c r="G428" s="35">
        <f>SUM('Fiscal Forecasts'!G$335:G$337)</f>
        <v>192.66300000000001</v>
      </c>
      <c r="H428" s="35">
        <f>SUM('Fiscal Forecasts'!H$335:H$337)</f>
        <v>204.35599999999999</v>
      </c>
      <c r="I428" s="35">
        <f>SUM('Fiscal Forecasts'!I$335:I$337)</f>
        <v>215.79300000000001</v>
      </c>
      <c r="J428" s="17">
        <f>SUM('Fiscal Forecasts'!J$335:J$337)</f>
        <v>222.494</v>
      </c>
      <c r="K428" s="17">
        <f>SUM('Fiscal Forecasts'!K$335:K$337)</f>
        <v>231.94200000000001</v>
      </c>
      <c r="L428" s="17">
        <f>SUM('Fiscal Forecasts'!L$335:L$337)</f>
        <v>237.44499999999999</v>
      </c>
      <c r="M428" s="17">
        <f>SUM('Fiscal Forecasts'!M$335:M$337)</f>
        <v>242.58699999999999</v>
      </c>
      <c r="N428" s="17">
        <f>SUM('Fiscal Forecasts'!N$335:N$337)</f>
        <v>246.40100000000001</v>
      </c>
      <c r="O428" s="16">
        <f ca="1">SUM(N$428,O$432,O$433-N$433)</f>
        <v>248.88197059077865</v>
      </c>
      <c r="P428" s="16">
        <f t="shared" ref="P428:X428" ca="1" si="251">SUM(O$428,P$432,P$433-O$433)</f>
        <v>251.35879318428604</v>
      </c>
      <c r="Q428" s="16">
        <f t="shared" ca="1" si="251"/>
        <v>253.86807307238067</v>
      </c>
      <c r="R428" s="16">
        <f t="shared" ca="1" si="251"/>
        <v>256.41726550177668</v>
      </c>
      <c r="S428" s="16">
        <f t="shared" ca="1" si="251"/>
        <v>259.00725053048018</v>
      </c>
      <c r="T428" s="16">
        <f t="shared" ca="1" si="251"/>
        <v>261.63884596334356</v>
      </c>
      <c r="U428" s="16">
        <f t="shared" ca="1" si="251"/>
        <v>264.31260659405336</v>
      </c>
      <c r="V428" s="16">
        <f t="shared" ca="1" si="251"/>
        <v>267.02916636822295</v>
      </c>
      <c r="W428" s="16">
        <f t="shared" ca="1" si="251"/>
        <v>269.78915763691987</v>
      </c>
      <c r="X428" s="16">
        <f t="shared" ca="1" si="251"/>
        <v>272.59354003051533</v>
      </c>
    </row>
    <row r="429" spans="1:24" x14ac:dyDescent="0.25">
      <c r="A429" s="9" t="s">
        <v>1070</v>
      </c>
      <c r="D429" s="65">
        <f t="shared" ref="D429:N429" si="252">SUM(D$427:D$428)</f>
        <v>177.625</v>
      </c>
      <c r="E429" s="65">
        <f t="shared" si="252"/>
        <v>186.50199999999998</v>
      </c>
      <c r="F429" s="65">
        <f t="shared" si="252"/>
        <v>213.21600000000001</v>
      </c>
      <c r="G429" s="65">
        <f t="shared" si="252"/>
        <v>249.18200000000002</v>
      </c>
      <c r="H429" s="65">
        <f t="shared" si="252"/>
        <v>267.39</v>
      </c>
      <c r="I429" s="65">
        <f t="shared" si="252"/>
        <v>283.79000000000002</v>
      </c>
      <c r="J429" s="66">
        <f t="shared" si="252"/>
        <v>292.19600000000003</v>
      </c>
      <c r="K429" s="66">
        <f t="shared" si="252"/>
        <v>302.79000000000002</v>
      </c>
      <c r="L429" s="66">
        <f t="shared" si="252"/>
        <v>308.666</v>
      </c>
      <c r="M429" s="66">
        <f t="shared" si="252"/>
        <v>313.24399999999997</v>
      </c>
      <c r="N429" s="66">
        <f t="shared" si="252"/>
        <v>316.17600000000004</v>
      </c>
      <c r="O429" s="67">
        <f t="shared" ref="O429:X429" ca="1" si="253">SUM(O$427:O$428)</f>
        <v>318.65697059077866</v>
      </c>
      <c r="P429" s="67">
        <f t="shared" ca="1" si="253"/>
        <v>321.13379318428605</v>
      </c>
      <c r="Q429" s="67">
        <f t="shared" ca="1" si="253"/>
        <v>323.64307307238067</v>
      </c>
      <c r="R429" s="67">
        <f t="shared" ca="1" si="253"/>
        <v>326.19226550177666</v>
      </c>
      <c r="S429" s="67">
        <f t="shared" ca="1" si="253"/>
        <v>328.78225053048016</v>
      </c>
      <c r="T429" s="67">
        <f t="shared" ca="1" si="253"/>
        <v>331.41384596334353</v>
      </c>
      <c r="U429" s="67">
        <f t="shared" ca="1" si="253"/>
        <v>334.08760659405334</v>
      </c>
      <c r="V429" s="67">
        <f t="shared" ca="1" si="253"/>
        <v>336.80416636822292</v>
      </c>
      <c r="W429" s="67">
        <f t="shared" ca="1" si="253"/>
        <v>339.56415763691984</v>
      </c>
      <c r="X429" s="67">
        <f t="shared" ca="1" si="253"/>
        <v>342.36854003051531</v>
      </c>
    </row>
    <row r="430" spans="1:24" x14ac:dyDescent="0.25">
      <c r="A430" s="11" t="s">
        <v>1067</v>
      </c>
      <c r="D430" s="35">
        <f>D$427-'Fiscal Forecasts'!$C$186</f>
        <v>2.404999999999994</v>
      </c>
      <c r="E430" s="35">
        <f t="shared" ref="E430:N430" si="254">E$427-D$427</f>
        <v>1.4830000000000041</v>
      </c>
      <c r="F430" s="35">
        <f t="shared" si="254"/>
        <v>6.7530000000000001</v>
      </c>
      <c r="G430" s="35">
        <f t="shared" si="254"/>
        <v>4.5989999999999966</v>
      </c>
      <c r="H430" s="35">
        <f t="shared" si="254"/>
        <v>6.5150000000000006</v>
      </c>
      <c r="I430" s="35">
        <f t="shared" si="254"/>
        <v>4.963000000000001</v>
      </c>
      <c r="J430" s="17">
        <f t="shared" si="254"/>
        <v>1.7049999999999983</v>
      </c>
      <c r="K430" s="17">
        <f t="shared" si="254"/>
        <v>1.1460000000000008</v>
      </c>
      <c r="L430" s="17">
        <f t="shared" si="254"/>
        <v>0.37300000000000466</v>
      </c>
      <c r="M430" s="17">
        <f t="shared" si="254"/>
        <v>-0.56400000000000716</v>
      </c>
      <c r="N430" s="17">
        <f t="shared" si="254"/>
        <v>-0.88199999999999079</v>
      </c>
      <c r="O430" s="16">
        <f ca="1">IF(O$6=OFFSET(Assumptions!$B$8,0,$C$1),OFFSET(Assumptions!$B$9,0,$C$1),N$430)</f>
        <v>0</v>
      </c>
      <c r="P430" s="16">
        <f ca="1">IF(P$6=OFFSET(Assumptions!$B$8,0,$C$1),OFFSET(Assumptions!$B$9,0,$C$1),O$430)</f>
        <v>0</v>
      </c>
      <c r="Q430" s="16">
        <f ca="1">IF(Q$6=OFFSET(Assumptions!$B$8,0,$C$1),OFFSET(Assumptions!$B$9,0,$C$1),P$430)</f>
        <v>0</v>
      </c>
      <c r="R430" s="16">
        <f ca="1">IF(R$6=OFFSET(Assumptions!$B$8,0,$C$1),OFFSET(Assumptions!$B$9,0,$C$1),Q$430)</f>
        <v>0</v>
      </c>
      <c r="S430" s="16">
        <f ca="1">IF(S$6=OFFSET(Assumptions!$B$8,0,$C$1),OFFSET(Assumptions!$B$9,0,$C$1),R$430)</f>
        <v>0</v>
      </c>
      <c r="T430" s="16">
        <f ca="1">IF(T$6=OFFSET(Assumptions!$B$8,0,$C$1),OFFSET(Assumptions!$B$9,0,$C$1),S$430)</f>
        <v>0</v>
      </c>
      <c r="U430" s="16">
        <f ca="1">IF(U$6=OFFSET(Assumptions!$B$8,0,$C$1),OFFSET(Assumptions!$B$9,0,$C$1),T$430)</f>
        <v>0</v>
      </c>
      <c r="V430" s="16">
        <f ca="1">IF(V$6=OFFSET(Assumptions!$B$8,0,$C$1),OFFSET(Assumptions!$B$9,0,$C$1),U$430)</f>
        <v>0</v>
      </c>
      <c r="W430" s="16">
        <f ca="1">IF(W$6=OFFSET(Assumptions!$B$8,0,$C$1),OFFSET(Assumptions!$B$9,0,$C$1),V$430)</f>
        <v>0</v>
      </c>
      <c r="X430" s="16">
        <f ca="1">IF(X$6=OFFSET(Assumptions!$B$8,0,$C$1),OFFSET(Assumptions!$B$9,0,$C$1),W$430)</f>
        <v>0</v>
      </c>
    </row>
    <row r="431" spans="1:24" x14ac:dyDescent="0.25">
      <c r="A431" s="11" t="s">
        <v>1071</v>
      </c>
      <c r="D431" s="35">
        <f t="shared" ref="D431:N431" si="255">D$215</f>
        <v>1.5009999999999999</v>
      </c>
      <c r="E431" s="35">
        <f t="shared" si="255"/>
        <v>1.675</v>
      </c>
      <c r="F431" s="35">
        <f t="shared" si="255"/>
        <v>1.883</v>
      </c>
      <c r="G431" s="35">
        <f t="shared" si="255"/>
        <v>2.0019999999999998</v>
      </c>
      <c r="H431" s="35">
        <f t="shared" si="255"/>
        <v>2.4</v>
      </c>
      <c r="I431" s="35">
        <f t="shared" si="255"/>
        <v>2.81</v>
      </c>
      <c r="J431" s="17">
        <f t="shared" si="255"/>
        <v>2.7429999999999999</v>
      </c>
      <c r="K431" s="17">
        <f t="shared" si="255"/>
        <v>2.9079999999999999</v>
      </c>
      <c r="L431" s="17">
        <f t="shared" si="255"/>
        <v>2.9940000000000002</v>
      </c>
      <c r="M431" s="17">
        <f t="shared" si="255"/>
        <v>3.069</v>
      </c>
      <c r="N431" s="17">
        <f t="shared" si="255"/>
        <v>3.073</v>
      </c>
      <c r="O431" s="16">
        <f t="shared" ref="O431:X431" si="256">N$431</f>
        <v>3.073</v>
      </c>
      <c r="P431" s="16">
        <f t="shared" si="256"/>
        <v>3.073</v>
      </c>
      <c r="Q431" s="16">
        <f t="shared" si="256"/>
        <v>3.073</v>
      </c>
      <c r="R431" s="16">
        <f t="shared" si="256"/>
        <v>3.073</v>
      </c>
      <c r="S431" s="16">
        <f t="shared" si="256"/>
        <v>3.073</v>
      </c>
      <c r="T431" s="16">
        <f t="shared" si="256"/>
        <v>3.073</v>
      </c>
      <c r="U431" s="16">
        <f t="shared" si="256"/>
        <v>3.073</v>
      </c>
      <c r="V431" s="16">
        <f t="shared" si="256"/>
        <v>3.073</v>
      </c>
      <c r="W431" s="16">
        <f t="shared" si="256"/>
        <v>3.073</v>
      </c>
      <c r="X431" s="16">
        <f t="shared" si="256"/>
        <v>3.073</v>
      </c>
    </row>
    <row r="432" spans="1:24" x14ac:dyDescent="0.25">
      <c r="A432" s="11" t="s">
        <v>1068</v>
      </c>
      <c r="D432" s="35">
        <f t="shared" ref="D432:X432" si="257">D$138-D$292</f>
        <v>0.99300000000000033</v>
      </c>
      <c r="E432" s="35">
        <f t="shared" si="257"/>
        <v>0.64000000000000012</v>
      </c>
      <c r="F432" s="35">
        <f t="shared" si="257"/>
        <v>-1.3499999999999996</v>
      </c>
      <c r="G432" s="35">
        <f t="shared" si="257"/>
        <v>-0.83400000000000007</v>
      </c>
      <c r="H432" s="35">
        <f t="shared" si="257"/>
        <v>-2.4960000000000004</v>
      </c>
      <c r="I432" s="35">
        <f t="shared" si="257"/>
        <v>-1.4139999999999997</v>
      </c>
      <c r="J432" s="17">
        <f t="shared" si="257"/>
        <v>-1.6440000000000001</v>
      </c>
      <c r="K432" s="17">
        <f t="shared" si="257"/>
        <v>-2.6550000000000002</v>
      </c>
      <c r="L432" s="17">
        <f t="shared" si="257"/>
        <v>3.0000000000000249E-2</v>
      </c>
      <c r="M432" s="17">
        <f t="shared" si="257"/>
        <v>0.9350000000000005</v>
      </c>
      <c r="N432" s="17">
        <f t="shared" si="257"/>
        <v>0.9870000000000001</v>
      </c>
      <c r="O432" s="16">
        <f t="shared" ca="1" si="257"/>
        <v>0.98530392411196743</v>
      </c>
      <c r="P432" s="16">
        <f t="shared" ca="1" si="257"/>
        <v>0.98115592684073771</v>
      </c>
      <c r="Q432" s="16">
        <f t="shared" ca="1" si="257"/>
        <v>1.0136132214279483</v>
      </c>
      <c r="R432" s="16">
        <f t="shared" ca="1" si="257"/>
        <v>1.0535257627293655</v>
      </c>
      <c r="S432" s="16">
        <f t="shared" ca="1" si="257"/>
        <v>1.0943183620368719</v>
      </c>
      <c r="T432" s="16">
        <f t="shared" ca="1" si="257"/>
        <v>1.1359287661966766</v>
      </c>
      <c r="U432" s="16">
        <f t="shared" ca="1" si="257"/>
        <v>1.1780939640431569</v>
      </c>
      <c r="V432" s="16">
        <f t="shared" ca="1" si="257"/>
        <v>1.2208931075028984</v>
      </c>
      <c r="W432" s="16">
        <f t="shared" ca="1" si="257"/>
        <v>1.2643246020302064</v>
      </c>
      <c r="X432" s="16">
        <f t="shared" ca="1" si="257"/>
        <v>1.3087157269287957</v>
      </c>
    </row>
    <row r="433" spans="1:24" x14ac:dyDescent="0.25">
      <c r="A433" s="11" t="s">
        <v>1069</v>
      </c>
      <c r="B433" s="10" t="str">
        <f t="shared" ref="B433:B434" si="258">$B$38</f>
        <v>From Fiscal Forecasts</v>
      </c>
      <c r="D433" s="35">
        <f>'Fiscal Forecasts'!D$336</f>
        <v>40.21</v>
      </c>
      <c r="E433" s="35">
        <f>'Fiscal Forecasts'!E$336</f>
        <v>39.828000000000003</v>
      </c>
      <c r="F433" s="35">
        <f>'Fiscal Forecasts'!F$336</f>
        <v>41.613999999999997</v>
      </c>
      <c r="G433" s="35">
        <f>'Fiscal Forecasts'!G$336</f>
        <v>47.475999999999999</v>
      </c>
      <c r="H433" s="35">
        <f>'Fiscal Forecasts'!H$336</f>
        <v>53.314</v>
      </c>
      <c r="I433" s="35">
        <f>'Fiscal Forecasts'!I$336</f>
        <v>57.723999999999997</v>
      </c>
      <c r="J433" s="17">
        <f>'Fiscal Forecasts'!J$336</f>
        <v>59.405999999999999</v>
      </c>
      <c r="K433" s="17">
        <f>'Fiscal Forecasts'!K$336</f>
        <v>63.405999999999999</v>
      </c>
      <c r="L433" s="17">
        <f>'Fiscal Forecasts'!L$336</f>
        <v>65.626999999999995</v>
      </c>
      <c r="M433" s="17">
        <f>'Fiscal Forecasts'!M$336</f>
        <v>67.17</v>
      </c>
      <c r="N433" s="17">
        <f>'Fiscal Forecasts'!N$336</f>
        <v>67.893000000000001</v>
      </c>
      <c r="O433" s="16">
        <f ca="1">N$433+IF(O$6=OFFSET(Assumptions!$B$8,0,$C$1),AVERAGE(L$433-K$433,M$433-L$433,N$433-M$433),N$433-M$433)</f>
        <v>69.388666666666666</v>
      </c>
      <c r="P433" s="16">
        <f ca="1">O$433+IF(P$6=OFFSET(Assumptions!$B$8,0,$C$1),AVERAGE(M$433-L$433,N$433-M$433,O$433-N$433),O$433-N$433)</f>
        <v>70.884333333333331</v>
      </c>
      <c r="Q433" s="16">
        <f ca="1">P$433+IF(Q$6=OFFSET(Assumptions!$B$8,0,$C$1),AVERAGE(N$433-M$433,O$433-N$433,P$433-O$433),P$433-O$433)</f>
        <v>72.38</v>
      </c>
      <c r="R433" s="16">
        <f ca="1">Q$433+IF(R$6=OFFSET(Assumptions!$B$8,0,$C$1),AVERAGE(O$433-N$433,P$433-O$433,Q$433-P$433),Q$433-P$433)</f>
        <v>73.87566666666666</v>
      </c>
      <c r="S433" s="16">
        <f ca="1">R$433+IF(S$6=OFFSET(Assumptions!$B$8,0,$C$1),AVERAGE(P$433-O$433,Q$433-P$433,R$433-Q$433),R$433-Q$433)</f>
        <v>75.371333333333325</v>
      </c>
      <c r="T433" s="16">
        <f ca="1">S$433+IF(T$6=OFFSET(Assumptions!$B$8,0,$C$1),AVERAGE(Q$433-P$433,R$433-Q$433,S$433-R$433),S$433-R$433)</f>
        <v>76.86699999999999</v>
      </c>
      <c r="U433" s="16">
        <f ca="1">T$433+IF(U$6=OFFSET(Assumptions!$B$8,0,$C$1),AVERAGE(R$433-Q$433,S$433-R$433,T$433-S$433),T$433-S$433)</f>
        <v>78.362666666666655</v>
      </c>
      <c r="V433" s="16">
        <f ca="1">U$433+IF(V$6=OFFSET(Assumptions!$B$8,0,$C$1),AVERAGE(S$433-R$433,T$433-S$433,U$433-T$433),U$433-T$433)</f>
        <v>79.85833333333332</v>
      </c>
      <c r="W433" s="16">
        <f ca="1">V$433+IF(W$6=OFFSET(Assumptions!$B$8,0,$C$1),AVERAGE(T$433-S$433,U$433-T$433,V$433-U$433),V$433-U$433)</f>
        <v>81.353999999999985</v>
      </c>
      <c r="X433" s="16">
        <f ca="1">W$433+IF(X$6=OFFSET(Assumptions!$B$8,0,$C$1),AVERAGE(U$433-T$433,V$433-U$433,W$433-V$433),W$433-V$433)</f>
        <v>82.84966666666665</v>
      </c>
    </row>
    <row r="434" spans="1:24" x14ac:dyDescent="0.25">
      <c r="A434" s="11" t="s">
        <v>1072</v>
      </c>
      <c r="B434" s="10" t="str">
        <f t="shared" si="258"/>
        <v>From Fiscal Forecasts</v>
      </c>
      <c r="D434" s="35">
        <f>'Fiscal Forecasts'!D$348-D$431</f>
        <v>3.0530000000000004</v>
      </c>
      <c r="E434" s="35">
        <f>'Fiscal Forecasts'!E$348-E$431</f>
        <v>3.6189999999999998</v>
      </c>
      <c r="F434" s="35">
        <f>'Fiscal Forecasts'!F$348-F$431</f>
        <v>3.6829999999999998</v>
      </c>
      <c r="G434" s="35">
        <f>'Fiscal Forecasts'!G$348-G$431</f>
        <v>4.1500000000000004</v>
      </c>
      <c r="H434" s="35">
        <f>'Fiscal Forecasts'!H$348-H$431</f>
        <v>4.2010000000000005</v>
      </c>
      <c r="I434" s="35">
        <f>'Fiscal Forecasts'!I$348-I$431</f>
        <v>4.8109999999999999</v>
      </c>
      <c r="J434" s="17">
        <f>'Fiscal Forecasts'!J$348-J$431</f>
        <v>5.3170000000000002</v>
      </c>
      <c r="K434" s="17">
        <f>'Fiscal Forecasts'!K$348-K$431</f>
        <v>5.516</v>
      </c>
      <c r="L434" s="17">
        <f>'Fiscal Forecasts'!L$348-L$431</f>
        <v>5.7230000000000008</v>
      </c>
      <c r="M434" s="17">
        <f>'Fiscal Forecasts'!M$348-M$431</f>
        <v>5.9950000000000001</v>
      </c>
      <c r="N434" s="17">
        <f>'Fiscal Forecasts'!N$348-N$431</f>
        <v>6.1319999999999997</v>
      </c>
      <c r="O434" s="16">
        <f t="shared" ref="O434:X434" ca="1" si="259">SUM(O$216:O$217)</f>
        <v>6.1607767255345767</v>
      </c>
      <c r="P434" s="16">
        <f t="shared" ca="1" si="259"/>
        <v>6.1895053385363266</v>
      </c>
      <c r="Q434" s="16">
        <f t="shared" ca="1" si="259"/>
        <v>6.2186104230131534</v>
      </c>
      <c r="R434" s="16">
        <f t="shared" ca="1" si="259"/>
        <v>6.2481784522143897</v>
      </c>
      <c r="S434" s="16">
        <f t="shared" ca="1" si="259"/>
        <v>6.2782196339142793</v>
      </c>
      <c r="T434" s="16">
        <f t="shared" ca="1" si="259"/>
        <v>6.308743453814051</v>
      </c>
      <c r="U434" s="16">
        <f t="shared" ca="1" si="259"/>
        <v>6.3397563469539673</v>
      </c>
      <c r="V434" s="16">
        <f t="shared" ca="1" si="259"/>
        <v>6.3712656664558232</v>
      </c>
      <c r="W434" s="16">
        <f t="shared" ca="1" si="259"/>
        <v>6.4032787469463068</v>
      </c>
      <c r="X434" s="16">
        <f t="shared" ca="1" si="259"/>
        <v>6.4358067191578474</v>
      </c>
    </row>
    <row r="436" spans="1:24" x14ac:dyDescent="0.25">
      <c r="A436" s="9" t="s">
        <v>627</v>
      </c>
    </row>
    <row r="437" spans="1:24" x14ac:dyDescent="0.25">
      <c r="A437" s="9" t="s">
        <v>1074</v>
      </c>
      <c r="B437" s="10" t="str">
        <f t="shared" ref="B437:B438" si="260">$B$38</f>
        <v>From Fiscal Forecasts</v>
      </c>
      <c r="C437" s="64" cm="1">
        <f t="array" aca="1" ref="C437" ca="1">SUMPRODUCT(OFFSET($N$437,0,0,1,-OFFSET(Assumptions!$B$59,0,$C$1))/OFFSET($N$13,0,0,1,-OFFSET(Assumptions!$B$59,0,$C$1)))/OFFSET(Assumptions!$B$59,0,$C$1)</f>
        <v>0.17001946418798214</v>
      </c>
      <c r="D437" s="42">
        <f>'Fiscal Forecasts'!D$187</f>
        <v>46.601999999999997</v>
      </c>
      <c r="E437" s="42">
        <f>'Fiscal Forecasts'!E$187</f>
        <v>49.604999999999997</v>
      </c>
      <c r="F437" s="42">
        <f>'Fiscal Forecasts'!F$187</f>
        <v>53.877000000000002</v>
      </c>
      <c r="G437" s="42">
        <f>'Fiscal Forecasts'!G$187</f>
        <v>57.801000000000002</v>
      </c>
      <c r="H437" s="42">
        <f>'Fiscal Forecasts'!H$187</f>
        <v>64.816999999999993</v>
      </c>
      <c r="I437" s="42">
        <f>'Fiscal Forecasts'!I$187</f>
        <v>69.174000000000007</v>
      </c>
      <c r="J437" s="43">
        <f>'Fiscal Forecasts'!J$187</f>
        <v>76.697999999999993</v>
      </c>
      <c r="K437" s="43">
        <f>'Fiscal Forecasts'!K$187</f>
        <v>82.582999999999998</v>
      </c>
      <c r="L437" s="43">
        <f>'Fiscal Forecasts'!L$187</f>
        <v>87.412000000000006</v>
      </c>
      <c r="M437" s="43">
        <f>'Fiscal Forecasts'!M$187</f>
        <v>91.539000000000001</v>
      </c>
      <c r="N437" s="43">
        <f>'Fiscal Forecasts'!N$187</f>
        <v>94.503</v>
      </c>
      <c r="O437" s="47">
        <f ca="1">SUM(N$437,O$138-O$292)</f>
        <v>95.48830392411196</v>
      </c>
      <c r="P437" s="47">
        <f t="shared" ref="P437:X437" ca="1" si="261">SUM(O$437,P$138-P$292)</f>
        <v>96.469459850952703</v>
      </c>
      <c r="Q437" s="47">
        <f t="shared" ca="1" si="261"/>
        <v>97.483073072380648</v>
      </c>
      <c r="R437" s="47">
        <f t="shared" ca="1" si="261"/>
        <v>98.536598835110013</v>
      </c>
      <c r="S437" s="47">
        <f t="shared" ca="1" si="261"/>
        <v>99.630917197146886</v>
      </c>
      <c r="T437" s="47">
        <f t="shared" ca="1" si="261"/>
        <v>100.76684596334356</v>
      </c>
      <c r="U437" s="47">
        <f t="shared" ca="1" si="261"/>
        <v>101.94493992738671</v>
      </c>
      <c r="V437" s="47">
        <f t="shared" ca="1" si="261"/>
        <v>103.16583303488962</v>
      </c>
      <c r="W437" s="47">
        <f t="shared" ca="1" si="261"/>
        <v>104.43015763691982</v>
      </c>
      <c r="X437" s="47">
        <f t="shared" ca="1" si="261"/>
        <v>105.73887336384861</v>
      </c>
    </row>
    <row r="438" spans="1:24" x14ac:dyDescent="0.25">
      <c r="A438" s="9" t="s">
        <v>1075</v>
      </c>
      <c r="B438" s="10" t="str">
        <f t="shared" si="260"/>
        <v>From Fiscal Forecasts</v>
      </c>
      <c r="D438" s="42">
        <f>'Fiscal Forecasts'!D$129</f>
        <v>14.65</v>
      </c>
      <c r="E438" s="42">
        <f>'Fiscal Forecasts'!E$129</f>
        <v>14.308</v>
      </c>
      <c r="F438" s="42">
        <f>'Fiscal Forecasts'!F$129</f>
        <v>14.420999999999999</v>
      </c>
      <c r="G438" s="42">
        <f>'Fiscal Forecasts'!G$129</f>
        <v>16.247</v>
      </c>
      <c r="H438" s="42">
        <f>'Fiscal Forecasts'!H$129</f>
        <v>17.033999999999999</v>
      </c>
      <c r="I438" s="42">
        <f>'Fiscal Forecasts'!I$129</f>
        <v>17.951000000000001</v>
      </c>
      <c r="J438" s="43">
        <f>'Fiscal Forecasts'!J$129</f>
        <v>18.553000000000001</v>
      </c>
      <c r="K438" s="43">
        <f>'Fiscal Forecasts'!K$129</f>
        <v>16.738</v>
      </c>
      <c r="L438" s="43">
        <f>'Fiscal Forecasts'!L$129</f>
        <v>17.015000000000001</v>
      </c>
      <c r="M438" s="43">
        <f>'Fiscal Forecasts'!M$129</f>
        <v>17.399000000000001</v>
      </c>
      <c r="N438" s="43">
        <f>'Fiscal Forecasts'!N$129</f>
        <v>17.648</v>
      </c>
      <c r="O438" s="47">
        <f ca="1">N$438*(1+O$29)</f>
        <v>18.000959999999999</v>
      </c>
      <c r="P438" s="47">
        <f t="shared" ref="P438:X438" ca="1" si="262">O$438*(1+P$29)</f>
        <v>18.360979199999999</v>
      </c>
      <c r="Q438" s="47">
        <f t="shared" ca="1" si="262"/>
        <v>18.728198784</v>
      </c>
      <c r="R438" s="47">
        <f t="shared" ca="1" si="262"/>
        <v>19.102762759680001</v>
      </c>
      <c r="S438" s="47">
        <f t="shared" ca="1" si="262"/>
        <v>19.4848180148736</v>
      </c>
      <c r="T438" s="47">
        <f t="shared" ca="1" si="262"/>
        <v>19.874514375171071</v>
      </c>
      <c r="U438" s="47">
        <f t="shared" ca="1" si="262"/>
        <v>20.272004662674494</v>
      </c>
      <c r="V438" s="47">
        <f t="shared" ca="1" si="262"/>
        <v>20.677444755927983</v>
      </c>
      <c r="W438" s="47">
        <f t="shared" ca="1" si="262"/>
        <v>21.090993651046542</v>
      </c>
      <c r="X438" s="47">
        <f t="shared" ca="1" si="262"/>
        <v>21.512813524067472</v>
      </c>
    </row>
    <row r="440" spans="1:24" x14ac:dyDescent="0.25">
      <c r="A440" s="9" t="s">
        <v>628</v>
      </c>
    </row>
    <row r="441" spans="1:24" x14ac:dyDescent="0.25">
      <c r="A441" s="9" t="s">
        <v>1107</v>
      </c>
      <c r="B441" s="10" t="str">
        <f t="shared" ref="B441:B443" si="263">$B$38</f>
        <v>From Fiscal Forecasts</v>
      </c>
      <c r="D441" s="42">
        <f>'Fiscal Forecasts'!D$188</f>
        <v>1.681</v>
      </c>
      <c r="E441" s="42">
        <f>'Fiscal Forecasts'!E$188</f>
        <v>1.57</v>
      </c>
      <c r="F441" s="42">
        <f>'Fiscal Forecasts'!F$188</f>
        <v>1.637</v>
      </c>
      <c r="G441" s="42">
        <f>'Fiscal Forecasts'!G$188</f>
        <v>1.4650000000000001</v>
      </c>
      <c r="H441" s="42">
        <f>'Fiscal Forecasts'!H$188</f>
        <v>1.583</v>
      </c>
      <c r="I441" s="42">
        <f>'Fiscal Forecasts'!I$188</f>
        <v>1.577</v>
      </c>
      <c r="J441" s="43">
        <f>'Fiscal Forecasts'!J$188</f>
        <v>1.7330000000000001</v>
      </c>
      <c r="K441" s="43">
        <f>'Fiscal Forecasts'!K$188</f>
        <v>1.764</v>
      </c>
      <c r="L441" s="43">
        <f>'Fiscal Forecasts'!L$188</f>
        <v>1.72</v>
      </c>
      <c r="M441" s="43">
        <f>'Fiscal Forecasts'!M$188</f>
        <v>1.665</v>
      </c>
      <c r="N441" s="43">
        <f>'Fiscal Forecasts'!N$188</f>
        <v>1.607</v>
      </c>
      <c r="O441" s="47">
        <f t="shared" ref="O441:X441" si="264">N$441</f>
        <v>1.607</v>
      </c>
      <c r="P441" s="47">
        <f t="shared" si="264"/>
        <v>1.607</v>
      </c>
      <c r="Q441" s="47">
        <f t="shared" si="264"/>
        <v>1.607</v>
      </c>
      <c r="R441" s="47">
        <f t="shared" si="264"/>
        <v>1.607</v>
      </c>
      <c r="S441" s="47">
        <f t="shared" si="264"/>
        <v>1.607</v>
      </c>
      <c r="T441" s="47">
        <f t="shared" si="264"/>
        <v>1.607</v>
      </c>
      <c r="U441" s="47">
        <f t="shared" si="264"/>
        <v>1.607</v>
      </c>
      <c r="V441" s="47">
        <f t="shared" si="264"/>
        <v>1.607</v>
      </c>
      <c r="W441" s="47">
        <f t="shared" si="264"/>
        <v>1.607</v>
      </c>
      <c r="X441" s="47">
        <f t="shared" si="264"/>
        <v>1.607</v>
      </c>
    </row>
    <row r="442" spans="1:24" x14ac:dyDescent="0.25">
      <c r="A442" s="11" t="s">
        <v>707</v>
      </c>
      <c r="B442" s="10" t="str">
        <f t="shared" si="263"/>
        <v>From Fiscal Forecasts</v>
      </c>
      <c r="D442" s="35">
        <f>'Fiscal Forecasts'!D$353</f>
        <v>0.69299999999999995</v>
      </c>
      <c r="E442" s="35">
        <f>'Fiscal Forecasts'!E$353</f>
        <v>0.81599999999999995</v>
      </c>
      <c r="F442" s="35">
        <f>'Fiscal Forecasts'!F$353</f>
        <v>0.83299999999999996</v>
      </c>
      <c r="G442" s="35">
        <f>'Fiscal Forecasts'!G$353</f>
        <v>0.72799999999999998</v>
      </c>
      <c r="H442" s="35">
        <f>'Fiscal Forecasts'!H$353</f>
        <v>0.98099999999999998</v>
      </c>
      <c r="I442" s="35">
        <f>'Fiscal Forecasts'!I$353</f>
        <v>1.008</v>
      </c>
      <c r="J442" s="17">
        <f>'Fiscal Forecasts'!J$353</f>
        <v>0.98899999999999999</v>
      </c>
      <c r="K442" s="17">
        <f>'Fiscal Forecasts'!K$353</f>
        <v>1.0009999999999999</v>
      </c>
      <c r="L442" s="17">
        <f>'Fiscal Forecasts'!L$353</f>
        <v>0.98899999999999999</v>
      </c>
      <c r="M442" s="17">
        <f>'Fiscal Forecasts'!M$353</f>
        <v>0.98199999999999998</v>
      </c>
      <c r="N442" s="17">
        <f>'Fiscal Forecasts'!N$353</f>
        <v>0.98699999999999999</v>
      </c>
      <c r="O442" s="16">
        <f t="shared" ref="O442:X442" ca="1" si="265">N$442*(1+O$29)</f>
        <v>1.00674</v>
      </c>
      <c r="P442" s="16">
        <f t="shared" ca="1" si="265"/>
        <v>1.0268748000000001</v>
      </c>
      <c r="Q442" s="16">
        <f t="shared" ca="1" si="265"/>
        <v>1.0474122960000001</v>
      </c>
      <c r="R442" s="16">
        <f t="shared" ca="1" si="265"/>
        <v>1.0683605419200002</v>
      </c>
      <c r="S442" s="16">
        <f t="shared" ca="1" si="265"/>
        <v>1.0897277527584002</v>
      </c>
      <c r="T442" s="16">
        <f t="shared" ca="1" si="265"/>
        <v>1.1115223078135681</v>
      </c>
      <c r="U442" s="16">
        <f t="shared" ca="1" si="265"/>
        <v>1.1337527539698395</v>
      </c>
      <c r="V442" s="16">
        <f t="shared" ca="1" si="265"/>
        <v>1.1564278090492364</v>
      </c>
      <c r="W442" s="16">
        <f t="shared" ca="1" si="265"/>
        <v>1.179556365230221</v>
      </c>
      <c r="X442" s="16">
        <f t="shared" ca="1" si="265"/>
        <v>1.2031474925348253</v>
      </c>
    </row>
    <row r="443" spans="1:24" x14ac:dyDescent="0.25">
      <c r="A443" s="11" t="s">
        <v>1078</v>
      </c>
      <c r="B443" s="10" t="str">
        <f t="shared" si="263"/>
        <v>From Fiscal Forecasts</v>
      </c>
      <c r="D443" s="35">
        <f>SUM('Fiscal Forecasts'!D$354:D$355)</f>
        <v>1.5369999999999999</v>
      </c>
      <c r="E443" s="35">
        <f>SUM('Fiscal Forecasts'!E$354:E$355)</f>
        <v>1.506</v>
      </c>
      <c r="F443" s="35">
        <f>SUM('Fiscal Forecasts'!F$354:F$355)</f>
        <v>1.131</v>
      </c>
      <c r="G443" s="35">
        <f>SUM('Fiscal Forecasts'!G$354:G$355)</f>
        <v>1.504</v>
      </c>
      <c r="H443" s="35">
        <f>SUM('Fiscal Forecasts'!H$354:H$355)</f>
        <v>1.3439999999999999</v>
      </c>
      <c r="I443" s="35">
        <f>SUM('Fiscal Forecasts'!I$354:I$355)</f>
        <v>1.4989999999999999</v>
      </c>
      <c r="J443" s="17">
        <f>SUM('Fiscal Forecasts'!J$354:J$355)</f>
        <v>1.4809999999999999</v>
      </c>
      <c r="K443" s="17">
        <f>SUM('Fiscal Forecasts'!K$354:K$355)</f>
        <v>1.4259999999999999</v>
      </c>
      <c r="L443" s="17">
        <f>SUM('Fiscal Forecasts'!L$354:L$355)</f>
        <v>1.407</v>
      </c>
      <c r="M443" s="17">
        <f>SUM('Fiscal Forecasts'!M$354:M$355)</f>
        <v>1.399</v>
      </c>
      <c r="N443" s="17">
        <f>SUM('Fiscal Forecasts'!N$354:N$355)</f>
        <v>1.4129999999999998</v>
      </c>
      <c r="O443" s="16">
        <f t="shared" ref="O443:X443" ca="1" si="266">N$443*(1+O$29)</f>
        <v>1.4412599999999998</v>
      </c>
      <c r="P443" s="16">
        <f t="shared" ca="1" si="266"/>
        <v>1.4700851999999998</v>
      </c>
      <c r="Q443" s="16">
        <f t="shared" ca="1" si="266"/>
        <v>1.4994869039999998</v>
      </c>
      <c r="R443" s="16">
        <f t="shared" ca="1" si="266"/>
        <v>1.5294766420799999</v>
      </c>
      <c r="S443" s="16">
        <f t="shared" ca="1" si="266"/>
        <v>1.5600661749215998</v>
      </c>
      <c r="T443" s="16">
        <f t="shared" ca="1" si="266"/>
        <v>1.5912674984200319</v>
      </c>
      <c r="U443" s="16">
        <f t="shared" ca="1" si="266"/>
        <v>1.6230928483884326</v>
      </c>
      <c r="V443" s="16">
        <f t="shared" ca="1" si="266"/>
        <v>1.6555547053562012</v>
      </c>
      <c r="W443" s="16">
        <f t="shared" ca="1" si="266"/>
        <v>1.6886657994633252</v>
      </c>
      <c r="X443" s="16">
        <f t="shared" ca="1" si="266"/>
        <v>1.7224391154525918</v>
      </c>
    </row>
    <row r="444" spans="1:24" x14ac:dyDescent="0.25">
      <c r="A444" s="9" t="s">
        <v>1077</v>
      </c>
      <c r="D444" s="65">
        <f t="shared" ref="D444:X444" si="267">SUM(D$441:D$443)</f>
        <v>3.911</v>
      </c>
      <c r="E444" s="65">
        <f t="shared" si="267"/>
        <v>3.8920000000000003</v>
      </c>
      <c r="F444" s="65">
        <f t="shared" si="267"/>
        <v>3.601</v>
      </c>
      <c r="G444" s="65">
        <f t="shared" si="267"/>
        <v>3.6970000000000001</v>
      </c>
      <c r="H444" s="65">
        <f t="shared" si="267"/>
        <v>3.9079999999999999</v>
      </c>
      <c r="I444" s="65">
        <f t="shared" si="267"/>
        <v>4.0839999999999996</v>
      </c>
      <c r="J444" s="66">
        <f t="shared" si="267"/>
        <v>4.2029999999999994</v>
      </c>
      <c r="K444" s="66">
        <f t="shared" si="267"/>
        <v>4.1909999999999998</v>
      </c>
      <c r="L444" s="66">
        <f t="shared" si="267"/>
        <v>4.1159999999999997</v>
      </c>
      <c r="M444" s="66">
        <f t="shared" si="267"/>
        <v>4.0460000000000003</v>
      </c>
      <c r="N444" s="66">
        <f t="shared" si="267"/>
        <v>4.0069999999999997</v>
      </c>
      <c r="O444" s="67">
        <f t="shared" ca="1" si="267"/>
        <v>4.0549999999999997</v>
      </c>
      <c r="P444" s="67">
        <f t="shared" ca="1" si="267"/>
        <v>4.1039599999999998</v>
      </c>
      <c r="Q444" s="67">
        <f t="shared" ca="1" si="267"/>
        <v>4.1538991999999997</v>
      </c>
      <c r="R444" s="67">
        <f t="shared" ca="1" si="267"/>
        <v>4.2048371839999996</v>
      </c>
      <c r="S444" s="67">
        <f t="shared" ca="1" si="267"/>
        <v>4.2567939276800004</v>
      </c>
      <c r="T444" s="67">
        <f t="shared" ca="1" si="267"/>
        <v>4.3097898062336002</v>
      </c>
      <c r="U444" s="67">
        <f t="shared" ca="1" si="267"/>
        <v>4.3638456023582721</v>
      </c>
      <c r="V444" s="67">
        <f t="shared" ca="1" si="267"/>
        <v>4.418982514405438</v>
      </c>
      <c r="W444" s="67">
        <f t="shared" ca="1" si="267"/>
        <v>4.4752221646935464</v>
      </c>
      <c r="X444" s="67">
        <f t="shared" ca="1" si="267"/>
        <v>4.5325866079874171</v>
      </c>
    </row>
    <row r="446" spans="1:24" x14ac:dyDescent="0.25">
      <c r="A446" s="9" t="s">
        <v>1079</v>
      </c>
    </row>
    <row r="447" spans="1:24" x14ac:dyDescent="0.25">
      <c r="A447" s="11" t="s">
        <v>742</v>
      </c>
      <c r="B447" s="10" t="str">
        <f t="shared" ref="B447:B451" si="268">$B$38</f>
        <v>From Fiscal Forecasts</v>
      </c>
      <c r="D447" s="35">
        <f>'Fiscal Forecasts'!D$293</f>
        <v>0</v>
      </c>
      <c r="E447" s="35">
        <f>'Fiscal Forecasts'!E$293</f>
        <v>0</v>
      </c>
      <c r="F447" s="35">
        <f>'Fiscal Forecasts'!F$293</f>
        <v>0</v>
      </c>
      <c r="G447" s="35">
        <f>'Fiscal Forecasts'!G$293</f>
        <v>0</v>
      </c>
      <c r="H447" s="35">
        <f>'Fiscal Forecasts'!H$293</f>
        <v>0</v>
      </c>
      <c r="I447" s="35">
        <f>'Fiscal Forecasts'!I$293</f>
        <v>0</v>
      </c>
      <c r="J447" s="17">
        <f>'Fiscal Forecasts'!J$293</f>
        <v>0</v>
      </c>
      <c r="K447" s="17">
        <f>'Fiscal Forecasts'!K$293</f>
        <v>2.56</v>
      </c>
      <c r="L447" s="17">
        <f>'Fiscal Forecasts'!L$293</f>
        <v>2.4780000000000002</v>
      </c>
      <c r="M447" s="17">
        <f>'Fiscal Forecasts'!M$293</f>
        <v>1.5880000000000001</v>
      </c>
      <c r="N447" s="17">
        <f>'Fiscal Forecasts'!N$293</f>
        <v>1.2010000000000001</v>
      </c>
      <c r="O447" s="16">
        <f ca="1">IF(O$6=OFFSET(Assumptions!$B$8,0,$C$1),OFFSET(Assumptions!$B$9,0,$C$1),N$447)</f>
        <v>0</v>
      </c>
      <c r="P447" s="16">
        <f ca="1">IF(P$6=OFFSET(Assumptions!$B$8,0,$C$1),OFFSET(Assumptions!$B$9,0,$C$1),O$447)</f>
        <v>0</v>
      </c>
      <c r="Q447" s="16">
        <f ca="1">IF(Q$6=OFFSET(Assumptions!$B$8,0,$C$1),OFFSET(Assumptions!$B$9,0,$C$1),P$447)</f>
        <v>0</v>
      </c>
      <c r="R447" s="16">
        <f ca="1">IF(R$6=OFFSET(Assumptions!$B$8,0,$C$1),OFFSET(Assumptions!$B$9,0,$C$1),Q$447)</f>
        <v>0</v>
      </c>
      <c r="S447" s="16">
        <f ca="1">IF(S$6=OFFSET(Assumptions!$B$8,0,$C$1),OFFSET(Assumptions!$B$9,0,$C$1),R$447)</f>
        <v>0</v>
      </c>
      <c r="T447" s="16">
        <f ca="1">IF(T$6=OFFSET(Assumptions!$B$8,0,$C$1),OFFSET(Assumptions!$B$9,0,$C$1),S$447)</f>
        <v>0</v>
      </c>
      <c r="U447" s="16">
        <f ca="1">IF(U$6=OFFSET(Assumptions!$B$8,0,$C$1),OFFSET(Assumptions!$B$9,0,$C$1),T$447)</f>
        <v>0</v>
      </c>
      <c r="V447" s="16">
        <f ca="1">IF(V$6=OFFSET(Assumptions!$B$8,0,$C$1),OFFSET(Assumptions!$B$9,0,$C$1),U$447)</f>
        <v>0</v>
      </c>
      <c r="W447" s="16">
        <f ca="1">IF(W$6=OFFSET(Assumptions!$B$8,0,$C$1),OFFSET(Assumptions!$B$9,0,$C$1),V$447)</f>
        <v>0</v>
      </c>
      <c r="X447" s="16">
        <f ca="1">IF(X$6=OFFSET(Assumptions!$B$8,0,$C$1),OFFSET(Assumptions!$B$9,0,$C$1),W$447)</f>
        <v>0</v>
      </c>
    </row>
    <row r="448" spans="1:24" x14ac:dyDescent="0.25">
      <c r="A448" s="11" t="s">
        <v>1080</v>
      </c>
      <c r="B448" s="10" t="str">
        <f t="shared" si="268"/>
        <v>From Fiscal Forecasts</v>
      </c>
      <c r="D448" s="35">
        <f>SUM('Fiscal Forecasts'!D$294:D$297)</f>
        <v>0</v>
      </c>
      <c r="E448" s="35">
        <f>SUM('Fiscal Forecasts'!E$294:E$297)</f>
        <v>0</v>
      </c>
      <c r="F448" s="35">
        <f>SUM('Fiscal Forecasts'!F$294:F$297)</f>
        <v>0</v>
      </c>
      <c r="G448" s="35">
        <f>SUM('Fiscal Forecasts'!G$294:G$297)</f>
        <v>0</v>
      </c>
      <c r="H448" s="35">
        <f>SUM('Fiscal Forecasts'!H$294:H$297)</f>
        <v>0</v>
      </c>
      <c r="I448" s="35">
        <f>SUM('Fiscal Forecasts'!I$294:I$297)</f>
        <v>0</v>
      </c>
      <c r="J448" s="17">
        <f>SUM('Fiscal Forecasts'!J$294:J$297)</f>
        <v>0</v>
      </c>
      <c r="K448" s="17">
        <f>SUM('Fiscal Forecasts'!K$294:K$297)</f>
        <v>0</v>
      </c>
      <c r="L448" s="17">
        <f>SUM('Fiscal Forecasts'!L$294:L$297)</f>
        <v>0.66400000000000003</v>
      </c>
      <c r="M448" s="17">
        <f>SUM('Fiscal Forecasts'!M$294:M$297)</f>
        <v>1.8890000000000002</v>
      </c>
      <c r="N448" s="17">
        <f>SUM('Fiscal Forecasts'!N$294:N$297)</f>
        <v>2.83</v>
      </c>
      <c r="O448" s="16">
        <f ca="1">IF(O$6=OFFSET(Assumptions!$B$8,0,$C$1),OFFSET(Assumptions!$B$43,0,$C$1),N$448*(1+OFFSET(Assumptions!$B$44,0,$C$1)))</f>
        <v>3.625</v>
      </c>
      <c r="P448" s="16">
        <f ca="1">IF(P$6=OFFSET(Assumptions!$B$8,0,$C$1),OFFSET(Assumptions!$B$43,0,$C$1),O$448*(1+OFFSET(Assumptions!$B$44,0,$C$1)))</f>
        <v>3.7337500000000001</v>
      </c>
      <c r="Q448" s="16">
        <f ca="1">IF(Q$6=OFFSET(Assumptions!$B$8,0,$C$1),OFFSET(Assumptions!$B$43,0,$C$1),P$448*(1+OFFSET(Assumptions!$B$44,0,$C$1)))</f>
        <v>3.8457625000000002</v>
      </c>
      <c r="R448" s="16">
        <f ca="1">IF(R$6=OFFSET(Assumptions!$B$8,0,$C$1),OFFSET(Assumptions!$B$43,0,$C$1),Q$448*(1+OFFSET(Assumptions!$B$44,0,$C$1)))</f>
        <v>3.9611353750000005</v>
      </c>
      <c r="S448" s="16">
        <f ca="1">IF(S$6=OFFSET(Assumptions!$B$8,0,$C$1),OFFSET(Assumptions!$B$43,0,$C$1),R$448*(1+OFFSET(Assumptions!$B$44,0,$C$1)))</f>
        <v>4.0799694362500007</v>
      </c>
      <c r="T448" s="16">
        <f ca="1">IF(T$6=OFFSET(Assumptions!$B$8,0,$C$1),OFFSET(Assumptions!$B$43,0,$C$1),S$448*(1+OFFSET(Assumptions!$B$44,0,$C$1)))</f>
        <v>4.2023685193375009</v>
      </c>
      <c r="U448" s="16">
        <f ca="1">IF(U$6=OFFSET(Assumptions!$B$8,0,$C$1),OFFSET(Assumptions!$B$43,0,$C$1),T$448*(1+OFFSET(Assumptions!$B$44,0,$C$1)))</f>
        <v>4.3284395749176259</v>
      </c>
      <c r="V448" s="16">
        <f ca="1">IF(V$6=OFFSET(Assumptions!$B$8,0,$C$1),OFFSET(Assumptions!$B$43,0,$C$1),U$448*(1+OFFSET(Assumptions!$B$44,0,$C$1)))</f>
        <v>4.4582927621651551</v>
      </c>
      <c r="W448" s="16">
        <f ca="1">IF(W$6=OFFSET(Assumptions!$B$8,0,$C$1),OFFSET(Assumptions!$B$43,0,$C$1),V$448*(1+OFFSET(Assumptions!$B$44,0,$C$1)))</f>
        <v>4.59204154503011</v>
      </c>
      <c r="X448" s="16">
        <f ca="1">IF(X$6=OFFSET(Assumptions!$B$8,0,$C$1),OFFSET(Assumptions!$B$43,0,$C$1),W$448*(1+OFFSET(Assumptions!$B$44,0,$C$1)))</f>
        <v>4.7298027913810134</v>
      </c>
    </row>
    <row r="449" spans="1:24" x14ac:dyDescent="0.25">
      <c r="A449" s="9" t="s">
        <v>1081</v>
      </c>
      <c r="D449" s="65">
        <f t="shared" ref="D449:X449" si="269">SUM(D$447:D$448)</f>
        <v>0</v>
      </c>
      <c r="E449" s="65">
        <f t="shared" si="269"/>
        <v>0</v>
      </c>
      <c r="F449" s="65">
        <f t="shared" si="269"/>
        <v>0</v>
      </c>
      <c r="G449" s="65">
        <f t="shared" si="269"/>
        <v>0</v>
      </c>
      <c r="H449" s="65">
        <f t="shared" si="269"/>
        <v>0</v>
      </c>
      <c r="I449" s="65">
        <f t="shared" si="269"/>
        <v>0</v>
      </c>
      <c r="J449" s="66">
        <f t="shared" si="269"/>
        <v>0</v>
      </c>
      <c r="K449" s="66">
        <f t="shared" si="269"/>
        <v>2.56</v>
      </c>
      <c r="L449" s="66">
        <f t="shared" si="269"/>
        <v>3.1420000000000003</v>
      </c>
      <c r="M449" s="66">
        <f t="shared" si="269"/>
        <v>3.4770000000000003</v>
      </c>
      <c r="N449" s="66">
        <f t="shared" si="269"/>
        <v>4.0310000000000006</v>
      </c>
      <c r="O449" s="67">
        <f t="shared" ca="1" si="269"/>
        <v>3.625</v>
      </c>
      <c r="P449" s="67">
        <f t="shared" ca="1" si="269"/>
        <v>3.7337500000000001</v>
      </c>
      <c r="Q449" s="67">
        <f t="shared" ca="1" si="269"/>
        <v>3.8457625000000002</v>
      </c>
      <c r="R449" s="67">
        <f t="shared" ca="1" si="269"/>
        <v>3.9611353750000005</v>
      </c>
      <c r="S449" s="67">
        <f t="shared" ca="1" si="269"/>
        <v>4.0799694362500007</v>
      </c>
      <c r="T449" s="67">
        <f t="shared" ca="1" si="269"/>
        <v>4.2023685193375009</v>
      </c>
      <c r="U449" s="67">
        <f t="shared" ca="1" si="269"/>
        <v>4.3284395749176259</v>
      </c>
      <c r="V449" s="67">
        <f t="shared" ca="1" si="269"/>
        <v>4.4582927621651551</v>
      </c>
      <c r="W449" s="67">
        <f t="shared" ca="1" si="269"/>
        <v>4.59204154503011</v>
      </c>
      <c r="X449" s="67">
        <f t="shared" ca="1" si="269"/>
        <v>4.7298027913810134</v>
      </c>
    </row>
    <row r="450" spans="1:24" x14ac:dyDescent="0.25">
      <c r="A450" s="9" t="s">
        <v>1082</v>
      </c>
      <c r="B450" s="10" t="str">
        <f t="shared" si="268"/>
        <v>From Fiscal Forecasts</v>
      </c>
      <c r="D450" s="42">
        <f>'Fiscal Forecasts'!D$131</f>
        <v>0</v>
      </c>
      <c r="E450" s="42">
        <f>'Fiscal Forecasts'!E$131</f>
        <v>0</v>
      </c>
      <c r="F450" s="42">
        <f>'Fiscal Forecasts'!F$131</f>
        <v>0</v>
      </c>
      <c r="G450" s="42">
        <f>'Fiscal Forecasts'!G$131</f>
        <v>0</v>
      </c>
      <c r="H450" s="42">
        <f>'Fiscal Forecasts'!H$131</f>
        <v>0</v>
      </c>
      <c r="I450" s="42">
        <f>'Fiscal Forecasts'!I$131</f>
        <v>0</v>
      </c>
      <c r="J450" s="43">
        <f>'Fiscal Forecasts'!J$131</f>
        <v>0</v>
      </c>
      <c r="K450" s="43">
        <f>'Fiscal Forecasts'!K$131</f>
        <v>2.56</v>
      </c>
      <c r="L450" s="43">
        <f>'Fiscal Forecasts'!L$131</f>
        <v>5.702</v>
      </c>
      <c r="M450" s="43">
        <f>'Fiscal Forecasts'!M$131</f>
        <v>9.1790000000000003</v>
      </c>
      <c r="N450" s="43">
        <f>'Fiscal Forecasts'!N$131</f>
        <v>13.21</v>
      </c>
      <c r="O450" s="47">
        <f ca="1">SUM($D$449:O$449)</f>
        <v>16.835000000000001</v>
      </c>
      <c r="P450" s="47">
        <f ca="1">SUM($D$449:P$449)</f>
        <v>20.568750000000001</v>
      </c>
      <c r="Q450" s="47">
        <f ca="1">SUM($D$449:Q$449)</f>
        <v>24.414512500000001</v>
      </c>
      <c r="R450" s="47">
        <f ca="1">SUM($D$449:R$449)</f>
        <v>28.375647875000002</v>
      </c>
      <c r="S450" s="47">
        <f ca="1">SUM($D$449:S$449)</f>
        <v>32.455617311250002</v>
      </c>
      <c r="T450" s="47">
        <f ca="1">SUM($D$449:T$449)</f>
        <v>36.657985830587506</v>
      </c>
      <c r="U450" s="47">
        <f ca="1">SUM($D$449:U$449)</f>
        <v>40.98642540550513</v>
      </c>
      <c r="V450" s="47">
        <f ca="1">SUM($D$449:V$449)</f>
        <v>45.444718167670288</v>
      </c>
      <c r="W450" s="47">
        <f ca="1">SUM($D$449:W$449)</f>
        <v>50.036759712700402</v>
      </c>
      <c r="X450" s="47">
        <f ca="1">SUM($D$449:X$449)</f>
        <v>54.766562504081413</v>
      </c>
    </row>
    <row r="451" spans="1:24" x14ac:dyDescent="0.25">
      <c r="A451" s="9" t="s">
        <v>1083</v>
      </c>
      <c r="B451" s="10" t="str">
        <f t="shared" si="268"/>
        <v>From Fiscal Forecasts</v>
      </c>
      <c r="D451" s="42">
        <f>'Fiscal Forecasts'!D$132</f>
        <v>0</v>
      </c>
      <c r="E451" s="42">
        <f>'Fiscal Forecasts'!E$132</f>
        <v>0</v>
      </c>
      <c r="F451" s="42">
        <f>'Fiscal Forecasts'!F$132</f>
        <v>0</v>
      </c>
      <c r="G451" s="42">
        <f>'Fiscal Forecasts'!G$132</f>
        <v>0</v>
      </c>
      <c r="H451" s="42">
        <f>'Fiscal Forecasts'!H$132</f>
        <v>0</v>
      </c>
      <c r="I451" s="42">
        <f>'Fiscal Forecasts'!I$132</f>
        <v>0</v>
      </c>
      <c r="J451" s="43">
        <f>'Fiscal Forecasts'!J$132</f>
        <v>-1.5</v>
      </c>
      <c r="K451" s="43">
        <f>'Fiscal Forecasts'!K$132</f>
        <v>-2.4</v>
      </c>
      <c r="L451" s="43">
        <f>'Fiscal Forecasts'!L$132</f>
        <v>-2.5</v>
      </c>
      <c r="M451" s="43">
        <f>'Fiscal Forecasts'!M$132</f>
        <v>-2.6</v>
      </c>
      <c r="N451" s="43">
        <f>'Fiscal Forecasts'!N$132</f>
        <v>-2.7</v>
      </c>
      <c r="O451" s="47">
        <f t="shared" ref="O451:X451" si="270">N$451</f>
        <v>-2.7</v>
      </c>
      <c r="P451" s="47">
        <f t="shared" si="270"/>
        <v>-2.7</v>
      </c>
      <c r="Q451" s="47">
        <f t="shared" si="270"/>
        <v>-2.7</v>
      </c>
      <c r="R451" s="47">
        <f t="shared" si="270"/>
        <v>-2.7</v>
      </c>
      <c r="S451" s="47">
        <f t="shared" si="270"/>
        <v>-2.7</v>
      </c>
      <c r="T451" s="47">
        <f t="shared" si="270"/>
        <v>-2.7</v>
      </c>
      <c r="U451" s="47">
        <f t="shared" si="270"/>
        <v>-2.7</v>
      </c>
      <c r="V451" s="47">
        <f t="shared" si="270"/>
        <v>-2.7</v>
      </c>
      <c r="W451" s="47">
        <f t="shared" si="270"/>
        <v>-2.7</v>
      </c>
      <c r="X451" s="47">
        <f t="shared" si="270"/>
        <v>-2.7</v>
      </c>
    </row>
    <row r="453" spans="1:24" x14ac:dyDescent="0.25">
      <c r="A453" s="9" t="s">
        <v>632</v>
      </c>
    </row>
    <row r="454" spans="1:24" x14ac:dyDescent="0.25">
      <c r="A454" s="9" t="s">
        <v>1084</v>
      </c>
      <c r="B454" s="10" t="str">
        <f t="shared" ref="B454" si="271">$B$38</f>
        <v>From Fiscal Forecasts</v>
      </c>
      <c r="D454" s="42">
        <f>'Fiscal Forecasts'!D$134</f>
        <v>6.8129999999999997</v>
      </c>
      <c r="E454" s="42">
        <f>'Fiscal Forecasts'!E$134</f>
        <v>8.0220000000000002</v>
      </c>
      <c r="F454" s="42">
        <f>'Fiscal Forecasts'!F$134</f>
        <v>8.2560000000000002</v>
      </c>
      <c r="G454" s="42">
        <f>'Fiscal Forecasts'!G$134</f>
        <v>9.0609999999999999</v>
      </c>
      <c r="H454" s="42">
        <f>'Fiscal Forecasts'!H$134</f>
        <v>9.0020000000000007</v>
      </c>
      <c r="I454" s="42">
        <f>'Fiscal Forecasts'!I$134</f>
        <v>8.9770000000000003</v>
      </c>
      <c r="J454" s="43">
        <f>'Fiscal Forecasts'!J$134</f>
        <v>9.0660000000000007</v>
      </c>
      <c r="K454" s="43">
        <f>'Fiscal Forecasts'!K$134</f>
        <v>9.1560000000000006</v>
      </c>
      <c r="L454" s="43">
        <f>'Fiscal Forecasts'!L$134</f>
        <v>9.2479999999999993</v>
      </c>
      <c r="M454" s="43">
        <f>'Fiscal Forecasts'!M$134</f>
        <v>9.34</v>
      </c>
      <c r="N454" s="43">
        <f>'Fiscal Forecasts'!N$134</f>
        <v>9.4339999999999993</v>
      </c>
      <c r="O454" s="47">
        <f t="shared" ref="O454:X454" ca="1" si="272">N$454*(1+O$29)</f>
        <v>9.622679999999999</v>
      </c>
      <c r="P454" s="47">
        <f t="shared" ca="1" si="272"/>
        <v>9.8151335999999993</v>
      </c>
      <c r="Q454" s="47">
        <f t="shared" ca="1" si="272"/>
        <v>10.011436271999999</v>
      </c>
      <c r="R454" s="47">
        <f t="shared" ca="1" si="272"/>
        <v>10.21166499744</v>
      </c>
      <c r="S454" s="47">
        <f t="shared" ca="1" si="272"/>
        <v>10.4158982973888</v>
      </c>
      <c r="T454" s="47">
        <f t="shared" ca="1" si="272"/>
        <v>10.624216263336576</v>
      </c>
      <c r="U454" s="47">
        <f t="shared" ca="1" si="272"/>
        <v>10.836700588603309</v>
      </c>
      <c r="V454" s="47">
        <f t="shared" ca="1" si="272"/>
        <v>11.053434600375375</v>
      </c>
      <c r="W454" s="47">
        <f t="shared" ca="1" si="272"/>
        <v>11.274503292382883</v>
      </c>
      <c r="X454" s="47">
        <f t="shared" ca="1" si="272"/>
        <v>11.499993358230542</v>
      </c>
    </row>
    <row r="456" spans="1:24" x14ac:dyDescent="0.25">
      <c r="A456" s="9" t="s">
        <v>633</v>
      </c>
    </row>
    <row r="457" spans="1:24" x14ac:dyDescent="0.25">
      <c r="A457" s="11" t="s">
        <v>1085</v>
      </c>
      <c r="D457" s="35">
        <f t="shared" ref="D457:X457" si="273">D$394-D$73</f>
        <v>1.0880000000000001</v>
      </c>
      <c r="E457" s="35">
        <f t="shared" si="273"/>
        <v>1.5510000000000002</v>
      </c>
      <c r="F457" s="35">
        <f t="shared" si="273"/>
        <v>2.7319999999999998</v>
      </c>
      <c r="G457" s="35">
        <f t="shared" si="273"/>
        <v>-0.8879999999999999</v>
      </c>
      <c r="H457" s="35">
        <f t="shared" si="273"/>
        <v>0.40799999999999992</v>
      </c>
      <c r="I457" s="35">
        <f t="shared" si="273"/>
        <v>1.4810000000000003</v>
      </c>
      <c r="J457" s="17">
        <f t="shared" si="273"/>
        <v>1.3769999999999998</v>
      </c>
      <c r="K457" s="17">
        <f t="shared" si="273"/>
        <v>0.48899999999999988</v>
      </c>
      <c r="L457" s="17">
        <f t="shared" si="273"/>
        <v>0.53200000000000003</v>
      </c>
      <c r="M457" s="17">
        <f t="shared" si="273"/>
        <v>0.57600000000000051</v>
      </c>
      <c r="N457" s="17">
        <f t="shared" si="273"/>
        <v>0.59400000000000031</v>
      </c>
      <c r="O457" s="16">
        <f t="shared" ca="1" si="273"/>
        <v>3.3388721804007391</v>
      </c>
      <c r="P457" s="16">
        <f t="shared" ca="1" si="273"/>
        <v>3.5356306626569909</v>
      </c>
      <c r="Q457" s="16">
        <f t="shared" ca="1" si="273"/>
        <v>3.7392185619948295</v>
      </c>
      <c r="R457" s="16">
        <f t="shared" ca="1" si="273"/>
        <v>3.9482608185917343</v>
      </c>
      <c r="S457" s="16">
        <f t="shared" ca="1" si="273"/>
        <v>4.1620850005709489</v>
      </c>
      <c r="T457" s="16">
        <f t="shared" ca="1" si="273"/>
        <v>4.3812152050008422</v>
      </c>
      <c r="U457" s="16">
        <f t="shared" ca="1" si="273"/>
        <v>4.604439094198006</v>
      </c>
      <c r="V457" s="16">
        <f t="shared" ca="1" si="273"/>
        <v>4.8326373888600189</v>
      </c>
      <c r="W457" s="16">
        <f t="shared" ca="1" si="273"/>
        <v>5.0683028731462407</v>
      </c>
      <c r="X457" s="16">
        <f t="shared" ca="1" si="273"/>
        <v>5.314252651556342</v>
      </c>
    </row>
    <row r="458" spans="1:24" x14ac:dyDescent="0.25">
      <c r="A458" s="11" t="s">
        <v>789</v>
      </c>
      <c r="B458" s="10" t="str">
        <f t="shared" ref="B458:B461" si="274">$B$38</f>
        <v>From Fiscal Forecasts</v>
      </c>
      <c r="D458" s="35">
        <f>'Fiscal Forecasts'!D$371</f>
        <v>6.2930000000000001</v>
      </c>
      <c r="E458" s="35">
        <f>'Fiscal Forecasts'!E$371</f>
        <v>5.0430000000000001</v>
      </c>
      <c r="F458" s="35">
        <f>'Fiscal Forecasts'!F$371</f>
        <v>5.3979999999999997</v>
      </c>
      <c r="G458" s="35">
        <f>'Fiscal Forecasts'!G$371</f>
        <v>5.4870000000000001</v>
      </c>
      <c r="H458" s="35">
        <f>'Fiscal Forecasts'!H$371</f>
        <v>6.2060000000000004</v>
      </c>
      <c r="I458" s="35">
        <f>'Fiscal Forecasts'!I$371</f>
        <v>6.65</v>
      </c>
      <c r="J458" s="17">
        <f>'Fiscal Forecasts'!J$371</f>
        <v>7.2039999999999997</v>
      </c>
      <c r="K458" s="17">
        <f>'Fiscal Forecasts'!K$371</f>
        <v>7.3639999999999999</v>
      </c>
      <c r="L458" s="17">
        <f>'Fiscal Forecasts'!L$371</f>
        <v>6.9560000000000004</v>
      </c>
      <c r="M458" s="17">
        <f>'Fiscal Forecasts'!M$371</f>
        <v>7.1340000000000003</v>
      </c>
      <c r="N458" s="17">
        <f>'Fiscal Forecasts'!N$371</f>
        <v>7.3280000000000003</v>
      </c>
      <c r="O458" s="16">
        <f t="shared" ref="O458:X458" ca="1" si="275">N$458*O$142/N$142</f>
        <v>7.6089309288847353</v>
      </c>
      <c r="P458" s="16">
        <f t="shared" ca="1" si="275"/>
        <v>7.9212943020391924</v>
      </c>
      <c r="Q458" s="16">
        <f t="shared" ca="1" si="275"/>
        <v>8.2432910504739869</v>
      </c>
      <c r="R458" s="16">
        <f t="shared" ca="1" si="275"/>
        <v>8.5662228729633068</v>
      </c>
      <c r="S458" s="16">
        <f t="shared" ca="1" si="275"/>
        <v>8.8961970908025521</v>
      </c>
      <c r="T458" s="16">
        <f t="shared" ca="1" si="275"/>
        <v>9.2327054814816378</v>
      </c>
      <c r="U458" s="16">
        <f t="shared" ca="1" si="275"/>
        <v>9.5737320543799065</v>
      </c>
      <c r="V458" s="16">
        <f t="shared" ca="1" si="275"/>
        <v>9.9198768805508202</v>
      </c>
      <c r="W458" s="16">
        <f t="shared" ca="1" si="275"/>
        <v>10.271043105515879</v>
      </c>
      <c r="X458" s="16">
        <f t="shared" ca="1" si="275"/>
        <v>10.629894763076283</v>
      </c>
    </row>
    <row r="459" spans="1:24" x14ac:dyDescent="0.25">
      <c r="A459" s="11" t="s">
        <v>1086</v>
      </c>
      <c r="B459" s="10" t="str">
        <f t="shared" si="274"/>
        <v>From Fiscal Forecasts</v>
      </c>
      <c r="D459" s="35">
        <f>'Fiscal Forecasts'!D$192-SUM(D$457:D$458)</f>
        <v>3.0849999999999991</v>
      </c>
      <c r="E459" s="35">
        <f>'Fiscal Forecasts'!E$192-SUM(E$457:E$458)</f>
        <v>4.2559999999999993</v>
      </c>
      <c r="F459" s="35">
        <f>'Fiscal Forecasts'!F$192-SUM(F$457:F$458)</f>
        <v>3.9080000000000013</v>
      </c>
      <c r="G459" s="35">
        <f>'Fiscal Forecasts'!G$192-SUM(G$457:G$458)</f>
        <v>11.707999999999998</v>
      </c>
      <c r="H459" s="35">
        <f>'Fiscal Forecasts'!H$192-SUM(H$457:H$458)</f>
        <v>5.7219999999999995</v>
      </c>
      <c r="I459" s="35">
        <f>'Fiscal Forecasts'!I$192-SUM(I$457:I$458)</f>
        <v>4.6649999999999991</v>
      </c>
      <c r="J459" s="17">
        <f>'Fiscal Forecasts'!J$192-SUM(J$457:J$458)</f>
        <v>8.5300000000000011</v>
      </c>
      <c r="K459" s="17">
        <f>'Fiscal Forecasts'!K$192-SUM(K$457:K$458)</f>
        <v>8.9429999999999996</v>
      </c>
      <c r="L459" s="17">
        <f>'Fiscal Forecasts'!L$192-SUM(L$457:L$458)</f>
        <v>10.146000000000001</v>
      </c>
      <c r="M459" s="17">
        <f>'Fiscal Forecasts'!M$192-SUM(M$457:M$458)</f>
        <v>9.6720000000000006</v>
      </c>
      <c r="N459" s="17">
        <f>'Fiscal Forecasts'!N$192-SUM(N$457:N$458)</f>
        <v>9.4719999999999978</v>
      </c>
      <c r="O459" s="16">
        <f t="shared" ref="O459:X459" ca="1" si="276">N$459*(1+O$29)</f>
        <v>9.6614399999999971</v>
      </c>
      <c r="P459" s="16">
        <f t="shared" ca="1" si="276"/>
        <v>9.8546687999999971</v>
      </c>
      <c r="Q459" s="16">
        <f t="shared" ca="1" si="276"/>
        <v>10.051762175999997</v>
      </c>
      <c r="R459" s="16">
        <f t="shared" ca="1" si="276"/>
        <v>10.252797419519997</v>
      </c>
      <c r="S459" s="16">
        <f t="shared" ca="1" si="276"/>
        <v>10.457853367910397</v>
      </c>
      <c r="T459" s="16">
        <f t="shared" ca="1" si="276"/>
        <v>10.667010435268605</v>
      </c>
      <c r="U459" s="16">
        <f t="shared" ca="1" si="276"/>
        <v>10.880350643973976</v>
      </c>
      <c r="V459" s="16">
        <f t="shared" ca="1" si="276"/>
        <v>11.097957656853456</v>
      </c>
      <c r="W459" s="16">
        <f t="shared" ca="1" si="276"/>
        <v>11.319916809990525</v>
      </c>
      <c r="X459" s="16">
        <f t="shared" ca="1" si="276"/>
        <v>11.546315146190336</v>
      </c>
    </row>
    <row r="460" spans="1:24" x14ac:dyDescent="0.25">
      <c r="A460" s="9" t="s">
        <v>1087</v>
      </c>
      <c r="D460" s="65">
        <f t="shared" ref="D460:X460" si="277">SUM(D$457:D$459)</f>
        <v>10.465999999999999</v>
      </c>
      <c r="E460" s="65">
        <f t="shared" si="277"/>
        <v>10.85</v>
      </c>
      <c r="F460" s="65">
        <f t="shared" si="277"/>
        <v>12.038</v>
      </c>
      <c r="G460" s="65">
        <f t="shared" si="277"/>
        <v>16.306999999999999</v>
      </c>
      <c r="H460" s="65">
        <f t="shared" si="277"/>
        <v>12.336</v>
      </c>
      <c r="I460" s="65">
        <f t="shared" si="277"/>
        <v>12.795999999999999</v>
      </c>
      <c r="J460" s="66">
        <f t="shared" si="277"/>
        <v>17.111000000000001</v>
      </c>
      <c r="K460" s="66">
        <f t="shared" si="277"/>
        <v>16.795999999999999</v>
      </c>
      <c r="L460" s="66">
        <f t="shared" si="277"/>
        <v>17.634</v>
      </c>
      <c r="M460" s="66">
        <f t="shared" si="277"/>
        <v>17.382000000000001</v>
      </c>
      <c r="N460" s="66">
        <f t="shared" si="277"/>
        <v>17.393999999999998</v>
      </c>
      <c r="O460" s="67">
        <f t="shared" ca="1" si="277"/>
        <v>20.609243109285472</v>
      </c>
      <c r="P460" s="67">
        <f t="shared" ca="1" si="277"/>
        <v>21.31159376469618</v>
      </c>
      <c r="Q460" s="67">
        <f t="shared" ca="1" si="277"/>
        <v>22.034271788468814</v>
      </c>
      <c r="R460" s="67">
        <f t="shared" ca="1" si="277"/>
        <v>22.767281111075036</v>
      </c>
      <c r="S460" s="67">
        <f t="shared" ca="1" si="277"/>
        <v>23.516135459283898</v>
      </c>
      <c r="T460" s="67">
        <f t="shared" ca="1" si="277"/>
        <v>24.280931121751085</v>
      </c>
      <c r="U460" s="67">
        <f t="shared" ca="1" si="277"/>
        <v>25.05852179255189</v>
      </c>
      <c r="V460" s="67">
        <f t="shared" ca="1" si="277"/>
        <v>25.850471926264294</v>
      </c>
      <c r="W460" s="67">
        <f t="shared" ca="1" si="277"/>
        <v>26.659262788652647</v>
      </c>
      <c r="X460" s="67">
        <f t="shared" ca="1" si="277"/>
        <v>27.490462560822962</v>
      </c>
    </row>
    <row r="461" spans="1:24" x14ac:dyDescent="0.25">
      <c r="A461" s="9" t="s">
        <v>1088</v>
      </c>
      <c r="B461" s="10" t="str">
        <f t="shared" si="274"/>
        <v>From Fiscal Forecasts</v>
      </c>
      <c r="D461" s="42">
        <f>'Fiscal Forecasts'!D$135</f>
        <v>16.742000000000001</v>
      </c>
      <c r="E461" s="42">
        <f>'Fiscal Forecasts'!E$135</f>
        <v>16.971</v>
      </c>
      <c r="F461" s="42">
        <f>'Fiscal Forecasts'!F$135</f>
        <v>17.577000000000002</v>
      </c>
      <c r="G461" s="42">
        <f>'Fiscal Forecasts'!G$135</f>
        <v>21.42</v>
      </c>
      <c r="H461" s="42">
        <f>'Fiscal Forecasts'!H$135</f>
        <v>18.725999999999999</v>
      </c>
      <c r="I461" s="42">
        <f>'Fiscal Forecasts'!I$135</f>
        <v>19.863</v>
      </c>
      <c r="J461" s="43">
        <f>'Fiscal Forecasts'!J$135</f>
        <v>26.414999999999999</v>
      </c>
      <c r="K461" s="43">
        <f>'Fiscal Forecasts'!K$135</f>
        <v>26.925000000000001</v>
      </c>
      <c r="L461" s="43">
        <f>'Fiscal Forecasts'!L$135</f>
        <v>28.08</v>
      </c>
      <c r="M461" s="43">
        <f>'Fiscal Forecasts'!M$135</f>
        <v>28.029</v>
      </c>
      <c r="N461" s="43">
        <f>'Fiscal Forecasts'!N$135</f>
        <v>28.588999999999999</v>
      </c>
      <c r="O461" s="47">
        <f t="shared" ref="O461:X461" ca="1" si="278">O$460+(N$461-N$460)*(1+O$29)</f>
        <v>32.028143109285473</v>
      </c>
      <c r="P461" s="47">
        <f t="shared" ca="1" si="278"/>
        <v>32.958871764696184</v>
      </c>
      <c r="Q461" s="47">
        <f t="shared" ca="1" si="278"/>
        <v>33.914495348468819</v>
      </c>
      <c r="R461" s="47">
        <f t="shared" ca="1" si="278"/>
        <v>34.885109142275041</v>
      </c>
      <c r="S461" s="47">
        <f t="shared" ca="1" si="278"/>
        <v>35.876320051107903</v>
      </c>
      <c r="T461" s="47">
        <f t="shared" ca="1" si="278"/>
        <v>36.888319405411572</v>
      </c>
      <c r="U461" s="47">
        <f t="shared" ca="1" si="278"/>
        <v>37.918057841885584</v>
      </c>
      <c r="V461" s="47">
        <f t="shared" ca="1" si="278"/>
        <v>38.96719869658466</v>
      </c>
      <c r="W461" s="47">
        <f t="shared" ca="1" si="278"/>
        <v>40.038324094379419</v>
      </c>
      <c r="X461" s="47">
        <f t="shared" ca="1" si="278"/>
        <v>41.137105092664271</v>
      </c>
    </row>
    <row r="463" spans="1:24" x14ac:dyDescent="0.25">
      <c r="A463" s="9" t="s">
        <v>634</v>
      </c>
    </row>
    <row r="464" spans="1:24" x14ac:dyDescent="0.25">
      <c r="A464" s="9" t="s">
        <v>1089</v>
      </c>
      <c r="B464" s="10" t="str">
        <f t="shared" ref="B464:B465" si="279">$B$38</f>
        <v>From Fiscal Forecasts</v>
      </c>
      <c r="D464" s="42">
        <f>'Fiscal Forecasts'!D$193</f>
        <v>0.44900000000000001</v>
      </c>
      <c r="E464" s="42">
        <f>'Fiscal Forecasts'!E$193</f>
        <v>0.39800000000000002</v>
      </c>
      <c r="F464" s="42">
        <f>'Fiscal Forecasts'!F$193</f>
        <v>0.505</v>
      </c>
      <c r="G464" s="42">
        <f>'Fiscal Forecasts'!G$193</f>
        <v>0.56999999999999995</v>
      </c>
      <c r="H464" s="42">
        <f>'Fiscal Forecasts'!H$193</f>
        <v>0.504</v>
      </c>
      <c r="I464" s="42">
        <f>'Fiscal Forecasts'!I$193</f>
        <v>0.498</v>
      </c>
      <c r="J464" s="43">
        <f>'Fiscal Forecasts'!J$193</f>
        <v>0.47199999999999998</v>
      </c>
      <c r="K464" s="43">
        <f>'Fiscal Forecasts'!K$193</f>
        <v>0.47</v>
      </c>
      <c r="L464" s="43">
        <f>'Fiscal Forecasts'!L$193</f>
        <v>0.47</v>
      </c>
      <c r="M464" s="43">
        <f>'Fiscal Forecasts'!M$193</f>
        <v>0.47</v>
      </c>
      <c r="N464" s="43">
        <f>'Fiscal Forecasts'!N$193</f>
        <v>0.47</v>
      </c>
      <c r="O464" s="47">
        <f t="shared" ref="O464:X464" si="280">SUM(N$464,O$419-N$419,O$423-N$423)</f>
        <v>0.47</v>
      </c>
      <c r="P464" s="47">
        <f t="shared" si="280"/>
        <v>0.47</v>
      </c>
      <c r="Q464" s="47">
        <f t="shared" si="280"/>
        <v>0.47</v>
      </c>
      <c r="R464" s="47">
        <f t="shared" si="280"/>
        <v>0.47</v>
      </c>
      <c r="S464" s="47">
        <f t="shared" si="280"/>
        <v>0.47</v>
      </c>
      <c r="T464" s="47">
        <f t="shared" si="280"/>
        <v>0.47</v>
      </c>
      <c r="U464" s="47">
        <f t="shared" si="280"/>
        <v>0.47</v>
      </c>
      <c r="V464" s="47">
        <f t="shared" si="280"/>
        <v>0.47</v>
      </c>
      <c r="W464" s="47">
        <f t="shared" si="280"/>
        <v>0.47</v>
      </c>
      <c r="X464" s="47">
        <f t="shared" si="280"/>
        <v>0.47</v>
      </c>
    </row>
    <row r="465" spans="1:24" x14ac:dyDescent="0.25">
      <c r="A465" s="9" t="s">
        <v>1090</v>
      </c>
      <c r="B465" s="10" t="str">
        <f t="shared" si="279"/>
        <v>From Fiscal Forecasts</v>
      </c>
      <c r="D465" s="42">
        <f>'Fiscal Forecasts'!D$136</f>
        <v>2.5230000000000001</v>
      </c>
      <c r="E465" s="42">
        <f>'Fiscal Forecasts'!E$136</f>
        <v>2.59</v>
      </c>
      <c r="F465" s="42">
        <f>'Fiscal Forecasts'!F$136</f>
        <v>2.5489999999999999</v>
      </c>
      <c r="G465" s="42">
        <f>'Fiscal Forecasts'!G$136</f>
        <v>3.3679999999999999</v>
      </c>
      <c r="H465" s="42">
        <f>'Fiscal Forecasts'!H$136</f>
        <v>3.61</v>
      </c>
      <c r="I465" s="42">
        <f>'Fiscal Forecasts'!I$136</f>
        <v>3.4529999999999998</v>
      </c>
      <c r="J465" s="43">
        <f>'Fiscal Forecasts'!J$136</f>
        <v>3.6360000000000001</v>
      </c>
      <c r="K465" s="43">
        <f>'Fiscal Forecasts'!K$136</f>
        <v>3.6429999999999998</v>
      </c>
      <c r="L465" s="43">
        <f>'Fiscal Forecasts'!L$136</f>
        <v>3.734</v>
      </c>
      <c r="M465" s="43">
        <f>'Fiscal Forecasts'!M$136</f>
        <v>3.758</v>
      </c>
      <c r="N465" s="43">
        <f>'Fiscal Forecasts'!N$136</f>
        <v>3.8220000000000001</v>
      </c>
      <c r="O465" s="47">
        <f t="shared" ref="O465:X465" ca="1" si="281">SUM(N$465,O$420-N$420,O$424-N$424)</f>
        <v>3.9117600000000006</v>
      </c>
      <c r="P465" s="47">
        <f t="shared" ca="1" si="281"/>
        <v>4.0033151999999994</v>
      </c>
      <c r="Q465" s="47">
        <f t="shared" ca="1" si="281"/>
        <v>4.0967015039999994</v>
      </c>
      <c r="R465" s="47">
        <f t="shared" ca="1" si="281"/>
        <v>4.191955534079999</v>
      </c>
      <c r="S465" s="47">
        <f t="shared" ca="1" si="281"/>
        <v>4.2891146447615993</v>
      </c>
      <c r="T465" s="47">
        <f t="shared" ca="1" si="281"/>
        <v>4.3882169376568321</v>
      </c>
      <c r="U465" s="47">
        <f t="shared" ca="1" si="281"/>
        <v>4.4893012764099689</v>
      </c>
      <c r="V465" s="47">
        <f t="shared" ca="1" si="281"/>
        <v>4.5924073019381693</v>
      </c>
      <c r="W465" s="47">
        <f t="shared" ca="1" si="281"/>
        <v>4.6975754479769325</v>
      </c>
      <c r="X465" s="47">
        <f t="shared" ca="1" si="281"/>
        <v>4.8048469569364709</v>
      </c>
    </row>
    <row r="467" spans="1:24" x14ac:dyDescent="0.25">
      <c r="A467" s="9" t="s">
        <v>1091</v>
      </c>
    </row>
    <row r="468" spans="1:24" x14ac:dyDescent="0.25">
      <c r="A468" s="9" t="s">
        <v>1092</v>
      </c>
      <c r="B468" s="10" t="str">
        <f t="shared" ref="B468:B469" si="282">$B$38</f>
        <v>From Fiscal Forecasts</v>
      </c>
      <c r="D468" s="42">
        <f>'Fiscal Forecasts'!D$194</f>
        <v>2.8839999999999999</v>
      </c>
      <c r="E468" s="42">
        <f>'Fiscal Forecasts'!E$194</f>
        <v>3.8039999999999998</v>
      </c>
      <c r="F468" s="42">
        <f>'Fiscal Forecasts'!F$194</f>
        <v>5.8239999999999998</v>
      </c>
      <c r="G468" s="42">
        <f>'Fiscal Forecasts'!G$194</f>
        <v>11.461</v>
      </c>
      <c r="H468" s="42">
        <f>'Fiscal Forecasts'!H$194</f>
        <v>6.093</v>
      </c>
      <c r="I468" s="42">
        <f>'Fiscal Forecasts'!I$194</f>
        <v>6.8659999999999997</v>
      </c>
      <c r="J468" s="43">
        <f>'Fiscal Forecasts'!J$194</f>
        <v>6.77</v>
      </c>
      <c r="K468" s="43">
        <f>'Fiscal Forecasts'!K$194</f>
        <v>5.9660000000000002</v>
      </c>
      <c r="L468" s="43">
        <f>'Fiscal Forecasts'!L$194</f>
        <v>5.4269999999999996</v>
      </c>
      <c r="M468" s="43">
        <f>'Fiscal Forecasts'!M$194</f>
        <v>4.952</v>
      </c>
      <c r="N468" s="43">
        <f>'Fiscal Forecasts'!N$194</f>
        <v>4.4619999999999997</v>
      </c>
      <c r="O468" s="47">
        <f t="shared" ref="O468:X468" ca="1" si="283">SUM(N$468,-O$145,O$151,O$322)</f>
        <v>4.0529599999999997</v>
      </c>
      <c r="P468" s="47">
        <f t="shared" ca="1" si="283"/>
        <v>3.6734591999999999</v>
      </c>
      <c r="Q468" s="47">
        <f t="shared" ca="1" si="283"/>
        <v>3.324088384</v>
      </c>
      <c r="R468" s="47">
        <f t="shared" ca="1" si="283"/>
        <v>3.0054501516799998</v>
      </c>
      <c r="S468" s="47">
        <f t="shared" ca="1" si="283"/>
        <v>2.7181591547136001</v>
      </c>
      <c r="T468" s="47">
        <f t="shared" ca="1" si="283"/>
        <v>2.4628423378078725</v>
      </c>
      <c r="U468" s="47">
        <f t="shared" ca="1" si="283"/>
        <v>2.2401391845640299</v>
      </c>
      <c r="V468" s="47">
        <f t="shared" ca="1" si="283"/>
        <v>2.0507019682553107</v>
      </c>
      <c r="W468" s="47">
        <f t="shared" ca="1" si="283"/>
        <v>1.8951960076204171</v>
      </c>
      <c r="X468" s="47">
        <f t="shared" ca="1" si="283"/>
        <v>1.7742999277728255</v>
      </c>
    </row>
    <row r="469" spans="1:24" x14ac:dyDescent="0.25">
      <c r="A469" s="9" t="s">
        <v>1093</v>
      </c>
      <c r="B469" s="10" t="str">
        <f t="shared" si="282"/>
        <v>From Fiscal Forecasts</v>
      </c>
      <c r="D469" s="42">
        <f>'Fiscal Forecasts'!D$138</f>
        <v>2.8839999999999999</v>
      </c>
      <c r="E469" s="42">
        <f>'Fiscal Forecasts'!E$138</f>
        <v>3.8039999999999998</v>
      </c>
      <c r="F469" s="42">
        <f>'Fiscal Forecasts'!F$138</f>
        <v>5.8239999999999998</v>
      </c>
      <c r="G469" s="42">
        <f>'Fiscal Forecasts'!G$138</f>
        <v>11.308</v>
      </c>
      <c r="H469" s="42">
        <f>'Fiscal Forecasts'!H$138</f>
        <v>6.125</v>
      </c>
      <c r="I469" s="42">
        <f>'Fiscal Forecasts'!I$138</f>
        <v>6.6260000000000003</v>
      </c>
      <c r="J469" s="43">
        <f>'Fiscal Forecasts'!J$138</f>
        <v>6.556</v>
      </c>
      <c r="K469" s="43">
        <f>'Fiscal Forecasts'!K$138</f>
        <v>5.7409999999999997</v>
      </c>
      <c r="L469" s="43">
        <f>'Fiscal Forecasts'!L$138</f>
        <v>5.1379999999999999</v>
      </c>
      <c r="M469" s="43">
        <f>'Fiscal Forecasts'!M$138</f>
        <v>4.7249999999999996</v>
      </c>
      <c r="N469" s="43">
        <f>'Fiscal Forecasts'!N$138</f>
        <v>4.2530000000000001</v>
      </c>
      <c r="O469" s="47">
        <f t="shared" ref="O469:X469" ca="1" si="284">SUM(N$469,-O$145,O$151,O$322)</f>
        <v>3.84396</v>
      </c>
      <c r="P469" s="47">
        <f t="shared" ca="1" si="284"/>
        <v>3.4644592000000003</v>
      </c>
      <c r="Q469" s="47">
        <f t="shared" ca="1" si="284"/>
        <v>3.1150883840000003</v>
      </c>
      <c r="R469" s="47">
        <f t="shared" ca="1" si="284"/>
        <v>2.7964501516800002</v>
      </c>
      <c r="S469" s="47">
        <f t="shared" ca="1" si="284"/>
        <v>2.5091591547136005</v>
      </c>
      <c r="T469" s="47">
        <f t="shared" ca="1" si="284"/>
        <v>2.2538423378078729</v>
      </c>
      <c r="U469" s="47">
        <f t="shared" ca="1" si="284"/>
        <v>2.0311391845640303</v>
      </c>
      <c r="V469" s="47">
        <f t="shared" ca="1" si="284"/>
        <v>1.8417019682553111</v>
      </c>
      <c r="W469" s="47">
        <f t="shared" ca="1" si="284"/>
        <v>1.6861960076204174</v>
      </c>
      <c r="X469" s="47">
        <f t="shared" ca="1" si="284"/>
        <v>1.5652999277728259</v>
      </c>
    </row>
    <row r="471" spans="1:24" x14ac:dyDescent="0.25">
      <c r="A471" s="9" t="s">
        <v>637</v>
      </c>
    </row>
    <row r="472" spans="1:24" x14ac:dyDescent="0.25">
      <c r="A472" s="9" t="s">
        <v>1094</v>
      </c>
      <c r="B472" s="10" t="str">
        <f t="shared" ref="B472:B474" si="285">$B$38</f>
        <v>From Fiscal Forecasts</v>
      </c>
      <c r="D472" s="42">
        <f>'Fiscal Forecasts'!D$195</f>
        <v>4.0000000000000001E-3</v>
      </c>
      <c r="E472" s="42">
        <f>'Fiscal Forecasts'!E$195</f>
        <v>5.0000000000000001E-3</v>
      </c>
      <c r="F472" s="42">
        <f>'Fiscal Forecasts'!F$195</f>
        <v>4.0000000000000001E-3</v>
      </c>
      <c r="G472" s="42">
        <f>'Fiscal Forecasts'!G$195</f>
        <v>2E-3</v>
      </c>
      <c r="H472" s="42">
        <f>'Fiscal Forecasts'!H$195</f>
        <v>3.0000000000000001E-3</v>
      </c>
      <c r="I472" s="42">
        <f>'Fiscal Forecasts'!I$195</f>
        <v>2E-3</v>
      </c>
      <c r="J472" s="43">
        <f>'Fiscal Forecasts'!J$195</f>
        <v>2E-3</v>
      </c>
      <c r="K472" s="43">
        <f>'Fiscal Forecasts'!K$195</f>
        <v>2E-3</v>
      </c>
      <c r="L472" s="43">
        <f>'Fiscal Forecasts'!L$195</f>
        <v>2E-3</v>
      </c>
      <c r="M472" s="43">
        <f>'Fiscal Forecasts'!M$195</f>
        <v>2E-3</v>
      </c>
      <c r="N472" s="43">
        <f>'Fiscal Forecasts'!N$195</f>
        <v>2E-3</v>
      </c>
      <c r="O472" s="47">
        <f ca="1">IF(O$6=OFFSET(Assumptions!$B$8,0,$C$1),OFFSET(Assumptions!$B$9,0,$C$1),N$472)</f>
        <v>0</v>
      </c>
      <c r="P472" s="47">
        <f ca="1">IF(P$6=OFFSET(Assumptions!$B$8,0,$C$1),OFFSET(Assumptions!$B$9,0,$C$1),O$472)</f>
        <v>0</v>
      </c>
      <c r="Q472" s="47">
        <f ca="1">IF(Q$6=OFFSET(Assumptions!$B$8,0,$C$1),OFFSET(Assumptions!$B$9,0,$C$1),P$472)</f>
        <v>0</v>
      </c>
      <c r="R472" s="47">
        <f ca="1">IF(R$6=OFFSET(Assumptions!$B$8,0,$C$1),OFFSET(Assumptions!$B$9,0,$C$1),Q$472)</f>
        <v>0</v>
      </c>
      <c r="S472" s="47">
        <f ca="1">IF(S$6=OFFSET(Assumptions!$B$8,0,$C$1),OFFSET(Assumptions!$B$9,0,$C$1),R$472)</f>
        <v>0</v>
      </c>
      <c r="T472" s="47">
        <f ca="1">IF(T$6=OFFSET(Assumptions!$B$8,0,$C$1),OFFSET(Assumptions!$B$9,0,$C$1),S$472)</f>
        <v>0</v>
      </c>
      <c r="U472" s="47">
        <f ca="1">IF(U$6=OFFSET(Assumptions!$B$8,0,$C$1),OFFSET(Assumptions!$B$9,0,$C$1),T$472)</f>
        <v>0</v>
      </c>
      <c r="V472" s="47">
        <f ca="1">IF(V$6=OFFSET(Assumptions!$B$8,0,$C$1),OFFSET(Assumptions!$B$9,0,$C$1),U$472)</f>
        <v>0</v>
      </c>
      <c r="W472" s="47">
        <f ca="1">IF(W$6=OFFSET(Assumptions!$B$8,0,$C$1),OFFSET(Assumptions!$B$9,0,$C$1),V$472)</f>
        <v>0</v>
      </c>
      <c r="X472" s="47">
        <f ca="1">IF(X$6=OFFSET(Assumptions!$B$8,0,$C$1),OFFSET(Assumptions!$B$9,0,$C$1),W$472)</f>
        <v>0</v>
      </c>
    </row>
    <row r="473" spans="1:24" x14ac:dyDescent="0.25">
      <c r="A473" s="11" t="s">
        <v>1095</v>
      </c>
      <c r="B473" s="10" t="str">
        <f t="shared" si="285"/>
        <v>From Fiscal Forecasts</v>
      </c>
      <c r="D473" s="35">
        <f>'Fiscal Forecasts'!D$381</f>
        <v>56.610999999999997</v>
      </c>
      <c r="E473" s="35">
        <f>'Fiscal Forecasts'!E$381</f>
        <v>64.945999999999998</v>
      </c>
      <c r="F473" s="35">
        <f>'Fiscal Forecasts'!F$381</f>
        <v>59.133000000000003</v>
      </c>
      <c r="G473" s="35">
        <f>'Fiscal Forecasts'!G$381</f>
        <v>54.115000000000002</v>
      </c>
      <c r="H473" s="35">
        <f>'Fiscal Forecasts'!H$381</f>
        <v>55.664000000000001</v>
      </c>
      <c r="I473" s="35">
        <f>'Fiscal Forecasts'!I$381</f>
        <v>65.049000000000007</v>
      </c>
      <c r="J473" s="17">
        <f>'Fiscal Forecasts'!J$381</f>
        <v>68.626999999999995</v>
      </c>
      <c r="K473" s="17">
        <f>'Fiscal Forecasts'!K$381</f>
        <v>71.796999999999997</v>
      </c>
      <c r="L473" s="17">
        <f>'Fiscal Forecasts'!L$381</f>
        <v>75.256</v>
      </c>
      <c r="M473" s="17">
        <f>'Fiscal Forecasts'!M$381</f>
        <v>79.001999999999995</v>
      </c>
      <c r="N473" s="17">
        <f>'Fiscal Forecasts'!N$381</f>
        <v>82.98</v>
      </c>
      <c r="O473" s="16">
        <f>N$473*Exogenous!Z$31/Exogenous!Y$31</f>
        <v>87.232633748189329</v>
      </c>
      <c r="P473" s="16">
        <f>O$473*Exogenous!AA$31/Exogenous!Z$31</f>
        <v>91.859921600249137</v>
      </c>
      <c r="Q473" s="16">
        <f>P$473*Exogenous!AB$31/Exogenous!AA$31</f>
        <v>96.802667925117291</v>
      </c>
      <c r="R473" s="16">
        <f>Q$473*Exogenous!AC$31/Exogenous!AB$31</f>
        <v>102.02138967233698</v>
      </c>
      <c r="S473" s="16">
        <f>R$473*Exogenous!AD$31/Exogenous!AC$31</f>
        <v>107.5116608182833</v>
      </c>
      <c r="T473" s="16">
        <f>S$473*Exogenous!AE$31/Exogenous!AD$31</f>
        <v>113.29291750429732</v>
      </c>
      <c r="U473" s="16">
        <f>T$473*Exogenous!AF$31/Exogenous!AE$31</f>
        <v>119.32125172654598</v>
      </c>
      <c r="V473" s="16">
        <f>U$473*Exogenous!AG$31/Exogenous!AF$31</f>
        <v>125.57045233176501</v>
      </c>
      <c r="W473" s="16">
        <f>V$473*Exogenous!AH$31/Exogenous!AG$31</f>
        <v>132.05084530239904</v>
      </c>
      <c r="X473" s="16">
        <f>W$473*Exogenous!AI$31/Exogenous!AH$31</f>
        <v>138.76543147139884</v>
      </c>
    </row>
    <row r="474" spans="1:24" x14ac:dyDescent="0.25">
      <c r="A474" s="11" t="s">
        <v>1096</v>
      </c>
      <c r="B474" s="10" t="str">
        <f t="shared" si="285"/>
        <v>From Fiscal Forecasts</v>
      </c>
      <c r="D474" s="35">
        <f>SUM('Fiscal Forecasts'!D$382:D$383)-D$472</f>
        <v>1.601</v>
      </c>
      <c r="E474" s="35">
        <f>SUM('Fiscal Forecasts'!E$382:E$383)-E$472</f>
        <v>1.7390000000000001</v>
      </c>
      <c r="F474" s="35">
        <f>SUM('Fiscal Forecasts'!F$382:F$383)-F$472</f>
        <v>1.1990000000000001</v>
      </c>
      <c r="G474" s="35">
        <f>SUM('Fiscal Forecasts'!G$382:G$383)-G$472</f>
        <v>1.1839999999999999</v>
      </c>
      <c r="H474" s="35">
        <f>SUM('Fiscal Forecasts'!H$382:H$383)-H$472</f>
        <v>1.8440000000000001</v>
      </c>
      <c r="I474" s="35">
        <f>SUM('Fiscal Forecasts'!I$382:I$383)-I$472</f>
        <v>1.524</v>
      </c>
      <c r="J474" s="17">
        <f>SUM('Fiscal Forecasts'!J$382:J$383)-J$472</f>
        <v>1.2989999999999999</v>
      </c>
      <c r="K474" s="17">
        <f>SUM('Fiscal Forecasts'!K$382:K$383)-K$472</f>
        <v>1.165</v>
      </c>
      <c r="L474" s="17">
        <f>SUM('Fiscal Forecasts'!L$382:L$383)-L$472</f>
        <v>1.03</v>
      </c>
      <c r="M474" s="17">
        <f>SUM('Fiscal Forecasts'!M$382:M$383)-M$472</f>
        <v>0.97499999999999998</v>
      </c>
      <c r="N474" s="17">
        <f>SUM('Fiscal Forecasts'!N$382:N$383)-N$472</f>
        <v>0.84699999999999998</v>
      </c>
      <c r="O474" s="16">
        <f t="shared" ref="O474:X474" si="286">N$474*O$473/N$473</f>
        <v>0.89040781856732165</v>
      </c>
      <c r="P474" s="16">
        <f t="shared" si="286"/>
        <v>0.93763983604978329</v>
      </c>
      <c r="Q474" s="16">
        <f t="shared" si="286"/>
        <v>0.98809182613369895</v>
      </c>
      <c r="R474" s="16">
        <f t="shared" si="286"/>
        <v>1.0413607743127189</v>
      </c>
      <c r="S474" s="16">
        <f t="shared" si="286"/>
        <v>1.0974015029294522</v>
      </c>
      <c r="T474" s="16">
        <f t="shared" si="286"/>
        <v>1.1564124020985755</v>
      </c>
      <c r="U474" s="16">
        <f t="shared" si="286"/>
        <v>1.2179452905806749</v>
      </c>
      <c r="V474" s="16">
        <f t="shared" si="286"/>
        <v>1.2817326238250772</v>
      </c>
      <c r="W474" s="16">
        <f t="shared" si="286"/>
        <v>1.3478798020141229</v>
      </c>
      <c r="X474" s="16">
        <f t="shared" si="286"/>
        <v>1.4164174554865601</v>
      </c>
    </row>
    <row r="475" spans="1:24" x14ac:dyDescent="0.25">
      <c r="A475" s="9" t="s">
        <v>1097</v>
      </c>
      <c r="D475" s="65">
        <f t="shared" ref="D475:X475" si="287">SUM(D$472:D$474)</f>
        <v>58.215999999999994</v>
      </c>
      <c r="E475" s="65">
        <f t="shared" si="287"/>
        <v>66.69</v>
      </c>
      <c r="F475" s="65">
        <f t="shared" si="287"/>
        <v>60.335999999999999</v>
      </c>
      <c r="G475" s="65">
        <f t="shared" si="287"/>
        <v>55.301000000000002</v>
      </c>
      <c r="H475" s="65">
        <f t="shared" si="287"/>
        <v>57.511000000000003</v>
      </c>
      <c r="I475" s="65">
        <f t="shared" si="287"/>
        <v>66.575000000000003</v>
      </c>
      <c r="J475" s="66">
        <f t="shared" si="287"/>
        <v>69.927999999999997</v>
      </c>
      <c r="K475" s="66">
        <f t="shared" si="287"/>
        <v>72.963999999999999</v>
      </c>
      <c r="L475" s="66">
        <f t="shared" si="287"/>
        <v>76.287999999999997</v>
      </c>
      <c r="M475" s="66">
        <f t="shared" si="287"/>
        <v>79.978999999999985</v>
      </c>
      <c r="N475" s="66">
        <f t="shared" si="287"/>
        <v>83.828999999999994</v>
      </c>
      <c r="O475" s="67">
        <f t="shared" ca="1" si="287"/>
        <v>88.123041566756655</v>
      </c>
      <c r="P475" s="67">
        <f t="shared" ca="1" si="287"/>
        <v>92.797561436298921</v>
      </c>
      <c r="Q475" s="67">
        <f t="shared" ca="1" si="287"/>
        <v>97.790759751250988</v>
      </c>
      <c r="R475" s="67">
        <f t="shared" ca="1" si="287"/>
        <v>103.0627504466497</v>
      </c>
      <c r="S475" s="67">
        <f t="shared" ca="1" si="287"/>
        <v>108.60906232121276</v>
      </c>
      <c r="T475" s="67">
        <f t="shared" ca="1" si="287"/>
        <v>114.4493299063959</v>
      </c>
      <c r="U475" s="67">
        <f t="shared" ca="1" si="287"/>
        <v>120.53919701712665</v>
      </c>
      <c r="V475" s="67">
        <f t="shared" ca="1" si="287"/>
        <v>126.85218495559009</v>
      </c>
      <c r="W475" s="67">
        <f t="shared" ca="1" si="287"/>
        <v>133.39872510441316</v>
      </c>
      <c r="X475" s="67">
        <f t="shared" ca="1" si="287"/>
        <v>140.18184892688541</v>
      </c>
    </row>
    <row r="477" spans="1:24" x14ac:dyDescent="0.25">
      <c r="A477" s="9" t="s">
        <v>1109</v>
      </c>
    </row>
    <row r="478" spans="1:24" x14ac:dyDescent="0.25">
      <c r="A478" s="9" t="s">
        <v>1110</v>
      </c>
      <c r="B478" s="10" t="str">
        <f t="shared" ref="B478:B479" si="288">$B$38</f>
        <v>From Fiscal Forecasts</v>
      </c>
      <c r="D478" s="42">
        <f>'Fiscal Forecasts'!D$196</f>
        <v>13.164999999999999</v>
      </c>
      <c r="E478" s="42">
        <f>'Fiscal Forecasts'!E$196</f>
        <v>13.976000000000001</v>
      </c>
      <c r="F478" s="42">
        <f>'Fiscal Forecasts'!F$196</f>
        <v>11.039</v>
      </c>
      <c r="G478" s="42">
        <f>'Fiscal Forecasts'!G$196</f>
        <v>8.7650000000000006</v>
      </c>
      <c r="H478" s="42">
        <f>'Fiscal Forecasts'!H$196</f>
        <v>8.0380000000000003</v>
      </c>
      <c r="I478" s="42">
        <f>'Fiscal Forecasts'!I$196</f>
        <v>7.3339999999999996</v>
      </c>
      <c r="J478" s="43">
        <f>'Fiscal Forecasts'!J$196</f>
        <v>6.532</v>
      </c>
      <c r="K478" s="43">
        <f>'Fiscal Forecasts'!K$196</f>
        <v>6.0250000000000004</v>
      </c>
      <c r="L478" s="43">
        <f>'Fiscal Forecasts'!L$196</f>
        <v>5.5129999999999999</v>
      </c>
      <c r="M478" s="43">
        <f>'Fiscal Forecasts'!M$196</f>
        <v>5.0270000000000001</v>
      </c>
      <c r="N478" s="43">
        <f>'Fiscal Forecasts'!N$196</f>
        <v>4.5670000000000002</v>
      </c>
      <c r="O478" s="16">
        <f>N$478*Exogenous!Z$35/Exogenous!Y$35</f>
        <v>4.3797723516949159</v>
      </c>
      <c r="P478" s="16">
        <f>O$478*Exogenous!AA$35/Exogenous!Z$35</f>
        <v>4.187706779661017</v>
      </c>
      <c r="Q478" s="16">
        <f>P$478*Exogenous!AB$35/Exogenous!AA$35</f>
        <v>3.9932222457627118</v>
      </c>
      <c r="R478" s="16">
        <f>Q$478*Exogenous!AC$35/Exogenous!AB$35</f>
        <v>3.7943835805084745</v>
      </c>
      <c r="S478" s="16">
        <f>R$478*Exogenous!AD$35/Exogenous!AC$35</f>
        <v>3.5940935381355934</v>
      </c>
      <c r="T478" s="16">
        <f>S$478*Exogenous!AE$35/Exogenous!AD$35</f>
        <v>3.3933197033898308</v>
      </c>
      <c r="U478" s="16">
        <f>T$478*Exogenous!AF$35/Exogenous!AE$35</f>
        <v>3.1993189618644076</v>
      </c>
      <c r="V478" s="16">
        <f>U$478*Exogenous!AG$35/Exogenous!AF$35</f>
        <v>3.0077371822033903</v>
      </c>
      <c r="W478" s="16">
        <f>V$478*Exogenous!AH$35/Exogenous!AG$35</f>
        <v>2.8190581567796613</v>
      </c>
      <c r="X478" s="16">
        <f>W$478*Exogenous!AI$35/Exogenous!AH$35</f>
        <v>2.6337656779661018</v>
      </c>
    </row>
    <row r="479" spans="1:24" x14ac:dyDescent="0.25">
      <c r="A479" s="11" t="s">
        <v>1111</v>
      </c>
      <c r="B479" s="10" t="str">
        <f t="shared" si="288"/>
        <v>From Fiscal Forecasts</v>
      </c>
      <c r="D479" s="35">
        <f>'Fiscal Forecasts'!D$140-D$478</f>
        <v>1.4000000000001123E-2</v>
      </c>
      <c r="E479" s="35">
        <f>'Fiscal Forecasts'!E$140-E$478</f>
        <v>6.9999999999996732E-3</v>
      </c>
      <c r="F479" s="35">
        <f>'Fiscal Forecasts'!F$140-F$478</f>
        <v>-9.9999999999944578E-4</v>
      </c>
      <c r="G479" s="35">
        <f>'Fiscal Forecasts'!G$140-G$478</f>
        <v>3.9999999999995595E-3</v>
      </c>
      <c r="H479" s="35">
        <f>'Fiscal Forecasts'!H$140-H$478</f>
        <v>9.9999999999944578E-4</v>
      </c>
      <c r="I479" s="35">
        <f>'Fiscal Forecasts'!I$140-I$478</f>
        <v>3.0000000000001137E-3</v>
      </c>
      <c r="J479" s="17">
        <f>'Fiscal Forecasts'!J$140-J$478</f>
        <v>3.0000000000001137E-3</v>
      </c>
      <c r="K479" s="17">
        <f>'Fiscal Forecasts'!K$140-K$478</f>
        <v>2.9999999999992255E-3</v>
      </c>
      <c r="L479" s="17">
        <f>'Fiscal Forecasts'!L$140-L$478</f>
        <v>3.0000000000001137E-3</v>
      </c>
      <c r="M479" s="17">
        <f>'Fiscal Forecasts'!M$140-M$478</f>
        <v>3.0000000000001137E-3</v>
      </c>
      <c r="N479" s="17">
        <f>'Fiscal Forecasts'!N$140-N$478</f>
        <v>3.0000000000001137E-3</v>
      </c>
      <c r="O479" s="16">
        <f ca="1">IF(O$6=OFFSET(Assumptions!$B$8,0,$C$1),OFFSET(Assumptions!$B$9,0,$C$1),N$479)</f>
        <v>0</v>
      </c>
      <c r="P479" s="16">
        <f ca="1">IF(P$6=OFFSET(Assumptions!$B$8,0,$C$1),OFFSET(Assumptions!$B$9,0,$C$1),O$479)</f>
        <v>0</v>
      </c>
      <c r="Q479" s="16">
        <f ca="1">IF(Q$6=OFFSET(Assumptions!$B$8,0,$C$1),OFFSET(Assumptions!$B$9,0,$C$1),P$479)</f>
        <v>0</v>
      </c>
      <c r="R479" s="16">
        <f ca="1">IF(R$6=OFFSET(Assumptions!$B$8,0,$C$1),OFFSET(Assumptions!$B$9,0,$C$1),Q$479)</f>
        <v>0</v>
      </c>
      <c r="S479" s="16">
        <f ca="1">IF(S$6=OFFSET(Assumptions!$B$8,0,$C$1),OFFSET(Assumptions!$B$9,0,$C$1),R$479)</f>
        <v>0</v>
      </c>
      <c r="T479" s="16">
        <f ca="1">IF(T$6=OFFSET(Assumptions!$B$8,0,$C$1),OFFSET(Assumptions!$B$9,0,$C$1),S$479)</f>
        <v>0</v>
      </c>
      <c r="U479" s="16">
        <f ca="1">IF(U$6=OFFSET(Assumptions!$B$8,0,$C$1),OFFSET(Assumptions!$B$9,0,$C$1),T$479)</f>
        <v>0</v>
      </c>
      <c r="V479" s="16">
        <f ca="1">IF(V$6=OFFSET(Assumptions!$B$8,0,$C$1),OFFSET(Assumptions!$B$9,0,$C$1),U$479)</f>
        <v>0</v>
      </c>
      <c r="W479" s="16">
        <f ca="1">IF(W$6=OFFSET(Assumptions!$B$8,0,$C$1),OFFSET(Assumptions!$B$9,0,$C$1),V$479)</f>
        <v>0</v>
      </c>
      <c r="X479" s="16">
        <f ca="1">IF(X$6=OFFSET(Assumptions!$B$8,0,$C$1),OFFSET(Assumptions!$B$9,0,$C$1),W$479)</f>
        <v>0</v>
      </c>
    </row>
    <row r="480" spans="1:24" x14ac:dyDescent="0.25">
      <c r="A480" s="9" t="s">
        <v>1112</v>
      </c>
      <c r="D480" s="65">
        <f t="shared" ref="D480:X480" si="289">SUM(D$478:D$479)</f>
        <v>13.179</v>
      </c>
      <c r="E480" s="65">
        <f t="shared" si="289"/>
        <v>13.983000000000001</v>
      </c>
      <c r="F480" s="65">
        <f t="shared" si="289"/>
        <v>11.038</v>
      </c>
      <c r="G480" s="65">
        <f t="shared" si="289"/>
        <v>8.7690000000000001</v>
      </c>
      <c r="H480" s="65">
        <f t="shared" si="289"/>
        <v>8.0389999999999997</v>
      </c>
      <c r="I480" s="65">
        <f t="shared" si="289"/>
        <v>7.3369999999999997</v>
      </c>
      <c r="J480" s="66">
        <f t="shared" si="289"/>
        <v>6.5350000000000001</v>
      </c>
      <c r="K480" s="66">
        <f t="shared" si="289"/>
        <v>6.0279999999999996</v>
      </c>
      <c r="L480" s="66">
        <f t="shared" si="289"/>
        <v>5.516</v>
      </c>
      <c r="M480" s="66">
        <f t="shared" si="289"/>
        <v>5.03</v>
      </c>
      <c r="N480" s="66">
        <f t="shared" si="289"/>
        <v>4.57</v>
      </c>
      <c r="O480" s="67">
        <f t="shared" ca="1" si="289"/>
        <v>4.3797723516949159</v>
      </c>
      <c r="P480" s="67">
        <f t="shared" ca="1" si="289"/>
        <v>4.187706779661017</v>
      </c>
      <c r="Q480" s="67">
        <f t="shared" ca="1" si="289"/>
        <v>3.9932222457627118</v>
      </c>
      <c r="R480" s="67">
        <f t="shared" ca="1" si="289"/>
        <v>3.7943835805084745</v>
      </c>
      <c r="S480" s="67">
        <f t="shared" ca="1" si="289"/>
        <v>3.5940935381355934</v>
      </c>
      <c r="T480" s="67">
        <f t="shared" ca="1" si="289"/>
        <v>3.3933197033898308</v>
      </c>
      <c r="U480" s="67">
        <f t="shared" ca="1" si="289"/>
        <v>3.1993189618644076</v>
      </c>
      <c r="V480" s="67">
        <f t="shared" ca="1" si="289"/>
        <v>3.0077371822033903</v>
      </c>
      <c r="W480" s="67">
        <f t="shared" ca="1" si="289"/>
        <v>2.8190581567796613</v>
      </c>
      <c r="X480" s="67">
        <f t="shared" ca="1" si="289"/>
        <v>2.6337656779661018</v>
      </c>
    </row>
    <row r="482" spans="1:24" x14ac:dyDescent="0.25">
      <c r="A482" s="9" t="s">
        <v>639</v>
      </c>
    </row>
    <row r="483" spans="1:24" x14ac:dyDescent="0.25">
      <c r="A483" s="11" t="s">
        <v>1113</v>
      </c>
      <c r="D483" s="35">
        <f t="shared" ref="D483:N483" si="290">-D$395</f>
        <v>0</v>
      </c>
      <c r="E483" s="35">
        <f t="shared" si="290"/>
        <v>-2E-3</v>
      </c>
      <c r="F483" s="35">
        <f t="shared" si="290"/>
        <v>-2E-3</v>
      </c>
      <c r="G483" s="35">
        <f t="shared" si="290"/>
        <v>9.9000000000000005E-2</v>
      </c>
      <c r="H483" s="35">
        <f t="shared" si="290"/>
        <v>0.06</v>
      </c>
      <c r="I483" s="35">
        <f t="shared" si="290"/>
        <v>4.0000000000000001E-3</v>
      </c>
      <c r="J483" s="17">
        <f t="shared" si="290"/>
        <v>2.4E-2</v>
      </c>
      <c r="K483" s="17">
        <f t="shared" si="290"/>
        <v>5.5E-2</v>
      </c>
      <c r="L483" s="17">
        <f t="shared" si="290"/>
        <v>4.4999999999999998E-2</v>
      </c>
      <c r="M483" s="17">
        <f t="shared" si="290"/>
        <v>5.1999999999999998E-2</v>
      </c>
      <c r="N483" s="17">
        <f t="shared" si="290"/>
        <v>0.06</v>
      </c>
      <c r="O483" s="16">
        <f ca="1">IF(O$6=OFFSET(Assumptions!$B$8,0,$C$1),OFFSET(Assumptions!$B$9,0,$C$1),N$483)</f>
        <v>0</v>
      </c>
      <c r="P483" s="16">
        <f ca="1">IF(P$6=OFFSET(Assumptions!$B$8,0,$C$1),OFFSET(Assumptions!$B$9,0,$C$1),O$483)</f>
        <v>0</v>
      </c>
      <c r="Q483" s="16">
        <f ca="1">IF(Q$6=OFFSET(Assumptions!$B$8,0,$C$1),OFFSET(Assumptions!$B$9,0,$C$1),P$483)</f>
        <v>0</v>
      </c>
      <c r="R483" s="16">
        <f ca="1">IF(R$6=OFFSET(Assumptions!$B$8,0,$C$1),OFFSET(Assumptions!$B$9,0,$C$1),Q$483)</f>
        <v>0</v>
      </c>
      <c r="S483" s="16">
        <f ca="1">IF(S$6=OFFSET(Assumptions!$B$8,0,$C$1),OFFSET(Assumptions!$B$9,0,$C$1),R$483)</f>
        <v>0</v>
      </c>
      <c r="T483" s="16">
        <f ca="1">IF(T$6=OFFSET(Assumptions!$B$8,0,$C$1),OFFSET(Assumptions!$B$9,0,$C$1),S$483)</f>
        <v>0</v>
      </c>
      <c r="U483" s="16">
        <f ca="1">IF(U$6=OFFSET(Assumptions!$B$8,0,$C$1),OFFSET(Assumptions!$B$9,0,$C$1),T$483)</f>
        <v>0</v>
      </c>
      <c r="V483" s="16">
        <f ca="1">IF(V$6=OFFSET(Assumptions!$B$8,0,$C$1),OFFSET(Assumptions!$B$9,0,$C$1),U$483)</f>
        <v>0</v>
      </c>
      <c r="W483" s="16">
        <f ca="1">IF(W$6=OFFSET(Assumptions!$B$8,0,$C$1),OFFSET(Assumptions!$B$9,0,$C$1),V$483)</f>
        <v>0</v>
      </c>
      <c r="X483" s="16">
        <f ca="1">IF(X$6=OFFSET(Assumptions!$B$8,0,$C$1),OFFSET(Assumptions!$B$9,0,$C$1),W$483)</f>
        <v>0</v>
      </c>
    </row>
    <row r="484" spans="1:24" x14ac:dyDescent="0.25">
      <c r="A484" s="11" t="s">
        <v>1114</v>
      </c>
      <c r="B484" s="10" t="str">
        <f t="shared" ref="B484:B486" si="291">$B$38</f>
        <v>From Fiscal Forecasts</v>
      </c>
      <c r="D484" s="35">
        <f>'Fiscal Forecasts'!D$197-D$483</f>
        <v>7.5890000000000004</v>
      </c>
      <c r="E484" s="35">
        <f>'Fiscal Forecasts'!E$197-E$483</f>
        <v>9.3109999999999999</v>
      </c>
      <c r="F484" s="35">
        <f>'Fiscal Forecasts'!F$197-F$483</f>
        <v>8.6100000000000012</v>
      </c>
      <c r="G484" s="35">
        <f>'Fiscal Forecasts'!G$197-G$483</f>
        <v>8.7850000000000001</v>
      </c>
      <c r="H484" s="35">
        <f>'Fiscal Forecasts'!H$197-H$483</f>
        <v>8.2880000000000003</v>
      </c>
      <c r="I484" s="35">
        <f>'Fiscal Forecasts'!I$197-I$483</f>
        <v>8.875</v>
      </c>
      <c r="J484" s="17">
        <f>'Fiscal Forecasts'!J$197-J$483</f>
        <v>11.777000000000001</v>
      </c>
      <c r="K484" s="17">
        <f>'Fiscal Forecasts'!K$197-K$483</f>
        <v>11.204000000000001</v>
      </c>
      <c r="L484" s="17">
        <f>'Fiscal Forecasts'!L$197-L$483</f>
        <v>11.087</v>
      </c>
      <c r="M484" s="17">
        <f>'Fiscal Forecasts'!M$197-M$483</f>
        <v>10.794</v>
      </c>
      <c r="N484" s="17">
        <f>'Fiscal Forecasts'!N$197-N$483</f>
        <v>10.699</v>
      </c>
      <c r="O484" s="16">
        <f t="shared" ref="O484:X484" ca="1" si="292">N$484*(1+O$29)</f>
        <v>10.912979999999999</v>
      </c>
      <c r="P484" s="16">
        <f t="shared" ca="1" si="292"/>
        <v>11.131239599999999</v>
      </c>
      <c r="Q484" s="16">
        <f t="shared" ca="1" si="292"/>
        <v>11.353864391999998</v>
      </c>
      <c r="R484" s="16">
        <f t="shared" ca="1" si="292"/>
        <v>11.580941679839999</v>
      </c>
      <c r="S484" s="16">
        <f t="shared" ca="1" si="292"/>
        <v>11.812560513436798</v>
      </c>
      <c r="T484" s="16">
        <f t="shared" ca="1" si="292"/>
        <v>12.048811723705535</v>
      </c>
      <c r="U484" s="16">
        <f t="shared" ca="1" si="292"/>
        <v>12.289787958179646</v>
      </c>
      <c r="V484" s="16">
        <f t="shared" ca="1" si="292"/>
        <v>12.53558371734324</v>
      </c>
      <c r="W484" s="16">
        <f t="shared" ca="1" si="292"/>
        <v>12.786295391690105</v>
      </c>
      <c r="X484" s="16">
        <f t="shared" ca="1" si="292"/>
        <v>13.042021299523908</v>
      </c>
    </row>
    <row r="485" spans="1:24" x14ac:dyDescent="0.25">
      <c r="A485" s="9" t="s">
        <v>1115</v>
      </c>
      <c r="D485" s="65">
        <f t="shared" ref="D485:X485" si="293">SUM(D$483:D$484)</f>
        <v>7.5890000000000004</v>
      </c>
      <c r="E485" s="65">
        <f t="shared" si="293"/>
        <v>9.3089999999999993</v>
      </c>
      <c r="F485" s="65">
        <f t="shared" si="293"/>
        <v>8.6080000000000005</v>
      </c>
      <c r="G485" s="65">
        <f t="shared" si="293"/>
        <v>8.8840000000000003</v>
      </c>
      <c r="H485" s="65">
        <f t="shared" si="293"/>
        <v>8.3480000000000008</v>
      </c>
      <c r="I485" s="65">
        <f t="shared" si="293"/>
        <v>8.8789999999999996</v>
      </c>
      <c r="J485" s="66">
        <f t="shared" si="293"/>
        <v>11.801</v>
      </c>
      <c r="K485" s="66">
        <f t="shared" si="293"/>
        <v>11.259</v>
      </c>
      <c r="L485" s="66">
        <f t="shared" si="293"/>
        <v>11.132</v>
      </c>
      <c r="M485" s="66">
        <f t="shared" si="293"/>
        <v>10.846</v>
      </c>
      <c r="N485" s="66">
        <f t="shared" si="293"/>
        <v>10.759</v>
      </c>
      <c r="O485" s="67">
        <f t="shared" ca="1" si="293"/>
        <v>10.912979999999999</v>
      </c>
      <c r="P485" s="67">
        <f t="shared" ca="1" si="293"/>
        <v>11.131239599999999</v>
      </c>
      <c r="Q485" s="67">
        <f t="shared" ca="1" si="293"/>
        <v>11.353864391999998</v>
      </c>
      <c r="R485" s="67">
        <f t="shared" ca="1" si="293"/>
        <v>11.580941679839999</v>
      </c>
      <c r="S485" s="67">
        <f t="shared" ca="1" si="293"/>
        <v>11.812560513436798</v>
      </c>
      <c r="T485" s="67">
        <f t="shared" ca="1" si="293"/>
        <v>12.048811723705535</v>
      </c>
      <c r="U485" s="67">
        <f t="shared" ca="1" si="293"/>
        <v>12.289787958179646</v>
      </c>
      <c r="V485" s="67">
        <f t="shared" ca="1" si="293"/>
        <v>12.53558371734324</v>
      </c>
      <c r="W485" s="67">
        <f t="shared" ca="1" si="293"/>
        <v>12.786295391690105</v>
      </c>
      <c r="X485" s="67">
        <f t="shared" ca="1" si="293"/>
        <v>13.042021299523908</v>
      </c>
    </row>
    <row r="486" spans="1:24" x14ac:dyDescent="0.25">
      <c r="A486" s="9" t="s">
        <v>1116</v>
      </c>
      <c r="B486" s="10" t="str">
        <f t="shared" si="291"/>
        <v>From Fiscal Forecasts</v>
      </c>
      <c r="D486" s="42">
        <f>'Fiscal Forecasts'!D$141</f>
        <v>10.708</v>
      </c>
      <c r="E486" s="42">
        <f>'Fiscal Forecasts'!E$141</f>
        <v>12.68</v>
      </c>
      <c r="F486" s="42">
        <f>'Fiscal Forecasts'!F$141</f>
        <v>13.263</v>
      </c>
      <c r="G486" s="42">
        <f>'Fiscal Forecasts'!G$141</f>
        <v>14.333</v>
      </c>
      <c r="H486" s="42">
        <f>'Fiscal Forecasts'!H$141</f>
        <v>15.426</v>
      </c>
      <c r="I486" s="42">
        <f>'Fiscal Forecasts'!I$141</f>
        <v>16.045000000000002</v>
      </c>
      <c r="J486" s="43">
        <f>'Fiscal Forecasts'!J$141</f>
        <v>17.672000000000001</v>
      </c>
      <c r="K486" s="43">
        <f>'Fiscal Forecasts'!K$141</f>
        <v>16.707000000000001</v>
      </c>
      <c r="L486" s="43">
        <f>'Fiscal Forecasts'!L$141</f>
        <v>16.04</v>
      </c>
      <c r="M486" s="43">
        <f>'Fiscal Forecasts'!M$141</f>
        <v>15.742000000000001</v>
      </c>
      <c r="N486" s="43">
        <f>'Fiscal Forecasts'!N$141</f>
        <v>15.646000000000001</v>
      </c>
      <c r="O486" s="47">
        <f t="shared" ref="O486:X486" ca="1" si="294">O$485+(N$486-N$485)*(1+O$29)</f>
        <v>15.89772</v>
      </c>
      <c r="P486" s="47">
        <f t="shared" ca="1" si="294"/>
        <v>16.215674399999997</v>
      </c>
      <c r="Q486" s="47">
        <f t="shared" ca="1" si="294"/>
        <v>16.539987887999999</v>
      </c>
      <c r="R486" s="47">
        <f t="shared" ca="1" si="294"/>
        <v>16.87078764576</v>
      </c>
      <c r="S486" s="47">
        <f t="shared" ca="1" si="294"/>
        <v>17.208203398675199</v>
      </c>
      <c r="T486" s="47">
        <f t="shared" ca="1" si="294"/>
        <v>17.552367466648704</v>
      </c>
      <c r="U486" s="47">
        <f t="shared" ca="1" si="294"/>
        <v>17.903414815981677</v>
      </c>
      <c r="V486" s="47">
        <f t="shared" ca="1" si="294"/>
        <v>18.26148311230131</v>
      </c>
      <c r="W486" s="47">
        <f t="shared" ca="1" si="294"/>
        <v>18.626712774547336</v>
      </c>
      <c r="X486" s="47">
        <f t="shared" ca="1" si="294"/>
        <v>18.999247030038283</v>
      </c>
    </row>
    <row r="488" spans="1:24" x14ac:dyDescent="0.25">
      <c r="A488" s="9" t="s">
        <v>1117</v>
      </c>
    </row>
    <row r="489" spans="1:24" x14ac:dyDescent="0.25">
      <c r="A489" s="11" t="s">
        <v>801</v>
      </c>
      <c r="B489" s="10" t="str">
        <f t="shared" ref="B489:B495" si="295">$B$38</f>
        <v>From Fiscal Forecasts</v>
      </c>
      <c r="D489" s="35">
        <f>'Fiscal Forecasts'!D$387</f>
        <v>83.715999999999994</v>
      </c>
      <c r="E489" s="35">
        <f>'Fiscal Forecasts'!E$387</f>
        <v>84.31</v>
      </c>
      <c r="F489" s="35">
        <f>'Fiscal Forecasts'!F$387</f>
        <v>96.551000000000002</v>
      </c>
      <c r="G489" s="35">
        <f>'Fiscal Forecasts'!G$387</f>
        <v>105.48699999999999</v>
      </c>
      <c r="H489" s="35">
        <f>'Fiscal Forecasts'!H$387</f>
        <v>111.292</v>
      </c>
      <c r="I489" s="35">
        <f>'Fiscal Forecasts'!I$387</f>
        <v>116.73699999999999</v>
      </c>
      <c r="J489" s="17">
        <f>'Fiscal Forecasts'!J$387</f>
        <v>123.553</v>
      </c>
      <c r="K489" s="17">
        <f>'Fiscal Forecasts'!K$387</f>
        <v>125.956</v>
      </c>
      <c r="L489" s="17">
        <f>'Fiscal Forecasts'!L$387</f>
        <v>133.53399999999999</v>
      </c>
      <c r="M489" s="17">
        <f>'Fiscal Forecasts'!M$387</f>
        <v>140.86500000000001</v>
      </c>
      <c r="N489" s="17">
        <f>'Fiscal Forecasts'!N$387</f>
        <v>148.369</v>
      </c>
      <c r="O489" s="16">
        <f t="shared" ref="O489:X489" ca="1" si="296">SUM(O$142,O$385,O$458-N$458)-SUM(O$360-N$360,O$282)</f>
        <v>154.03058814526557</v>
      </c>
      <c r="P489" s="16">
        <f t="shared" ca="1" si="296"/>
        <v>160.35372371483743</v>
      </c>
      <c r="Q489" s="16">
        <f t="shared" ca="1" si="296"/>
        <v>166.91393222973528</v>
      </c>
      <c r="R489" s="16">
        <f t="shared" ca="1" si="296"/>
        <v>173.51239362483147</v>
      </c>
      <c r="S489" s="16">
        <f t="shared" ca="1" si="296"/>
        <v>180.2441093860904</v>
      </c>
      <c r="T489" s="16">
        <f t="shared" ca="1" si="296"/>
        <v>187.11080442961128</v>
      </c>
      <c r="U489" s="16">
        <f t="shared" ca="1" si="296"/>
        <v>194.0746238970938</v>
      </c>
      <c r="V489" s="16">
        <f t="shared" ca="1" si="296"/>
        <v>201.1427007210402</v>
      </c>
      <c r="W489" s="16">
        <f t="shared" ca="1" si="296"/>
        <v>208.31532460548382</v>
      </c>
      <c r="X489" s="16">
        <f t="shared" ca="1" si="296"/>
        <v>215.64250245858591</v>
      </c>
    </row>
    <row r="490" spans="1:24" x14ac:dyDescent="0.25">
      <c r="A490" s="11" t="s">
        <v>575</v>
      </c>
      <c r="B490" s="10" t="str">
        <f t="shared" si="295"/>
        <v>From Fiscal Forecasts</v>
      </c>
      <c r="D490" s="35">
        <f>'Fiscal Forecasts'!D$388</f>
        <v>1.359</v>
      </c>
      <c r="E490" s="35">
        <f>'Fiscal Forecasts'!E$388</f>
        <v>1.226</v>
      </c>
      <c r="F490" s="35">
        <f>'Fiscal Forecasts'!F$388</f>
        <v>2.2869999999999999</v>
      </c>
      <c r="G490" s="35">
        <f>'Fiscal Forecasts'!G$388</f>
        <v>3.3639999999999999</v>
      </c>
      <c r="H490" s="35">
        <f>'Fiscal Forecasts'!H$388</f>
        <v>2.492</v>
      </c>
      <c r="I490" s="35">
        <f>'Fiscal Forecasts'!I$388</f>
        <v>1.79</v>
      </c>
      <c r="J490" s="17">
        <f>'Fiscal Forecasts'!J$388</f>
        <v>1.9770000000000001</v>
      </c>
      <c r="K490" s="17">
        <f>'Fiscal Forecasts'!K$388</f>
        <v>2.2309999999999999</v>
      </c>
      <c r="L490" s="17">
        <f>'Fiscal Forecasts'!L$388</f>
        <v>2.371</v>
      </c>
      <c r="M490" s="17">
        <f>'Fiscal Forecasts'!M$388</f>
        <v>2.367</v>
      </c>
      <c r="N490" s="17">
        <f>'Fiscal Forecasts'!N$388</f>
        <v>2.35</v>
      </c>
      <c r="O490" s="16">
        <f t="shared" ref="O490:X490" ca="1" si="297">SUM(O$146,O$151)</f>
        <v>2.6429340481804928</v>
      </c>
      <c r="P490" s="16">
        <f t="shared" ca="1" si="297"/>
        <v>2.7216053594266576</v>
      </c>
      <c r="Q490" s="16">
        <f t="shared" ca="1" si="297"/>
        <v>2.8012224425256846</v>
      </c>
      <c r="R490" s="16">
        <f t="shared" ca="1" si="297"/>
        <v>2.8810709463860236</v>
      </c>
      <c r="S490" s="16">
        <f t="shared" ca="1" si="297"/>
        <v>2.9615746880905123</v>
      </c>
      <c r="T490" s="16">
        <f t="shared" ca="1" si="297"/>
        <v>3.0425449995930327</v>
      </c>
      <c r="U490" s="16">
        <f t="shared" ca="1" si="297"/>
        <v>3.1250404675093675</v>
      </c>
      <c r="V490" s="16">
        <f t="shared" ca="1" si="297"/>
        <v>3.2086487064120868</v>
      </c>
      <c r="W490" s="16">
        <f t="shared" ca="1" si="297"/>
        <v>3.2921789269818311</v>
      </c>
      <c r="X490" s="16">
        <f t="shared" ca="1" si="297"/>
        <v>3.3765125193692844</v>
      </c>
    </row>
    <row r="491" spans="1:24" x14ac:dyDescent="0.25">
      <c r="A491" s="11" t="s">
        <v>802</v>
      </c>
      <c r="B491" s="10" t="str">
        <f t="shared" si="295"/>
        <v>From Fiscal Forecasts</v>
      </c>
      <c r="D491" s="35">
        <f>'Fiscal Forecasts'!D$389</f>
        <v>0.71199999999999997</v>
      </c>
      <c r="E491" s="35">
        <f>'Fiscal Forecasts'!E$389</f>
        <v>0.42799999999999999</v>
      </c>
      <c r="F491" s="35">
        <f>'Fiscal Forecasts'!F$389</f>
        <v>0.249</v>
      </c>
      <c r="G491" s="35">
        <f>'Fiscal Forecasts'!G$389</f>
        <v>0.39300000000000002</v>
      </c>
      <c r="H491" s="35">
        <f>'Fiscal Forecasts'!H$389</f>
        <v>0.98199999999999998</v>
      </c>
      <c r="I491" s="35">
        <f>'Fiscal Forecasts'!I$389</f>
        <v>1.8779999999999999</v>
      </c>
      <c r="J491" s="17">
        <f>'Fiscal Forecasts'!J$389</f>
        <v>2.7080000000000002</v>
      </c>
      <c r="K491" s="17">
        <f>'Fiscal Forecasts'!K$389</f>
        <v>2.2959999999999998</v>
      </c>
      <c r="L491" s="17">
        <f>'Fiscal Forecasts'!L$389</f>
        <v>1.3180000000000001</v>
      </c>
      <c r="M491" s="17">
        <f>'Fiscal Forecasts'!M$389</f>
        <v>1.2809999999999999</v>
      </c>
      <c r="N491" s="17">
        <f>'Fiscal Forecasts'!N$389</f>
        <v>1.3220000000000001</v>
      </c>
      <c r="O491" s="16">
        <f t="shared" ref="O491:X491" ca="1" si="298">SUM(O$154,O$169,O$177)</f>
        <v>4.4155915525049076</v>
      </c>
      <c r="P491" s="16">
        <f t="shared" ca="1" si="298"/>
        <v>4.5564632751770393</v>
      </c>
      <c r="Q491" s="16">
        <f t="shared" ca="1" si="298"/>
        <v>4.699028531464629</v>
      </c>
      <c r="R491" s="16">
        <f t="shared" ca="1" si="298"/>
        <v>4.8420081782179638</v>
      </c>
      <c r="S491" s="16">
        <f t="shared" ca="1" si="298"/>
        <v>4.9861611177816423</v>
      </c>
      <c r="T491" s="16">
        <f t="shared" ca="1" si="298"/>
        <v>5.1311495142628969</v>
      </c>
      <c r="U491" s="16">
        <f t="shared" ca="1" si="298"/>
        <v>5.278868911511208</v>
      </c>
      <c r="V491" s="16">
        <f t="shared" ca="1" si="298"/>
        <v>5.4285808771215862</v>
      </c>
      <c r="W491" s="16">
        <f t="shared" ca="1" si="298"/>
        <v>5.5781531402560294</v>
      </c>
      <c r="X491" s="16">
        <f t="shared" ca="1" si="298"/>
        <v>5.7291639503031178</v>
      </c>
    </row>
    <row r="492" spans="1:24" x14ac:dyDescent="0.25">
      <c r="A492" s="11" t="s">
        <v>576</v>
      </c>
      <c r="B492" s="10" t="str">
        <f t="shared" si="295"/>
        <v>From Fiscal Forecasts</v>
      </c>
      <c r="D492" s="35">
        <f>'Fiscal Forecasts'!D$390</f>
        <v>3.2</v>
      </c>
      <c r="E492" s="35">
        <f>'Fiscal Forecasts'!E$390</f>
        <v>3.2429999999999999</v>
      </c>
      <c r="F492" s="35">
        <f>'Fiscal Forecasts'!F$390</f>
        <v>2.98</v>
      </c>
      <c r="G492" s="35">
        <f>'Fiscal Forecasts'!G$390</f>
        <v>2.883</v>
      </c>
      <c r="H492" s="35">
        <f>'Fiscal Forecasts'!H$390</f>
        <v>3.9540000000000002</v>
      </c>
      <c r="I492" s="35">
        <f>'Fiscal Forecasts'!I$390</f>
        <v>3.7789999999999999</v>
      </c>
      <c r="J492" s="17">
        <f>'Fiscal Forecasts'!J$390</f>
        <v>3.89</v>
      </c>
      <c r="K492" s="17">
        <f>'Fiscal Forecasts'!K$390</f>
        <v>4.1050000000000004</v>
      </c>
      <c r="L492" s="17">
        <f>'Fiscal Forecasts'!L$390</f>
        <v>4.0579999999999998</v>
      </c>
      <c r="M492" s="17">
        <f>'Fiscal Forecasts'!M$390</f>
        <v>4.1710000000000003</v>
      </c>
      <c r="N492" s="17">
        <f>'Fiscal Forecasts'!N$390</f>
        <v>4.2569999999999997</v>
      </c>
      <c r="O492" s="16">
        <f t="shared" ref="O492:X492" ca="1" si="299">SUM(O$160,O$341)</f>
        <v>3.1799687142148629</v>
      </c>
      <c r="P492" s="16">
        <f t="shared" ca="1" si="299"/>
        <v>3.2225883059503575</v>
      </c>
      <c r="Q492" s="16">
        <f t="shared" ca="1" si="299"/>
        <v>3.2656212012352208</v>
      </c>
      <c r="R492" s="16">
        <f t="shared" ca="1" si="299"/>
        <v>3.309055477854896</v>
      </c>
      <c r="S492" s="16">
        <f t="shared" ca="1" si="299"/>
        <v>3.3530554434049047</v>
      </c>
      <c r="T492" s="16">
        <f t="shared" ca="1" si="299"/>
        <v>3.3921354471533838</v>
      </c>
      <c r="U492" s="16">
        <f t="shared" ca="1" si="299"/>
        <v>3.4316313478063689</v>
      </c>
      <c r="V492" s="16">
        <f t="shared" ca="1" si="299"/>
        <v>3.4715606234926826</v>
      </c>
      <c r="W492" s="16">
        <f t="shared" ca="1" si="299"/>
        <v>3.5119261722492077</v>
      </c>
      <c r="X492" s="16">
        <f t="shared" ca="1" si="299"/>
        <v>3.5527904360154672</v>
      </c>
    </row>
    <row r="493" spans="1:24" x14ac:dyDescent="0.25">
      <c r="A493" s="11" t="s">
        <v>534</v>
      </c>
      <c r="B493" s="10" t="str">
        <f t="shared" si="295"/>
        <v>From Fiscal Forecasts</v>
      </c>
      <c r="D493" s="35">
        <f>'Fiscal Forecasts'!D$391</f>
        <v>28.91</v>
      </c>
      <c r="E493" s="35">
        <f>'Fiscal Forecasts'!E$391</f>
        <v>43.915999999999997</v>
      </c>
      <c r="F493" s="35">
        <f>'Fiscal Forecasts'!F$391</f>
        <v>36.573999999999998</v>
      </c>
      <c r="G493" s="35">
        <f>'Fiscal Forecasts'!G$391</f>
        <v>45.44</v>
      </c>
      <c r="H493" s="35">
        <f>'Fiscal Forecasts'!H$391</f>
        <v>40.417000000000002</v>
      </c>
      <c r="I493" s="35">
        <f>'Fiscal Forecasts'!I$391</f>
        <v>43.494999999999997</v>
      </c>
      <c r="J493" s="17">
        <f>'Fiscal Forecasts'!J$391</f>
        <v>47.723999999999997</v>
      </c>
      <c r="K493" s="17">
        <f>'Fiscal Forecasts'!K$391</f>
        <v>49.08</v>
      </c>
      <c r="L493" s="17">
        <f>'Fiscal Forecasts'!L$391</f>
        <v>50.116</v>
      </c>
      <c r="M493" s="17">
        <f>'Fiscal Forecasts'!M$391</f>
        <v>51.552</v>
      </c>
      <c r="N493" s="17">
        <f>'Fiscal Forecasts'!N$391</f>
        <v>53.042000000000002</v>
      </c>
      <c r="O493" s="16">
        <f t="shared" ref="O493:X493" ca="1" si="300">O$195</f>
        <v>52.716537878014769</v>
      </c>
      <c r="P493" s="16">
        <f t="shared" ca="1" si="300"/>
        <v>54.97496932655698</v>
      </c>
      <c r="Q493" s="16">
        <f t="shared" ca="1" si="300"/>
        <v>57.336481433380918</v>
      </c>
      <c r="R493" s="16">
        <f t="shared" ca="1" si="300"/>
        <v>59.784834344606928</v>
      </c>
      <c r="S493" s="16">
        <f t="shared" ca="1" si="300"/>
        <v>62.321710620668796</v>
      </c>
      <c r="T493" s="16">
        <f t="shared" ca="1" si="300"/>
        <v>64.903902206045629</v>
      </c>
      <c r="U493" s="16">
        <f t="shared" ca="1" si="300"/>
        <v>67.58738423613697</v>
      </c>
      <c r="V493" s="16">
        <f t="shared" ca="1" si="300"/>
        <v>70.30501559046796</v>
      </c>
      <c r="W493" s="16">
        <f t="shared" ca="1" si="300"/>
        <v>72.993209551386627</v>
      </c>
      <c r="X493" s="16">
        <f t="shared" ca="1" si="300"/>
        <v>75.659959432481941</v>
      </c>
    </row>
    <row r="494" spans="1:24" x14ac:dyDescent="0.25">
      <c r="A494" s="11" t="s">
        <v>1124</v>
      </c>
      <c r="B494" s="10" t="str">
        <f t="shared" si="295"/>
        <v>From Fiscal Forecasts</v>
      </c>
      <c r="D494" s="35">
        <f>'Fiscal Forecasts'!D$392</f>
        <v>50.591000000000001</v>
      </c>
      <c r="E494" s="35">
        <f>'Fiscal Forecasts'!E$392</f>
        <v>56.582999999999998</v>
      </c>
      <c r="F494" s="35">
        <f>'Fiscal Forecasts'!F$392</f>
        <v>63.893999999999998</v>
      </c>
      <c r="G494" s="35">
        <f>'Fiscal Forecasts'!G$392</f>
        <v>71.98</v>
      </c>
      <c r="H494" s="35">
        <f>'Fiscal Forecasts'!H$392</f>
        <v>76.433999999999997</v>
      </c>
      <c r="I494" s="35">
        <f>'Fiscal Forecasts'!I$392</f>
        <v>79.747</v>
      </c>
      <c r="J494" s="17">
        <f ca="1">'Fiscal Forecasts'!J$392+IF(OFFSET(Assumptions!$B$56,0,$C$1)="Yes",SUM(Allocation!C$14:C$24),0)</f>
        <v>81.527999999999992</v>
      </c>
      <c r="K494" s="17">
        <f ca="1">'Fiscal Forecasts'!K$392+IF(OFFSET(Assumptions!$B$56,0,$C$1)="Yes",SUM(Allocation!D$14:D$24),0)</f>
        <v>84.724999999999994</v>
      </c>
      <c r="L494" s="17">
        <f ca="1">'Fiscal Forecasts'!L$392+IF(OFFSET(Assumptions!$B$56,0,$C$1)="Yes",SUM(Allocation!E$14:E$24),0)</f>
        <v>86.301000000000002</v>
      </c>
      <c r="M494" s="17">
        <f ca="1">'Fiscal Forecasts'!M$392+IF(OFFSET(Assumptions!$B$56,0,$C$1)="Yes",SUM(Allocation!F$14:F$24),0)</f>
        <v>87.373000000000005</v>
      </c>
      <c r="N494" s="17">
        <f ca="1">'Fiscal Forecasts'!N$392+IF(OFFSET(Assumptions!$B$56,0,$C$1)="Yes",SUM(Allocation!G$14:G$24),0)</f>
        <v>89.774999999999991</v>
      </c>
      <c r="O494" s="16">
        <f t="shared" ref="O494:X494" ca="1" si="301">SUM(O$208,O$222,O$237)-SUM(O$219,O$272,O$280,O$282,O$322,O$472-N$472,O$478-N$478)</f>
        <v>96.995571543597094</v>
      </c>
      <c r="P494" s="16">
        <f t="shared" ca="1" si="301"/>
        <v>101.92705291161288</v>
      </c>
      <c r="Q494" s="16">
        <f t="shared" ca="1" si="301"/>
        <v>107.11780707612571</v>
      </c>
      <c r="R494" s="16">
        <f t="shared" ca="1" si="301"/>
        <v>112.36589294709907</v>
      </c>
      <c r="S494" s="16">
        <f t="shared" ca="1" si="301"/>
        <v>117.58756612742113</v>
      </c>
      <c r="T494" s="16">
        <f t="shared" ca="1" si="301"/>
        <v>122.97461488196738</v>
      </c>
      <c r="U494" s="16">
        <f t="shared" ca="1" si="301"/>
        <v>128.25093834114563</v>
      </c>
      <c r="V494" s="16">
        <f t="shared" ca="1" si="301"/>
        <v>133.58201030556145</v>
      </c>
      <c r="W494" s="16">
        <f t="shared" ca="1" si="301"/>
        <v>139.01912686392515</v>
      </c>
      <c r="X494" s="16">
        <f t="shared" ca="1" si="301"/>
        <v>144.59545927961534</v>
      </c>
    </row>
    <row r="495" spans="1:24" x14ac:dyDescent="0.25">
      <c r="A495" s="11" t="s">
        <v>580</v>
      </c>
      <c r="B495" s="10" t="str">
        <f t="shared" si="295"/>
        <v>From Fiscal Forecasts</v>
      </c>
      <c r="D495" s="35">
        <f>'Fiscal Forecasts'!D$393</f>
        <v>3.45</v>
      </c>
      <c r="E495" s="35">
        <f>'Fiscal Forecasts'!E$393</f>
        <v>3.016</v>
      </c>
      <c r="F495" s="35">
        <f>'Fiscal Forecasts'!F$393</f>
        <v>2.6419999999999999</v>
      </c>
      <c r="G495" s="35">
        <f>'Fiscal Forecasts'!G$393</f>
        <v>2.8410000000000002</v>
      </c>
      <c r="H495" s="35">
        <f>'Fiscal Forecasts'!H$393</f>
        <v>5.3049999999999997</v>
      </c>
      <c r="I495" s="35">
        <f>'Fiscal Forecasts'!I$393</f>
        <v>7.0439999999999996</v>
      </c>
      <c r="J495" s="17">
        <f>'Fiscal Forecasts'!J$393</f>
        <v>6.9340000000000002</v>
      </c>
      <c r="K495" s="17">
        <f>'Fiscal Forecasts'!K$393</f>
        <v>7.6150000000000002</v>
      </c>
      <c r="L495" s="17">
        <f>'Fiscal Forecasts'!L$393</f>
        <v>8.6690000000000005</v>
      </c>
      <c r="M495" s="17">
        <f>'Fiscal Forecasts'!M$393</f>
        <v>9.2949999999999999</v>
      </c>
      <c r="N495" s="17">
        <f>'Fiscal Forecasts'!N$393</f>
        <v>10.396000000000001</v>
      </c>
      <c r="O495" s="16">
        <f t="shared" ref="O495:X495" ca="1" si="302">(2*N$71-SUM(O$489:O$492,O$503,O$509)+SUM(O$493,O$494,O$496,O$508,O$354-N$354))/(2/O$234-1)</f>
        <v>13.038670620281358</v>
      </c>
      <c r="P495" s="16">
        <f t="shared" ca="1" si="302"/>
        <v>13.320974802063601</v>
      </c>
      <c r="Q495" s="16">
        <f t="shared" ca="1" si="302"/>
        <v>13.715611952946235</v>
      </c>
      <c r="R495" s="16">
        <f t="shared" ca="1" si="302"/>
        <v>14.162296104144376</v>
      </c>
      <c r="S495" s="16">
        <f t="shared" ca="1" si="302"/>
        <v>14.662902242013429</v>
      </c>
      <c r="T495" s="16">
        <f t="shared" ca="1" si="302"/>
        <v>15.166166999772637</v>
      </c>
      <c r="U495" s="16">
        <f t="shared" ca="1" si="302"/>
        <v>15.721305652586906</v>
      </c>
      <c r="V495" s="16">
        <f t="shared" ca="1" si="302"/>
        <v>16.32737148769726</v>
      </c>
      <c r="W495" s="16">
        <f t="shared" ca="1" si="302"/>
        <v>16.987840869219191</v>
      </c>
      <c r="X495" s="16">
        <f t="shared" ca="1" si="302"/>
        <v>17.707364397266083</v>
      </c>
    </row>
    <row r="496" spans="1:24" x14ac:dyDescent="0.25">
      <c r="A496" s="11" t="s">
        <v>1125</v>
      </c>
      <c r="D496" s="35">
        <f t="shared" ref="D496:X496" si="303">SUM(D$245,D$248)</f>
        <v>0</v>
      </c>
      <c r="E496" s="35">
        <f t="shared" si="303"/>
        <v>0</v>
      </c>
      <c r="F496" s="35">
        <f t="shared" si="303"/>
        <v>0</v>
      </c>
      <c r="G496" s="35">
        <f t="shared" si="303"/>
        <v>0</v>
      </c>
      <c r="H496" s="35">
        <f t="shared" si="303"/>
        <v>0</v>
      </c>
      <c r="I496" s="35">
        <f t="shared" si="303"/>
        <v>0</v>
      </c>
      <c r="J496" s="17">
        <f t="shared" ca="1" si="303"/>
        <v>0</v>
      </c>
      <c r="K496" s="17">
        <f t="shared" ca="1" si="303"/>
        <v>0</v>
      </c>
      <c r="L496" s="17">
        <f t="shared" ca="1" si="303"/>
        <v>0</v>
      </c>
      <c r="M496" s="17">
        <f t="shared" ca="1" si="303"/>
        <v>0</v>
      </c>
      <c r="N496" s="17">
        <f t="shared" ca="1" si="303"/>
        <v>0</v>
      </c>
      <c r="O496" s="16">
        <f t="shared" ca="1" si="303"/>
        <v>0</v>
      </c>
      <c r="P496" s="16">
        <f t="shared" ca="1" si="303"/>
        <v>0</v>
      </c>
      <c r="Q496" s="16">
        <f t="shared" ca="1" si="303"/>
        <v>0</v>
      </c>
      <c r="R496" s="16">
        <f t="shared" ca="1" si="303"/>
        <v>0</v>
      </c>
      <c r="S496" s="16">
        <f t="shared" ca="1" si="303"/>
        <v>0</v>
      </c>
      <c r="T496" s="16">
        <f t="shared" ca="1" si="303"/>
        <v>0</v>
      </c>
      <c r="U496" s="16">
        <f t="shared" ca="1" si="303"/>
        <v>0</v>
      </c>
      <c r="V496" s="16">
        <f t="shared" ca="1" si="303"/>
        <v>0</v>
      </c>
      <c r="W496" s="16">
        <f t="shared" ca="1" si="303"/>
        <v>0</v>
      </c>
      <c r="X496" s="16">
        <f t="shared" ca="1" si="303"/>
        <v>0</v>
      </c>
    </row>
    <row r="497" spans="1:24" x14ac:dyDescent="0.25">
      <c r="A497" s="9" t="s">
        <v>1118</v>
      </c>
      <c r="D497" s="65">
        <f t="shared" ref="D497:I497" si="304">SUM(D$489:D$492)-SUM(D$493:D$496)</f>
        <v>6.0359999999999872</v>
      </c>
      <c r="E497" s="65">
        <f t="shared" si="304"/>
        <v>-14.308000000000007</v>
      </c>
      <c r="F497" s="65">
        <f t="shared" si="304"/>
        <v>-1.0429999999999779</v>
      </c>
      <c r="G497" s="65">
        <f t="shared" si="304"/>
        <v>-8.1340000000000003</v>
      </c>
      <c r="H497" s="65">
        <f t="shared" si="304"/>
        <v>-3.436000000000007</v>
      </c>
      <c r="I497" s="65">
        <f t="shared" si="304"/>
        <v>-6.1020000000000039</v>
      </c>
      <c r="J497" s="66">
        <f t="shared" ref="J497:N497" ca="1" si="305">SUM(J$489:J$492)-SUM(J$493:J$496)</f>
        <v>-4.0579999999999927</v>
      </c>
      <c r="K497" s="66">
        <f t="shared" ca="1" si="305"/>
        <v>-6.8320000000000221</v>
      </c>
      <c r="L497" s="66">
        <f t="shared" ca="1" si="305"/>
        <v>-3.8050000000000068</v>
      </c>
      <c r="M497" s="66">
        <f t="shared" ca="1" si="305"/>
        <v>0.46399999999999864</v>
      </c>
      <c r="N497" s="66">
        <f t="shared" ca="1" si="305"/>
        <v>3.0849999999999795</v>
      </c>
      <c r="O497" s="67">
        <f t="shared" ref="O497:X497" ca="1" si="306">SUM(O$489:O$492)-SUM(O$493:O$496)</f>
        <v>1.5183024182725831</v>
      </c>
      <c r="P497" s="67">
        <f t="shared" ca="1" si="306"/>
        <v>0.63138361515802899</v>
      </c>
      <c r="Q497" s="67">
        <f t="shared" ca="1" si="306"/>
        <v>-0.49009605749205321</v>
      </c>
      <c r="R497" s="67">
        <f t="shared" ca="1" si="306"/>
        <v>-1.7684951685600652</v>
      </c>
      <c r="S497" s="67">
        <f t="shared" ca="1" si="306"/>
        <v>-3.0272783547358699</v>
      </c>
      <c r="T497" s="67">
        <f t="shared" ca="1" si="306"/>
        <v>-4.3680496971650769</v>
      </c>
      <c r="U497" s="67">
        <f t="shared" ca="1" si="306"/>
        <v>-5.6494636059487959</v>
      </c>
      <c r="V497" s="67">
        <f t="shared" ca="1" si="306"/>
        <v>-6.9629064556601179</v>
      </c>
      <c r="W497" s="67">
        <f t="shared" ca="1" si="306"/>
        <v>-8.3025944395600675</v>
      </c>
      <c r="X497" s="67">
        <f t="shared" ca="1" si="306"/>
        <v>-9.6618137450895745</v>
      </c>
    </row>
    <row r="498" spans="1:24" x14ac:dyDescent="0.25">
      <c r="A498" s="11" t="s">
        <v>1126</v>
      </c>
      <c r="B498" s="10" t="str">
        <f t="shared" ref="B498:B500" si="307">$B$38</f>
        <v>From Fiscal Forecasts</v>
      </c>
      <c r="D498" s="35">
        <f>-'Fiscal Forecasts'!D$395</f>
        <v>3.0019999999999998</v>
      </c>
      <c r="E498" s="35">
        <f>-'Fiscal Forecasts'!E$395</f>
        <v>2.9550000000000001</v>
      </c>
      <c r="F498" s="35">
        <f>-'Fiscal Forecasts'!F$395</f>
        <v>3.137</v>
      </c>
      <c r="G498" s="35">
        <f>-'Fiscal Forecasts'!G$395</f>
        <v>3.4740000000000002</v>
      </c>
      <c r="H498" s="35">
        <f>-'Fiscal Forecasts'!H$395</f>
        <v>4.4349999999999996</v>
      </c>
      <c r="I498" s="35">
        <f>-'Fiscal Forecasts'!I$395</f>
        <v>4.7009999999999996</v>
      </c>
      <c r="J498" s="17">
        <f>-'Fiscal Forecasts'!J$395</f>
        <v>4.242</v>
      </c>
      <c r="K498" s="17">
        <f>-'Fiscal Forecasts'!K$395</f>
        <v>4.3230000000000004</v>
      </c>
      <c r="L498" s="17">
        <f>-'Fiscal Forecasts'!L$395</f>
        <v>3.5950000000000002</v>
      </c>
      <c r="M498" s="17">
        <f>-'Fiscal Forecasts'!M$395</f>
        <v>2.7170000000000001</v>
      </c>
      <c r="N498" s="17">
        <f>-'Fiscal Forecasts'!N$395</f>
        <v>2.4750000000000001</v>
      </c>
      <c r="O498" s="16">
        <f t="shared" ref="O498:X498" ca="1" si="308">SUM(O$427-N$427,O$215,O$441-N$441,O$219)</f>
        <v>3.403850728053635</v>
      </c>
      <c r="P498" s="16">
        <f t="shared" ca="1" si="308"/>
        <v>3.403850728053635</v>
      </c>
      <c r="Q498" s="16">
        <f t="shared" ca="1" si="308"/>
        <v>3.403850728053635</v>
      </c>
      <c r="R498" s="16">
        <f t="shared" ca="1" si="308"/>
        <v>3.403850728053635</v>
      </c>
      <c r="S498" s="16">
        <f t="shared" ca="1" si="308"/>
        <v>3.403850728053635</v>
      </c>
      <c r="T498" s="16">
        <f t="shared" ca="1" si="308"/>
        <v>3.403850728053635</v>
      </c>
      <c r="U498" s="16">
        <f t="shared" ca="1" si="308"/>
        <v>3.403850728053635</v>
      </c>
      <c r="V498" s="16">
        <f t="shared" ca="1" si="308"/>
        <v>3.403850728053635</v>
      </c>
      <c r="W498" s="16">
        <f t="shared" ca="1" si="308"/>
        <v>3.403850728053635</v>
      </c>
      <c r="X498" s="16">
        <f t="shared" ca="1" si="308"/>
        <v>3.403850728053635</v>
      </c>
    </row>
    <row r="499" spans="1:24" x14ac:dyDescent="0.25">
      <c r="A499" s="11" t="s">
        <v>1127</v>
      </c>
      <c r="B499" s="10" t="str">
        <f t="shared" si="307"/>
        <v>From Fiscal Forecasts</v>
      </c>
      <c r="D499" s="35">
        <f>-'Fiscal Forecasts'!D$396</f>
        <v>8.5999999999999993E-2</v>
      </c>
      <c r="E499" s="35">
        <f>-'Fiscal Forecasts'!E$396</f>
        <v>1.798</v>
      </c>
      <c r="F499" s="35">
        <f>-'Fiscal Forecasts'!F$396</f>
        <v>3.8679999999999999</v>
      </c>
      <c r="G499" s="35">
        <f>-'Fiscal Forecasts'!G$396</f>
        <v>9.1920000000000002</v>
      </c>
      <c r="H499" s="35">
        <f>-'Fiscal Forecasts'!H$396</f>
        <v>9.1590000000000007</v>
      </c>
      <c r="I499" s="35">
        <f>-'Fiscal Forecasts'!I$396</f>
        <v>2.5329999999999999</v>
      </c>
      <c r="J499" s="17">
        <f>-'Fiscal Forecasts'!J$396</f>
        <v>-5.3380000000000001</v>
      </c>
      <c r="K499" s="17">
        <f>-'Fiscal Forecasts'!K$396</f>
        <v>-4.7889999999999997</v>
      </c>
      <c r="L499" s="17">
        <f>-'Fiscal Forecasts'!L$396</f>
        <v>2.992</v>
      </c>
      <c r="M499" s="17">
        <f>-'Fiscal Forecasts'!M$396</f>
        <v>1.8180000000000001</v>
      </c>
      <c r="N499" s="17">
        <f>-'Fiscal Forecasts'!N$396</f>
        <v>1.944</v>
      </c>
      <c r="O499" s="16">
        <f t="shared" ref="O499:X499" si="309">SUM(O$401-N$401-O$413+O$411,O$402-N$402)</f>
        <v>8.599999999999941E-2</v>
      </c>
      <c r="P499" s="16">
        <f t="shared" si="309"/>
        <v>6.399999999999928E-2</v>
      </c>
      <c r="Q499" s="16">
        <f t="shared" si="309"/>
        <v>4.8999999999999044E-2</v>
      </c>
      <c r="R499" s="16">
        <f t="shared" si="309"/>
        <v>3.6000000000001808E-2</v>
      </c>
      <c r="S499" s="16">
        <f t="shared" si="309"/>
        <v>2.49999999999998E-2</v>
      </c>
      <c r="T499" s="16">
        <f t="shared" si="309"/>
        <v>7.9999999999985638E-3</v>
      </c>
      <c r="U499" s="16">
        <f t="shared" si="309"/>
        <v>-1.0000000000014442E-3</v>
      </c>
      <c r="V499" s="16">
        <f t="shared" si="309"/>
        <v>-1.0999999999998678E-2</v>
      </c>
      <c r="W499" s="16">
        <f t="shared" si="309"/>
        <v>-1.8999999999998907E-2</v>
      </c>
      <c r="X499" s="16">
        <f t="shared" si="309"/>
        <v>-2.2000000000001463E-2</v>
      </c>
    </row>
    <row r="500" spans="1:24" x14ac:dyDescent="0.25">
      <c r="A500" s="11" t="s">
        <v>1128</v>
      </c>
      <c r="B500" s="10" t="str">
        <f t="shared" si="307"/>
        <v>From Fiscal Forecasts</v>
      </c>
      <c r="D500" s="35">
        <f>-'Fiscal Forecasts'!D$397</f>
        <v>2.6579999999999999</v>
      </c>
      <c r="E500" s="35">
        <f>-'Fiscal Forecasts'!E$397</f>
        <v>3.1709999999999998</v>
      </c>
      <c r="F500" s="35">
        <f>-'Fiscal Forecasts'!F$397</f>
        <v>3.5990000000000002</v>
      </c>
      <c r="G500" s="35">
        <f>-'Fiscal Forecasts'!G$397</f>
        <v>3.823</v>
      </c>
      <c r="H500" s="35">
        <f>-'Fiscal Forecasts'!H$397</f>
        <v>6.06</v>
      </c>
      <c r="I500" s="35">
        <f>-'Fiscal Forecasts'!I$397</f>
        <v>4.3520000000000003</v>
      </c>
      <c r="J500" s="17">
        <f>-'Fiscal Forecasts'!J$397</f>
        <v>7.649</v>
      </c>
      <c r="K500" s="17">
        <f>-'Fiscal Forecasts'!K$397</f>
        <v>6.5069999999999997</v>
      </c>
      <c r="L500" s="17">
        <f>-'Fiscal Forecasts'!L$397</f>
        <v>4.774</v>
      </c>
      <c r="M500" s="17">
        <f>-'Fiscal Forecasts'!M$397</f>
        <v>3.9990000000000001</v>
      </c>
      <c r="N500" s="17">
        <f>-'Fiscal Forecasts'!N$397</f>
        <v>2.8170000000000002</v>
      </c>
      <c r="O500" s="16">
        <f t="shared" ref="O500:X500" ca="1" si="310">SUM(O$437-N$437,-O$349)</f>
        <v>0.97069985849933604</v>
      </c>
      <c r="P500" s="16">
        <f t="shared" ca="1" si="310"/>
        <v>0.96592899551477984</v>
      </c>
      <c r="Q500" s="16">
        <f t="shared" ca="1" si="310"/>
        <v>0.9977620719770075</v>
      </c>
      <c r="R500" s="16">
        <f t="shared" ca="1" si="310"/>
        <v>1.0370504504875699</v>
      </c>
      <c r="S500" s="16">
        <f t="shared" ca="1" si="310"/>
        <v>1.0772051244262628</v>
      </c>
      <c r="T500" s="16">
        <f t="shared" ca="1" si="310"/>
        <v>1.1181648141704357</v>
      </c>
      <c r="U500" s="16">
        <f t="shared" ca="1" si="310"/>
        <v>1.15967062159209</v>
      </c>
      <c r="V500" s="16">
        <f t="shared" ca="1" si="310"/>
        <v>1.201800460819205</v>
      </c>
      <c r="W500" s="16">
        <f t="shared" ca="1" si="310"/>
        <v>1.2445527622419963</v>
      </c>
      <c r="X500" s="16">
        <f t="shared" ca="1" si="310"/>
        <v>1.2882496870846063</v>
      </c>
    </row>
    <row r="501" spans="1:24" x14ac:dyDescent="0.25">
      <c r="A501" s="11" t="s">
        <v>1129</v>
      </c>
      <c r="D501" s="35">
        <f t="shared" ref="D501:X501" si="311">D$389</f>
        <v>1</v>
      </c>
      <c r="E501" s="35">
        <f t="shared" si="311"/>
        <v>1.46</v>
      </c>
      <c r="F501" s="35">
        <f t="shared" si="311"/>
        <v>2.12</v>
      </c>
      <c r="G501" s="35">
        <f t="shared" si="311"/>
        <v>2.42</v>
      </c>
      <c r="H501" s="35">
        <f t="shared" si="311"/>
        <v>2.5579999999999998</v>
      </c>
      <c r="I501" s="35">
        <f t="shared" si="311"/>
        <v>1.6140000000000001</v>
      </c>
      <c r="J501" s="17">
        <f t="shared" si="311"/>
        <v>0.879</v>
      </c>
      <c r="K501" s="17">
        <f t="shared" si="311"/>
        <v>0</v>
      </c>
      <c r="L501" s="17">
        <f t="shared" si="311"/>
        <v>4.0000000000000001E-3</v>
      </c>
      <c r="M501" s="17">
        <f t="shared" si="311"/>
        <v>-3.2000000000000001E-2</v>
      </c>
      <c r="N501" s="17">
        <f t="shared" si="311"/>
        <v>6.3E-2</v>
      </c>
      <c r="O501" s="16">
        <f t="shared" si="311"/>
        <v>7.8931226568819568E-2</v>
      </c>
      <c r="P501" s="16">
        <f t="shared" si="311"/>
        <v>-3.7546449235872359E-2</v>
      </c>
      <c r="Q501" s="16">
        <f t="shared" si="311"/>
        <v>-0.19270640692964491</v>
      </c>
      <c r="R501" s="16">
        <f t="shared" si="311"/>
        <v>-0.40499215635222185</v>
      </c>
      <c r="S501" s="16">
        <f t="shared" si="311"/>
        <v>-0.64923682824001006</v>
      </c>
      <c r="T501" s="16">
        <f t="shared" si="311"/>
        <v>-0.88575870240245536</v>
      </c>
      <c r="U501" s="16">
        <f t="shared" si="311"/>
        <v>-1.1712854524337715</v>
      </c>
      <c r="V501" s="16">
        <f t="shared" si="311"/>
        <v>-1.4363342055452506</v>
      </c>
      <c r="W501" s="16">
        <f t="shared" si="311"/>
        <v>-1.6308417389458754</v>
      </c>
      <c r="X501" s="16">
        <f t="shared" si="311"/>
        <v>-1.7491417757201475</v>
      </c>
    </row>
    <row r="502" spans="1:24" x14ac:dyDescent="0.25">
      <c r="A502" s="11" t="s">
        <v>1130</v>
      </c>
      <c r="D502" s="35">
        <f t="shared" ref="D502:X502" si="312">SUM(D$450-C$450,D$451-C$451)</f>
        <v>0</v>
      </c>
      <c r="E502" s="35">
        <f t="shared" si="312"/>
        <v>0</v>
      </c>
      <c r="F502" s="35">
        <f t="shared" si="312"/>
        <v>0</v>
      </c>
      <c r="G502" s="35">
        <f t="shared" si="312"/>
        <v>0</v>
      </c>
      <c r="H502" s="35">
        <f t="shared" si="312"/>
        <v>0</v>
      </c>
      <c r="I502" s="35">
        <f t="shared" si="312"/>
        <v>0</v>
      </c>
      <c r="J502" s="17">
        <f t="shared" si="312"/>
        <v>-1.5</v>
      </c>
      <c r="K502" s="17">
        <f t="shared" si="312"/>
        <v>1.6600000000000001</v>
      </c>
      <c r="L502" s="17">
        <f t="shared" si="312"/>
        <v>3.0419999999999998</v>
      </c>
      <c r="M502" s="17">
        <f t="shared" si="312"/>
        <v>3.3770000000000002</v>
      </c>
      <c r="N502" s="17">
        <f t="shared" si="312"/>
        <v>3.9310000000000005</v>
      </c>
      <c r="O502" s="16">
        <f t="shared" ca="1" si="312"/>
        <v>3.625</v>
      </c>
      <c r="P502" s="16">
        <f t="shared" ca="1" si="312"/>
        <v>3.7337500000000006</v>
      </c>
      <c r="Q502" s="16">
        <f t="shared" ca="1" si="312"/>
        <v>3.8457624999999993</v>
      </c>
      <c r="R502" s="16">
        <f t="shared" ca="1" si="312"/>
        <v>3.9611353750000013</v>
      </c>
      <c r="S502" s="16">
        <f t="shared" ca="1" si="312"/>
        <v>4.0799694362499999</v>
      </c>
      <c r="T502" s="16">
        <f t="shared" ca="1" si="312"/>
        <v>4.2023685193375044</v>
      </c>
      <c r="U502" s="16">
        <f t="shared" ca="1" si="312"/>
        <v>4.3284395749176241</v>
      </c>
      <c r="V502" s="16">
        <f t="shared" ca="1" si="312"/>
        <v>4.4582927621651578</v>
      </c>
      <c r="W502" s="16">
        <f t="shared" ca="1" si="312"/>
        <v>4.5920415450301135</v>
      </c>
      <c r="X502" s="16">
        <f t="shared" ca="1" si="312"/>
        <v>4.7298027913810117</v>
      </c>
    </row>
    <row r="503" spans="1:24" x14ac:dyDescent="0.25">
      <c r="A503" s="9" t="s">
        <v>1119</v>
      </c>
      <c r="D503" s="65">
        <f t="shared" ref="D503:I503" si="313">-SUM(D$498:D$502)</f>
        <v>-6.7459999999999996</v>
      </c>
      <c r="E503" s="65">
        <f t="shared" si="313"/>
        <v>-9.3840000000000003</v>
      </c>
      <c r="F503" s="65">
        <f t="shared" si="313"/>
        <v>-12.724</v>
      </c>
      <c r="G503" s="65">
        <f t="shared" si="313"/>
        <v>-18.908999999999999</v>
      </c>
      <c r="H503" s="65">
        <f t="shared" si="313"/>
        <v>-22.212</v>
      </c>
      <c r="I503" s="65">
        <f t="shared" si="313"/>
        <v>-13.200000000000001</v>
      </c>
      <c r="J503" s="66">
        <f t="shared" ref="J503:N503" si="314">-SUM(J$498:J$502)</f>
        <v>-5.9320000000000004</v>
      </c>
      <c r="K503" s="66">
        <f t="shared" si="314"/>
        <v>-7.7010000000000005</v>
      </c>
      <c r="L503" s="66">
        <f t="shared" si="314"/>
        <v>-14.407</v>
      </c>
      <c r="M503" s="66">
        <f t="shared" si="314"/>
        <v>-11.879000000000001</v>
      </c>
      <c r="N503" s="66">
        <f t="shared" si="314"/>
        <v>-11.23</v>
      </c>
      <c r="O503" s="67">
        <f t="shared" ref="O503:X503" ca="1" si="315">-SUM(O$498:O$502)</f>
        <v>-8.1644818131217889</v>
      </c>
      <c r="P503" s="67">
        <f t="shared" ca="1" si="315"/>
        <v>-8.1299832743325418</v>
      </c>
      <c r="Q503" s="67">
        <f t="shared" ca="1" si="315"/>
        <v>-8.1036688931009948</v>
      </c>
      <c r="R503" s="67">
        <f t="shared" ca="1" si="315"/>
        <v>-8.033044397188986</v>
      </c>
      <c r="S503" s="67">
        <f t="shared" ca="1" si="315"/>
        <v>-7.936788460489888</v>
      </c>
      <c r="T503" s="67">
        <f t="shared" ca="1" si="315"/>
        <v>-7.846625359159118</v>
      </c>
      <c r="U503" s="67">
        <f t="shared" ca="1" si="315"/>
        <v>-7.7196754721295759</v>
      </c>
      <c r="V503" s="67">
        <f t="shared" ca="1" si="315"/>
        <v>-7.6166097454927488</v>
      </c>
      <c r="W503" s="67">
        <f t="shared" ca="1" si="315"/>
        <v>-7.5906032963798706</v>
      </c>
      <c r="X503" s="67">
        <f t="shared" ca="1" si="315"/>
        <v>-7.6507614307991041</v>
      </c>
    </row>
    <row r="504" spans="1:24" x14ac:dyDescent="0.25">
      <c r="A504" s="9" t="s">
        <v>1120</v>
      </c>
      <c r="D504" s="65">
        <f t="shared" ref="D504:X504" si="316">SUM(D$497,D$503)</f>
        <v>-0.7100000000000124</v>
      </c>
      <c r="E504" s="65">
        <f t="shared" si="316"/>
        <v>-23.692000000000007</v>
      </c>
      <c r="F504" s="65">
        <f t="shared" si="316"/>
        <v>-13.766999999999978</v>
      </c>
      <c r="G504" s="65">
        <f t="shared" si="316"/>
        <v>-27.042999999999999</v>
      </c>
      <c r="H504" s="65">
        <f t="shared" si="316"/>
        <v>-25.648000000000007</v>
      </c>
      <c r="I504" s="65">
        <f t="shared" si="316"/>
        <v>-19.302000000000007</v>
      </c>
      <c r="J504" s="66">
        <f t="shared" ca="1" si="316"/>
        <v>-9.9899999999999931</v>
      </c>
      <c r="K504" s="66">
        <f t="shared" ca="1" si="316"/>
        <v>-14.533000000000023</v>
      </c>
      <c r="L504" s="66">
        <f t="shared" ca="1" si="316"/>
        <v>-18.212000000000007</v>
      </c>
      <c r="M504" s="66">
        <f t="shared" ca="1" si="316"/>
        <v>-11.415000000000003</v>
      </c>
      <c r="N504" s="66">
        <f t="shared" ca="1" si="316"/>
        <v>-8.1450000000000209</v>
      </c>
      <c r="O504" s="67">
        <f t="shared" ca="1" si="316"/>
        <v>-6.6461793948492058</v>
      </c>
      <c r="P504" s="67">
        <f t="shared" ca="1" si="316"/>
        <v>-7.4985996591745128</v>
      </c>
      <c r="Q504" s="67">
        <f t="shared" ca="1" si="316"/>
        <v>-8.593764950593048</v>
      </c>
      <c r="R504" s="67">
        <f t="shared" ca="1" si="316"/>
        <v>-9.8015395657490512</v>
      </c>
      <c r="S504" s="67">
        <f t="shared" ca="1" si="316"/>
        <v>-10.964066815225758</v>
      </c>
      <c r="T504" s="67">
        <f t="shared" ca="1" si="316"/>
        <v>-12.214675056324195</v>
      </c>
      <c r="U504" s="67">
        <f t="shared" ca="1" si="316"/>
        <v>-13.369139078078373</v>
      </c>
      <c r="V504" s="67">
        <f t="shared" ca="1" si="316"/>
        <v>-14.579516201152867</v>
      </c>
      <c r="W504" s="67">
        <f t="shared" ca="1" si="316"/>
        <v>-15.893197735939939</v>
      </c>
      <c r="X504" s="67">
        <f t="shared" ca="1" si="316"/>
        <v>-17.312575175888679</v>
      </c>
    </row>
    <row r="505" spans="1:24" x14ac:dyDescent="0.25">
      <c r="A505" s="9" t="s">
        <v>1121</v>
      </c>
      <c r="B505" s="10" t="str">
        <f>$B$62</f>
        <v>Projected Years only</v>
      </c>
      <c r="O505" s="91" t="str">
        <f t="shared" ref="O505:X505" ca="1" si="317">IF(ROUND(SUM(O$504,O$78-N$78,O$509),3)=0,"OK","ERROR")</f>
        <v>OK</v>
      </c>
      <c r="P505" s="91" t="str">
        <f t="shared" ca="1" si="317"/>
        <v>OK</v>
      </c>
      <c r="Q505" s="91" t="str">
        <f t="shared" ca="1" si="317"/>
        <v>OK</v>
      </c>
      <c r="R505" s="91" t="str">
        <f t="shared" ca="1" si="317"/>
        <v>OK</v>
      </c>
      <c r="S505" s="91" t="str">
        <f t="shared" ca="1" si="317"/>
        <v>OK</v>
      </c>
      <c r="T505" s="91" t="str">
        <f t="shared" ca="1" si="317"/>
        <v>OK</v>
      </c>
      <c r="U505" s="91" t="str">
        <f t="shared" ca="1" si="317"/>
        <v>OK</v>
      </c>
      <c r="V505" s="91" t="str">
        <f t="shared" ca="1" si="317"/>
        <v>OK</v>
      </c>
      <c r="W505" s="91" t="str">
        <f t="shared" ca="1" si="317"/>
        <v>OK</v>
      </c>
      <c r="X505" s="91" t="str">
        <f t="shared" ca="1" si="317"/>
        <v>OK</v>
      </c>
    </row>
    <row r="506" spans="1:24" x14ac:dyDescent="0.25">
      <c r="A506" s="9"/>
    </row>
    <row r="507" spans="1:24" x14ac:dyDescent="0.25">
      <c r="A507" s="9" t="s">
        <v>813</v>
      </c>
      <c r="B507" s="10" t="str">
        <f t="shared" ref="B507:B510" si="318">$B$38</f>
        <v>From Fiscal Forecasts</v>
      </c>
      <c r="D507" s="42">
        <f>'Fiscal Forecasts'!D$401</f>
        <v>-4.9580000000000002</v>
      </c>
      <c r="E507" s="42">
        <f>'Fiscal Forecasts'!E$401</f>
        <v>33.061999999999998</v>
      </c>
      <c r="F507" s="42">
        <f>'Fiscal Forecasts'!F$401</f>
        <v>3.8090000000000002</v>
      </c>
      <c r="G507" s="42">
        <f>'Fiscal Forecasts'!G$401</f>
        <v>28.693999999999999</v>
      </c>
      <c r="H507" s="42">
        <f>'Fiscal Forecasts'!H$401</f>
        <v>22.715</v>
      </c>
      <c r="I507" s="42">
        <f>'Fiscal Forecasts'!I$401</f>
        <v>25.202999999999999</v>
      </c>
      <c r="J507" s="43">
        <f>'Fiscal Forecasts'!J$401</f>
        <v>22.451000000000001</v>
      </c>
      <c r="K507" s="43">
        <f>'Fiscal Forecasts'!K$401</f>
        <v>20.768000000000001</v>
      </c>
      <c r="L507" s="43">
        <f>'Fiscal Forecasts'!L$401</f>
        <v>15.787000000000001</v>
      </c>
      <c r="M507" s="43">
        <f>'Fiscal Forecasts'!M$401</f>
        <v>10.113</v>
      </c>
      <c r="N507" s="43">
        <f>'Fiscal Forecasts'!N$401</f>
        <v>6.9329999999999998</v>
      </c>
      <c r="O507" s="47">
        <f t="shared" ref="O507:X507" ca="1" si="319">-SUM(O$497,O$503,O$511)</f>
        <v>6.4574993948492061</v>
      </c>
      <c r="P507" s="47">
        <f t="shared" ca="1" si="319"/>
        <v>7.3061460591745124</v>
      </c>
      <c r="Q507" s="47">
        <f t="shared" ca="1" si="319"/>
        <v>8.3974622785930482</v>
      </c>
      <c r="R507" s="47">
        <f t="shared" ca="1" si="319"/>
        <v>9.6013108403090506</v>
      </c>
      <c r="S507" s="47">
        <f t="shared" ca="1" si="319"/>
        <v>10.759833515276958</v>
      </c>
      <c r="T507" s="47">
        <f t="shared" ca="1" si="319"/>
        <v>12.006357090376419</v>
      </c>
      <c r="U507" s="47">
        <f t="shared" ca="1" si="319"/>
        <v>13.15665475281164</v>
      </c>
      <c r="V507" s="47">
        <f t="shared" ca="1" si="319"/>
        <v>14.3627821893808</v>
      </c>
      <c r="W507" s="47">
        <f t="shared" ca="1" si="319"/>
        <v>15.672129043932431</v>
      </c>
      <c r="X507" s="47">
        <f t="shared" ca="1" si="319"/>
        <v>17.08708511004102</v>
      </c>
    </row>
    <row r="508" spans="1:24" x14ac:dyDescent="0.25">
      <c r="A508" s="11" t="s">
        <v>1131</v>
      </c>
      <c r="B508" s="10" t="str">
        <f t="shared" si="318"/>
        <v>From Fiscal Forecasts</v>
      </c>
      <c r="D508" s="35">
        <f>-'Fiscal Forecasts'!D$402</f>
        <v>-5.1630000000000003</v>
      </c>
      <c r="E508" s="35">
        <f>-'Fiscal Forecasts'!E$402</f>
        <v>14.911</v>
      </c>
      <c r="F508" s="35">
        <f>-'Fiscal Forecasts'!F$402</f>
        <v>-6.0419999999999998</v>
      </c>
      <c r="G508" s="35">
        <f>-'Fiscal Forecasts'!G$402</f>
        <v>2.8000000000000001E-2</v>
      </c>
      <c r="H508" s="35">
        <f>-'Fiscal Forecasts'!H$402</f>
        <v>-2.7749999999999999</v>
      </c>
      <c r="I508" s="35">
        <f>-'Fiscal Forecasts'!I$402</f>
        <v>8.4169999999999998</v>
      </c>
      <c r="J508" s="17">
        <f>-'Fiscal Forecasts'!J$402</f>
        <v>5.7210000000000001</v>
      </c>
      <c r="K508" s="17">
        <f>-'Fiscal Forecasts'!K$402</f>
        <v>6.3159999999999998</v>
      </c>
      <c r="L508" s="17">
        <f>-'Fiscal Forecasts'!L$402</f>
        <v>-2.339</v>
      </c>
      <c r="M508" s="17">
        <f>-'Fiscal Forecasts'!M$402</f>
        <v>-1.2090000000000001</v>
      </c>
      <c r="N508" s="17">
        <f>-'Fiscal Forecasts'!N$402</f>
        <v>-1.113</v>
      </c>
      <c r="O508" s="16">
        <f t="shared" ref="O508:X508" ca="1" si="320">SUM(O$367-N$367,O$376-N$376)</f>
        <v>0</v>
      </c>
      <c r="P508" s="16">
        <f t="shared" ca="1" si="320"/>
        <v>0</v>
      </c>
      <c r="Q508" s="16">
        <f t="shared" ca="1" si="320"/>
        <v>0</v>
      </c>
      <c r="R508" s="16">
        <f t="shared" ca="1" si="320"/>
        <v>0</v>
      </c>
      <c r="S508" s="16">
        <f t="shared" ca="1" si="320"/>
        <v>0</v>
      </c>
      <c r="T508" s="16">
        <f t="shared" ca="1" si="320"/>
        <v>0</v>
      </c>
      <c r="U508" s="16">
        <f t="shared" ca="1" si="320"/>
        <v>0</v>
      </c>
      <c r="V508" s="16">
        <f t="shared" ca="1" si="320"/>
        <v>0</v>
      </c>
      <c r="W508" s="16">
        <f t="shared" ca="1" si="320"/>
        <v>0</v>
      </c>
      <c r="X508" s="16">
        <f t="shared" ca="1" si="320"/>
        <v>0</v>
      </c>
    </row>
    <row r="509" spans="1:24" x14ac:dyDescent="0.25">
      <c r="A509" s="11" t="s">
        <v>590</v>
      </c>
      <c r="D509" s="35">
        <f>D$107</f>
        <v>0.437</v>
      </c>
      <c r="E509" s="35">
        <f t="shared" ref="E509:X509" si="321">E$107</f>
        <v>1.2090000000000001</v>
      </c>
      <c r="F509" s="35">
        <f t="shared" si="321"/>
        <v>0.23400000000000001</v>
      </c>
      <c r="G509" s="35">
        <f t="shared" si="321"/>
        <v>0.80500000000000005</v>
      </c>
      <c r="H509" s="35">
        <f t="shared" si="321"/>
        <v>-5.8999999999999997E-2</v>
      </c>
      <c r="I509" s="35">
        <f t="shared" si="321"/>
        <v>-2.4E-2</v>
      </c>
      <c r="J509" s="17">
        <f t="shared" si="321"/>
        <v>8.8999999999999996E-2</v>
      </c>
      <c r="K509" s="17">
        <f t="shared" si="321"/>
        <v>9.0999999999999998E-2</v>
      </c>
      <c r="L509" s="17">
        <f t="shared" si="321"/>
        <v>9.1999999999999998E-2</v>
      </c>
      <c r="M509" s="17">
        <f t="shared" si="321"/>
        <v>9.1999999999999998E-2</v>
      </c>
      <c r="N509" s="17">
        <f t="shared" si="321"/>
        <v>9.2999999999999999E-2</v>
      </c>
      <c r="O509" s="16">
        <f t="shared" ca="1" si="321"/>
        <v>0.18867999999999974</v>
      </c>
      <c r="P509" s="16">
        <f t="shared" ca="1" si="321"/>
        <v>0.19245360000000034</v>
      </c>
      <c r="Q509" s="16">
        <f t="shared" ca="1" si="321"/>
        <v>0.19630267199999984</v>
      </c>
      <c r="R509" s="16">
        <f t="shared" ca="1" si="321"/>
        <v>0.20022872544000059</v>
      </c>
      <c r="S509" s="16">
        <f t="shared" ca="1" si="321"/>
        <v>0.20423329994880035</v>
      </c>
      <c r="T509" s="16">
        <f t="shared" ca="1" si="321"/>
        <v>0.20831796594777607</v>
      </c>
      <c r="U509" s="16">
        <f t="shared" ca="1" si="321"/>
        <v>0.21248432526673255</v>
      </c>
      <c r="V509" s="16">
        <f t="shared" ca="1" si="321"/>
        <v>0.21673401177206664</v>
      </c>
      <c r="W509" s="16">
        <f t="shared" ca="1" si="321"/>
        <v>0.22106869200750801</v>
      </c>
      <c r="X509" s="16">
        <f t="shared" ca="1" si="321"/>
        <v>0.22549006584765863</v>
      </c>
    </row>
    <row r="510" spans="1:24" x14ac:dyDescent="0.25">
      <c r="A510" s="11" t="s">
        <v>597</v>
      </c>
      <c r="B510" s="10" t="str">
        <f t="shared" si="318"/>
        <v>From Fiscal Forecasts</v>
      </c>
      <c r="D510" s="35">
        <f>-'Fiscal Forecasts'!D$403</f>
        <v>-6.8000000000000005E-2</v>
      </c>
      <c r="E510" s="35">
        <f>-'Fiscal Forecasts'!E$403</f>
        <v>-4.3319999999999999</v>
      </c>
      <c r="F510" s="35">
        <f>-'Fiscal Forecasts'!F$403</f>
        <v>-3.6819999999999999</v>
      </c>
      <c r="G510" s="35">
        <f>-'Fiscal Forecasts'!G$403</f>
        <v>2.4279999999999999</v>
      </c>
      <c r="H510" s="35">
        <f>-'Fiscal Forecasts'!H$403</f>
        <v>-0.217</v>
      </c>
      <c r="I510" s="35">
        <f>-'Fiscal Forecasts'!I$403</f>
        <v>-2.54</v>
      </c>
      <c r="J510" s="17">
        <f>-'Fiscal Forecasts'!J$403</f>
        <v>6.8289999999999997</v>
      </c>
      <c r="K510" s="17">
        <f>-'Fiscal Forecasts'!K$403</f>
        <v>0.01</v>
      </c>
      <c r="L510" s="17">
        <f>-'Fiscal Forecasts'!L$403</f>
        <v>6.0000000000000001E-3</v>
      </c>
      <c r="M510" s="17">
        <f>-'Fiscal Forecasts'!M$403</f>
        <v>-1E-3</v>
      </c>
      <c r="N510" s="17">
        <f>-'Fiscal Forecasts'!N$403</f>
        <v>-6.0000000000000001E-3</v>
      </c>
      <c r="O510" s="16">
        <f t="shared" ref="O510:X510" ca="1" si="322">O$354-N$354</f>
        <v>0</v>
      </c>
      <c r="P510" s="16">
        <f t="shared" ca="1" si="322"/>
        <v>0</v>
      </c>
      <c r="Q510" s="16">
        <f t="shared" ca="1" si="322"/>
        <v>0</v>
      </c>
      <c r="R510" s="16">
        <f t="shared" ca="1" si="322"/>
        <v>0</v>
      </c>
      <c r="S510" s="16">
        <f t="shared" ca="1" si="322"/>
        <v>0</v>
      </c>
      <c r="T510" s="16">
        <f t="shared" ca="1" si="322"/>
        <v>0</v>
      </c>
      <c r="U510" s="16">
        <f t="shared" ca="1" si="322"/>
        <v>0</v>
      </c>
      <c r="V510" s="16">
        <f t="shared" ca="1" si="322"/>
        <v>0</v>
      </c>
      <c r="W510" s="16">
        <f t="shared" ca="1" si="322"/>
        <v>0</v>
      </c>
      <c r="X510" s="16">
        <f t="shared" ca="1" si="322"/>
        <v>0</v>
      </c>
    </row>
    <row r="511" spans="1:24" x14ac:dyDescent="0.25">
      <c r="A511" s="9" t="s">
        <v>1122</v>
      </c>
      <c r="D511" s="65">
        <f t="shared" ref="D511:X511" si="323">SUM(-D$508,D$509,-D$510)</f>
        <v>5.6680000000000001</v>
      </c>
      <c r="E511" s="65">
        <f t="shared" si="323"/>
        <v>-9.370000000000001</v>
      </c>
      <c r="F511" s="65">
        <f t="shared" si="323"/>
        <v>9.9580000000000002</v>
      </c>
      <c r="G511" s="65">
        <f t="shared" si="323"/>
        <v>-1.6509999999999998</v>
      </c>
      <c r="H511" s="65">
        <f t="shared" si="323"/>
        <v>2.9329999999999998</v>
      </c>
      <c r="I511" s="65">
        <f t="shared" si="323"/>
        <v>-5.9009999999999989</v>
      </c>
      <c r="J511" s="66">
        <f t="shared" si="323"/>
        <v>-12.460999999999999</v>
      </c>
      <c r="K511" s="66">
        <f t="shared" si="323"/>
        <v>-6.2349999999999994</v>
      </c>
      <c r="L511" s="66">
        <f t="shared" si="323"/>
        <v>2.4250000000000003</v>
      </c>
      <c r="M511" s="66">
        <f t="shared" si="323"/>
        <v>1.302</v>
      </c>
      <c r="N511" s="66">
        <f t="shared" si="323"/>
        <v>1.212</v>
      </c>
      <c r="O511" s="67">
        <f t="shared" ca="1" si="323"/>
        <v>0.18867999999999974</v>
      </c>
      <c r="P511" s="67">
        <f t="shared" ca="1" si="323"/>
        <v>0.19245360000000034</v>
      </c>
      <c r="Q511" s="67">
        <f t="shared" ca="1" si="323"/>
        <v>0.19630267199999984</v>
      </c>
      <c r="R511" s="67">
        <f t="shared" ca="1" si="323"/>
        <v>0.20022872544000059</v>
      </c>
      <c r="S511" s="67">
        <f t="shared" ca="1" si="323"/>
        <v>0.20423329994880035</v>
      </c>
      <c r="T511" s="67">
        <f t="shared" ca="1" si="323"/>
        <v>0.20831796594777607</v>
      </c>
      <c r="U511" s="67">
        <f t="shared" ca="1" si="323"/>
        <v>0.21248432526673255</v>
      </c>
      <c r="V511" s="67">
        <f t="shared" ca="1" si="323"/>
        <v>0.21673401177206664</v>
      </c>
      <c r="W511" s="67">
        <f t="shared" ca="1" si="323"/>
        <v>0.22106869200750801</v>
      </c>
      <c r="X511" s="67">
        <f t="shared" ca="1" si="323"/>
        <v>0.22549006584765863</v>
      </c>
    </row>
    <row r="512" spans="1:24" x14ac:dyDescent="0.25">
      <c r="A512" s="9" t="s">
        <v>1123</v>
      </c>
      <c r="D512" s="91" t="str">
        <f t="shared" ref="D512:X512" si="324">IF(ROUND(SUM(D$504,D$507,D$511),3)=0,"OK","ERROR")</f>
        <v>OK</v>
      </c>
      <c r="E512" s="91" t="str">
        <f t="shared" si="324"/>
        <v>OK</v>
      </c>
      <c r="F512" s="91" t="str">
        <f t="shared" si="324"/>
        <v>OK</v>
      </c>
      <c r="G512" s="91" t="str">
        <f t="shared" si="324"/>
        <v>OK</v>
      </c>
      <c r="H512" s="91" t="str">
        <f t="shared" si="324"/>
        <v>OK</v>
      </c>
      <c r="I512" s="91" t="str">
        <f t="shared" si="324"/>
        <v>OK</v>
      </c>
      <c r="J512" s="91" t="str">
        <f t="shared" ca="1" si="324"/>
        <v>OK</v>
      </c>
      <c r="K512" s="91" t="str">
        <f t="shared" ca="1" si="324"/>
        <v>OK</v>
      </c>
      <c r="L512" s="91" t="str">
        <f t="shared" ca="1" si="324"/>
        <v>OK</v>
      </c>
      <c r="M512" s="91" t="str">
        <f t="shared" ca="1" si="324"/>
        <v>OK</v>
      </c>
      <c r="N512" s="91" t="str">
        <f t="shared" ca="1" si="324"/>
        <v>OK</v>
      </c>
      <c r="O512" s="91" t="str">
        <f t="shared" ca="1" si="324"/>
        <v>OK</v>
      </c>
      <c r="P512" s="91" t="str">
        <f t="shared" ca="1" si="324"/>
        <v>OK</v>
      </c>
      <c r="Q512" s="91" t="str">
        <f t="shared" ca="1" si="324"/>
        <v>OK</v>
      </c>
      <c r="R512" s="91" t="str">
        <f t="shared" ca="1" si="324"/>
        <v>OK</v>
      </c>
      <c r="S512" s="91" t="str">
        <f t="shared" ca="1" si="324"/>
        <v>OK</v>
      </c>
      <c r="T512" s="91" t="str">
        <f t="shared" ca="1" si="324"/>
        <v>OK</v>
      </c>
      <c r="U512" s="91" t="str">
        <f t="shared" ca="1" si="324"/>
        <v>OK</v>
      </c>
      <c r="V512" s="91" t="str">
        <f t="shared" ca="1" si="324"/>
        <v>OK</v>
      </c>
      <c r="W512" s="91" t="str">
        <f t="shared" ca="1" si="324"/>
        <v>OK</v>
      </c>
      <c r="X512" s="91" t="str">
        <f t="shared" ca="1" si="324"/>
        <v>OK</v>
      </c>
    </row>
    <row r="514" spans="1:24" x14ac:dyDescent="0.25">
      <c r="A514" s="12" t="s">
        <v>1145</v>
      </c>
      <c r="B514" s="10" t="str">
        <f>$B$62</f>
        <v>Projected Years only</v>
      </c>
    </row>
    <row r="515" spans="1:24" x14ac:dyDescent="0.25">
      <c r="A515" s="11" t="s">
        <v>1137</v>
      </c>
      <c r="O515" s="16">
        <f ca="1">O$497-O$385+O$384-O$386</f>
        <v>1.4130058184000016</v>
      </c>
      <c r="P515" s="16">
        <f t="shared" ref="P515:X515" ca="1" si="325">P$497-P$385+P$384-P$386</f>
        <v>0.51981856673251037</v>
      </c>
      <c r="Q515" s="16">
        <f t="shared" ca="1" si="325"/>
        <v>-0.6081652490691869</v>
      </c>
      <c r="R515" s="16">
        <f t="shared" ca="1" si="325"/>
        <v>-1.8932704635318136</v>
      </c>
      <c r="S515" s="16">
        <f t="shared" ca="1" si="325"/>
        <v>-3.158927334685655</v>
      </c>
      <c r="T515" s="16">
        <f t="shared" ca="1" si="325"/>
        <v>-4.5067357218929009</v>
      </c>
      <c r="U515" s="16">
        <f t="shared" ca="1" si="325"/>
        <v>-5.7953414600761697</v>
      </c>
      <c r="V515" s="16">
        <f t="shared" ca="1" si="325"/>
        <v>-7.1161223649037009</v>
      </c>
      <c r="W515" s="16">
        <f t="shared" ca="1" si="325"/>
        <v>-8.4633470875509502</v>
      </c>
      <c r="X515" s="16">
        <f t="shared" ca="1" si="325"/>
        <v>-9.8303877282426466</v>
      </c>
    </row>
    <row r="516" spans="1:24" x14ac:dyDescent="0.25">
      <c r="A516" s="11" t="s">
        <v>1138</v>
      </c>
      <c r="O516" s="16">
        <f t="shared" ref="O516:X516" ca="1" si="326">O$503+O$501-SUM(O$366-N$366,O$375-N$375,O$397-N$397,O$400-N$400,-O$340)</f>
        <v>-6.5481527346074397</v>
      </c>
      <c r="P516" s="16">
        <f t="shared" ca="1" si="326"/>
        <v>-8.007090038215404</v>
      </c>
      <c r="Q516" s="16">
        <f t="shared" ca="1" si="326"/>
        <v>-7.973878316458304</v>
      </c>
      <c r="R516" s="16">
        <f t="shared" ca="1" si="326"/>
        <v>-7.8962336875756147</v>
      </c>
      <c r="S516" s="16">
        <f t="shared" ca="1" si="326"/>
        <v>-7.7928287509659722</v>
      </c>
      <c r="T516" s="16">
        <f t="shared" ca="1" si="326"/>
        <v>-7.6953231155205746</v>
      </c>
      <c r="U516" s="16">
        <f t="shared" ca="1" si="326"/>
        <v>-7.5609457089760728</v>
      </c>
      <c r="V516" s="16">
        <f t="shared" ca="1" si="326"/>
        <v>-7.4502555304277376</v>
      </c>
      <c r="W516" s="16">
        <f t="shared" ca="1" si="326"/>
        <v>-7.4162824260291806</v>
      </c>
      <c r="X516" s="16">
        <f t="shared" ca="1" si="326"/>
        <v>-7.4680271165609753</v>
      </c>
    </row>
    <row r="517" spans="1:24" x14ac:dyDescent="0.25">
      <c r="A517" s="11" t="s">
        <v>590</v>
      </c>
      <c r="O517" s="16">
        <f t="shared" ref="O517:X517" ca="1" si="327">O$509</f>
        <v>0.18867999999999974</v>
      </c>
      <c r="P517" s="16">
        <f t="shared" ca="1" si="327"/>
        <v>0.19245360000000034</v>
      </c>
      <c r="Q517" s="16">
        <f t="shared" ca="1" si="327"/>
        <v>0.19630267199999984</v>
      </c>
      <c r="R517" s="16">
        <f t="shared" ca="1" si="327"/>
        <v>0.20022872544000059</v>
      </c>
      <c r="S517" s="16">
        <f t="shared" ca="1" si="327"/>
        <v>0.20423329994880035</v>
      </c>
      <c r="T517" s="16">
        <f t="shared" ca="1" si="327"/>
        <v>0.20831796594777607</v>
      </c>
      <c r="U517" s="16">
        <f t="shared" ca="1" si="327"/>
        <v>0.21248432526673255</v>
      </c>
      <c r="V517" s="16">
        <f t="shared" ca="1" si="327"/>
        <v>0.21673401177206664</v>
      </c>
      <c r="W517" s="16">
        <f t="shared" ca="1" si="327"/>
        <v>0.22106869200750801</v>
      </c>
      <c r="X517" s="16">
        <f t="shared" ca="1" si="327"/>
        <v>0.22549006584765863</v>
      </c>
    </row>
    <row r="518" spans="1:24" x14ac:dyDescent="0.25">
      <c r="A518" s="11" t="s">
        <v>1139</v>
      </c>
      <c r="O518" s="16">
        <f t="shared" ref="O518:U518" ca="1" si="328">SUM(O$510,O$353-N$353)-SUM(O$515:O$517)</f>
        <v>5.1308076654503258</v>
      </c>
      <c r="P518" s="16">
        <f t="shared" ca="1" si="328"/>
        <v>7.6012837825588946</v>
      </c>
      <c r="Q518" s="16">
        <f t="shared" ca="1" si="328"/>
        <v>8.7028441275998105</v>
      </c>
      <c r="R518" s="16">
        <f t="shared" ca="1" si="328"/>
        <v>9.9148742252044073</v>
      </c>
      <c r="S518" s="16">
        <f t="shared" ca="1" si="328"/>
        <v>11.080569788245757</v>
      </c>
      <c r="T518" s="16">
        <f t="shared" ca="1" si="328"/>
        <v>12.335052397021251</v>
      </c>
      <c r="U518" s="16">
        <f t="shared" ca="1" si="328"/>
        <v>13.491490586607394</v>
      </c>
      <c r="V518" s="16">
        <f t="shared" ref="V518:X518" ca="1" si="329">SUM(V$510,V$353-U$353)-SUM(V$515:V$517)</f>
        <v>14.705079631373813</v>
      </c>
      <c r="W518" s="16">
        <f t="shared" ca="1" si="329"/>
        <v>16.025627270361763</v>
      </c>
      <c r="X518" s="16">
        <f t="shared" ca="1" si="329"/>
        <v>17.45600977765617</v>
      </c>
    </row>
    <row r="519" spans="1:24" x14ac:dyDescent="0.25">
      <c r="A519" s="9" t="s">
        <v>1140</v>
      </c>
      <c r="O519" s="67">
        <f t="shared" ref="O519:X519" ca="1" si="330">SUM(O$515:O$518)</f>
        <v>0.1843407492428879</v>
      </c>
      <c r="P519" s="67">
        <f t="shared" ca="1" si="330"/>
        <v>0.30646591107600152</v>
      </c>
      <c r="Q519" s="67">
        <f t="shared" ca="1" si="330"/>
        <v>0.31710323407232011</v>
      </c>
      <c r="R519" s="67">
        <f t="shared" ca="1" si="330"/>
        <v>0.32559879953698001</v>
      </c>
      <c r="S519" s="67">
        <f t="shared" ca="1" si="330"/>
        <v>0.33304700254292996</v>
      </c>
      <c r="T519" s="67">
        <f t="shared" ca="1" si="330"/>
        <v>0.34131152555555211</v>
      </c>
      <c r="U519" s="67">
        <f t="shared" ca="1" si="330"/>
        <v>0.34768774282188453</v>
      </c>
      <c r="V519" s="67">
        <f t="shared" ca="1" si="330"/>
        <v>0.35543574781444143</v>
      </c>
      <c r="W519" s="67">
        <f t="shared" ca="1" si="330"/>
        <v>0.36706644878914041</v>
      </c>
      <c r="X519" s="67">
        <f t="shared" ca="1" si="330"/>
        <v>0.3830849987002054</v>
      </c>
    </row>
    <row r="520" spans="1:24" x14ac:dyDescent="0.25">
      <c r="A520" s="12" t="s">
        <v>1141</v>
      </c>
    </row>
    <row r="521" spans="1:24" x14ac:dyDescent="0.25">
      <c r="A521" s="9" t="s">
        <v>1142</v>
      </c>
      <c r="O521" s="47">
        <f t="shared" ref="O521:X521" ca="1" si="331">O$515</f>
        <v>1.4130058184000016</v>
      </c>
      <c r="P521" s="47">
        <f t="shared" ca="1" si="331"/>
        <v>0.51981856673251037</v>
      </c>
      <c r="Q521" s="47">
        <f t="shared" ca="1" si="331"/>
        <v>-0.6081652490691869</v>
      </c>
      <c r="R521" s="47">
        <f t="shared" ca="1" si="331"/>
        <v>-1.8932704635318136</v>
      </c>
      <c r="S521" s="47">
        <f t="shared" ca="1" si="331"/>
        <v>-3.158927334685655</v>
      </c>
      <c r="T521" s="47">
        <f t="shared" ca="1" si="331"/>
        <v>-4.5067357218929009</v>
      </c>
      <c r="U521" s="47">
        <f t="shared" ca="1" si="331"/>
        <v>-5.7953414600761697</v>
      </c>
      <c r="V521" s="47">
        <f t="shared" ca="1" si="331"/>
        <v>-7.1161223649037009</v>
      </c>
      <c r="W521" s="47">
        <f t="shared" ca="1" si="331"/>
        <v>-8.4633470875509502</v>
      </c>
      <c r="X521" s="47">
        <f t="shared" ca="1" si="331"/>
        <v>-9.8303877282426466</v>
      </c>
    </row>
    <row r="522" spans="1:24" x14ac:dyDescent="0.25">
      <c r="A522" s="9" t="s">
        <v>545</v>
      </c>
      <c r="O522" s="47">
        <f t="shared" ref="O522:X522" ca="1" si="332">O$342</f>
        <v>6.4300877252816813</v>
      </c>
      <c r="P522" s="47">
        <f t="shared" ca="1" si="332"/>
        <v>6.8100267661178</v>
      </c>
      <c r="Q522" s="47">
        <f t="shared" ca="1" si="332"/>
        <v>7.2039962197330922</v>
      </c>
      <c r="R522" s="47">
        <f t="shared" ca="1" si="332"/>
        <v>7.609973899810373</v>
      </c>
      <c r="S522" s="47">
        <f t="shared" ca="1" si="332"/>
        <v>8.0260754913435619</v>
      </c>
      <c r="T522" s="47">
        <f t="shared" ca="1" si="332"/>
        <v>8.4520386954492732</v>
      </c>
      <c r="U522" s="47">
        <f t="shared" ca="1" si="332"/>
        <v>8.8873060251010578</v>
      </c>
      <c r="V522" s="47">
        <f t="shared" ca="1" si="332"/>
        <v>9.3313828777468473</v>
      </c>
      <c r="W522" s="47">
        <f t="shared" ca="1" si="332"/>
        <v>9.7873881931389697</v>
      </c>
      <c r="X522" s="47">
        <f t="shared" ca="1" si="332"/>
        <v>10.260489701068273</v>
      </c>
    </row>
    <row r="523" spans="1:24" x14ac:dyDescent="0.25">
      <c r="A523" s="11" t="s">
        <v>1148</v>
      </c>
      <c r="O523" s="16">
        <f t="shared" ref="O523:X523" ca="1" si="333">SUM(O$215,O$219)</f>
        <v>3.403850728053635</v>
      </c>
      <c r="P523" s="16">
        <f t="shared" ca="1" si="333"/>
        <v>3.403850728053635</v>
      </c>
      <c r="Q523" s="16">
        <f t="shared" ca="1" si="333"/>
        <v>3.403850728053635</v>
      </c>
      <c r="R523" s="16">
        <f t="shared" ca="1" si="333"/>
        <v>3.403850728053635</v>
      </c>
      <c r="S523" s="16">
        <f t="shared" ca="1" si="333"/>
        <v>3.403850728053635</v>
      </c>
      <c r="T523" s="16">
        <f t="shared" ca="1" si="333"/>
        <v>3.403850728053635</v>
      </c>
      <c r="U523" s="16">
        <f t="shared" ca="1" si="333"/>
        <v>3.403850728053635</v>
      </c>
      <c r="V523" s="16">
        <f t="shared" ca="1" si="333"/>
        <v>3.403850728053635</v>
      </c>
      <c r="W523" s="16">
        <f t="shared" ca="1" si="333"/>
        <v>3.403850728053635</v>
      </c>
      <c r="X523" s="16">
        <f t="shared" ca="1" si="333"/>
        <v>3.403850728053635</v>
      </c>
    </row>
    <row r="524" spans="1:24" x14ac:dyDescent="0.25">
      <c r="A524" s="11" t="s">
        <v>1149</v>
      </c>
      <c r="O524" s="16">
        <f t="shared" ref="O524:X524" si="334">O$411</f>
        <v>0.65600000000000003</v>
      </c>
      <c r="P524" s="16">
        <f t="shared" si="334"/>
        <v>0.67400000000000004</v>
      </c>
      <c r="Q524" s="16">
        <f t="shared" si="334"/>
        <v>0.69299999999999995</v>
      </c>
      <c r="R524" s="16">
        <f t="shared" si="334"/>
        <v>0.71099999999999997</v>
      </c>
      <c r="S524" s="16">
        <f t="shared" si="334"/>
        <v>0.72699999999999998</v>
      </c>
      <c r="T524" s="16">
        <f t="shared" si="334"/>
        <v>0.74199999999999999</v>
      </c>
      <c r="U524" s="16">
        <f t="shared" si="334"/>
        <v>0.75600000000000001</v>
      </c>
      <c r="V524" s="16">
        <f t="shared" si="334"/>
        <v>0.76900000000000002</v>
      </c>
      <c r="W524" s="16">
        <f t="shared" si="334"/>
        <v>0.78300000000000003</v>
      </c>
      <c r="X524" s="16">
        <f t="shared" si="334"/>
        <v>0.79700000000000004</v>
      </c>
    </row>
    <row r="525" spans="1:24" x14ac:dyDescent="0.25">
      <c r="A525" s="11" t="s">
        <v>1150</v>
      </c>
      <c r="O525" s="16">
        <f t="shared" ref="O525:X525" ca="1" si="335">O$472-N$472</f>
        <v>-2E-3</v>
      </c>
      <c r="P525" s="16">
        <f t="shared" ca="1" si="335"/>
        <v>0</v>
      </c>
      <c r="Q525" s="16">
        <f t="shared" ca="1" si="335"/>
        <v>0</v>
      </c>
      <c r="R525" s="16">
        <f t="shared" ca="1" si="335"/>
        <v>0</v>
      </c>
      <c r="S525" s="16">
        <f t="shared" ca="1" si="335"/>
        <v>0</v>
      </c>
      <c r="T525" s="16">
        <f t="shared" ca="1" si="335"/>
        <v>0</v>
      </c>
      <c r="U525" s="16">
        <f t="shared" ca="1" si="335"/>
        <v>0</v>
      </c>
      <c r="V525" s="16">
        <f t="shared" ca="1" si="335"/>
        <v>0</v>
      </c>
      <c r="W525" s="16">
        <f t="shared" ca="1" si="335"/>
        <v>0</v>
      </c>
      <c r="X525" s="16">
        <f t="shared" ca="1" si="335"/>
        <v>0</v>
      </c>
    </row>
    <row r="526" spans="1:24" x14ac:dyDescent="0.25">
      <c r="A526" s="11" t="s">
        <v>568</v>
      </c>
      <c r="O526" s="16">
        <f t="shared" ref="O526:X526" ca="1" si="336">-O$349</f>
        <v>-1.460406561262434E-2</v>
      </c>
      <c r="P526" s="16">
        <f t="shared" ca="1" si="336"/>
        <v>-1.522693132596236E-2</v>
      </c>
      <c r="Q526" s="16">
        <f t="shared" ca="1" si="336"/>
        <v>-1.5851149450938101E-2</v>
      </c>
      <c r="R526" s="16">
        <f t="shared" ca="1" si="336"/>
        <v>-1.6475312241794576E-2</v>
      </c>
      <c r="S526" s="16">
        <f t="shared" ca="1" si="336"/>
        <v>-1.711323761060992E-2</v>
      </c>
      <c r="T526" s="16">
        <f t="shared" ca="1" si="336"/>
        <v>-1.7763952026234663E-2</v>
      </c>
      <c r="U526" s="16">
        <f t="shared" ca="1" si="336"/>
        <v>-1.8423342451066884E-2</v>
      </c>
      <c r="V526" s="16">
        <f t="shared" ca="1" si="336"/>
        <v>-1.9092646683697919E-2</v>
      </c>
      <c r="W526" s="16">
        <f t="shared" ca="1" si="336"/>
        <v>-1.9771839788203904E-2</v>
      </c>
      <c r="X526" s="16">
        <f t="shared" ca="1" si="336"/>
        <v>-2.0466039844189283E-2</v>
      </c>
    </row>
    <row r="527" spans="1:24" x14ac:dyDescent="0.25">
      <c r="A527" s="9" t="s">
        <v>1143</v>
      </c>
      <c r="O527" s="67">
        <f t="shared" ref="O527:X527" ca="1" si="337">-SUM(O$523:O$526)</f>
        <v>-4.0432466624410113</v>
      </c>
      <c r="P527" s="67">
        <f t="shared" ca="1" si="337"/>
        <v>-4.0626237967276726</v>
      </c>
      <c r="Q527" s="67">
        <f t="shared" ca="1" si="337"/>
        <v>-4.0809995786026967</v>
      </c>
      <c r="R527" s="67">
        <f t="shared" ca="1" si="337"/>
        <v>-4.09837541581184</v>
      </c>
      <c r="S527" s="67">
        <f t="shared" ca="1" si="337"/>
        <v>-4.1137374904430253</v>
      </c>
      <c r="T527" s="67">
        <f t="shared" ca="1" si="337"/>
        <v>-4.1280867760274003</v>
      </c>
      <c r="U527" s="67">
        <f t="shared" ca="1" si="337"/>
        <v>-4.1414273856025678</v>
      </c>
      <c r="V527" s="67">
        <f t="shared" ca="1" si="337"/>
        <v>-4.1537580813699364</v>
      </c>
      <c r="W527" s="67">
        <f t="shared" ca="1" si="337"/>
        <v>-4.167078888265431</v>
      </c>
      <c r="X527" s="67">
        <f t="shared" ca="1" si="337"/>
        <v>-4.180384688209446</v>
      </c>
    </row>
    <row r="528" spans="1:24" x14ac:dyDescent="0.25">
      <c r="A528" s="11" t="s">
        <v>609</v>
      </c>
      <c r="O528" s="16">
        <f t="shared" ref="O528:X528" ca="1" si="338">O$362-N$362</f>
        <v>3.8786021011101823</v>
      </c>
      <c r="P528" s="16">
        <f t="shared" ca="1" si="338"/>
        <v>1.4869819992839766</v>
      </c>
      <c r="Q528" s="16">
        <f t="shared" ca="1" si="338"/>
        <v>1.5291416253322794</v>
      </c>
      <c r="R528" s="16">
        <f t="shared" ca="1" si="338"/>
        <v>1.5456208797442059</v>
      </c>
      <c r="S528" s="16">
        <f t="shared" ca="1" si="338"/>
        <v>1.5787765978032127</v>
      </c>
      <c r="T528" s="16">
        <f t="shared" ca="1" si="338"/>
        <v>1.6111979353659791</v>
      </c>
      <c r="U528" s="16">
        <f t="shared" ca="1" si="338"/>
        <v>1.6369102559980746</v>
      </c>
      <c r="V528" s="16">
        <f t="shared" ca="1" si="338"/>
        <v>1.6653695699137927</v>
      </c>
      <c r="W528" s="16">
        <f t="shared" ca="1" si="338"/>
        <v>1.6962309252601528</v>
      </c>
      <c r="X528" s="16">
        <f t="shared" ca="1" si="338"/>
        <v>1.7375891589895289</v>
      </c>
    </row>
    <row r="529" spans="1:24" x14ac:dyDescent="0.25">
      <c r="A529" s="11" t="s">
        <v>610</v>
      </c>
      <c r="O529" s="16">
        <f t="shared" ref="O529:X529" ca="1" si="339">O$413-O$341</f>
        <v>0.33801009791106412</v>
      </c>
      <c r="P529" s="16">
        <f t="shared" ca="1" si="339"/>
        <v>0.35180265179958148</v>
      </c>
      <c r="Q529" s="16">
        <f t="shared" ca="1" si="339"/>
        <v>0.35957955635343375</v>
      </c>
      <c r="R529" s="16">
        <f t="shared" ca="1" si="339"/>
        <v>0.36235710120209463</v>
      </c>
      <c r="S529" s="16">
        <f t="shared" ca="1" si="339"/>
        <v>0.35997539336294582</v>
      </c>
      <c r="T529" s="16">
        <f t="shared" ca="1" si="339"/>
        <v>0.35144569798214537</v>
      </c>
      <c r="U529" s="16">
        <f t="shared" ca="1" si="339"/>
        <v>0.33481560878051553</v>
      </c>
      <c r="V529" s="16">
        <f t="shared" ca="1" si="339"/>
        <v>0.31307080266007081</v>
      </c>
      <c r="W529" s="16">
        <f t="shared" ca="1" si="339"/>
        <v>0.28921156816507315</v>
      </c>
      <c r="X529" s="16">
        <f t="shared" ca="1" si="339"/>
        <v>0.26117868180295678</v>
      </c>
    </row>
    <row r="530" spans="1:24" x14ac:dyDescent="0.25">
      <c r="A530" s="11" t="s">
        <v>611</v>
      </c>
      <c r="O530" s="16">
        <f t="shared" ref="O530:X530" si="340">O$419-N$419</f>
        <v>0</v>
      </c>
      <c r="P530" s="16">
        <f t="shared" si="340"/>
        <v>0</v>
      </c>
      <c r="Q530" s="16">
        <f t="shared" si="340"/>
        <v>0</v>
      </c>
      <c r="R530" s="16">
        <f t="shared" si="340"/>
        <v>0</v>
      </c>
      <c r="S530" s="16">
        <f t="shared" si="340"/>
        <v>0</v>
      </c>
      <c r="T530" s="16">
        <f t="shared" si="340"/>
        <v>0</v>
      </c>
      <c r="U530" s="16">
        <f t="shared" si="340"/>
        <v>0</v>
      </c>
      <c r="V530" s="16">
        <f t="shared" si="340"/>
        <v>0</v>
      </c>
      <c r="W530" s="16">
        <f t="shared" si="340"/>
        <v>0</v>
      </c>
      <c r="X530" s="16">
        <f t="shared" si="340"/>
        <v>0</v>
      </c>
    </row>
    <row r="531" spans="1:24" x14ac:dyDescent="0.25">
      <c r="A531" s="11" t="s">
        <v>612</v>
      </c>
      <c r="O531" s="16">
        <f t="shared" ref="O531:X531" si="341">O$423-N$423</f>
        <v>0</v>
      </c>
      <c r="P531" s="16">
        <f t="shared" si="341"/>
        <v>0</v>
      </c>
      <c r="Q531" s="16">
        <f t="shared" si="341"/>
        <v>0</v>
      </c>
      <c r="R531" s="16">
        <f t="shared" si="341"/>
        <v>0</v>
      </c>
      <c r="S531" s="16">
        <f t="shared" si="341"/>
        <v>0</v>
      </c>
      <c r="T531" s="16">
        <f t="shared" si="341"/>
        <v>0</v>
      </c>
      <c r="U531" s="16">
        <f t="shared" si="341"/>
        <v>0</v>
      </c>
      <c r="V531" s="16">
        <f t="shared" si="341"/>
        <v>0</v>
      </c>
      <c r="W531" s="16">
        <f t="shared" si="341"/>
        <v>0</v>
      </c>
      <c r="X531" s="16">
        <f t="shared" si="341"/>
        <v>0</v>
      </c>
    </row>
    <row r="532" spans="1:24" x14ac:dyDescent="0.25">
      <c r="A532" s="11" t="s">
        <v>1151</v>
      </c>
      <c r="O532" s="16">
        <f t="shared" ref="O532:X532" si="342">O$464-N$464</f>
        <v>0</v>
      </c>
      <c r="P532" s="16">
        <f t="shared" si="342"/>
        <v>0</v>
      </c>
      <c r="Q532" s="16">
        <f t="shared" si="342"/>
        <v>0</v>
      </c>
      <c r="R532" s="16">
        <f t="shared" si="342"/>
        <v>0</v>
      </c>
      <c r="S532" s="16">
        <f t="shared" si="342"/>
        <v>0</v>
      </c>
      <c r="T532" s="16">
        <f t="shared" si="342"/>
        <v>0</v>
      </c>
      <c r="U532" s="16">
        <f t="shared" si="342"/>
        <v>0</v>
      </c>
      <c r="V532" s="16">
        <f t="shared" si="342"/>
        <v>0</v>
      </c>
      <c r="W532" s="16">
        <f t="shared" si="342"/>
        <v>0</v>
      </c>
      <c r="X532" s="16">
        <f t="shared" si="342"/>
        <v>0</v>
      </c>
    </row>
    <row r="533" spans="1:24" x14ac:dyDescent="0.25">
      <c r="A533" s="11" t="s">
        <v>1152</v>
      </c>
      <c r="O533" s="16">
        <f t="shared" ref="O533:X533" ca="1" si="343">SUM(O$460-N$460,O$468-N$468,O$485-N$485)</f>
        <v>2.9601831092854729</v>
      </c>
      <c r="P533" s="16">
        <f t="shared" ca="1" si="343"/>
        <v>0.54110945541070787</v>
      </c>
      <c r="Q533" s="16">
        <f t="shared" ca="1" si="343"/>
        <v>0.59593199977263334</v>
      </c>
      <c r="R533" s="16">
        <f t="shared" ca="1" si="343"/>
        <v>0.64144837812622191</v>
      </c>
      <c r="S533" s="16">
        <f t="shared" ca="1" si="343"/>
        <v>0.69318218483926231</v>
      </c>
      <c r="T533" s="16">
        <f t="shared" ca="1" si="343"/>
        <v>0.74573005583019558</v>
      </c>
      <c r="U533" s="16">
        <f t="shared" ca="1" si="343"/>
        <v>0.79586375203107362</v>
      </c>
      <c r="V533" s="16">
        <f t="shared" ca="1" si="343"/>
        <v>0.84830867656727893</v>
      </c>
      <c r="W533" s="16">
        <f t="shared" ca="1" si="343"/>
        <v>0.90399657610032458</v>
      </c>
      <c r="X533" s="16">
        <f t="shared" ca="1" si="343"/>
        <v>0.96602960015652628</v>
      </c>
    </row>
    <row r="534" spans="1:24" x14ac:dyDescent="0.25">
      <c r="A534" s="11" t="s">
        <v>1153</v>
      </c>
      <c r="O534" s="16">
        <f t="shared" ref="O534:X534" si="344">O$478-N$478</f>
        <v>-0.18722764830508432</v>
      </c>
      <c r="P534" s="16">
        <f t="shared" si="344"/>
        <v>-0.19206557203389885</v>
      </c>
      <c r="Q534" s="16">
        <f t="shared" si="344"/>
        <v>-0.19448453389830522</v>
      </c>
      <c r="R534" s="16">
        <f t="shared" si="344"/>
        <v>-0.19883866525423732</v>
      </c>
      <c r="S534" s="16">
        <f t="shared" si="344"/>
        <v>-0.20029004237288106</v>
      </c>
      <c r="T534" s="16">
        <f t="shared" si="344"/>
        <v>-0.2007738347457626</v>
      </c>
      <c r="U534" s="16">
        <f t="shared" si="344"/>
        <v>-0.19400074152542324</v>
      </c>
      <c r="V534" s="16">
        <f t="shared" si="344"/>
        <v>-0.1915817796610173</v>
      </c>
      <c r="W534" s="16">
        <f t="shared" si="344"/>
        <v>-0.18867902542372894</v>
      </c>
      <c r="X534" s="16">
        <f t="shared" si="344"/>
        <v>-0.18529247881355948</v>
      </c>
    </row>
    <row r="535" spans="1:24" x14ac:dyDescent="0.25">
      <c r="A535" s="9" t="s">
        <v>615</v>
      </c>
      <c r="O535" s="67">
        <f t="shared" ref="O535:X535" ca="1" si="345">SUM(O$528:O$531)-SUM(O$532:O$534)</f>
        <v>1.4436567380408576</v>
      </c>
      <c r="P535" s="67">
        <f t="shared" ca="1" si="345"/>
        <v>1.4897407677067491</v>
      </c>
      <c r="Q535" s="67">
        <f t="shared" ca="1" si="345"/>
        <v>1.4872737158113849</v>
      </c>
      <c r="R535" s="67">
        <f t="shared" ca="1" si="345"/>
        <v>1.4653682680743159</v>
      </c>
      <c r="S535" s="67">
        <f t="shared" ca="1" si="345"/>
        <v>1.4458598486997771</v>
      </c>
      <c r="T535" s="67">
        <f t="shared" ca="1" si="345"/>
        <v>1.4176874122636915</v>
      </c>
      <c r="U535" s="67">
        <f t="shared" ca="1" si="345"/>
        <v>1.3698628542729399</v>
      </c>
      <c r="V535" s="67">
        <f t="shared" ca="1" si="345"/>
        <v>1.3217134756676019</v>
      </c>
      <c r="W535" s="67">
        <f t="shared" ca="1" si="345"/>
        <v>1.2701249427486303</v>
      </c>
      <c r="X535" s="67">
        <f t="shared" ca="1" si="345"/>
        <v>1.218030719449519</v>
      </c>
    </row>
    <row r="536" spans="1:24" x14ac:dyDescent="0.25">
      <c r="A536" s="9" t="s">
        <v>1144</v>
      </c>
      <c r="O536" s="67">
        <f t="shared" ref="O536:X536" ca="1" si="346">SUM(O$521,O$522,O$527,O$535)</f>
        <v>5.2435036192815287</v>
      </c>
      <c r="P536" s="67">
        <f t="shared" ca="1" si="346"/>
        <v>4.7569623038293871</v>
      </c>
      <c r="Q536" s="67">
        <f t="shared" ca="1" si="346"/>
        <v>4.0021051078725929</v>
      </c>
      <c r="R536" s="67">
        <f t="shared" ca="1" si="346"/>
        <v>3.0836962885410348</v>
      </c>
      <c r="S536" s="67">
        <f t="shared" ca="1" si="346"/>
        <v>2.1992705149146583</v>
      </c>
      <c r="T536" s="67">
        <f t="shared" ca="1" si="346"/>
        <v>1.2349036097926636</v>
      </c>
      <c r="U536" s="67">
        <f t="shared" ca="1" si="346"/>
        <v>0.32040003369526016</v>
      </c>
      <c r="V536" s="67">
        <f t="shared" ca="1" si="346"/>
        <v>-0.61678409285918812</v>
      </c>
      <c r="W536" s="67">
        <f t="shared" ca="1" si="346"/>
        <v>-1.5729128399287813</v>
      </c>
      <c r="X536" s="67">
        <f t="shared" ca="1" si="346"/>
        <v>-2.5322519959342999</v>
      </c>
    </row>
    <row r="537" spans="1:24" x14ac:dyDescent="0.25">
      <c r="A537" s="55" t="s">
        <v>1154</v>
      </c>
      <c r="O537" s="91" t="str">
        <f t="shared" ref="O537:X537" ca="1" si="347">IF(ROUND(O$49-O$536,3)=0,"OK","ERROR")</f>
        <v>OK</v>
      </c>
      <c r="P537" s="91" t="str">
        <f t="shared" ca="1" si="347"/>
        <v>OK</v>
      </c>
      <c r="Q537" s="91" t="str">
        <f t="shared" ca="1" si="347"/>
        <v>OK</v>
      </c>
      <c r="R537" s="91" t="str">
        <f t="shared" ca="1" si="347"/>
        <v>OK</v>
      </c>
      <c r="S537" s="91" t="str">
        <f t="shared" ca="1" si="347"/>
        <v>OK</v>
      </c>
      <c r="T537" s="91" t="str">
        <f t="shared" ca="1" si="347"/>
        <v>OK</v>
      </c>
      <c r="U537" s="91" t="str">
        <f t="shared" ca="1" si="347"/>
        <v>OK</v>
      </c>
      <c r="V537" s="91" t="str">
        <f t="shared" ca="1" si="347"/>
        <v>OK</v>
      </c>
      <c r="W537" s="91" t="str">
        <f t="shared" ca="1" si="347"/>
        <v>OK</v>
      </c>
      <c r="X537" s="91" t="str">
        <f t="shared" ca="1" si="347"/>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mc:AlternateContent xmlns:mc="http://schemas.openxmlformats.org/markup-compatibility/2006">
          <mc:Choice Requires="x14">
            <control shapeId="164866" r:id="rId5" name="Drop Down 2">
              <controlPr defaultSize="0" autoLine="0" autoPict="0">
                <anchor moveWithCells="1">
                  <from>
                    <xdr:col>0</xdr:col>
                    <xdr:colOff>47625</xdr:colOff>
                    <xdr:row>6</xdr:row>
                    <xdr:rowOff>0</xdr:rowOff>
                  </from>
                  <to>
                    <xdr:col>1</xdr:col>
                    <xdr:colOff>19050</xdr:colOff>
                    <xdr:row>7</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E3DDD-E76A-4C21-9DBE-ADF08C19B7D4}">
  <dimension ref="A1:X537"/>
  <sheetViews>
    <sheetView zoomScaleNormal="100" workbookViewId="0">
      <pane xSplit="2" ySplit="8" topLeftCell="C9" activePane="bottomRight" state="frozen"/>
      <selection pane="topRight" activeCell="C1" sqref="C1"/>
      <selection pane="bottomLeft" activeCell="A9" sqref="A9"/>
      <selection pane="bottomRight"/>
    </sheetView>
  </sheetViews>
  <sheetFormatPr defaultRowHeight="15" x14ac:dyDescent="0.25"/>
  <cols>
    <col min="1" max="1" width="85.7109375" customWidth="1"/>
    <col min="2" max="2" width="25.7109375" customWidth="1"/>
    <col min="3" max="3" width="7.7109375" customWidth="1"/>
    <col min="4" max="24" width="10.7109375" customWidth="1"/>
  </cols>
  <sheetData>
    <row r="1" spans="1:24" x14ac:dyDescent="0.25">
      <c r="A1" s="9" t="s">
        <v>141</v>
      </c>
      <c r="B1" s="13" t="s">
        <v>1431</v>
      </c>
      <c r="C1" s="13">
        <f>MATCH($B$1,Assumptions!$C$7:$L$7,0)</f>
        <v>5</v>
      </c>
      <c r="D1" s="10" t="s">
        <v>142</v>
      </c>
      <c r="E1" s="11"/>
      <c r="F1" s="11"/>
      <c r="G1" s="11"/>
      <c r="H1" s="11"/>
      <c r="I1" s="11"/>
      <c r="J1" s="11"/>
      <c r="K1" s="11"/>
      <c r="L1" s="11"/>
      <c r="M1" s="11"/>
      <c r="N1" s="11"/>
      <c r="O1" s="11"/>
      <c r="P1" s="11"/>
    </row>
    <row r="2" spans="1:24" x14ac:dyDescent="0.25">
      <c r="A2" s="10" t="s">
        <v>143</v>
      </c>
      <c r="B2" s="13"/>
      <c r="C2" s="13"/>
      <c r="D2" s="10"/>
      <c r="E2" s="11"/>
      <c r="F2" s="11"/>
      <c r="G2" s="11"/>
      <c r="H2" s="11"/>
      <c r="I2" s="11"/>
      <c r="J2" s="11"/>
      <c r="K2" s="11"/>
      <c r="L2" s="11"/>
      <c r="M2" s="11"/>
      <c r="N2" s="11"/>
      <c r="O2" s="11"/>
      <c r="P2" s="11"/>
    </row>
    <row r="3" spans="1:24" x14ac:dyDescent="0.25">
      <c r="A3" s="10"/>
      <c r="B3" s="10"/>
      <c r="C3" s="13"/>
      <c r="D3" s="32" t="s">
        <v>144</v>
      </c>
      <c r="E3" s="32" t="s">
        <v>144</v>
      </c>
      <c r="F3" s="32" t="s">
        <v>144</v>
      </c>
      <c r="G3" s="32" t="s">
        <v>144</v>
      </c>
      <c r="H3" s="32" t="s">
        <v>144</v>
      </c>
      <c r="I3" s="32" t="s">
        <v>144</v>
      </c>
      <c r="J3" s="15" t="s">
        <v>1424</v>
      </c>
      <c r="K3" s="11"/>
      <c r="L3" s="11"/>
      <c r="M3" s="11"/>
      <c r="N3" s="9"/>
      <c r="O3" s="9" t="s">
        <v>1425</v>
      </c>
      <c r="P3" s="11"/>
    </row>
    <row r="4" spans="1:24" x14ac:dyDescent="0.25">
      <c r="A4" s="11"/>
      <c r="B4" s="11"/>
      <c r="C4" s="13"/>
      <c r="D4" s="32" t="s">
        <v>145</v>
      </c>
      <c r="E4" s="32" t="s">
        <v>145</v>
      </c>
      <c r="F4" s="32" t="s">
        <v>145</v>
      </c>
      <c r="G4" s="32" t="s">
        <v>145</v>
      </c>
      <c r="H4" s="32" t="s">
        <v>145</v>
      </c>
      <c r="I4" s="32" t="s">
        <v>145</v>
      </c>
      <c r="J4" s="33" t="s">
        <v>146</v>
      </c>
      <c r="K4" s="11"/>
      <c r="L4" s="11"/>
      <c r="M4" s="11"/>
      <c r="N4" s="11"/>
      <c r="O4" s="11" t="s">
        <v>147</v>
      </c>
      <c r="P4" s="11"/>
    </row>
    <row r="5" spans="1:24" x14ac:dyDescent="0.25">
      <c r="A5" s="9" t="s">
        <v>826</v>
      </c>
      <c r="B5" s="9"/>
      <c r="C5" s="13"/>
      <c r="D5" s="34" t="s">
        <v>37</v>
      </c>
      <c r="E5" s="34" t="s">
        <v>38</v>
      </c>
      <c r="F5" s="34" t="s">
        <v>39</v>
      </c>
      <c r="G5" s="34" t="s">
        <v>40</v>
      </c>
      <c r="H5" s="34" t="s">
        <v>41</v>
      </c>
      <c r="I5" s="34" t="s">
        <v>42</v>
      </c>
      <c r="J5" s="14" t="s">
        <v>43</v>
      </c>
      <c r="K5" s="14" t="s">
        <v>44</v>
      </c>
      <c r="L5" s="14" t="s">
        <v>45</v>
      </c>
      <c r="M5" s="14" t="s">
        <v>46</v>
      </c>
      <c r="N5" s="14" t="s">
        <v>47</v>
      </c>
      <c r="O5" s="13" t="s">
        <v>48</v>
      </c>
      <c r="P5" s="13" t="s">
        <v>49</v>
      </c>
      <c r="Q5" s="13" t="s">
        <v>50</v>
      </c>
      <c r="R5" s="13" t="s">
        <v>51</v>
      </c>
      <c r="S5" s="13" t="s">
        <v>52</v>
      </c>
      <c r="T5" s="13" t="s">
        <v>53</v>
      </c>
      <c r="U5" s="13" t="s">
        <v>54</v>
      </c>
      <c r="V5" s="13" t="s">
        <v>55</v>
      </c>
      <c r="W5" s="13" t="s">
        <v>56</v>
      </c>
      <c r="X5" s="13" t="s">
        <v>57</v>
      </c>
    </row>
    <row r="6" spans="1:24" x14ac:dyDescent="0.25">
      <c r="A6" s="11"/>
      <c r="B6" s="11"/>
      <c r="C6" s="13"/>
      <c r="D6" s="32">
        <v>2019</v>
      </c>
      <c r="E6" s="32">
        <v>2020</v>
      </c>
      <c r="F6" s="32">
        <v>2021</v>
      </c>
      <c r="G6" s="32">
        <v>2022</v>
      </c>
      <c r="H6" s="32">
        <v>2023</v>
      </c>
      <c r="I6" s="32">
        <v>2024</v>
      </c>
      <c r="J6" s="15">
        <v>2025</v>
      </c>
      <c r="K6" s="15">
        <v>2026</v>
      </c>
      <c r="L6" s="15">
        <v>2027</v>
      </c>
      <c r="M6" s="15">
        <v>2028</v>
      </c>
      <c r="N6" s="15">
        <v>2029</v>
      </c>
      <c r="O6" s="9">
        <v>2030</v>
      </c>
      <c r="P6" s="9">
        <v>2031</v>
      </c>
      <c r="Q6" s="9">
        <v>2032</v>
      </c>
      <c r="R6" s="9">
        <v>2033</v>
      </c>
      <c r="S6" s="9">
        <v>2034</v>
      </c>
      <c r="T6" s="9">
        <v>2035</v>
      </c>
      <c r="U6" s="9">
        <v>2036</v>
      </c>
      <c r="V6" s="9">
        <v>2037</v>
      </c>
      <c r="W6" s="9">
        <v>2038</v>
      </c>
      <c r="X6" s="9">
        <v>2039</v>
      </c>
    </row>
    <row r="7" spans="1:24" x14ac:dyDescent="0.25">
      <c r="A7" s="11"/>
      <c r="B7" s="11"/>
      <c r="C7" s="13"/>
      <c r="D7" s="42">
        <f ca="1">OFFSET(D$1,Display!$C$1-1,0)</f>
        <v>8.5039999999999907</v>
      </c>
      <c r="E7" s="42">
        <f ca="1">OFFSET(E$1,Display!$C$1-1,0)</f>
        <v>-20.901999999999965</v>
      </c>
      <c r="F7" s="42">
        <f ca="1">OFFSET(F$1,Display!$C$1-1,0)</f>
        <v>-2.5590000000000295</v>
      </c>
      <c r="G7" s="42">
        <f ca="1">OFFSET(G$1,Display!$C$1-1,0)</f>
        <v>-8.6639999999999802</v>
      </c>
      <c r="H7" s="42">
        <f ca="1">OFFSET(H$1,Display!$C$1-1,0)</f>
        <v>-7.1990000000000061</v>
      </c>
      <c r="I7" s="42">
        <f ca="1">OFFSET(I$1,Display!$C$1-1,0)</f>
        <v>-8.7730000000000281</v>
      </c>
      <c r="J7" s="43">
        <f ca="1">OFFSET(J$1,Display!$C$1-1,0)</f>
        <v>-10.175000000000013</v>
      </c>
      <c r="K7" s="43">
        <f ca="1">OFFSET(K$1,Display!$C$1-1,0)</f>
        <v>-12.07500000000001</v>
      </c>
      <c r="L7" s="43">
        <f ca="1">OFFSET(L$1,Display!$C$1-1,0)</f>
        <v>-8.1450000000000315</v>
      </c>
      <c r="M7" s="43">
        <f ca="1">OFFSET(M$1,Display!$C$1-1,0)</f>
        <v>-3.0930000000000701</v>
      </c>
      <c r="N7" s="43">
        <f ca="1">OFFSET(N$1,Display!$C$1-1,0)</f>
        <v>0.21399999999995023</v>
      </c>
      <c r="O7" s="47">
        <f ca="1">OFFSET(O$1,Display!$C$1-1,0)</f>
        <v>-1.4386617909898387</v>
      </c>
      <c r="P7" s="47">
        <f ca="1">OFFSET(P$1,Display!$C$1-1,0)</f>
        <v>-2.1325552814484041</v>
      </c>
      <c r="Q7" s="47">
        <f ca="1">OFFSET(Q$1,Display!$C$1-1,0)</f>
        <v>-3.0776401609123667</v>
      </c>
      <c r="R7" s="47">
        <f ca="1">OFFSET(R$1,Display!$C$1-1,0)</f>
        <v>-4.1918783300825542</v>
      </c>
      <c r="S7" s="47">
        <f ca="1">OFFSET(S$1,Display!$C$1-1,0)</f>
        <v>-5.2460156207473032</v>
      </c>
      <c r="T7" s="47">
        <f ca="1">OFFSET(T$1,Display!$C$1-1,0)</f>
        <v>-6.3415799530722001</v>
      </c>
      <c r="U7" s="47">
        <f ca="1">OFFSET(U$1,Display!$C$1-1,0)</f>
        <v>-7.3757312628426011</v>
      </c>
      <c r="V7" s="47">
        <f ca="1">OFFSET(V$1,Display!$C$1-1,0)</f>
        <v>-8.5909055689490952</v>
      </c>
      <c r="W7" s="47">
        <f ca="1">OFFSET(W$1,Display!$C$1-1,0)</f>
        <v>-9.9010396650777803</v>
      </c>
      <c r="X7" s="47">
        <f ca="1">OFFSET(X$1,Display!$C$1-1,0)</f>
        <v>-11.223939290769792</v>
      </c>
    </row>
    <row r="8" spans="1:24" x14ac:dyDescent="0.25">
      <c r="A8" s="63" t="s">
        <v>841</v>
      </c>
      <c r="B8" s="11"/>
      <c r="C8" s="13"/>
      <c r="D8" s="93">
        <f t="shared" ref="D8:X8" ca="1" si="0">D$7/D$13</f>
        <v>2.7387025300149401E-2</v>
      </c>
      <c r="E8" s="93">
        <f t="shared" ca="1" si="0"/>
        <v>-6.5805919447409003E-2</v>
      </c>
      <c r="F8" s="93">
        <f t="shared" ca="1" si="0"/>
        <v>-7.4521029840446066E-3</v>
      </c>
      <c r="G8" s="93">
        <f t="shared" ca="1" si="0"/>
        <v>-2.3690513950715801E-2</v>
      </c>
      <c r="H8" s="93">
        <f t="shared" ca="1" si="0"/>
        <v>-1.7928162830254005E-2</v>
      </c>
      <c r="I8" s="93">
        <f t="shared" ca="1" si="0"/>
        <v>-2.0857206708160839E-2</v>
      </c>
      <c r="J8" s="94">
        <f t="shared" ca="1" si="0"/>
        <v>-2.3382849053655338E-2</v>
      </c>
      <c r="K8" s="94">
        <f t="shared" ca="1" si="0"/>
        <v>-2.6453345718391835E-2</v>
      </c>
      <c r="L8" s="94">
        <f t="shared" ca="1" si="0"/>
        <v>-1.7047951943403798E-2</v>
      </c>
      <c r="M8" s="94">
        <f t="shared" ca="1" si="0"/>
        <v>-6.1753043728264055E-3</v>
      </c>
      <c r="N8" s="94">
        <f t="shared" ca="1" si="0"/>
        <v>4.0830188391242927E-4</v>
      </c>
      <c r="O8" s="95">
        <f t="shared" ca="1" si="0"/>
        <v>-2.6313618874159905E-3</v>
      </c>
      <c r="P8" s="95">
        <f t="shared" ca="1" si="0"/>
        <v>-3.7409642253784549E-3</v>
      </c>
      <c r="Q8" s="95">
        <f t="shared" ca="1" si="0"/>
        <v>-5.186241379536936E-3</v>
      </c>
      <c r="R8" s="95">
        <f t="shared" ca="1" si="0"/>
        <v>-6.7962705728610044E-3</v>
      </c>
      <c r="S8" s="95">
        <f t="shared" ca="1" si="0"/>
        <v>-8.1882867892154355E-3</v>
      </c>
      <c r="T8" s="95">
        <f t="shared" ca="1" si="0"/>
        <v>-9.5357208012021907E-3</v>
      </c>
      <c r="U8" s="95">
        <f t="shared" ca="1" si="0"/>
        <v>-1.0693806118869928E-2</v>
      </c>
      <c r="V8" s="95">
        <f t="shared" ca="1" si="0"/>
        <v>-1.2019003331340716E-2</v>
      </c>
      <c r="W8" s="95">
        <f t="shared" ca="1" si="0"/>
        <v>-1.3376095591375189E-2</v>
      </c>
      <c r="X8" s="95">
        <f t="shared" ca="1" si="0"/>
        <v>-1.4648971692286268E-2</v>
      </c>
    </row>
    <row r="9" spans="1:24" ht="16.5" x14ac:dyDescent="0.25">
      <c r="A9" s="41" t="s">
        <v>825</v>
      </c>
      <c r="B9" s="9"/>
      <c r="C9" s="13"/>
      <c r="N9" s="47"/>
    </row>
    <row r="10" spans="1:24" x14ac:dyDescent="0.25">
      <c r="A10" s="12" t="s">
        <v>148</v>
      </c>
      <c r="B10" s="9"/>
      <c r="C10" s="13"/>
    </row>
    <row r="11" spans="1:24" x14ac:dyDescent="0.25">
      <c r="A11" s="9" t="s">
        <v>149</v>
      </c>
      <c r="B11" s="9"/>
      <c r="C11" s="13"/>
      <c r="D11" s="35">
        <f>'Economic Forecasts'!Q$6</f>
        <v>254.887</v>
      </c>
      <c r="E11" s="35">
        <f>'Economic Forecasts'!R$6</f>
        <v>252.81299999999999</v>
      </c>
      <c r="F11" s="35">
        <f>'Economic Forecasts'!S$6</f>
        <v>268.59800000000001</v>
      </c>
      <c r="G11" s="35">
        <f>'Economic Forecasts'!T$6</f>
        <v>270.51100000000002</v>
      </c>
      <c r="H11" s="35">
        <f>'Economic Forecasts'!U$6</f>
        <v>281.255</v>
      </c>
      <c r="I11" s="35">
        <f>'Economic Forecasts'!V$6</f>
        <v>283.03100000000001</v>
      </c>
      <c r="J11" s="17">
        <f>'Economic Forecasts'!W$6</f>
        <v>280.76</v>
      </c>
      <c r="K11" s="17">
        <f>'Economic Forecasts'!X$6</f>
        <v>288.976</v>
      </c>
      <c r="L11" s="17">
        <f>'Economic Forecasts'!Y$6</f>
        <v>297.50799999999998</v>
      </c>
      <c r="M11" s="17">
        <f>'Economic Forecasts'!Z$6</f>
        <v>306.02300000000002</v>
      </c>
      <c r="N11" s="17">
        <f>'Economic Forecasts'!AA$6</f>
        <v>313.94099999999997</v>
      </c>
      <c r="O11" s="16">
        <f t="shared" ref="O11:X11" ca="1" si="1">N$11*O$16*(1-O$23)*O$24/(N$16*(1-N$23)*N$24)*(1+O$25)</f>
        <v>321.06547356392304</v>
      </c>
      <c r="P11" s="16">
        <f t="shared" ca="1" si="1"/>
        <v>328.19506559316949</v>
      </c>
      <c r="Q11" s="16">
        <f t="shared" ca="1" si="1"/>
        <v>334.95020430738737</v>
      </c>
      <c r="R11" s="16">
        <f t="shared" ca="1" si="1"/>
        <v>341.31310894354965</v>
      </c>
      <c r="S11" s="16">
        <f t="shared" ca="1" si="1"/>
        <v>347.57723432799349</v>
      </c>
      <c r="T11" s="16">
        <f t="shared" ca="1" si="1"/>
        <v>353.71914183142206</v>
      </c>
      <c r="U11" s="16">
        <f t="shared" ca="1" si="1"/>
        <v>359.65592896560497</v>
      </c>
      <c r="V11" s="16">
        <f t="shared" ca="1" si="1"/>
        <v>365.41364749828614</v>
      </c>
      <c r="W11" s="16">
        <f t="shared" ca="1" si="1"/>
        <v>370.9928489415197</v>
      </c>
      <c r="X11" s="16">
        <f t="shared" ca="1" si="1"/>
        <v>376.48883312198507</v>
      </c>
    </row>
    <row r="12" spans="1:24" x14ac:dyDescent="0.25">
      <c r="A12" s="10" t="s">
        <v>150</v>
      </c>
      <c r="B12" s="9"/>
      <c r="C12" s="13"/>
      <c r="D12" s="35"/>
      <c r="E12" s="36">
        <f>E$11/D$11-1</f>
        <v>-8.1369391141957736E-3</v>
      </c>
      <c r="F12" s="36">
        <f t="shared" ref="F12:X12" si="2">F$11/E$11-1</f>
        <v>6.2437453770177953E-2</v>
      </c>
      <c r="G12" s="36">
        <f t="shared" si="2"/>
        <v>7.1221677004296158E-3</v>
      </c>
      <c r="H12" s="36">
        <f t="shared" si="2"/>
        <v>3.9717423690718512E-2</v>
      </c>
      <c r="I12" s="36">
        <f t="shared" si="2"/>
        <v>6.3145544079217242E-3</v>
      </c>
      <c r="J12" s="19">
        <f t="shared" si="2"/>
        <v>-8.0238560440376583E-3</v>
      </c>
      <c r="K12" s="19">
        <f t="shared" si="2"/>
        <v>2.9263427838723599E-2</v>
      </c>
      <c r="L12" s="19">
        <f t="shared" si="2"/>
        <v>2.9524943247882129E-2</v>
      </c>
      <c r="M12" s="19">
        <f t="shared" si="2"/>
        <v>2.8621079097032931E-2</v>
      </c>
      <c r="N12" s="19">
        <f t="shared" si="2"/>
        <v>2.5873872225290029E-2</v>
      </c>
      <c r="O12" s="18">
        <f t="shared" ca="1" si="2"/>
        <v>2.2693670351827455E-2</v>
      </c>
      <c r="P12" s="18">
        <f t="shared" ca="1" si="2"/>
        <v>2.2206037759544328E-2</v>
      </c>
      <c r="Q12" s="18">
        <f t="shared" ca="1" si="2"/>
        <v>2.0582694325427697E-2</v>
      </c>
      <c r="R12" s="18">
        <f t="shared" ca="1" si="2"/>
        <v>1.8996568905875311E-2</v>
      </c>
      <c r="S12" s="18">
        <f t="shared" ca="1" si="2"/>
        <v>1.8353017274469474E-2</v>
      </c>
      <c r="T12" s="18">
        <f t="shared" ca="1" si="2"/>
        <v>1.7670626545214674E-2</v>
      </c>
      <c r="U12" s="18">
        <f t="shared" ca="1" si="2"/>
        <v>1.6783901214518782E-2</v>
      </c>
      <c r="V12" s="18">
        <f t="shared" ca="1" si="2"/>
        <v>1.6008963203361537E-2</v>
      </c>
      <c r="W12" s="18">
        <f t="shared" ca="1" si="2"/>
        <v>1.5268180270305187E-2</v>
      </c>
      <c r="X12" s="18">
        <f t="shared" ca="1" si="2"/>
        <v>1.4814259078432368E-2</v>
      </c>
    </row>
    <row r="13" spans="1:24" x14ac:dyDescent="0.25">
      <c r="A13" s="9" t="s">
        <v>151</v>
      </c>
      <c r="B13" s="9"/>
      <c r="C13" s="13"/>
      <c r="D13" s="42">
        <f>'Economic Forecasts'!Q$7</f>
        <v>310.512</v>
      </c>
      <c r="E13" s="42">
        <f>'Economic Forecasts'!R$7</f>
        <v>317.63099999999997</v>
      </c>
      <c r="F13" s="42">
        <f>'Economic Forecasts'!S$7</f>
        <v>343.39299999999997</v>
      </c>
      <c r="G13" s="42">
        <f>'Economic Forecasts'!T$7</f>
        <v>365.71600000000001</v>
      </c>
      <c r="H13" s="42">
        <f>'Economic Forecasts'!U$7</f>
        <v>401.54700000000003</v>
      </c>
      <c r="I13" s="42">
        <f>'Economic Forecasts'!V$7</f>
        <v>420.62200000000001</v>
      </c>
      <c r="J13" s="43">
        <f>'Economic Forecasts'!W$7</f>
        <v>435.14800000000002</v>
      </c>
      <c r="K13" s="43">
        <f>'Economic Forecasts'!X$7</f>
        <v>456.464</v>
      </c>
      <c r="L13" s="43">
        <f>'Economic Forecasts'!Y$7</f>
        <v>477.77</v>
      </c>
      <c r="M13" s="43">
        <f>'Economic Forecasts'!Z$7</f>
        <v>500.86599999999999</v>
      </c>
      <c r="N13" s="43">
        <f>'Economic Forecasts'!AA$7</f>
        <v>524.12199999999996</v>
      </c>
      <c r="O13" s="47">
        <f t="shared" ref="O13:X13" ca="1" si="3">N$13*O$11/N$11*(1+O$29)</f>
        <v>546.73657692998324</v>
      </c>
      <c r="P13" s="47">
        <f t="shared" ca="1" si="3"/>
        <v>570.05497860185073</v>
      </c>
      <c r="Q13" s="47">
        <f t="shared" ca="1" si="3"/>
        <v>593.42401089460282</v>
      </c>
      <c r="R13" s="47">
        <f t="shared" ca="1" si="3"/>
        <v>616.79097162812229</v>
      </c>
      <c r="S13" s="47">
        <f t="shared" ca="1" si="3"/>
        <v>640.67316592485304</v>
      </c>
      <c r="T13" s="47">
        <f t="shared" ca="1" si="3"/>
        <v>665.03414742100063</v>
      </c>
      <c r="U13" s="47">
        <f t="shared" ca="1" si="3"/>
        <v>689.71993515270822</v>
      </c>
      <c r="V13" s="47">
        <f t="shared" ca="1" si="3"/>
        <v>714.77686893949658</v>
      </c>
      <c r="W13" s="47">
        <f t="shared" ca="1" si="3"/>
        <v>740.20401524805936</v>
      </c>
      <c r="X13" s="47">
        <f t="shared" ca="1" si="3"/>
        <v>766.19298108685666</v>
      </c>
    </row>
    <row r="14" spans="1:24" x14ac:dyDescent="0.25">
      <c r="A14" s="10" t="str">
        <f>$A$12</f>
        <v>Annual percentage growth</v>
      </c>
      <c r="B14" s="9"/>
      <c r="C14" s="13"/>
      <c r="D14" s="36"/>
      <c r="E14" s="36">
        <f>E$13/D$13-1</f>
        <v>2.2926650177770735E-2</v>
      </c>
      <c r="F14" s="36">
        <f t="shared" ref="F14:X14" si="4">F$13/E$13-1</f>
        <v>8.1106692986515849E-2</v>
      </c>
      <c r="G14" s="36">
        <f t="shared" si="4"/>
        <v>6.5007149242995776E-2</v>
      </c>
      <c r="H14" s="36">
        <f t="shared" si="4"/>
        <v>9.7974931367509344E-2</v>
      </c>
      <c r="I14" s="36">
        <f t="shared" si="4"/>
        <v>4.7503779134198565E-2</v>
      </c>
      <c r="J14" s="19">
        <f t="shared" si="4"/>
        <v>3.4534570231704587E-2</v>
      </c>
      <c r="K14" s="19">
        <f t="shared" si="4"/>
        <v>4.898563247446841E-2</v>
      </c>
      <c r="L14" s="19">
        <f t="shared" si="4"/>
        <v>4.6676189140874236E-2</v>
      </c>
      <c r="M14" s="19">
        <f t="shared" si="4"/>
        <v>4.8341252066894214E-2</v>
      </c>
      <c r="N14" s="19">
        <f t="shared" si="4"/>
        <v>4.6431580502569458E-2</v>
      </c>
      <c r="O14" s="18">
        <f t="shared" ca="1" si="4"/>
        <v>4.3147543758863982E-2</v>
      </c>
      <c r="P14" s="18">
        <f t="shared" ca="1" si="4"/>
        <v>4.2650158514735192E-2</v>
      </c>
      <c r="Q14" s="18">
        <f t="shared" ca="1" si="4"/>
        <v>4.0994348211936149E-2</v>
      </c>
      <c r="R14" s="18">
        <f t="shared" ca="1" si="4"/>
        <v>3.9376500283992755E-2</v>
      </c>
      <c r="S14" s="18">
        <f t="shared" ca="1" si="4"/>
        <v>3.872007761995877E-2</v>
      </c>
      <c r="T14" s="18">
        <f t="shared" ca="1" si="4"/>
        <v>3.8024039076119065E-2</v>
      </c>
      <c r="U14" s="18">
        <f t="shared" ca="1" si="4"/>
        <v>3.7119579238809042E-2</v>
      </c>
      <c r="V14" s="18">
        <f t="shared" ca="1" si="4"/>
        <v>3.6329142467428577E-2</v>
      </c>
      <c r="W14" s="18">
        <f t="shared" ca="1" si="4"/>
        <v>3.5573543875711433E-2</v>
      </c>
      <c r="X14" s="18">
        <f t="shared" ca="1" si="4"/>
        <v>3.511054426000082E-2</v>
      </c>
    </row>
    <row r="15" spans="1:24" x14ac:dyDescent="0.25">
      <c r="A15" s="12" t="s">
        <v>152</v>
      </c>
      <c r="B15" s="9"/>
      <c r="C15" s="13"/>
      <c r="D15" s="35"/>
    </row>
    <row r="16" spans="1:24" x14ac:dyDescent="0.25">
      <c r="A16" s="9" t="s">
        <v>153</v>
      </c>
      <c r="B16" s="9"/>
      <c r="C16" s="13"/>
      <c r="D16" s="35">
        <f>'Economic Forecasts'!Q$8</f>
        <v>2.7963</v>
      </c>
      <c r="E16" s="35">
        <f>'Economic Forecasts'!R$8</f>
        <v>2.8405</v>
      </c>
      <c r="F16" s="35">
        <f>'Economic Forecasts'!S$8</f>
        <v>2.875</v>
      </c>
      <c r="G16" s="35">
        <f>'Economic Forecasts'!T$8</f>
        <v>2.9104999999999999</v>
      </c>
      <c r="H16" s="35">
        <f>'Economic Forecasts'!U$8</f>
        <v>2.9918</v>
      </c>
      <c r="I16" s="35">
        <f>'Economic Forecasts'!V$8</f>
        <v>3.0680000000000001</v>
      </c>
      <c r="J16" s="17">
        <f>'Economic Forecasts'!W$8</f>
        <v>3.0784000000000002</v>
      </c>
      <c r="K16" s="17">
        <f>'Economic Forecasts'!X$8</f>
        <v>3.1261000000000001</v>
      </c>
      <c r="L16" s="17">
        <f>'Economic Forecasts'!Y$8</f>
        <v>3.1818</v>
      </c>
      <c r="M16" s="17">
        <f>'Economic Forecasts'!Z$8</f>
        <v>3.2342</v>
      </c>
      <c r="N16" s="17">
        <f>'Economic Forecasts'!AA$8</f>
        <v>3.2824</v>
      </c>
      <c r="O16" s="16">
        <f>N$16*'Labour Force Treasury'!L$4/'Labour Force Treasury'!K$4</f>
        <v>3.318559068561679</v>
      </c>
      <c r="P16" s="16">
        <f>O$16*'Labour Force Treasury'!M$4/'Labour Force Treasury'!L$4</f>
        <v>3.3528826048258424</v>
      </c>
      <c r="Q16" s="16">
        <f>P$16*'Labour Force Treasury'!N$4/'Labour Force Treasury'!M$4</f>
        <v>3.3853211958213336</v>
      </c>
      <c r="R16" s="16">
        <f>Q$16*'Labour Force Treasury'!O$4/'Labour Force Treasury'!N$4</f>
        <v>3.415814123364961</v>
      </c>
      <c r="S16" s="16">
        <f>R$16*'Labour Force Treasury'!P$4/'Labour Force Treasury'!O$4</f>
        <v>3.4440639791855983</v>
      </c>
      <c r="T16" s="16">
        <f>S$16*'Labour Force Treasury'!Q$4/'Labour Force Treasury'!P$4</f>
        <v>3.4702205421382302</v>
      </c>
      <c r="U16" s="16">
        <f>T$16*'Labour Force Treasury'!R$4/'Labour Force Treasury'!Q$4</f>
        <v>3.4945670802318225</v>
      </c>
      <c r="V16" s="16">
        <f>U$16*'Labour Force Treasury'!S$4/'Labour Force Treasury'!R$4</f>
        <v>3.517447469814674</v>
      </c>
      <c r="W16" s="16">
        <f>V$16*'Labour Force Treasury'!T$4/'Labour Force Treasury'!S$4</f>
        <v>3.5389480644882889</v>
      </c>
      <c r="X16" s="16">
        <f>W$16*'Labour Force Treasury'!U$4/'Labour Force Treasury'!T$4</f>
        <v>3.5593408899709962</v>
      </c>
    </row>
    <row r="17" spans="1:24" x14ac:dyDescent="0.25">
      <c r="A17" s="10" t="str">
        <f>$A$12</f>
        <v>Annual percentage growth</v>
      </c>
      <c r="B17" s="9"/>
      <c r="C17" s="13"/>
      <c r="D17" s="38"/>
      <c r="E17" s="36">
        <f>E$16/D$16-1</f>
        <v>1.5806601580660162E-2</v>
      </c>
      <c r="F17" s="36">
        <f t="shared" ref="F17:X17" si="5">F$16/E$16-1</f>
        <v>1.2145748987854255E-2</v>
      </c>
      <c r="G17" s="36">
        <f t="shared" si="5"/>
        <v>1.2347826086956504E-2</v>
      </c>
      <c r="H17" s="36">
        <f t="shared" si="5"/>
        <v>2.7933344786119196E-2</v>
      </c>
      <c r="I17" s="36">
        <f t="shared" si="5"/>
        <v>2.546961695300487E-2</v>
      </c>
      <c r="J17" s="19">
        <f t="shared" si="5"/>
        <v>3.3898305084747449E-3</v>
      </c>
      <c r="K17" s="19">
        <f t="shared" si="5"/>
        <v>1.5495062370062263E-2</v>
      </c>
      <c r="L17" s="19">
        <f t="shared" si="5"/>
        <v>1.7817728159687851E-2</v>
      </c>
      <c r="M17" s="19">
        <f t="shared" si="5"/>
        <v>1.6468665535231741E-2</v>
      </c>
      <c r="N17" s="19">
        <f t="shared" si="5"/>
        <v>1.4903221816832568E-2</v>
      </c>
      <c r="O17" s="18">
        <f t="shared" si="5"/>
        <v>1.1016045747525904E-2</v>
      </c>
      <c r="P17" s="18">
        <f t="shared" si="5"/>
        <v>1.0342903517772895E-2</v>
      </c>
      <c r="Q17" s="18">
        <f t="shared" si="5"/>
        <v>9.6748364970493661E-3</v>
      </c>
      <c r="R17" s="18">
        <f t="shared" si="5"/>
        <v>9.0073956885587947E-3</v>
      </c>
      <c r="S17" s="18">
        <f t="shared" si="5"/>
        <v>8.2703141331379459E-3</v>
      </c>
      <c r="T17" s="18">
        <f t="shared" si="5"/>
        <v>7.5946797477370875E-3</v>
      </c>
      <c r="U17" s="18">
        <f t="shared" si="5"/>
        <v>7.0158474938284421E-3</v>
      </c>
      <c r="V17" s="18">
        <f t="shared" si="5"/>
        <v>6.5474174790582929E-3</v>
      </c>
      <c r="W17" s="18">
        <f t="shared" si="5"/>
        <v>6.1125560106083388E-3</v>
      </c>
      <c r="X17" s="18">
        <f t="shared" si="5"/>
        <v>5.7623975009239992E-3</v>
      </c>
    </row>
    <row r="18" spans="1:24" x14ac:dyDescent="0.25">
      <c r="A18" s="9" t="s">
        <v>154</v>
      </c>
      <c r="B18" s="9"/>
      <c r="C18" s="13"/>
      <c r="D18" s="35">
        <f>'Economic Forecasts'!Q$9</f>
        <v>3.9466000000000001</v>
      </c>
      <c r="E18" s="35">
        <f>'Economic Forecasts'!R$9</f>
        <v>4.0335999999999999</v>
      </c>
      <c r="F18" s="35">
        <f>'Economic Forecasts'!S$9</f>
        <v>4.0891999999999999</v>
      </c>
      <c r="G18" s="35">
        <f>'Economic Forecasts'!T$9</f>
        <v>4.1008000000000004</v>
      </c>
      <c r="H18" s="35">
        <f>'Economic Forecasts'!U$9</f>
        <v>4.1555</v>
      </c>
      <c r="I18" s="35">
        <f>'Economic Forecasts'!V$9</f>
        <v>4.2751000000000001</v>
      </c>
      <c r="J18" s="17">
        <f>'Economic Forecasts'!W$9</f>
        <v>4.3324999999999996</v>
      </c>
      <c r="K18" s="17">
        <f>'Economic Forecasts'!X$9</f>
        <v>4.3881999999999994</v>
      </c>
      <c r="L18" s="17">
        <f>'Economic Forecasts'!Y$9</f>
        <v>4.4468000000000005</v>
      </c>
      <c r="M18" s="17">
        <f>'Economic Forecasts'!Z$9</f>
        <v>4.5060000000000002</v>
      </c>
      <c r="N18" s="17">
        <f>'Economic Forecasts'!AA$9</f>
        <v>4.5653000000000006</v>
      </c>
      <c r="O18" s="16">
        <f>N$18*'Population Treasury'!Z$6/'Population Treasury'!Y$6</f>
        <v>4.6218546614438232</v>
      </c>
      <c r="P18" s="16">
        <f>O$18*'Population Treasury'!AA$6/'Population Treasury'!Z$6</f>
        <v>4.6757910271716634</v>
      </c>
      <c r="Q18" s="16">
        <f>P$18*'Population Treasury'!AB$6/'Population Treasury'!AA$6</f>
        <v>4.7275390971835236</v>
      </c>
      <c r="R18" s="16">
        <f>Q$18*'Population Treasury'!AC$6/'Population Treasury'!AB$6</f>
        <v>4.7758688714794006</v>
      </c>
      <c r="S18" s="16">
        <f>R$18*'Population Treasury'!AD$6/'Population Treasury'!AC$6</f>
        <v>4.8216203500592991</v>
      </c>
      <c r="T18" s="16">
        <f>S$18*'Population Treasury'!AE$6/'Population Treasury'!AD$6</f>
        <v>4.8645335329232227</v>
      </c>
      <c r="U18" s="16">
        <f>T$18*'Population Treasury'!AF$6/'Population Treasury'!AE$6</f>
        <v>4.9064484200711611</v>
      </c>
      <c r="V18" s="16">
        <f>U$18*'Population Treasury'!AG$6/'Population Treasury'!AF$6</f>
        <v>4.9466650115031188</v>
      </c>
      <c r="W18" s="16">
        <f>V$18*'Population Treasury'!AH$6/'Population Treasury'!AG$6</f>
        <v>4.9832933072191006</v>
      </c>
      <c r="X18" s="16">
        <f>W$18*'Population Treasury'!AI$6/'Population Treasury'!AH$6</f>
        <v>5.0178433072191009</v>
      </c>
    </row>
    <row r="19" spans="1:24" x14ac:dyDescent="0.25">
      <c r="A19" s="10" t="str">
        <f>$A$12</f>
        <v>Annual percentage growth</v>
      </c>
      <c r="B19" s="9"/>
      <c r="C19" s="13"/>
      <c r="D19" s="36"/>
      <c r="E19" s="36">
        <f>E$18/D$18-1</f>
        <v>2.2044291288704221E-2</v>
      </c>
      <c r="F19" s="36">
        <f t="shared" ref="F19:X19" si="6">F$18/E$18-1</f>
        <v>1.3784212614042168E-2</v>
      </c>
      <c r="G19" s="36">
        <f t="shared" si="6"/>
        <v>2.8367406827742858E-3</v>
      </c>
      <c r="H19" s="36">
        <f t="shared" si="6"/>
        <v>1.333886071010526E-2</v>
      </c>
      <c r="I19" s="36">
        <f t="shared" si="6"/>
        <v>2.8781133437612905E-2</v>
      </c>
      <c r="J19" s="19">
        <f t="shared" si="6"/>
        <v>1.3426586512595984E-2</v>
      </c>
      <c r="K19" s="19">
        <f t="shared" si="6"/>
        <v>1.2856318522792787E-2</v>
      </c>
      <c r="L19" s="19">
        <f t="shared" si="6"/>
        <v>1.3353994804248037E-2</v>
      </c>
      <c r="M19" s="19">
        <f t="shared" si="6"/>
        <v>1.3312944139606042E-2</v>
      </c>
      <c r="N19" s="19">
        <f t="shared" si="6"/>
        <v>1.3160230803373363E-2</v>
      </c>
      <c r="O19" s="18">
        <f t="shared" si="6"/>
        <v>1.2387939772593892E-2</v>
      </c>
      <c r="P19" s="18">
        <f t="shared" si="6"/>
        <v>1.166985326859904E-2</v>
      </c>
      <c r="Q19" s="18">
        <f t="shared" si="6"/>
        <v>1.1067233268370114E-2</v>
      </c>
      <c r="R19" s="18">
        <f t="shared" si="6"/>
        <v>1.0223030059057558E-2</v>
      </c>
      <c r="S19" s="18">
        <f t="shared" si="6"/>
        <v>9.5797183321171264E-3</v>
      </c>
      <c r="T19" s="18">
        <f t="shared" si="6"/>
        <v>8.9001579859757651E-3</v>
      </c>
      <c r="U19" s="18">
        <f t="shared" si="6"/>
        <v>8.616424753629115E-3</v>
      </c>
      <c r="V19" s="18">
        <f t="shared" si="6"/>
        <v>8.1966807737019476E-3</v>
      </c>
      <c r="W19" s="18">
        <f t="shared" si="6"/>
        <v>7.4046444687088098E-3</v>
      </c>
      <c r="X19" s="18">
        <f t="shared" si="6"/>
        <v>6.933166055056228E-3</v>
      </c>
    </row>
    <row r="20" spans="1:24" x14ac:dyDescent="0.25">
      <c r="A20" s="9" t="s">
        <v>155</v>
      </c>
      <c r="B20" s="9"/>
      <c r="C20" s="13"/>
      <c r="D20" s="36">
        <f>D$16/D$18</f>
        <v>0.70853392793797187</v>
      </c>
      <c r="E20" s="36">
        <f t="shared" ref="E20:X20" si="7">E$16/E$18</f>
        <v>0.70420963903213019</v>
      </c>
      <c r="F20" s="36">
        <f t="shared" si="7"/>
        <v>0.70307150542893482</v>
      </c>
      <c r="G20" s="36">
        <f t="shared" si="7"/>
        <v>0.70973956301209506</v>
      </c>
      <c r="H20" s="36">
        <f t="shared" si="7"/>
        <v>0.71996149681145472</v>
      </c>
      <c r="I20" s="36">
        <f t="shared" si="7"/>
        <v>0.71764403171855629</v>
      </c>
      <c r="J20" s="19">
        <f t="shared" si="7"/>
        <v>0.71053664166185815</v>
      </c>
      <c r="K20" s="19">
        <f t="shared" si="7"/>
        <v>0.71238776719383812</v>
      </c>
      <c r="L20" s="19">
        <f t="shared" si="7"/>
        <v>0.71552577134118911</v>
      </c>
      <c r="M20" s="19">
        <f t="shared" si="7"/>
        <v>0.71775410563692854</v>
      </c>
      <c r="N20" s="19">
        <f t="shared" si="7"/>
        <v>0.71898889448667114</v>
      </c>
      <c r="O20" s="18">
        <f t="shared" si="7"/>
        <v>0.71801458757359382</v>
      </c>
      <c r="P20" s="18">
        <f t="shared" si="7"/>
        <v>0.71707280871659607</v>
      </c>
      <c r="Q20" s="18">
        <f t="shared" si="7"/>
        <v>0.7160852879753381</v>
      </c>
      <c r="R20" s="18">
        <f t="shared" si="7"/>
        <v>0.71522359915775047</v>
      </c>
      <c r="S20" s="18">
        <f t="shared" si="7"/>
        <v>0.71429596881124024</v>
      </c>
      <c r="T20" s="18">
        <f t="shared" si="7"/>
        <v>0.71337169713226045</v>
      </c>
      <c r="U20" s="18">
        <f t="shared" si="7"/>
        <v>0.71223964485927249</v>
      </c>
      <c r="V20" s="18">
        <f t="shared" si="7"/>
        <v>0.71107452427748785</v>
      </c>
      <c r="W20" s="18">
        <f t="shared" si="7"/>
        <v>0.71016250626098099</v>
      </c>
      <c r="X20" s="18">
        <f t="shared" si="7"/>
        <v>0.70933679512276171</v>
      </c>
    </row>
    <row r="21" spans="1:24" x14ac:dyDescent="0.25">
      <c r="A21" s="9" t="s">
        <v>64</v>
      </c>
      <c r="B21" s="9"/>
      <c r="C21" s="13"/>
      <c r="D21" s="35">
        <f>'Economic Forecasts'!Q$10</f>
        <v>4.9516999999999998</v>
      </c>
      <c r="E21" s="35">
        <f>'Economic Forecasts'!R$10</f>
        <v>5.0551000000000004</v>
      </c>
      <c r="F21" s="35">
        <f>'Economic Forecasts'!S$10</f>
        <v>5.1053999999999995</v>
      </c>
      <c r="G21" s="35">
        <f>'Economic Forecasts'!T$10</f>
        <v>5.1158999999999999</v>
      </c>
      <c r="H21" s="35">
        <f>'Economic Forecasts'!U$10</f>
        <v>5.1861000000000006</v>
      </c>
      <c r="I21" s="35">
        <f>'Economic Forecasts'!V$10</f>
        <v>5.3128000000000002</v>
      </c>
      <c r="J21" s="17">
        <f>'Economic Forecasts'!W$10</f>
        <v>5.3654999999999999</v>
      </c>
      <c r="K21" s="17">
        <f>'Economic Forecasts'!X$10</f>
        <v>5.4257</v>
      </c>
      <c r="L21" s="17">
        <f>'Economic Forecasts'!Y$10</f>
        <v>5.4906999999999995</v>
      </c>
      <c r="M21" s="17">
        <f>'Economic Forecasts'!Z$10</f>
        <v>5.5564</v>
      </c>
      <c r="N21" s="17">
        <f>'Economic Forecasts'!AA$10</f>
        <v>5.6223999999999998</v>
      </c>
      <c r="O21" s="16">
        <f>N$21*'Population Treasury'!Z$4/'Population Treasury'!Y$4</f>
        <v>5.6789399842283865</v>
      </c>
      <c r="P21" s="16">
        <f>O$21*'Population Treasury'!AA$4/'Population Treasury'!Z$4</f>
        <v>5.7330099702091735</v>
      </c>
      <c r="Q21" s="16">
        <f>P$21*'Population Treasury'!AB$4/'Population Treasury'!AA$4</f>
        <v>5.7845499579423612</v>
      </c>
      <c r="R21" s="16">
        <f>Q$21*'Population Treasury'!AC$4/'Population Treasury'!AB$4</f>
        <v>5.8338099474279499</v>
      </c>
      <c r="S21" s="16">
        <f>R$21*'Population Treasury'!AD$4/'Population Treasury'!AC$4</f>
        <v>5.8805699386659374</v>
      </c>
      <c r="T21" s="16">
        <f>S$21*'Population Treasury'!AE$4/'Population Treasury'!AD$4</f>
        <v>5.9250499316563294</v>
      </c>
      <c r="U21" s="16">
        <f>T$21*'Population Treasury'!AF$4/'Population Treasury'!AE$4</f>
        <v>5.9671399263991258</v>
      </c>
      <c r="V21" s="16">
        <f>U$21*'Population Treasury'!AG$4/'Population Treasury'!AF$4</f>
        <v>6.0070199228943171</v>
      </c>
      <c r="W21" s="16">
        <f>V$21*'Population Treasury'!AH$4/'Population Treasury'!AG$4</f>
        <v>6.0447099211419184</v>
      </c>
      <c r="X21" s="16">
        <f>W$21*'Population Treasury'!AI$4/'Population Treasury'!AH$4</f>
        <v>6.0802299211419184</v>
      </c>
    </row>
    <row r="22" spans="1:24" x14ac:dyDescent="0.25">
      <c r="A22" s="10" t="str">
        <f>$A$12</f>
        <v>Annual percentage growth</v>
      </c>
      <c r="B22" s="12"/>
      <c r="C22" s="13"/>
      <c r="D22" s="40"/>
      <c r="E22" s="36">
        <f>E$21/D$21-1</f>
        <v>2.0881717389987342E-2</v>
      </c>
      <c r="F22" s="36">
        <f t="shared" ref="F22:X22" si="8">F$21/E$21-1</f>
        <v>9.9503471741408944E-3</v>
      </c>
      <c r="G22" s="36">
        <f t="shared" si="8"/>
        <v>2.0566459043367402E-3</v>
      </c>
      <c r="H22" s="36">
        <f t="shared" si="8"/>
        <v>1.3721925760863396E-2</v>
      </c>
      <c r="I22" s="36">
        <f t="shared" si="8"/>
        <v>2.4430689728312194E-2</v>
      </c>
      <c r="J22" s="19">
        <f t="shared" si="8"/>
        <v>9.9194398433970488E-3</v>
      </c>
      <c r="K22" s="19">
        <f t="shared" si="8"/>
        <v>1.1219830397912522E-2</v>
      </c>
      <c r="L22" s="19">
        <f t="shared" si="8"/>
        <v>1.1980021011113617E-2</v>
      </c>
      <c r="M22" s="19">
        <f t="shared" si="8"/>
        <v>1.1965687435117722E-2</v>
      </c>
      <c r="N22" s="19">
        <f t="shared" si="8"/>
        <v>1.1878194514433726E-2</v>
      </c>
      <c r="O22" s="18">
        <f t="shared" si="8"/>
        <v>1.0056200951263916E-2</v>
      </c>
      <c r="P22" s="18">
        <f t="shared" si="8"/>
        <v>9.5211405880235578E-3</v>
      </c>
      <c r="Q22" s="18">
        <f t="shared" si="8"/>
        <v>8.9900397873035054E-3</v>
      </c>
      <c r="R22" s="18">
        <f t="shared" si="8"/>
        <v>8.5157859891853427E-3</v>
      </c>
      <c r="S22" s="18">
        <f t="shared" si="8"/>
        <v>8.0153436021006552E-3</v>
      </c>
      <c r="T22" s="18">
        <f t="shared" si="8"/>
        <v>7.5638915027482767E-3</v>
      </c>
      <c r="U22" s="18">
        <f t="shared" si="8"/>
        <v>7.1037367158575115E-3</v>
      </c>
      <c r="V22" s="18">
        <f t="shared" si="8"/>
        <v>6.6832681966713103E-3</v>
      </c>
      <c r="W22" s="18">
        <f t="shared" si="8"/>
        <v>6.274325494402877E-3</v>
      </c>
      <c r="X22" s="18">
        <f t="shared" si="8"/>
        <v>5.8762125004154786E-3</v>
      </c>
    </row>
    <row r="23" spans="1:24" x14ac:dyDescent="0.25">
      <c r="A23" s="9" t="s">
        <v>65</v>
      </c>
      <c r="B23" s="9"/>
      <c r="C23" s="13"/>
      <c r="D23" s="36">
        <f>'Economic Forecasts'!Q$11</f>
        <v>4.1299999999999996E-2</v>
      </c>
      <c r="E23" s="36">
        <f>'Economic Forecasts'!R$11</f>
        <v>4.1299999999999996E-2</v>
      </c>
      <c r="F23" s="36">
        <f>'Economic Forecasts'!S$11</f>
        <v>4.6799999999999994E-2</v>
      </c>
      <c r="G23" s="36">
        <f>'Economic Forecasts'!T$11</f>
        <v>3.2500000000000001E-2</v>
      </c>
      <c r="H23" s="36">
        <f>'Economic Forecasts'!U$11</f>
        <v>3.4300000000000004E-2</v>
      </c>
      <c r="I23" s="36">
        <f>'Economic Forecasts'!V$11</f>
        <v>4.2300000000000004E-2</v>
      </c>
      <c r="J23" s="19">
        <f>'Economic Forecasts'!W$11</f>
        <v>5.16E-2</v>
      </c>
      <c r="K23" s="19">
        <f>'Economic Forecasts'!X$11</f>
        <v>5.1900000000000002E-2</v>
      </c>
      <c r="L23" s="19">
        <f>'Economic Forecasts'!Y$11</f>
        <v>4.8799999999999996E-2</v>
      </c>
      <c r="M23" s="19">
        <f>'Economic Forecasts'!Z$11</f>
        <v>4.5599999999999995E-2</v>
      </c>
      <c r="N23" s="19">
        <f>'Economic Forecasts'!AA$11</f>
        <v>4.3799999999999999E-2</v>
      </c>
      <c r="O23" s="18">
        <f ca="1">N$23+MIN(ABS(OFFSET(Assumptions!$B$12,0,$C$1)-N$23),OFFSET(Assumptions!$B$18,0,$C$1))*SIGN(OFFSET(Assumptions!$B$12,0,$C$1)-N$23)</f>
        <v>4.3099999999999999E-2</v>
      </c>
      <c r="P23" s="18">
        <f ca="1">O$23+MIN(ABS(OFFSET(Assumptions!$B$12,0,$C$1)-O$23),OFFSET(Assumptions!$B$18,0,$C$1))*SIGN(OFFSET(Assumptions!$B$12,0,$C$1)-O$23)</f>
        <v>4.2500000000000003E-2</v>
      </c>
      <c r="Q23" s="18">
        <f ca="1">P$23+MIN(ABS(OFFSET(Assumptions!$B$12,0,$C$1)-P$23),OFFSET(Assumptions!$B$18,0,$C$1))*SIGN(OFFSET(Assumptions!$B$12,0,$C$1)-P$23)</f>
        <v>4.2500000000000003E-2</v>
      </c>
      <c r="R23" s="18">
        <f ca="1">Q$23+MIN(ABS(OFFSET(Assumptions!$B$12,0,$C$1)-Q$23),OFFSET(Assumptions!$B$18,0,$C$1))*SIGN(OFFSET(Assumptions!$B$12,0,$C$1)-Q$23)</f>
        <v>4.2500000000000003E-2</v>
      </c>
      <c r="S23" s="18">
        <f ca="1">R$23+MIN(ABS(OFFSET(Assumptions!$B$12,0,$C$1)-R$23),OFFSET(Assumptions!$B$18,0,$C$1))*SIGN(OFFSET(Assumptions!$B$12,0,$C$1)-R$23)</f>
        <v>4.2500000000000003E-2</v>
      </c>
      <c r="T23" s="18">
        <f ca="1">S$23+MIN(ABS(OFFSET(Assumptions!$B$12,0,$C$1)-S$23),OFFSET(Assumptions!$B$18,0,$C$1))*SIGN(OFFSET(Assumptions!$B$12,0,$C$1)-S$23)</f>
        <v>4.2500000000000003E-2</v>
      </c>
      <c r="U23" s="18">
        <f ca="1">T$23+MIN(ABS(OFFSET(Assumptions!$B$12,0,$C$1)-T$23),OFFSET(Assumptions!$B$18,0,$C$1))*SIGN(OFFSET(Assumptions!$B$12,0,$C$1)-T$23)</f>
        <v>4.2500000000000003E-2</v>
      </c>
      <c r="V23" s="18">
        <f ca="1">U$23+MIN(ABS(OFFSET(Assumptions!$B$12,0,$C$1)-U$23),OFFSET(Assumptions!$B$18,0,$C$1))*SIGN(OFFSET(Assumptions!$B$12,0,$C$1)-U$23)</f>
        <v>4.2500000000000003E-2</v>
      </c>
      <c r="W23" s="18">
        <f ca="1">V$23+MIN(ABS(OFFSET(Assumptions!$B$12,0,$C$1)-V$23),OFFSET(Assumptions!$B$18,0,$C$1))*SIGN(OFFSET(Assumptions!$B$12,0,$C$1)-V$23)</f>
        <v>4.2500000000000003E-2</v>
      </c>
      <c r="X23" s="18">
        <f ca="1">W$23+MIN(ABS(OFFSET(Assumptions!$B$12,0,$C$1)-W$23),OFFSET(Assumptions!$B$18,0,$C$1))*SIGN(OFFSET(Assumptions!$B$12,0,$C$1)-W$23)</f>
        <v>4.2500000000000003E-2</v>
      </c>
    </row>
    <row r="24" spans="1:24" x14ac:dyDescent="0.25">
      <c r="A24" s="9" t="s">
        <v>66</v>
      </c>
      <c r="B24" s="9"/>
      <c r="C24" s="13"/>
      <c r="D24" s="37">
        <f>'Economic Forecasts'!Q$12</f>
        <v>34.119999999999997</v>
      </c>
      <c r="E24" s="37">
        <f>'Economic Forecasts'!R$12</f>
        <v>33.18</v>
      </c>
      <c r="F24" s="37">
        <f>'Economic Forecasts'!S$12</f>
        <v>34.119999999999997</v>
      </c>
      <c r="G24" s="37">
        <f>'Economic Forecasts'!T$12</f>
        <v>32.94</v>
      </c>
      <c r="H24" s="37">
        <f>'Economic Forecasts'!U$12</f>
        <v>33.729999999999997</v>
      </c>
      <c r="I24" s="37">
        <f>'Economic Forecasts'!V$12</f>
        <v>33.549999999999997</v>
      </c>
      <c r="J24" s="21">
        <f>'Economic Forecasts'!W$12</f>
        <v>33.29</v>
      </c>
      <c r="K24" s="21">
        <f>'Economic Forecasts'!X$12</f>
        <v>33.380000000000003</v>
      </c>
      <c r="L24" s="21">
        <f>'Economic Forecasts'!Y$12</f>
        <v>33.409999999999997</v>
      </c>
      <c r="M24" s="21">
        <f>'Economic Forecasts'!Z$12</f>
        <v>33.44</v>
      </c>
      <c r="N24" s="21">
        <f>'Economic Forecasts'!AA$12</f>
        <v>33.44</v>
      </c>
      <c r="O24" s="20">
        <f ca="1">N$24+MIN(ABS(OFFSET(Assumptions!$B$13,0,$C$1)-N$24),OFFSET(Assumptions!$B$19,0,$C$1))*SIGN(OFFSET(Assumptions!$B$13,0,$C$1)-N$24)</f>
        <v>33.5</v>
      </c>
      <c r="P24" s="20">
        <f ca="1">O$24+MIN(ABS(OFFSET(Assumptions!$B$13,0,$C$1)-O$24),OFFSET(Assumptions!$B$19,0,$C$1))*SIGN(OFFSET(Assumptions!$B$13,0,$C$1)-O$24)</f>
        <v>33.56</v>
      </c>
      <c r="Q24" s="20">
        <f ca="1">P$24+MIN(ABS(OFFSET(Assumptions!$B$13,0,$C$1)-P$24),OFFSET(Assumptions!$B$19,0,$C$1))*SIGN(OFFSET(Assumptions!$B$13,0,$C$1)-P$24)</f>
        <v>33.6</v>
      </c>
      <c r="R24" s="20">
        <f ca="1">Q$24+MIN(ABS(OFFSET(Assumptions!$B$13,0,$C$1)-Q$24),OFFSET(Assumptions!$B$19,0,$C$1))*SIGN(OFFSET(Assumptions!$B$13,0,$C$1)-Q$24)</f>
        <v>33.6</v>
      </c>
      <c r="S24" s="20">
        <f ca="1">R$24+MIN(ABS(OFFSET(Assumptions!$B$13,0,$C$1)-R$24),OFFSET(Assumptions!$B$19,0,$C$1))*SIGN(OFFSET(Assumptions!$B$13,0,$C$1)-R$24)</f>
        <v>33.6</v>
      </c>
      <c r="T24" s="20">
        <f ca="1">S$24+MIN(ABS(OFFSET(Assumptions!$B$13,0,$C$1)-S$24),OFFSET(Assumptions!$B$19,0,$C$1))*SIGN(OFFSET(Assumptions!$B$13,0,$C$1)-S$24)</f>
        <v>33.6</v>
      </c>
      <c r="U24" s="20">
        <f ca="1">T$24+MIN(ABS(OFFSET(Assumptions!$B$13,0,$C$1)-T$24),OFFSET(Assumptions!$B$19,0,$C$1))*SIGN(OFFSET(Assumptions!$B$13,0,$C$1)-T$24)</f>
        <v>33.6</v>
      </c>
      <c r="V24" s="20">
        <f ca="1">U$24+MIN(ABS(OFFSET(Assumptions!$B$13,0,$C$1)-U$24),OFFSET(Assumptions!$B$19,0,$C$1))*SIGN(OFFSET(Assumptions!$B$13,0,$C$1)-U$24)</f>
        <v>33.6</v>
      </c>
      <c r="W24" s="20">
        <f ca="1">V$24+MIN(ABS(OFFSET(Assumptions!$B$13,0,$C$1)-V$24),OFFSET(Assumptions!$B$19,0,$C$1))*SIGN(OFFSET(Assumptions!$B$13,0,$C$1)-V$24)</f>
        <v>33.6</v>
      </c>
      <c r="X24" s="20">
        <f ca="1">W$24+MIN(ABS(OFFSET(Assumptions!$B$13,0,$C$1)-W$24),OFFSET(Assumptions!$B$19,0,$C$1))*SIGN(OFFSET(Assumptions!$B$13,0,$C$1)-W$24)</f>
        <v>33.6</v>
      </c>
    </row>
    <row r="25" spans="1:24" x14ac:dyDescent="0.25">
      <c r="A25" s="9" t="s">
        <v>67</v>
      </c>
      <c r="B25" s="9"/>
      <c r="C25" s="13"/>
      <c r="D25" s="36">
        <f>'Economic Forecasts'!Q$13</f>
        <v>6.7000000000000002E-3</v>
      </c>
      <c r="E25" s="36">
        <f>'Economic Forecasts'!R$13</f>
        <v>3.7000000000000002E-3</v>
      </c>
      <c r="F25" s="36">
        <f>'Economic Forecasts'!S$13</f>
        <v>2.6800000000000001E-2</v>
      </c>
      <c r="G25" s="36">
        <f>'Economic Forecasts'!T$13</f>
        <v>1.54E-2</v>
      </c>
      <c r="H25" s="36">
        <f>'Economic Forecasts'!U$13</f>
        <v>-1.0500000000000001E-2</v>
      </c>
      <c r="I25" s="36">
        <f>'Economic Forecasts'!V$13</f>
        <v>-5.4000000000000003E-3</v>
      </c>
      <c r="J25" s="19">
        <f>'Economic Forecasts'!W$13</f>
        <v>6.3E-3</v>
      </c>
      <c r="K25" s="19">
        <f>'Economic Forecasts'!X$13</f>
        <v>1.0999999999999999E-2</v>
      </c>
      <c r="L25" s="19">
        <f>'Economic Forecasts'!Y$13</f>
        <v>7.3000000000000001E-3</v>
      </c>
      <c r="M25" s="19">
        <f>'Economic Forecasts'!Z$13</f>
        <v>8.0000000000000002E-3</v>
      </c>
      <c r="N25" s="19">
        <f>'Economic Forecasts'!AA$13</f>
        <v>8.6999999999999994E-3</v>
      </c>
      <c r="O25" s="18">
        <f ca="1">N$25+IF(O$6&lt;OFFSET(Assumptions!$B$8,0,$C$1)+OFFSET(Assumptions!$B$24,0,$C$1),MIN(ABS(OFFSET(Assumptions!$B$14,0,$C$1)+OFFSET(Assumptions!$B$25,0,$C$1)-N$25),OFFSET(Assumptions!$B$20,0,$C$1))*SIGN(OFFSET(Assumptions!$B$14,0,$C$1)+OFFSET(Assumptions!$B$25,0,$C$1)-N$25),MIN(ABS(OFFSET(Assumptions!$B$14,0,$C$1)-N$25),OFFSET(Assumptions!$B$20,0,$C$1))*SIGN(OFFSET(Assumptions!$B$14,0,$C$1)-N$25))</f>
        <v>8.9999999999999993E-3</v>
      </c>
      <c r="P25" s="18">
        <f ca="1">O$25+IF(P$6&lt;OFFSET(Assumptions!$B$8,0,$C$1)+OFFSET(Assumptions!$B$24,0,$C$1),MIN(ABS(OFFSET(Assumptions!$B$14,0,$C$1)+OFFSET(Assumptions!$B$25,0,$C$1)-O$25),OFFSET(Assumptions!$B$20,0,$C$1))*SIGN(OFFSET(Assumptions!$B$14,0,$C$1)+OFFSET(Assumptions!$B$25,0,$C$1)-O$25),MIN(ABS(OFFSET(Assumptions!$B$14,0,$C$1)-O$25),OFFSET(Assumptions!$B$20,0,$C$1))*SIGN(OFFSET(Assumptions!$B$14,0,$C$1)-O$25))</f>
        <v>9.2999999999999992E-3</v>
      </c>
      <c r="Q25" s="18">
        <f ca="1">P$25+IF(Q$6&lt;OFFSET(Assumptions!$B$8,0,$C$1)+OFFSET(Assumptions!$B$24,0,$C$1),MIN(ABS(OFFSET(Assumptions!$B$14,0,$C$1)+OFFSET(Assumptions!$B$25,0,$C$1)-P$25),OFFSET(Assumptions!$B$20,0,$C$1))*SIGN(OFFSET(Assumptions!$B$14,0,$C$1)+OFFSET(Assumptions!$B$25,0,$C$1)-P$25),MIN(ABS(OFFSET(Assumptions!$B$14,0,$C$1)-P$25),OFFSET(Assumptions!$B$20,0,$C$1))*SIGN(OFFSET(Assumptions!$B$14,0,$C$1)-P$25))</f>
        <v>9.5999999999999992E-3</v>
      </c>
      <c r="R25" s="18">
        <f ca="1">Q$25+IF(R$6&lt;OFFSET(Assumptions!$B$8,0,$C$1)+OFFSET(Assumptions!$B$24,0,$C$1),MIN(ABS(OFFSET(Assumptions!$B$14,0,$C$1)+OFFSET(Assumptions!$B$25,0,$C$1)-Q$25),OFFSET(Assumptions!$B$20,0,$C$1))*SIGN(OFFSET(Assumptions!$B$14,0,$C$1)+OFFSET(Assumptions!$B$25,0,$C$1)-Q$25),MIN(ABS(OFFSET(Assumptions!$B$14,0,$C$1)-Q$25),OFFSET(Assumptions!$B$20,0,$C$1))*SIGN(OFFSET(Assumptions!$B$14,0,$C$1)-Q$25))</f>
        <v>9.8999999999999991E-3</v>
      </c>
      <c r="S25" s="18">
        <f ca="1">R$25+IF(S$6&lt;OFFSET(Assumptions!$B$8,0,$C$1)+OFFSET(Assumptions!$B$24,0,$C$1),MIN(ABS(OFFSET(Assumptions!$B$14,0,$C$1)+OFFSET(Assumptions!$B$25,0,$C$1)-R$25),OFFSET(Assumptions!$B$20,0,$C$1))*SIGN(OFFSET(Assumptions!$B$14,0,$C$1)+OFFSET(Assumptions!$B$25,0,$C$1)-R$25),MIN(ABS(OFFSET(Assumptions!$B$14,0,$C$1)-R$25),OFFSET(Assumptions!$B$20,0,$C$1))*SIGN(OFFSET(Assumptions!$B$14,0,$C$1)-R$25))</f>
        <v>9.9999999999999985E-3</v>
      </c>
      <c r="T25" s="18">
        <f ca="1">S$25+IF(T$6&lt;OFFSET(Assumptions!$B$8,0,$C$1)+OFFSET(Assumptions!$B$24,0,$C$1),MIN(ABS(OFFSET(Assumptions!$B$14,0,$C$1)+OFFSET(Assumptions!$B$25,0,$C$1)-S$25),OFFSET(Assumptions!$B$20,0,$C$1))*SIGN(OFFSET(Assumptions!$B$14,0,$C$1)+OFFSET(Assumptions!$B$25,0,$C$1)-S$25),MIN(ABS(OFFSET(Assumptions!$B$14,0,$C$1)-S$25),OFFSET(Assumptions!$B$20,0,$C$1))*SIGN(OFFSET(Assumptions!$B$14,0,$C$1)-S$25))</f>
        <v>9.9999999999999985E-3</v>
      </c>
      <c r="U25" s="18">
        <f ca="1">T$25+IF(U$6&lt;OFFSET(Assumptions!$B$8,0,$C$1)+OFFSET(Assumptions!$B$24,0,$C$1),MIN(ABS(OFFSET(Assumptions!$B$14,0,$C$1)+OFFSET(Assumptions!$B$25,0,$C$1)-T$25),OFFSET(Assumptions!$B$20,0,$C$1))*SIGN(OFFSET(Assumptions!$B$14,0,$C$1)+OFFSET(Assumptions!$B$25,0,$C$1)-T$25),MIN(ABS(OFFSET(Assumptions!$B$14,0,$C$1)-T$25),OFFSET(Assumptions!$B$20,0,$C$1))*SIGN(OFFSET(Assumptions!$B$14,0,$C$1)-T$25))</f>
        <v>9.6999999999999986E-3</v>
      </c>
      <c r="V25" s="18">
        <f ca="1">U$25+IF(V$6&lt;OFFSET(Assumptions!$B$8,0,$C$1)+OFFSET(Assumptions!$B$24,0,$C$1),MIN(ABS(OFFSET(Assumptions!$B$14,0,$C$1)+OFFSET(Assumptions!$B$25,0,$C$1)-U$25),OFFSET(Assumptions!$B$20,0,$C$1))*SIGN(OFFSET(Assumptions!$B$14,0,$C$1)+OFFSET(Assumptions!$B$25,0,$C$1)-U$25),MIN(ABS(OFFSET(Assumptions!$B$14,0,$C$1)-U$25),OFFSET(Assumptions!$B$20,0,$C$1))*SIGN(OFFSET(Assumptions!$B$14,0,$C$1)-U$25))</f>
        <v>9.3999999999999986E-3</v>
      </c>
      <c r="W25" s="18">
        <f ca="1">V$25+IF(W$6&lt;OFFSET(Assumptions!$B$8,0,$C$1)+OFFSET(Assumptions!$B$24,0,$C$1),MIN(ABS(OFFSET(Assumptions!$B$14,0,$C$1)+OFFSET(Assumptions!$B$25,0,$C$1)-V$25),OFFSET(Assumptions!$B$20,0,$C$1))*SIGN(OFFSET(Assumptions!$B$14,0,$C$1)+OFFSET(Assumptions!$B$25,0,$C$1)-V$25),MIN(ABS(OFFSET(Assumptions!$B$14,0,$C$1)-V$25),OFFSET(Assumptions!$B$20,0,$C$1))*SIGN(OFFSET(Assumptions!$B$14,0,$C$1)-V$25))</f>
        <v>9.0999999999999987E-3</v>
      </c>
      <c r="X25" s="18">
        <f ca="1">W$25+IF(X$6&lt;OFFSET(Assumptions!$B$8,0,$C$1)+OFFSET(Assumptions!$B$24,0,$C$1),MIN(ABS(OFFSET(Assumptions!$B$14,0,$C$1)+OFFSET(Assumptions!$B$25,0,$C$1)-W$25),OFFSET(Assumptions!$B$20,0,$C$1))*SIGN(OFFSET(Assumptions!$B$14,0,$C$1)+OFFSET(Assumptions!$B$25,0,$C$1)-W$25),MIN(ABS(OFFSET(Assumptions!$B$14,0,$C$1)-W$25),OFFSET(Assumptions!$B$20,0,$C$1))*SIGN(OFFSET(Assumptions!$B$14,0,$C$1)-W$25))</f>
        <v>8.9999999999999993E-3</v>
      </c>
    </row>
    <row r="26" spans="1:24" x14ac:dyDescent="0.25">
      <c r="A26" s="9" t="s">
        <v>69</v>
      </c>
      <c r="B26" s="12"/>
      <c r="C26" s="13"/>
      <c r="D26" s="36">
        <f>'Economic Forecasts'!Q$15</f>
        <v>3.3700000000000001E-2</v>
      </c>
      <c r="E26" s="36">
        <f>'Economic Forecasts'!R$15</f>
        <v>3.3300000000000003E-2</v>
      </c>
      <c r="F26" s="36">
        <f>'Economic Forecasts'!S$15</f>
        <v>4.1200000000000001E-2</v>
      </c>
      <c r="G26" s="36">
        <f>'Economic Forecasts'!T$15</f>
        <v>4.6100000000000002E-2</v>
      </c>
      <c r="H26" s="36">
        <f>'Economic Forecasts'!U$15</f>
        <v>7.2900000000000006E-2</v>
      </c>
      <c r="I26" s="36">
        <f>'Economic Forecasts'!V$15</f>
        <v>5.96E-2</v>
      </c>
      <c r="J26" s="19">
        <f>'Economic Forecasts'!W$15</f>
        <v>4.1200000000000001E-2</v>
      </c>
      <c r="K26" s="19">
        <f>'Economic Forecasts'!X$15</f>
        <v>3.0099999999999998E-2</v>
      </c>
      <c r="L26" s="19">
        <f>'Economic Forecasts'!Y$15</f>
        <v>2.6499999999999999E-2</v>
      </c>
      <c r="M26" s="19">
        <f>'Economic Forecasts'!Z$15</f>
        <v>2.6800000000000001E-2</v>
      </c>
      <c r="N26" s="19">
        <f>'Economic Forecasts'!AA$15</f>
        <v>2.7199999999999998E-2</v>
      </c>
      <c r="O26" s="18">
        <f t="shared" ref="O26:X26" ca="1" si="9">(1+O$25)*(1+O$29)-1</f>
        <v>2.9179999999999984E-2</v>
      </c>
      <c r="P26" s="18">
        <f t="shared" ca="1" si="9"/>
        <v>2.9486000000000123E-2</v>
      </c>
      <c r="Q26" s="18">
        <f t="shared" ca="1" si="9"/>
        <v>2.9792000000000041E-2</v>
      </c>
      <c r="R26" s="18">
        <f t="shared" ca="1" si="9"/>
        <v>3.0097999999999958E-2</v>
      </c>
      <c r="S26" s="18">
        <f t="shared" ca="1" si="9"/>
        <v>3.0200000000000005E-2</v>
      </c>
      <c r="T26" s="18">
        <f t="shared" ca="1" si="9"/>
        <v>3.0200000000000005E-2</v>
      </c>
      <c r="U26" s="18">
        <f t="shared" ca="1" si="9"/>
        <v>2.9894000000000087E-2</v>
      </c>
      <c r="V26" s="18">
        <f t="shared" ca="1" si="9"/>
        <v>2.958800000000017E-2</v>
      </c>
      <c r="W26" s="18">
        <f t="shared" ca="1" si="9"/>
        <v>2.928200000000003E-2</v>
      </c>
      <c r="X26" s="18">
        <f t="shared" ca="1" si="9"/>
        <v>2.9179999999999984E-2</v>
      </c>
    </row>
    <row r="27" spans="1:24" x14ac:dyDescent="0.25">
      <c r="A27" s="12" t="s">
        <v>156</v>
      </c>
      <c r="B27" s="9"/>
      <c r="C27" s="13"/>
    </row>
    <row r="28" spans="1:24" x14ac:dyDescent="0.25">
      <c r="A28" s="9" t="s">
        <v>157</v>
      </c>
      <c r="B28" s="9"/>
      <c r="C28" s="13"/>
      <c r="D28" s="44">
        <f>'Economic Forecasts'!Q$14</f>
        <v>1032</v>
      </c>
      <c r="E28" s="44">
        <f>'Economic Forecasts'!R$14</f>
        <v>1047</v>
      </c>
      <c r="F28" s="44">
        <f>'Economic Forecasts'!S$14</f>
        <v>1082</v>
      </c>
      <c r="G28" s="44">
        <f>'Economic Forecasts'!T$14</f>
        <v>1161</v>
      </c>
      <c r="H28" s="44">
        <f>'Economic Forecasts'!U$14</f>
        <v>1231</v>
      </c>
      <c r="I28" s="44">
        <f>'Economic Forecasts'!V$14</f>
        <v>1272</v>
      </c>
      <c r="J28" s="45">
        <f>'Economic Forecasts'!W$14</f>
        <v>1299.5999999999999</v>
      </c>
      <c r="K28" s="45">
        <f>'Economic Forecasts'!X$14</f>
        <v>1326.7</v>
      </c>
      <c r="L28" s="45">
        <f>'Economic Forecasts'!Y$14</f>
        <v>1352.9</v>
      </c>
      <c r="M28" s="45">
        <f>'Economic Forecasts'!Z$14</f>
        <v>1379.7</v>
      </c>
      <c r="N28" s="45">
        <f>'Economic Forecasts'!AA$14</f>
        <v>1407.3</v>
      </c>
      <c r="O28" s="46">
        <f t="shared" ref="O28:X28" ca="1" si="10">N$28*(1+O$29)</f>
        <v>1435.4459999999999</v>
      </c>
      <c r="P28" s="46">
        <f t="shared" ca="1" si="10"/>
        <v>1464.1549199999999</v>
      </c>
      <c r="Q28" s="46">
        <f t="shared" ca="1" si="10"/>
        <v>1493.4380183999999</v>
      </c>
      <c r="R28" s="46">
        <f t="shared" ca="1" si="10"/>
        <v>1523.306778768</v>
      </c>
      <c r="S28" s="46">
        <f t="shared" ca="1" si="10"/>
        <v>1553.7729143433601</v>
      </c>
      <c r="T28" s="46">
        <f t="shared" ca="1" si="10"/>
        <v>1584.8483726302272</v>
      </c>
      <c r="U28" s="46">
        <f t="shared" ca="1" si="10"/>
        <v>1616.5453400828319</v>
      </c>
      <c r="V28" s="46">
        <f t="shared" ca="1" si="10"/>
        <v>1648.8762468844886</v>
      </c>
      <c r="W28" s="46">
        <f t="shared" ca="1" si="10"/>
        <v>1681.8537718221785</v>
      </c>
      <c r="X28" s="46">
        <f t="shared" ca="1" si="10"/>
        <v>1715.4908472586221</v>
      </c>
    </row>
    <row r="29" spans="1:24" x14ac:dyDescent="0.25">
      <c r="A29" s="10" t="str">
        <f>$A$12</f>
        <v>Annual percentage growth</v>
      </c>
      <c r="B29" s="9"/>
      <c r="C29" s="13"/>
      <c r="D29" s="39"/>
      <c r="E29" s="36">
        <f>E$28/D$28-1</f>
        <v>1.4534883720930258E-2</v>
      </c>
      <c r="F29" s="36">
        <f t="shared" ref="F29:N29" si="11">F$28/E$28-1</f>
        <v>3.3428844317096473E-2</v>
      </c>
      <c r="G29" s="36">
        <f t="shared" si="11"/>
        <v>7.3012939001848354E-2</v>
      </c>
      <c r="H29" s="36">
        <f t="shared" si="11"/>
        <v>6.0292850990525393E-2</v>
      </c>
      <c r="I29" s="36">
        <f t="shared" si="11"/>
        <v>3.3306255077172997E-2</v>
      </c>
      <c r="J29" s="19">
        <f t="shared" si="11"/>
        <v>2.1698113207547109E-2</v>
      </c>
      <c r="K29" s="19">
        <f t="shared" si="11"/>
        <v>2.0852570021545169E-2</v>
      </c>
      <c r="L29" s="19">
        <f t="shared" si="11"/>
        <v>1.9748247531469199E-2</v>
      </c>
      <c r="M29" s="19">
        <f t="shared" si="11"/>
        <v>1.9809298543868703E-2</v>
      </c>
      <c r="N29" s="19">
        <f t="shared" si="11"/>
        <v>2.0004348771472058E-2</v>
      </c>
      <c r="O29" s="18">
        <f ca="1">N$29+MIN(ABS(OFFSET(Assumptions!$B$15,0,$C$1)-N$29),OFFSET(Assumptions!$B$21,0,$C$1))*SIGN(OFFSET(Assumptions!$B$15,0,$C$1)-N$29)</f>
        <v>0.02</v>
      </c>
      <c r="P29" s="18">
        <f ca="1">O$29+MIN(ABS(OFFSET(Assumptions!$B$15,0,$C$1)-O$29),OFFSET(Assumptions!$B$21,0,$C$1))*SIGN(OFFSET(Assumptions!$B$15,0,$C$1)-O$29)</f>
        <v>0.02</v>
      </c>
      <c r="Q29" s="18">
        <f ca="1">P$29+MIN(ABS(OFFSET(Assumptions!$B$15,0,$C$1)-P$29),OFFSET(Assumptions!$B$21,0,$C$1))*SIGN(OFFSET(Assumptions!$B$15,0,$C$1)-P$29)</f>
        <v>0.02</v>
      </c>
      <c r="R29" s="18">
        <f ca="1">Q$29+MIN(ABS(OFFSET(Assumptions!$B$15,0,$C$1)-Q$29),OFFSET(Assumptions!$B$21,0,$C$1))*SIGN(OFFSET(Assumptions!$B$15,0,$C$1)-Q$29)</f>
        <v>0.02</v>
      </c>
      <c r="S29" s="18">
        <f ca="1">R$29+MIN(ABS(OFFSET(Assumptions!$B$15,0,$C$1)-R$29),OFFSET(Assumptions!$B$21,0,$C$1))*SIGN(OFFSET(Assumptions!$B$15,0,$C$1)-R$29)</f>
        <v>0.02</v>
      </c>
      <c r="T29" s="18">
        <f ca="1">S$29+MIN(ABS(OFFSET(Assumptions!$B$15,0,$C$1)-S$29),OFFSET(Assumptions!$B$21,0,$C$1))*SIGN(OFFSET(Assumptions!$B$15,0,$C$1)-S$29)</f>
        <v>0.02</v>
      </c>
      <c r="U29" s="18">
        <f ca="1">T$29+MIN(ABS(OFFSET(Assumptions!$B$15,0,$C$1)-T$29),OFFSET(Assumptions!$B$21,0,$C$1))*SIGN(OFFSET(Assumptions!$B$15,0,$C$1)-T$29)</f>
        <v>0.02</v>
      </c>
      <c r="V29" s="18">
        <f ca="1">U$29+MIN(ABS(OFFSET(Assumptions!$B$15,0,$C$1)-U$29),OFFSET(Assumptions!$B$21,0,$C$1))*SIGN(OFFSET(Assumptions!$B$15,0,$C$1)-U$29)</f>
        <v>0.02</v>
      </c>
      <c r="W29" s="18">
        <f ca="1">V$29+MIN(ABS(OFFSET(Assumptions!$B$15,0,$C$1)-V$29),OFFSET(Assumptions!$B$21,0,$C$1))*SIGN(OFFSET(Assumptions!$B$15,0,$C$1)-V$29)</f>
        <v>0.02</v>
      </c>
      <c r="X29" s="18">
        <f ca="1">W$29+MIN(ABS(OFFSET(Assumptions!$B$15,0,$C$1)-W$29),OFFSET(Assumptions!$B$21,0,$C$1))*SIGN(OFFSET(Assumptions!$B$15,0,$C$1)-W$29)</f>
        <v>0.02</v>
      </c>
    </row>
    <row r="30" spans="1:24" x14ac:dyDescent="0.25">
      <c r="A30" s="9" t="s">
        <v>70</v>
      </c>
      <c r="B30" s="9"/>
      <c r="C30" s="13"/>
      <c r="D30" s="36">
        <f>'Economic Forecasts'!Q$16</f>
        <v>2.3099999999999999E-2</v>
      </c>
      <c r="E30" s="36">
        <f>'Economic Forecasts'!R$16</f>
        <v>1.18E-2</v>
      </c>
      <c r="F30" s="36">
        <f>'Economic Forecasts'!S$16</f>
        <v>1.1599999999999999E-2</v>
      </c>
      <c r="G30" s="36">
        <f>'Economic Forecasts'!T$16</f>
        <v>2.6499999999999999E-2</v>
      </c>
      <c r="H30" s="36">
        <f>'Economic Forecasts'!U$16</f>
        <v>4.1500000000000002E-2</v>
      </c>
      <c r="I30" s="36">
        <f>'Economic Forecasts'!V$16</f>
        <v>4.8499999999999995E-2</v>
      </c>
      <c r="J30" s="19">
        <f>'Economic Forecasts'!W$16</f>
        <v>4.4400000000000002E-2</v>
      </c>
      <c r="K30" s="19">
        <f>'Economic Forecasts'!X$16</f>
        <v>4.2999999999999997E-2</v>
      </c>
      <c r="L30" s="19">
        <f>'Economic Forecasts'!Y$16</f>
        <v>4.2900000000000001E-2</v>
      </c>
      <c r="M30" s="19">
        <f>'Economic Forecasts'!Z$16</f>
        <v>4.24E-2</v>
      </c>
      <c r="N30" s="19">
        <f>'Economic Forecasts'!AA$16</f>
        <v>4.2599999999999999E-2</v>
      </c>
      <c r="O30" s="18">
        <f ca="1">N$30+MIN(ABS(OFFSET(Assumptions!$B$16,0,$C$1)-N$30),OFFSET(Assumptions!$B$22,0,$C$1))*SIGN(OFFSET(Assumptions!$B$16,0,$C$1)-N$30)</f>
        <v>4.2999999999999997E-2</v>
      </c>
      <c r="P30" s="18">
        <f ca="1">O$30+MIN(ABS(OFFSET(Assumptions!$B$16,0,$C$1)-O$30),OFFSET(Assumptions!$B$22,0,$C$1))*SIGN(OFFSET(Assumptions!$B$16,0,$C$1)-O$30)</f>
        <v>4.2999999999999997E-2</v>
      </c>
      <c r="Q30" s="18">
        <f ca="1">P$30+MIN(ABS(OFFSET(Assumptions!$B$16,0,$C$1)-P$30),OFFSET(Assumptions!$B$22,0,$C$1))*SIGN(OFFSET(Assumptions!$B$16,0,$C$1)-P$30)</f>
        <v>4.2999999999999997E-2</v>
      </c>
      <c r="R30" s="18">
        <f ca="1">Q$30+MIN(ABS(OFFSET(Assumptions!$B$16,0,$C$1)-Q$30),OFFSET(Assumptions!$B$22,0,$C$1))*SIGN(OFFSET(Assumptions!$B$16,0,$C$1)-Q$30)</f>
        <v>4.2999999999999997E-2</v>
      </c>
      <c r="S30" s="18">
        <f ca="1">R$30+MIN(ABS(OFFSET(Assumptions!$B$16,0,$C$1)-R$30),OFFSET(Assumptions!$B$22,0,$C$1))*SIGN(OFFSET(Assumptions!$B$16,0,$C$1)-R$30)</f>
        <v>4.2999999999999997E-2</v>
      </c>
      <c r="T30" s="18">
        <f ca="1">S$30+MIN(ABS(OFFSET(Assumptions!$B$16,0,$C$1)-S$30),OFFSET(Assumptions!$B$22,0,$C$1))*SIGN(OFFSET(Assumptions!$B$16,0,$C$1)-S$30)</f>
        <v>4.2999999999999997E-2</v>
      </c>
      <c r="U30" s="18">
        <f ca="1">T$30+MIN(ABS(OFFSET(Assumptions!$B$16,0,$C$1)-T$30),OFFSET(Assumptions!$B$22,0,$C$1))*SIGN(OFFSET(Assumptions!$B$16,0,$C$1)-T$30)</f>
        <v>4.2999999999999997E-2</v>
      </c>
      <c r="V30" s="18">
        <f ca="1">U$30+MIN(ABS(OFFSET(Assumptions!$B$16,0,$C$1)-U$30),OFFSET(Assumptions!$B$22,0,$C$1))*SIGN(OFFSET(Assumptions!$B$16,0,$C$1)-U$30)</f>
        <v>4.2999999999999997E-2</v>
      </c>
      <c r="W30" s="18">
        <f ca="1">V$30+MIN(ABS(OFFSET(Assumptions!$B$16,0,$C$1)-V$30),OFFSET(Assumptions!$B$22,0,$C$1))*SIGN(OFFSET(Assumptions!$B$16,0,$C$1)-V$30)</f>
        <v>4.2999999999999997E-2</v>
      </c>
      <c r="X30" s="18">
        <f ca="1">W$30+MIN(ABS(OFFSET(Assumptions!$B$16,0,$C$1)-W$30),OFFSET(Assumptions!$B$22,0,$C$1))*SIGN(OFFSET(Assumptions!$B$16,0,$C$1)-W$30)</f>
        <v>4.2999999999999997E-2</v>
      </c>
    </row>
    <row r="31" spans="1:24" x14ac:dyDescent="0.25">
      <c r="A31" s="9"/>
      <c r="B31" s="9"/>
      <c r="C31" s="13"/>
      <c r="D31" s="36"/>
      <c r="E31" s="36"/>
      <c r="F31" s="36"/>
      <c r="G31" s="36"/>
      <c r="H31" s="36"/>
      <c r="I31" s="36"/>
      <c r="J31" s="19"/>
      <c r="K31" s="19"/>
      <c r="L31" s="19"/>
      <c r="M31" s="19"/>
      <c r="N31" s="18"/>
      <c r="O31" s="18"/>
      <c r="P31" s="18"/>
      <c r="Q31" s="18"/>
      <c r="R31" s="18"/>
      <c r="S31" s="18"/>
      <c r="T31" s="18"/>
      <c r="U31" s="18"/>
      <c r="V31" s="18"/>
      <c r="W31" s="18"/>
      <c r="X31" s="18"/>
    </row>
    <row r="32" spans="1:24" ht="16.5" x14ac:dyDescent="0.25">
      <c r="A32" s="41" t="s">
        <v>842</v>
      </c>
      <c r="B32" s="9"/>
      <c r="C32" s="13"/>
      <c r="D32" s="36"/>
      <c r="E32" s="36"/>
      <c r="F32" s="36"/>
      <c r="G32" s="36"/>
      <c r="H32" s="36"/>
      <c r="I32" s="36"/>
      <c r="J32" s="19"/>
      <c r="K32" s="19"/>
      <c r="L32" s="19"/>
      <c r="M32" s="19"/>
      <c r="N32" s="18"/>
      <c r="O32" s="18"/>
      <c r="P32" s="18"/>
      <c r="Q32" s="18"/>
      <c r="R32" s="18"/>
      <c r="S32" s="18"/>
      <c r="T32" s="18"/>
      <c r="U32" s="18"/>
      <c r="V32" s="18"/>
      <c r="W32" s="18"/>
      <c r="X32" s="18"/>
    </row>
    <row r="33" spans="1:24" x14ac:dyDescent="0.25">
      <c r="A33" s="12" t="s">
        <v>843</v>
      </c>
      <c r="B33" s="9"/>
      <c r="C33" s="13"/>
      <c r="D33" s="36"/>
      <c r="E33" s="36"/>
      <c r="F33" s="36"/>
      <c r="G33" s="36"/>
      <c r="H33" s="36"/>
      <c r="I33" s="36"/>
      <c r="J33" s="19"/>
      <c r="K33" s="19"/>
      <c r="L33" s="19"/>
      <c r="M33" s="19"/>
      <c r="N33" s="18"/>
      <c r="O33" s="18"/>
      <c r="P33" s="18"/>
      <c r="Q33" s="18"/>
      <c r="R33" s="18"/>
      <c r="S33" s="18"/>
      <c r="T33" s="18"/>
      <c r="U33" s="18"/>
      <c r="V33" s="18"/>
      <c r="W33" s="18"/>
      <c r="X33" s="18"/>
    </row>
    <row r="34" spans="1:24" x14ac:dyDescent="0.25">
      <c r="A34" s="9" t="s">
        <v>844</v>
      </c>
      <c r="B34" s="9"/>
      <c r="C34" s="13"/>
      <c r="D34" s="42">
        <f t="shared" ref="D34:X34" ca="1" si="12">SUM(D$140,D$150,D$155,D$165,D$173,D$179)</f>
        <v>119.142</v>
      </c>
      <c r="E34" s="42">
        <f t="shared" ca="1" si="12"/>
        <v>116.003</v>
      </c>
      <c r="F34" s="42">
        <f t="shared" ca="1" si="12"/>
        <v>129.33500000000001</v>
      </c>
      <c r="G34" s="42">
        <f t="shared" ca="1" si="12"/>
        <v>141.62700000000001</v>
      </c>
      <c r="H34" s="42">
        <f t="shared" ca="1" si="12"/>
        <v>153.011</v>
      </c>
      <c r="I34" s="42">
        <f t="shared" ca="1" si="12"/>
        <v>167.34699999999998</v>
      </c>
      <c r="J34" s="43">
        <f t="shared" ca="1" si="12"/>
        <v>169.65100000000001</v>
      </c>
      <c r="K34" s="43">
        <f t="shared" ca="1" si="12"/>
        <v>175.864</v>
      </c>
      <c r="L34" s="43">
        <f t="shared" ca="1" si="12"/>
        <v>184.02299999999997</v>
      </c>
      <c r="M34" s="43">
        <f t="shared" ca="1" si="12"/>
        <v>193.79</v>
      </c>
      <c r="N34" s="43">
        <f t="shared" ca="1" si="12"/>
        <v>203.01099999999997</v>
      </c>
      <c r="O34" s="47">
        <f t="shared" ca="1" si="12"/>
        <v>211.17920690259692</v>
      </c>
      <c r="P34" s="47">
        <f t="shared" ca="1" si="12"/>
        <v>219.86184176463124</v>
      </c>
      <c r="Q34" s="47">
        <f t="shared" ca="1" si="12"/>
        <v>228.82739556661315</v>
      </c>
      <c r="R34" s="47">
        <f t="shared" ca="1" si="12"/>
        <v>237.85179127235949</v>
      </c>
      <c r="S34" s="47">
        <f t="shared" ca="1" si="12"/>
        <v>247.11854101072922</v>
      </c>
      <c r="T34" s="47">
        <f t="shared" ca="1" si="12"/>
        <v>256.57139092455259</v>
      </c>
      <c r="U34" s="47">
        <f t="shared" ca="1" si="12"/>
        <v>266.20661124961805</v>
      </c>
      <c r="V34" s="47">
        <f t="shared" ca="1" si="12"/>
        <v>275.8348465170555</v>
      </c>
      <c r="W34" s="47">
        <f t="shared" ca="1" si="12"/>
        <v>285.35910341546219</v>
      </c>
      <c r="X34" s="47">
        <f t="shared" ca="1" si="12"/>
        <v>295.01516492302488</v>
      </c>
    </row>
    <row r="35" spans="1:24" x14ac:dyDescent="0.25">
      <c r="A35" s="9" t="s">
        <v>914</v>
      </c>
      <c r="B35" s="9"/>
      <c r="C35" s="13"/>
      <c r="D35" s="42">
        <f t="shared" ref="D35:X35" si="13">SUM(D$194,D$212,D$218,D$226,D$233,D$240,D$245,D$248)</f>
        <v>111.376</v>
      </c>
      <c r="E35" s="42">
        <f t="shared" si="13"/>
        <v>138.91599999999997</v>
      </c>
      <c r="F35" s="42">
        <f t="shared" si="13"/>
        <v>133.72200000000004</v>
      </c>
      <c r="G35" s="42">
        <f t="shared" si="13"/>
        <v>150.95599999999999</v>
      </c>
      <c r="H35" s="42">
        <f t="shared" si="13"/>
        <v>161.822</v>
      </c>
      <c r="I35" s="42">
        <f t="shared" si="13"/>
        <v>180.06100000000001</v>
      </c>
      <c r="J35" s="43">
        <f t="shared" ca="1" si="13"/>
        <v>184.11200000000002</v>
      </c>
      <c r="K35" s="43">
        <f t="shared" ca="1" si="13"/>
        <v>191.15800000000002</v>
      </c>
      <c r="L35" s="43">
        <f t="shared" ca="1" si="13"/>
        <v>195.333</v>
      </c>
      <c r="M35" s="43">
        <f t="shared" ca="1" si="13"/>
        <v>199.89400000000006</v>
      </c>
      <c r="N35" s="43">
        <f t="shared" ca="1" si="13"/>
        <v>205.57500000000002</v>
      </c>
      <c r="O35" s="47">
        <f t="shared" ca="1" si="13"/>
        <v>215.3295300788607</v>
      </c>
      <c r="P35" s="47">
        <f t="shared" ca="1" si="13"/>
        <v>224.6331164712596</v>
      </c>
      <c r="Q35" s="47">
        <f t="shared" ca="1" si="13"/>
        <v>234.38145161955384</v>
      </c>
      <c r="R35" s="47">
        <f t="shared" ca="1" si="13"/>
        <v>244.29869869614822</v>
      </c>
      <c r="S35" s="47">
        <f t="shared" ca="1" si="13"/>
        <v>254.31869540859734</v>
      </c>
      <c r="T35" s="47">
        <f t="shared" ca="1" si="13"/>
        <v>264.48818468406012</v>
      </c>
      <c r="U35" s="47">
        <f t="shared" ca="1" si="13"/>
        <v>274.72886229834484</v>
      </c>
      <c r="V35" s="47">
        <f t="shared" ca="1" si="13"/>
        <v>285.25602881852325</v>
      </c>
      <c r="W35" s="47">
        <f t="shared" ca="1" si="13"/>
        <v>296.00265763674241</v>
      </c>
      <c r="X35" s="47">
        <f t="shared" ca="1" si="13"/>
        <v>306.96504055519699</v>
      </c>
    </row>
    <row r="36" spans="1:24" x14ac:dyDescent="0.25">
      <c r="A36" s="11" t="s">
        <v>845</v>
      </c>
      <c r="B36" s="9"/>
      <c r="C36" s="13"/>
      <c r="D36" s="35">
        <f t="shared" ref="D36:X36" si="14">D$346</f>
        <v>-7.1309999999999993</v>
      </c>
      <c r="E36" s="35">
        <f t="shared" si="14"/>
        <v>-8.7219999999999995</v>
      </c>
      <c r="F36" s="35">
        <f t="shared" si="14"/>
        <v>21.023</v>
      </c>
      <c r="G36" s="35">
        <f t="shared" si="14"/>
        <v>-6.7219999999999995</v>
      </c>
      <c r="H36" s="35">
        <f t="shared" si="14"/>
        <v>14.658000000000001</v>
      </c>
      <c r="I36" s="35">
        <f t="shared" si="14"/>
        <v>4.6669999999999998</v>
      </c>
      <c r="J36" s="17">
        <f t="shared" si="14"/>
        <v>9.0810000000000013</v>
      </c>
      <c r="K36" s="17">
        <f t="shared" si="14"/>
        <v>5.6920000000000002</v>
      </c>
      <c r="L36" s="17">
        <f t="shared" si="14"/>
        <v>6.0170000000000003</v>
      </c>
      <c r="M36" s="17">
        <f t="shared" si="14"/>
        <v>6.4740000000000002</v>
      </c>
      <c r="N36" s="17">
        <f t="shared" si="14"/>
        <v>6.9139999999999997</v>
      </c>
      <c r="O36" s="16">
        <f t="shared" ca="1" si="14"/>
        <v>7.2847494645998649</v>
      </c>
      <c r="P36" s="16">
        <f t="shared" ca="1" si="14"/>
        <v>7.6939267867362133</v>
      </c>
      <c r="Q36" s="16">
        <f t="shared" ca="1" si="14"/>
        <v>8.1241988488925561</v>
      </c>
      <c r="R36" s="16">
        <f t="shared" ca="1" si="14"/>
        <v>8.5743334068974093</v>
      </c>
      <c r="S36" s="16">
        <f t="shared" ca="1" si="14"/>
        <v>9.0435037297867016</v>
      </c>
      <c r="T36" s="16">
        <f t="shared" ca="1" si="14"/>
        <v>9.5329538582273425</v>
      </c>
      <c r="U36" s="16">
        <f t="shared" ca="1" si="14"/>
        <v>10.043607348466466</v>
      </c>
      <c r="V36" s="16">
        <f t="shared" ca="1" si="14"/>
        <v>10.571049809250679</v>
      </c>
      <c r="W36" s="16">
        <f t="shared" ca="1" si="14"/>
        <v>11.114002484351417</v>
      </c>
      <c r="X36" s="16">
        <f t="shared" ca="1" si="14"/>
        <v>11.676614644841319</v>
      </c>
    </row>
    <row r="37" spans="1:24" x14ac:dyDescent="0.25">
      <c r="A37" s="11" t="s">
        <v>546</v>
      </c>
      <c r="B37" s="10"/>
      <c r="C37" s="13"/>
      <c r="D37" s="35">
        <f t="shared" ref="D37:X37" si="15">D$350</f>
        <v>0.20599999999999999</v>
      </c>
      <c r="E37" s="35">
        <f t="shared" si="15"/>
        <v>1.1930000000000001</v>
      </c>
      <c r="F37" s="35">
        <f t="shared" si="15"/>
        <v>-0.36</v>
      </c>
      <c r="G37" s="35">
        <f t="shared" si="15"/>
        <v>-0.126</v>
      </c>
      <c r="H37" s="35">
        <f t="shared" si="15"/>
        <v>2.9000000000000001E-2</v>
      </c>
      <c r="I37" s="35">
        <f t="shared" si="15"/>
        <v>0.12</v>
      </c>
      <c r="J37" s="17">
        <f t="shared" si="15"/>
        <v>0.192</v>
      </c>
      <c r="K37" s="17">
        <f t="shared" si="15"/>
        <v>7.0999999999999994E-2</v>
      </c>
      <c r="L37" s="17">
        <f t="shared" si="15"/>
        <v>0.114</v>
      </c>
      <c r="M37" s="17">
        <f t="shared" si="15"/>
        <v>0.14799999999999999</v>
      </c>
      <c r="N37" s="17">
        <f t="shared" si="15"/>
        <v>0.21099999999999999</v>
      </c>
      <c r="O37" s="16">
        <f t="shared" ca="1" si="15"/>
        <v>0.2201041317331203</v>
      </c>
      <c r="P37" s="16">
        <f t="shared" ca="1" si="15"/>
        <v>0.22949160784128603</v>
      </c>
      <c r="Q37" s="16">
        <f t="shared" ca="1" si="15"/>
        <v>0.2388994667248488</v>
      </c>
      <c r="R37" s="16">
        <f t="shared" ca="1" si="15"/>
        <v>0.24830649164418553</v>
      </c>
      <c r="S37" s="16">
        <f t="shared" ca="1" si="15"/>
        <v>0.25792093827418805</v>
      </c>
      <c r="T37" s="16">
        <f t="shared" ca="1" si="15"/>
        <v>0.26772813410967505</v>
      </c>
      <c r="U37" s="16">
        <f t="shared" ca="1" si="15"/>
        <v>0.27766608979821761</v>
      </c>
      <c r="V37" s="16">
        <f t="shared" ca="1" si="15"/>
        <v>0.28775346073287089</v>
      </c>
      <c r="W37" s="16">
        <f t="shared" ca="1" si="15"/>
        <v>0.2979898710936395</v>
      </c>
      <c r="X37" s="16">
        <f t="shared" ca="1" si="15"/>
        <v>0.30845245765170465</v>
      </c>
    </row>
    <row r="38" spans="1:24" x14ac:dyDescent="0.25">
      <c r="A38" s="11" t="s">
        <v>915</v>
      </c>
      <c r="B38" s="10" t="s">
        <v>846</v>
      </c>
      <c r="C38" s="13"/>
      <c r="D38" s="35">
        <f>'Fiscal Forecasts'!D$28</f>
        <v>0.45200000000000001</v>
      </c>
      <c r="E38" s="35">
        <f>'Fiscal Forecasts'!E$28</f>
        <v>-0.40200000000000002</v>
      </c>
      <c r="F38" s="35">
        <f>'Fiscal Forecasts'!F$28</f>
        <v>0.11700000000000001</v>
      </c>
      <c r="G38" s="35">
        <f>'Fiscal Forecasts'!G$28</f>
        <v>0.755</v>
      </c>
      <c r="H38" s="35">
        <f>'Fiscal Forecasts'!H$28</f>
        <v>0.55500000000000005</v>
      </c>
      <c r="I38" s="35">
        <f>'Fiscal Forecasts'!I$28</f>
        <v>0.438</v>
      </c>
      <c r="J38" s="17">
        <f>'Fiscal Forecasts'!J$28</f>
        <v>0.30499999999999999</v>
      </c>
      <c r="K38" s="17">
        <f>'Fiscal Forecasts'!K$28</f>
        <v>0.35299999999999998</v>
      </c>
      <c r="L38" s="17">
        <f>'Fiscal Forecasts'!L$28</f>
        <v>0.48599999999999999</v>
      </c>
      <c r="M38" s="17">
        <f>'Fiscal Forecasts'!M$28</f>
        <v>0.55700000000000005</v>
      </c>
      <c r="N38" s="17">
        <f>'Fiscal Forecasts'!N$28</f>
        <v>0.49</v>
      </c>
      <c r="O38" s="16">
        <f t="shared" ref="O38:X38" ca="1" si="16">N$38*O$59/N$59</f>
        <v>0.51811714493247085</v>
      </c>
      <c r="P38" s="16">
        <f t="shared" ca="1" si="16"/>
        <v>0.54005240882414562</v>
      </c>
      <c r="Q38" s="16">
        <f t="shared" ca="1" si="16"/>
        <v>0.56203530016669512</v>
      </c>
      <c r="R38" s="16">
        <f t="shared" ca="1" si="16"/>
        <v>0.58401624282515063</v>
      </c>
      <c r="S38" s="16">
        <f t="shared" ca="1" si="16"/>
        <v>0.60648185781809638</v>
      </c>
      <c r="T38" s="16">
        <f t="shared" ca="1" si="16"/>
        <v>0.62939786060841152</v>
      </c>
      <c r="U38" s="16">
        <f t="shared" ca="1" si="16"/>
        <v>0.6526194036579146</v>
      </c>
      <c r="V38" s="16">
        <f t="shared" ca="1" si="16"/>
        <v>0.67619007812624776</v>
      </c>
      <c r="W38" s="16">
        <f t="shared" ca="1" si="16"/>
        <v>0.70010900585290448</v>
      </c>
      <c r="X38" s="16">
        <f t="shared" ca="1" si="16"/>
        <v>0.72455642862088554</v>
      </c>
    </row>
    <row r="39" spans="1:24" x14ac:dyDescent="0.25">
      <c r="A39" s="9" t="s">
        <v>835</v>
      </c>
      <c r="B39" s="9"/>
      <c r="C39" s="13"/>
      <c r="D39" s="65">
        <f t="shared" ref="D39:X39" ca="1" si="17">SUM(D$34,D$36,D$37)-SUM(D$35,D$38)</f>
        <v>0.38899999999999579</v>
      </c>
      <c r="E39" s="65">
        <f t="shared" ca="1" si="17"/>
        <v>-30.039999999999978</v>
      </c>
      <c r="F39" s="65">
        <f t="shared" ca="1" si="17"/>
        <v>16.158999999999963</v>
      </c>
      <c r="G39" s="65">
        <f t="shared" ca="1" si="17"/>
        <v>-16.931999999999988</v>
      </c>
      <c r="H39" s="65">
        <f t="shared" ca="1" si="17"/>
        <v>5.3209999999999695</v>
      </c>
      <c r="I39" s="65">
        <f t="shared" ca="1" si="17"/>
        <v>-8.3650000000000091</v>
      </c>
      <c r="J39" s="66">
        <f t="shared" ca="1" si="17"/>
        <v>-5.4930000000000234</v>
      </c>
      <c r="K39" s="66">
        <f t="shared" ca="1" si="17"/>
        <v>-9.8840000000000146</v>
      </c>
      <c r="L39" s="66">
        <f t="shared" ca="1" si="17"/>
        <v>-5.6650000000000205</v>
      </c>
      <c r="M39" s="66">
        <f t="shared" ca="1" si="17"/>
        <v>-3.9000000000072532E-2</v>
      </c>
      <c r="N39" s="66">
        <f t="shared" ca="1" si="17"/>
        <v>4.0709999999999411</v>
      </c>
      <c r="O39" s="67">
        <f t="shared" ca="1" si="17"/>
        <v>2.8364132751367208</v>
      </c>
      <c r="P39" s="67">
        <f t="shared" ca="1" si="17"/>
        <v>2.6120912791249964</v>
      </c>
      <c r="Q39" s="67">
        <f t="shared" ca="1" si="17"/>
        <v>2.247006962510028</v>
      </c>
      <c r="R39" s="67">
        <f t="shared" ca="1" si="17"/>
        <v>1.791716231927694</v>
      </c>
      <c r="S39" s="67">
        <f t="shared" ca="1" si="17"/>
        <v>1.4947884123746746</v>
      </c>
      <c r="T39" s="67">
        <f t="shared" ca="1" si="17"/>
        <v>1.2544903722210847</v>
      </c>
      <c r="U39" s="67">
        <f t="shared" ca="1" si="17"/>
        <v>1.1464029858800018</v>
      </c>
      <c r="V39" s="67">
        <f t="shared" ca="1" si="17"/>
        <v>0.76143089038953349</v>
      </c>
      <c r="W39" s="67">
        <f t="shared" ca="1" si="17"/>
        <v>6.8329128311972909E-2</v>
      </c>
      <c r="X39" s="67">
        <f t="shared" ca="1" si="17"/>
        <v>-0.68936495829996147</v>
      </c>
    </row>
    <row r="40" spans="1:24" x14ac:dyDescent="0.25">
      <c r="A40" s="11" t="s">
        <v>551</v>
      </c>
      <c r="B40" s="10" t="str">
        <f>$B$38</f>
        <v>From Fiscal Forecasts</v>
      </c>
      <c r="C40" s="13"/>
      <c r="D40" s="35">
        <f>'Fiscal Forecasts'!D$32</f>
        <v>0.115</v>
      </c>
      <c r="E40" s="35">
        <f>'Fiscal Forecasts'!E$32</f>
        <v>-0.54600000000000004</v>
      </c>
      <c r="F40" s="35">
        <f>'Fiscal Forecasts'!F$32</f>
        <v>-5.6000000000000001E-2</v>
      </c>
      <c r="G40" s="35">
        <f>'Fiscal Forecasts'!G$32</f>
        <v>0.39300000000000002</v>
      </c>
      <c r="H40" s="35">
        <f>'Fiscal Forecasts'!H$32</f>
        <v>-0.08</v>
      </c>
      <c r="I40" s="35">
        <f>'Fiscal Forecasts'!I$32</f>
        <v>0.29799999999999999</v>
      </c>
      <c r="J40" s="17">
        <f>'Fiscal Forecasts'!J$32</f>
        <v>2.5999999999999999E-2</v>
      </c>
      <c r="K40" s="17">
        <f>'Fiscal Forecasts'!K$32</f>
        <v>4.4999999999999998E-2</v>
      </c>
      <c r="L40" s="17">
        <f>'Fiscal Forecasts'!L$32</f>
        <v>4.1000000000000002E-2</v>
      </c>
      <c r="M40" s="17">
        <f>'Fiscal Forecasts'!M$32</f>
        <v>4.2000000000000003E-2</v>
      </c>
      <c r="N40" s="17">
        <f>'Fiscal Forecasts'!N$32</f>
        <v>4.3999999999999997E-2</v>
      </c>
      <c r="O40" s="16">
        <f ca="1">IF(O$6=OFFSET(Assumptions!$B$8,0,$C$1),AVERAGE(L$40/L$38,M$40/M$38,N$40/N$38),N$40/N$38)*O$38</f>
        <v>4.3100785025576988E-2</v>
      </c>
      <c r="P40" s="16">
        <f ca="1">IF(P$6=OFFSET(Assumptions!$B$8,0,$C$1),AVERAGE(M$40/M$38,N$40/N$38,O$40/O$38),O$40/O$38)*P$38</f>
        <v>4.4925521193297513E-2</v>
      </c>
      <c r="Q40" s="16">
        <f ca="1">IF(Q$6=OFFSET(Assumptions!$B$8,0,$C$1),AVERAGE(N$40/N$38,O$40/O$38,P$40/P$38),P$40/P$38)*Q$38</f>
        <v>4.6754219361777025E-2</v>
      </c>
      <c r="R40" s="16">
        <f ca="1">IF(R$6=OFFSET(Assumptions!$B$8,0,$C$1),AVERAGE(O$40/O$38,P$40/P$38,Q$40/Q$38),Q$40/Q$38)*R$38</f>
        <v>4.8582755424418041E-2</v>
      </c>
      <c r="S40" s="16">
        <f ca="1">IF(S$6=OFFSET(Assumptions!$B$8,0,$C$1),AVERAGE(P$40/P$38,Q$40/Q$38,R$40/R$38),R$40/R$38)*S$38</f>
        <v>5.0451610087400747E-2</v>
      </c>
      <c r="T40" s="16">
        <f ca="1">IF(T$6=OFFSET(Assumptions!$B$8,0,$C$1),AVERAGE(Q$40/Q$38,R$40/R$38,S$40/S$38),S$40/S$38)*T$38</f>
        <v>5.2357931311415883E-2</v>
      </c>
      <c r="U40" s="16">
        <f ca="1">IF(U$6=OFFSET(Assumptions!$B$8,0,$C$1),AVERAGE(R$40/R$38,S$40/S$38,T$40/T$38),T$40/T$38)*U$38</f>
        <v>5.4289669615635215E-2</v>
      </c>
      <c r="V40" s="16">
        <f ca="1">IF(V$6=OFFSET(Assumptions!$B$8,0,$C$1),AVERAGE(S$40/S$38,T$40/T$38,U$40/U$38),U$40/U$38)*V$38</f>
        <v>5.625045123250276E-2</v>
      </c>
      <c r="W40" s="16">
        <f ca="1">IF(W$6=OFFSET(Assumptions!$B$8,0,$C$1),AVERAGE(T$40/T$38,U$40/U$38,V$40/V$38),V$40/V$38)*W$38</f>
        <v>5.8240203110185379E-2</v>
      </c>
      <c r="X40" s="16">
        <f ca="1">IF(X$6=OFFSET(Assumptions!$B$8,0,$C$1),AVERAGE(U$40/U$38,V$40/V$38,W$40/W$38),W$40/W$38)*X$38</f>
        <v>6.0273919082447759E-2</v>
      </c>
    </row>
    <row r="41" spans="1:24" x14ac:dyDescent="0.25">
      <c r="A41" s="9" t="s">
        <v>922</v>
      </c>
      <c r="B41" s="9"/>
      <c r="C41" s="13"/>
      <c r="D41" s="65">
        <f t="shared" ref="D41:X41" ca="1" si="18">D$34-D$35-(D$38-D$40)</f>
        <v>7.4289999999999914</v>
      </c>
      <c r="E41" s="65">
        <f t="shared" ca="1" si="18"/>
        <v>-23.056999999999967</v>
      </c>
      <c r="F41" s="65">
        <f t="shared" ca="1" si="18"/>
        <v>-4.5600000000000289</v>
      </c>
      <c r="G41" s="65">
        <f t="shared" ca="1" si="18"/>
        <v>-9.6909999999999794</v>
      </c>
      <c r="H41" s="65">
        <f t="shared" ca="1" si="18"/>
        <v>-9.4460000000000068</v>
      </c>
      <c r="I41" s="65">
        <f t="shared" ca="1" si="18"/>
        <v>-12.854000000000028</v>
      </c>
      <c r="J41" s="66">
        <f t="shared" ca="1" si="18"/>
        <v>-14.740000000000013</v>
      </c>
      <c r="K41" s="66">
        <f t="shared" ca="1" si="18"/>
        <v>-15.602000000000011</v>
      </c>
      <c r="L41" s="66">
        <f t="shared" ca="1" si="18"/>
        <v>-11.755000000000031</v>
      </c>
      <c r="M41" s="66">
        <f t="shared" ca="1" si="18"/>
        <v>-6.6190000000000699</v>
      </c>
      <c r="N41" s="66">
        <f t="shared" ca="1" si="18"/>
        <v>-3.01000000000005</v>
      </c>
      <c r="O41" s="67">
        <f t="shared" ca="1" si="18"/>
        <v>-4.6253395361706762</v>
      </c>
      <c r="P41" s="67">
        <f t="shared" ca="1" si="18"/>
        <v>-5.2664015942592091</v>
      </c>
      <c r="Q41" s="67">
        <f t="shared" ca="1" si="18"/>
        <v>-6.0693371337456128</v>
      </c>
      <c r="R41" s="67">
        <f t="shared" ca="1" si="18"/>
        <v>-6.9823409111894623</v>
      </c>
      <c r="S41" s="67">
        <f t="shared" ca="1" si="18"/>
        <v>-7.7561846455988137</v>
      </c>
      <c r="T41" s="67">
        <f t="shared" ca="1" si="18"/>
        <v>-8.4938336888045232</v>
      </c>
      <c r="U41" s="67">
        <f t="shared" ca="1" si="18"/>
        <v>-9.1205807827690659</v>
      </c>
      <c r="V41" s="67">
        <f t="shared" ca="1" si="18"/>
        <v>-10.041121928361497</v>
      </c>
      <c r="W41" s="67">
        <f t="shared" ca="1" si="18"/>
        <v>-11.285423024022945</v>
      </c>
      <c r="X41" s="67">
        <f t="shared" ca="1" si="18"/>
        <v>-12.614158141710547</v>
      </c>
    </row>
    <row r="42" spans="1:24" x14ac:dyDescent="0.25">
      <c r="A42" s="55" t="s">
        <v>916</v>
      </c>
      <c r="B42" s="10" t="s">
        <v>1047</v>
      </c>
      <c r="C42" s="13"/>
      <c r="D42" s="91" t="str">
        <f ca="1">IF(ROUND('Fiscal Forecasts'!D$33-D$41,3)=0,"OK","ERROR")</f>
        <v>OK</v>
      </c>
      <c r="E42" s="91" t="str">
        <f ca="1">IF(ROUND('Fiscal Forecasts'!E$33-E$41,3)=0,"OK","ERROR")</f>
        <v>OK</v>
      </c>
      <c r="F42" s="91" t="str">
        <f ca="1">IF(ROUND('Fiscal Forecasts'!F$33-F$41,3)=0,"OK","ERROR")</f>
        <v>OK</v>
      </c>
      <c r="G42" s="91" t="str">
        <f ca="1">IF(ROUND('Fiscal Forecasts'!G$33-G$41,3)=0,"OK","ERROR")</f>
        <v>OK</v>
      </c>
      <c r="H42" s="91" t="str">
        <f ca="1">IF(ROUND('Fiscal Forecasts'!H$33-H$41,3)=0,"OK","ERROR")</f>
        <v>OK</v>
      </c>
      <c r="I42" s="91" t="str">
        <f ca="1">IF(ROUND('Fiscal Forecasts'!I$33-I$41,3)=0,"OK","ERROR")</f>
        <v>OK</v>
      </c>
      <c r="J42" s="91" t="str">
        <f ca="1">IF(ROUND('Fiscal Forecasts'!J$33-J$41,3)=0,"OK","ERROR")</f>
        <v>OK</v>
      </c>
      <c r="K42" s="91" t="str">
        <f ca="1">IF(ROUND('Fiscal Forecasts'!K$33-K$41,3)=0,"OK","ERROR")</f>
        <v>OK</v>
      </c>
      <c r="L42" s="91" t="str">
        <f ca="1">IF(ROUND('Fiscal Forecasts'!L$33-L$41,3)=0,"OK","ERROR")</f>
        <v>OK</v>
      </c>
      <c r="M42" s="91" t="str">
        <f ca="1">IF(ROUND('Fiscal Forecasts'!M$33-M$41,3)=0,"OK","ERROR")</f>
        <v>OK</v>
      </c>
      <c r="N42" s="91" t="str">
        <f ca="1">IF(ROUND('Fiscal Forecasts'!N$33-N$41,3)=0,"OK","ERROR")</f>
        <v>OK</v>
      </c>
      <c r="O42" s="18"/>
      <c r="P42" s="18"/>
      <c r="Q42" s="18"/>
      <c r="R42" s="18"/>
      <c r="S42" s="18"/>
      <c r="T42" s="18"/>
      <c r="U42" s="18"/>
      <c r="V42" s="18"/>
      <c r="W42" s="18"/>
      <c r="X42" s="18"/>
    </row>
    <row r="43" spans="1:24" x14ac:dyDescent="0.25">
      <c r="A43" s="11" t="s">
        <v>1236</v>
      </c>
      <c r="B43" s="10" t="str">
        <f>$B$38</f>
        <v>From Fiscal Forecasts</v>
      </c>
      <c r="C43" s="13"/>
      <c r="D43" s="35">
        <f>'Fiscal Forecasts'!D$35</f>
        <v>5.827</v>
      </c>
      <c r="E43" s="35">
        <f>'Fiscal Forecasts'!E$35</f>
        <v>5.73</v>
      </c>
      <c r="F43" s="35">
        <f>'Fiscal Forecasts'!F$35</f>
        <v>6.1950000000000003</v>
      </c>
      <c r="G43" s="35">
        <f>'Fiscal Forecasts'!G$35</f>
        <v>6.625</v>
      </c>
      <c r="H43" s="35">
        <f>'Fiscal Forecasts'!H$35</f>
        <v>7.39</v>
      </c>
      <c r="I43" s="35">
        <f>'Fiscal Forecasts'!I$35</f>
        <v>7.9290000000000003</v>
      </c>
      <c r="J43" s="17">
        <f>'Fiscal Forecasts'!J$35</f>
        <v>8.5640000000000001</v>
      </c>
      <c r="K43" s="17">
        <f>'Fiscal Forecasts'!K$35</f>
        <v>9.0779999999999994</v>
      </c>
      <c r="L43" s="17">
        <f>'Fiscal Forecasts'!L$35</f>
        <v>9.76</v>
      </c>
      <c r="M43" s="17">
        <f>'Fiscal Forecasts'!M$35</f>
        <v>10.48</v>
      </c>
      <c r="N43" s="17">
        <f>'Fiscal Forecasts'!N$35</f>
        <v>11.268000000000001</v>
      </c>
      <c r="O43" s="16">
        <f>O$148+(N$43-N$148)*(1+Exogenous!Z$29/Exogenous!Y$30)</f>
        <v>12.079439766907566</v>
      </c>
      <c r="P43" s="16">
        <f>P$148+(O$43-O$148)*(1+Exogenous!AA$29/Exogenous!Z$30)</f>
        <v>12.946989239229504</v>
      </c>
      <c r="Q43" s="16">
        <f>Q$148+(P$43-P$148)*(1+Exogenous!AB$29/Exogenous!AA$30)</f>
        <v>13.922100932853603</v>
      </c>
      <c r="R43" s="16">
        <f>R$148+(Q$43-Q$148)*(1+Exogenous!AC$29/Exogenous!AB$30)</f>
        <v>14.959085505266426</v>
      </c>
      <c r="S43" s="16">
        <f>S$148+(R$43-R$148)*(1+Exogenous!AD$29/Exogenous!AC$30)</f>
        <v>16.086716885741083</v>
      </c>
      <c r="T43" s="16">
        <f>T$148+(S$43-S$148)*(1+Exogenous!AE$29/Exogenous!AD$30)</f>
        <v>17.277595530225824</v>
      </c>
      <c r="U43" s="16">
        <f>U$148+(T$43-T$148)*(1+Exogenous!AF$29/Exogenous!AE$30)</f>
        <v>18.56750333007993</v>
      </c>
      <c r="V43" s="16">
        <f>V$148+(U$43-U$148)*(1+Exogenous!AG$29/Exogenous!AF$30)</f>
        <v>19.751970130083862</v>
      </c>
      <c r="W43" s="16">
        <f>W$148+(V$43-V$148)*(1+Exogenous!AH$29/Exogenous!AG$30)</f>
        <v>20.736391036530534</v>
      </c>
      <c r="X43" s="16">
        <f>X$148+(W$43-W$148)*(1+Exogenous!AI$29/Exogenous!AH$30)</f>
        <v>21.688573679744984</v>
      </c>
    </row>
    <row r="44" spans="1:24" x14ac:dyDescent="0.25">
      <c r="A44" s="11" t="s">
        <v>1237</v>
      </c>
      <c r="B44" s="10" t="str">
        <f>$B$38</f>
        <v>From Fiscal Forecasts</v>
      </c>
      <c r="C44" s="13"/>
      <c r="D44" s="35">
        <f>'Fiscal Forecasts'!D$36</f>
        <v>6.9020000000000001</v>
      </c>
      <c r="E44" s="35">
        <f>'Fiscal Forecasts'!E$36</f>
        <v>7.8849999999999998</v>
      </c>
      <c r="F44" s="35">
        <f>'Fiscal Forecasts'!F$36</f>
        <v>8.1959999999999997</v>
      </c>
      <c r="G44" s="35">
        <f>'Fiscal Forecasts'!G$36</f>
        <v>7.6520000000000001</v>
      </c>
      <c r="H44" s="35">
        <f>'Fiscal Forecasts'!H$36</f>
        <v>9.6370000000000005</v>
      </c>
      <c r="I44" s="35">
        <f>'Fiscal Forecasts'!I$36</f>
        <v>12.01</v>
      </c>
      <c r="J44" s="17">
        <f>'Fiscal Forecasts'!J$36</f>
        <v>13.129</v>
      </c>
      <c r="K44" s="17">
        <f>'Fiscal Forecasts'!K$36</f>
        <v>12.605</v>
      </c>
      <c r="L44" s="17">
        <f>'Fiscal Forecasts'!L$36</f>
        <v>13.37</v>
      </c>
      <c r="M44" s="17">
        <f>'Fiscal Forecasts'!M$36</f>
        <v>14.006</v>
      </c>
      <c r="N44" s="17">
        <f>'Fiscal Forecasts'!N$36</f>
        <v>14.492000000000001</v>
      </c>
      <c r="O44" s="16">
        <f ca="1">O$241+(N$44-N$241)*(1+O$19)*(1+O$29)</f>
        <v>15.266117512088403</v>
      </c>
      <c r="P44" s="16">
        <f t="shared" ref="P44:X44" ca="1" si="19">P$241+(O$44-O$241)*(1+P$19)*(1+P$29)</f>
        <v>16.080835552040309</v>
      </c>
      <c r="Q44" s="16">
        <f t="shared" ca="1" si="19"/>
        <v>16.913797905686849</v>
      </c>
      <c r="R44" s="16">
        <f t="shared" ca="1" si="19"/>
        <v>17.749548086373334</v>
      </c>
      <c r="S44" s="16">
        <f t="shared" ca="1" si="19"/>
        <v>18.596885910592594</v>
      </c>
      <c r="T44" s="16">
        <f t="shared" ca="1" si="19"/>
        <v>19.429849265958147</v>
      </c>
      <c r="U44" s="16">
        <f t="shared" ca="1" si="19"/>
        <v>20.312352850006395</v>
      </c>
      <c r="V44" s="16">
        <f t="shared" ca="1" si="19"/>
        <v>21.202186489496263</v>
      </c>
      <c r="W44" s="16">
        <f t="shared" ca="1" si="19"/>
        <v>22.120774395475699</v>
      </c>
      <c r="X44" s="16">
        <f t="shared" ca="1" si="19"/>
        <v>23.078792530685739</v>
      </c>
    </row>
    <row r="45" spans="1:24" x14ac:dyDescent="0.25">
      <c r="A45" s="9" t="s">
        <v>1238</v>
      </c>
      <c r="B45" s="10"/>
      <c r="C45" s="13"/>
      <c r="D45" s="65">
        <f t="shared" ref="D45:X45" ca="1" si="20">D$41-(D$43-D$44)</f>
        <v>8.5039999999999907</v>
      </c>
      <c r="E45" s="65">
        <f t="shared" ca="1" si="20"/>
        <v>-20.901999999999965</v>
      </c>
      <c r="F45" s="65">
        <f t="shared" ca="1" si="20"/>
        <v>-2.5590000000000295</v>
      </c>
      <c r="G45" s="65">
        <f t="shared" ca="1" si="20"/>
        <v>-8.6639999999999802</v>
      </c>
      <c r="H45" s="65">
        <f t="shared" ca="1" si="20"/>
        <v>-7.1990000000000061</v>
      </c>
      <c r="I45" s="65">
        <f t="shared" ca="1" si="20"/>
        <v>-8.7730000000000281</v>
      </c>
      <c r="J45" s="66">
        <f t="shared" ca="1" si="20"/>
        <v>-10.175000000000013</v>
      </c>
      <c r="K45" s="66">
        <f t="shared" ca="1" si="20"/>
        <v>-12.07500000000001</v>
      </c>
      <c r="L45" s="66">
        <f t="shared" ca="1" si="20"/>
        <v>-8.1450000000000315</v>
      </c>
      <c r="M45" s="66">
        <f t="shared" ca="1" si="20"/>
        <v>-3.0930000000000701</v>
      </c>
      <c r="N45" s="66">
        <f t="shared" ca="1" si="20"/>
        <v>0.21399999999995023</v>
      </c>
      <c r="O45" s="67">
        <f t="shared" ca="1" si="20"/>
        <v>-1.4386617909898387</v>
      </c>
      <c r="P45" s="67">
        <f t="shared" ca="1" si="20"/>
        <v>-2.1325552814484041</v>
      </c>
      <c r="Q45" s="67">
        <f t="shared" ca="1" si="20"/>
        <v>-3.0776401609123667</v>
      </c>
      <c r="R45" s="67">
        <f t="shared" ca="1" si="20"/>
        <v>-4.1918783300825542</v>
      </c>
      <c r="S45" s="67">
        <f t="shared" ca="1" si="20"/>
        <v>-5.2460156207473032</v>
      </c>
      <c r="T45" s="67">
        <f t="shared" ca="1" si="20"/>
        <v>-6.3415799530722001</v>
      </c>
      <c r="U45" s="67">
        <f t="shared" ca="1" si="20"/>
        <v>-7.3757312628426011</v>
      </c>
      <c r="V45" s="67">
        <f t="shared" ca="1" si="20"/>
        <v>-8.5909055689490952</v>
      </c>
      <c r="W45" s="67">
        <f t="shared" ca="1" si="20"/>
        <v>-9.9010396650777803</v>
      </c>
      <c r="X45" s="67">
        <f t="shared" ca="1" si="20"/>
        <v>-11.223939290769792</v>
      </c>
    </row>
    <row r="46" spans="1:24" x14ac:dyDescent="0.25">
      <c r="A46" s="55" t="s">
        <v>917</v>
      </c>
      <c r="B46" s="9"/>
      <c r="C46" s="13"/>
      <c r="D46" s="91" t="str">
        <f t="shared" ref="D46:X46" si="21">IF(ROUND(D$35-SUM(D$200,D$233,D$245,D$248,D$252,D$264,D$277,D$285,D$289,D$296,D$303,D$307,D$311,D$315,D$319,D$325,D$329),3)=0,"OK","ERROR")</f>
        <v>OK</v>
      </c>
      <c r="E46" s="91" t="str">
        <f t="shared" si="21"/>
        <v>OK</v>
      </c>
      <c r="F46" s="91" t="str">
        <f t="shared" si="21"/>
        <v>OK</v>
      </c>
      <c r="G46" s="91" t="str">
        <f t="shared" si="21"/>
        <v>OK</v>
      </c>
      <c r="H46" s="91" t="str">
        <f t="shared" si="21"/>
        <v>OK</v>
      </c>
      <c r="I46" s="91" t="str">
        <f t="shared" si="21"/>
        <v>OK</v>
      </c>
      <c r="J46" s="91" t="str">
        <f t="shared" ca="1" si="21"/>
        <v>OK</v>
      </c>
      <c r="K46" s="91" t="str">
        <f t="shared" ca="1" si="21"/>
        <v>OK</v>
      </c>
      <c r="L46" s="91" t="str">
        <f t="shared" ca="1" si="21"/>
        <v>OK</v>
      </c>
      <c r="M46" s="91" t="str">
        <f t="shared" ca="1" si="21"/>
        <v>OK</v>
      </c>
      <c r="N46" s="91" t="str">
        <f t="shared" ca="1" si="21"/>
        <v>OK</v>
      </c>
      <c r="O46" s="91" t="str">
        <f t="shared" ca="1" si="21"/>
        <v>OK</v>
      </c>
      <c r="P46" s="91" t="str">
        <f t="shared" ca="1" si="21"/>
        <v>OK</v>
      </c>
      <c r="Q46" s="91" t="str">
        <f t="shared" ca="1" si="21"/>
        <v>OK</v>
      </c>
      <c r="R46" s="91" t="str">
        <f t="shared" ca="1" si="21"/>
        <v>OK</v>
      </c>
      <c r="S46" s="91" t="str">
        <f t="shared" ca="1" si="21"/>
        <v>OK</v>
      </c>
      <c r="T46" s="91" t="str">
        <f t="shared" ca="1" si="21"/>
        <v>OK</v>
      </c>
      <c r="U46" s="91" t="str">
        <f t="shared" ca="1" si="21"/>
        <v>OK</v>
      </c>
      <c r="V46" s="91" t="str">
        <f t="shared" ca="1" si="21"/>
        <v>OK</v>
      </c>
      <c r="W46" s="91" t="str">
        <f t="shared" ca="1" si="21"/>
        <v>OK</v>
      </c>
      <c r="X46" s="91" t="str">
        <f t="shared" ca="1" si="21"/>
        <v>OK</v>
      </c>
    </row>
    <row r="47" spans="1:24" x14ac:dyDescent="0.25">
      <c r="A47" s="9" t="s">
        <v>918</v>
      </c>
      <c r="B47" s="9"/>
      <c r="C47" s="13"/>
      <c r="D47" s="42">
        <f t="shared" ref="D47:X47" ca="1" si="22">SUM(D$142,D$147,D$154,D$161,D$170,D$178)</f>
        <v>93.474000000000004</v>
      </c>
      <c r="E47" s="42">
        <f t="shared" ca="1" si="22"/>
        <v>91.923000000000002</v>
      </c>
      <c r="F47" s="42">
        <f t="shared" ca="1" si="22"/>
        <v>104.968</v>
      </c>
      <c r="G47" s="42">
        <f t="shared" ca="1" si="22"/>
        <v>117.515</v>
      </c>
      <c r="H47" s="42">
        <f t="shared" ca="1" si="22"/>
        <v>123.398</v>
      </c>
      <c r="I47" s="42">
        <f t="shared" ca="1" si="22"/>
        <v>133.22</v>
      </c>
      <c r="J47" s="43">
        <f t="shared" ca="1" si="22"/>
        <v>134.18799999999999</v>
      </c>
      <c r="K47" s="43">
        <f t="shared" ca="1" si="22"/>
        <v>139.726</v>
      </c>
      <c r="L47" s="43">
        <f t="shared" ca="1" si="22"/>
        <v>146.42300000000003</v>
      </c>
      <c r="M47" s="43">
        <f t="shared" ca="1" si="22"/>
        <v>154.37099999999998</v>
      </c>
      <c r="N47" s="43">
        <f t="shared" ca="1" si="22"/>
        <v>162.505</v>
      </c>
      <c r="O47" s="47">
        <f t="shared" ca="1" si="22"/>
        <v>168.58762263816709</v>
      </c>
      <c r="P47" s="47">
        <f t="shared" ca="1" si="22"/>
        <v>175.31431810391663</v>
      </c>
      <c r="Q47" s="47">
        <f t="shared" ca="1" si="22"/>
        <v>182.23789608391752</v>
      </c>
      <c r="R47" s="47">
        <f t="shared" ca="1" si="22"/>
        <v>189.18073595333851</v>
      </c>
      <c r="S47" s="47">
        <f t="shared" ca="1" si="22"/>
        <v>196.26680555539977</v>
      </c>
      <c r="T47" s="47">
        <f t="shared" ca="1" si="22"/>
        <v>203.47873585415908</v>
      </c>
      <c r="U47" s="47">
        <f t="shared" ca="1" si="22"/>
        <v>210.7819107258903</v>
      </c>
      <c r="V47" s="47">
        <f t="shared" ca="1" si="22"/>
        <v>218.19013585372778</v>
      </c>
      <c r="W47" s="47">
        <f t="shared" ca="1" si="22"/>
        <v>225.70225035567739</v>
      </c>
      <c r="X47" s="47">
        <f t="shared" ca="1" si="22"/>
        <v>233.37442457734994</v>
      </c>
    </row>
    <row r="48" spans="1:24" x14ac:dyDescent="0.25">
      <c r="A48" s="9" t="s">
        <v>919</v>
      </c>
      <c r="B48" s="9"/>
      <c r="C48" s="13"/>
      <c r="D48" s="42">
        <f t="shared" ref="D48:X48" si="23">SUM(D$195,D$208,D$215,D$222,D$229,D$237,D$245,D$248)</f>
        <v>86.959000000000003</v>
      </c>
      <c r="E48" s="42">
        <f t="shared" si="23"/>
        <v>108.83199999999999</v>
      </c>
      <c r="F48" s="42">
        <f t="shared" si="23"/>
        <v>107.76500000000001</v>
      </c>
      <c r="G48" s="42">
        <f t="shared" si="23"/>
        <v>125.64100000000001</v>
      </c>
      <c r="H48" s="42">
        <f t="shared" si="23"/>
        <v>127.57400000000001</v>
      </c>
      <c r="I48" s="42">
        <f t="shared" si="23"/>
        <v>139.00000000000003</v>
      </c>
      <c r="J48" s="43">
        <f t="shared" ca="1" si="23"/>
        <v>142.208</v>
      </c>
      <c r="K48" s="43">
        <f t="shared" ca="1" si="23"/>
        <v>150.34899999999999</v>
      </c>
      <c r="L48" s="43">
        <f t="shared" ca="1" si="23"/>
        <v>153.142</v>
      </c>
      <c r="M48" s="43">
        <f t="shared" ca="1" si="23"/>
        <v>156.82700000000003</v>
      </c>
      <c r="N48" s="43">
        <f t="shared" ca="1" si="23"/>
        <v>161.95899999999997</v>
      </c>
      <c r="O48" s="47">
        <f t="shared" ca="1" si="23"/>
        <v>169.86191515455772</v>
      </c>
      <c r="P48" s="47">
        <f t="shared" ca="1" si="23"/>
        <v>177.60809112636124</v>
      </c>
      <c r="Q48" s="47">
        <f t="shared" ca="1" si="23"/>
        <v>185.84572109208062</v>
      </c>
      <c r="R48" s="47">
        <f t="shared" ca="1" si="23"/>
        <v>194.29118646074016</v>
      </c>
      <c r="S48" s="47">
        <f t="shared" ca="1" si="23"/>
        <v>202.86988815624332</v>
      </c>
      <c r="T48" s="47">
        <f t="shared" ca="1" si="23"/>
        <v>211.67559296967764</v>
      </c>
      <c r="U48" s="47">
        <f t="shared" ca="1" si="23"/>
        <v>220.54598653015336</v>
      </c>
      <c r="V48" s="47">
        <f t="shared" ca="1" si="23"/>
        <v>229.56769251920019</v>
      </c>
      <c r="W48" s="47">
        <f t="shared" ca="1" si="23"/>
        <v>238.73973882496583</v>
      </c>
      <c r="X48" s="47">
        <f t="shared" ca="1" si="23"/>
        <v>248.1085803366168</v>
      </c>
    </row>
    <row r="49" spans="1:24" x14ac:dyDescent="0.25">
      <c r="A49" s="9" t="s">
        <v>669</v>
      </c>
      <c r="B49" s="9"/>
      <c r="C49" s="13"/>
      <c r="D49" s="42">
        <f t="shared" ref="D49:X49" ca="1" si="24">SUM(D$47,-D$48,D$342,D$349)</f>
        <v>9.7070000000000007</v>
      </c>
      <c r="E49" s="42">
        <f t="shared" ca="1" si="24"/>
        <v>-20.882999999999992</v>
      </c>
      <c r="F49" s="42">
        <f t="shared" ca="1" si="24"/>
        <v>4.7029999999999887</v>
      </c>
      <c r="G49" s="42">
        <f t="shared" ca="1" si="24"/>
        <v>-19.532000000000004</v>
      </c>
      <c r="H49" s="42">
        <f t="shared" ca="1" si="24"/>
        <v>8.2929999999999833</v>
      </c>
      <c r="I49" s="42">
        <f t="shared" ca="1" si="24"/>
        <v>2.1039999999999708</v>
      </c>
      <c r="J49" s="43">
        <f t="shared" ca="1" si="24"/>
        <v>-0.77400000000000979</v>
      </c>
      <c r="K49" s="43">
        <f t="shared" ca="1" si="24"/>
        <v>-5.4479999999999906</v>
      </c>
      <c r="L49" s="43">
        <f t="shared" ca="1" si="24"/>
        <v>-1.2689999999999655</v>
      </c>
      <c r="M49" s="43">
        <f t="shared" ca="1" si="24"/>
        <v>3.3019999999999543</v>
      </c>
      <c r="N49" s="43">
        <f t="shared" ca="1" si="24"/>
        <v>6.6430000000000211</v>
      </c>
      <c r="O49" s="47">
        <f t="shared" ca="1" si="24"/>
        <v>5.1703992745036746</v>
      </c>
      <c r="P49" s="47">
        <f t="shared" ca="1" si="24"/>
        <v>4.531480674999151</v>
      </c>
      <c r="Q49" s="47">
        <f t="shared" ca="1" si="24"/>
        <v>3.6120223610209261</v>
      </c>
      <c r="R49" s="47">
        <f t="shared" ca="1" si="24"/>
        <v>2.5159987046505159</v>
      </c>
      <c r="S49" s="47">
        <f t="shared" ca="1" si="24"/>
        <v>1.4401061281106222</v>
      </c>
      <c r="T49" s="47">
        <f t="shared" ca="1" si="24"/>
        <v>0.27294553195695354</v>
      </c>
      <c r="U49" s="47">
        <f t="shared" ca="1" si="24"/>
        <v>-0.85834643671093325</v>
      </c>
      <c r="V49" s="47">
        <f t="shared" ca="1" si="24"/>
        <v>-2.0270811410418665</v>
      </c>
      <c r="W49" s="47">
        <f t="shared" ca="1" si="24"/>
        <v>-3.2303284363612601</v>
      </c>
      <c r="X49" s="47">
        <f t="shared" ca="1" si="24"/>
        <v>-4.4532000183543925</v>
      </c>
    </row>
    <row r="50" spans="1:24" x14ac:dyDescent="0.25">
      <c r="A50" s="9" t="s">
        <v>832</v>
      </c>
      <c r="B50" s="9"/>
      <c r="C50" s="13"/>
      <c r="D50" s="42">
        <f t="shared" ref="D50:X50" ca="1" si="25">(D$47-D$161)-(D$48-D$229)</f>
        <v>9.144999999999996</v>
      </c>
      <c r="E50" s="42">
        <f t="shared" ca="1" si="25"/>
        <v>-14.530999999999992</v>
      </c>
      <c r="F50" s="42">
        <f t="shared" ca="1" si="25"/>
        <v>-1.5949999999999989</v>
      </c>
      <c r="G50" s="42">
        <f t="shared" ca="1" si="25"/>
        <v>-6.1000000000000085</v>
      </c>
      <c r="H50" s="42">
        <f t="shared" ca="1" si="25"/>
        <v>-0.4690000000000083</v>
      </c>
      <c r="I50" s="42">
        <f t="shared" ca="1" si="25"/>
        <v>-1.27800000000002</v>
      </c>
      <c r="J50" s="43">
        <f t="shared" ca="1" si="25"/>
        <v>-3.2600000000000193</v>
      </c>
      <c r="K50" s="43">
        <f t="shared" ca="1" si="25"/>
        <v>-4.8259999999999934</v>
      </c>
      <c r="L50" s="43">
        <f t="shared" ca="1" si="25"/>
        <v>8.0000000000381988E-3</v>
      </c>
      <c r="M50" s="43">
        <f t="shared" ca="1" si="25"/>
        <v>5.1669999999999732</v>
      </c>
      <c r="N50" s="43">
        <f t="shared" ca="1" si="25"/>
        <v>8.8270000000000266</v>
      </c>
      <c r="O50" s="47">
        <f t="shared" ca="1" si="25"/>
        <v>7.3323075140449703</v>
      </c>
      <c r="P50" s="47">
        <f t="shared" ca="1" si="25"/>
        <v>6.6323272120760635</v>
      </c>
      <c r="Q50" s="47">
        <f t="shared" ca="1" si="25"/>
        <v>5.7657248517830055</v>
      </c>
      <c r="R50" s="47">
        <f t="shared" ca="1" si="25"/>
        <v>4.7783142207181015</v>
      </c>
      <c r="S50" s="47">
        <f t="shared" ca="1" si="25"/>
        <v>3.8716933699537037</v>
      </c>
      <c r="T50" s="47">
        <f t="shared" ca="1" si="25"/>
        <v>2.8874519943522046</v>
      </c>
      <c r="U50" s="47">
        <f t="shared" ca="1" si="25"/>
        <v>2.0018683728320923</v>
      </c>
      <c r="V50" s="47">
        <f t="shared" ca="1" si="25"/>
        <v>1.1390223659003311</v>
      </c>
      <c r="W50" s="47">
        <f t="shared" ca="1" si="25"/>
        <v>0.29951235309289359</v>
      </c>
      <c r="X50" s="47">
        <f t="shared" ca="1" si="25"/>
        <v>-0.50025838560651437</v>
      </c>
    </row>
    <row r="51" spans="1:24" x14ac:dyDescent="0.25">
      <c r="A51" s="9" t="s">
        <v>831</v>
      </c>
      <c r="B51" s="9"/>
      <c r="C51" s="13"/>
      <c r="D51" s="42">
        <f t="shared" ref="D51:X51" si="26">D$504</f>
        <v>-0.7100000000000124</v>
      </c>
      <c r="E51" s="42">
        <f t="shared" si="26"/>
        <v>-23.692000000000007</v>
      </c>
      <c r="F51" s="42">
        <f t="shared" si="26"/>
        <v>-13.766999999999978</v>
      </c>
      <c r="G51" s="42">
        <f t="shared" si="26"/>
        <v>-27.042999999999999</v>
      </c>
      <c r="H51" s="42">
        <f t="shared" si="26"/>
        <v>-25.648000000000007</v>
      </c>
      <c r="I51" s="42">
        <f t="shared" si="26"/>
        <v>-19.302000000000007</v>
      </c>
      <c r="J51" s="43">
        <f t="shared" ca="1" si="26"/>
        <v>-9.9899999999999931</v>
      </c>
      <c r="K51" s="43">
        <f t="shared" ca="1" si="26"/>
        <v>-14.533000000000023</v>
      </c>
      <c r="L51" s="43">
        <f t="shared" ca="1" si="26"/>
        <v>-18.212000000000007</v>
      </c>
      <c r="M51" s="43">
        <f t="shared" ca="1" si="26"/>
        <v>-11.415000000000003</v>
      </c>
      <c r="N51" s="43">
        <f t="shared" ca="1" si="26"/>
        <v>-8.1450000000000209</v>
      </c>
      <c r="O51" s="47">
        <f t="shared" ca="1" si="26"/>
        <v>-10.094283739627109</v>
      </c>
      <c r="P51" s="47">
        <f t="shared" ca="1" si="26"/>
        <v>-11.200331288004779</v>
      </c>
      <c r="Q51" s="47">
        <f t="shared" ca="1" si="26"/>
        <v>-12.56438519744475</v>
      </c>
      <c r="R51" s="47">
        <f t="shared" ca="1" si="26"/>
        <v>-14.057190774639631</v>
      </c>
      <c r="S51" s="47">
        <f t="shared" ca="1" si="26"/>
        <v>-15.521823435779764</v>
      </c>
      <c r="T51" s="47">
        <f t="shared" ca="1" si="26"/>
        <v>-17.08918313492245</v>
      </c>
      <c r="U51" s="47">
        <f t="shared" ca="1" si="26"/>
        <v>-18.577812049269976</v>
      </c>
      <c r="V51" s="47">
        <f t="shared" ca="1" si="26"/>
        <v>-20.140637545144482</v>
      </c>
      <c r="W51" s="47">
        <f t="shared" ca="1" si="26"/>
        <v>-21.825962357055619</v>
      </c>
      <c r="X51" s="47">
        <f t="shared" ca="1" si="26"/>
        <v>-23.637132693732486</v>
      </c>
    </row>
    <row r="52" spans="1:24" x14ac:dyDescent="0.25">
      <c r="A52" s="55" t="s">
        <v>920</v>
      </c>
      <c r="B52" s="10" t="str">
        <f>$B$42</f>
        <v>Outturn &amp; Forecast only</v>
      </c>
      <c r="C52" s="13"/>
      <c r="D52" s="91" t="str">
        <f ca="1">IF(ROUND('Fiscal Forecasts'!D$178-D$49,3)=0,"OK","ERROR")</f>
        <v>OK</v>
      </c>
      <c r="E52" s="91" t="str">
        <f ca="1">IF(ROUND('Fiscal Forecasts'!E$178-E$49,3)=0,"OK","ERROR")</f>
        <v>OK</v>
      </c>
      <c r="F52" s="91" t="str">
        <f ca="1">IF(ROUND('Fiscal Forecasts'!F$178-F$49,3)-0.001=0,"OK","ERROR")</f>
        <v>OK</v>
      </c>
      <c r="G52" s="91" t="str">
        <f ca="1">IF(ROUND('Fiscal Forecasts'!G$178-G$49,3)=0,"OK","ERROR")</f>
        <v>OK</v>
      </c>
      <c r="H52" s="91" t="str">
        <f ca="1">IF(ROUND('Fiscal Forecasts'!H$178-H$49,3)=0,"OK","ERROR")</f>
        <v>OK</v>
      </c>
      <c r="I52" s="91" t="str">
        <f ca="1">IF(ROUND('Fiscal Forecasts'!I$178-I$49-0.002,3)=0,"OK","ERROR")</f>
        <v>OK</v>
      </c>
      <c r="J52" s="91" t="str">
        <f ca="1">IF(ROUND('Fiscal Forecasts'!J$178-J$49,3)=0,"OK","ERROR")</f>
        <v>OK</v>
      </c>
      <c r="K52" s="91" t="str">
        <f ca="1">IF(ROUND('Fiscal Forecasts'!K$178-K$49,3)=0,"OK","ERROR")</f>
        <v>OK</v>
      </c>
      <c r="L52" s="91" t="str">
        <f ca="1">IF(ROUND('Fiscal Forecasts'!L$178-L$49,3)=0,"OK","ERROR")</f>
        <v>OK</v>
      </c>
      <c r="M52" s="91" t="str">
        <f ca="1">IF(ROUND('Fiscal Forecasts'!M$178-M$49,3)=0,"OK","ERROR")</f>
        <v>OK</v>
      </c>
      <c r="N52" s="91" t="str">
        <f ca="1">IF(ROUND('Fiscal Forecasts'!N$178-N$49,3)=0,"OK","ERROR")</f>
        <v>OK</v>
      </c>
      <c r="O52" s="18"/>
      <c r="P52" s="18"/>
      <c r="Q52" s="18"/>
      <c r="R52" s="18"/>
      <c r="S52" s="18"/>
      <c r="T52" s="18"/>
      <c r="U52" s="18"/>
      <c r="V52" s="18"/>
      <c r="W52" s="18"/>
      <c r="X52" s="18"/>
    </row>
    <row r="53" spans="1:24" x14ac:dyDescent="0.25">
      <c r="A53" s="55" t="s">
        <v>921</v>
      </c>
      <c r="B53" s="9"/>
      <c r="C53" s="13"/>
      <c r="D53" s="91" t="str">
        <f>IF(ROUND(D$48-SUM(D$197,D$229,D$245,D$248,D$251,D$261,D$274,D$284,D$288,D$292,D$302,D$306,D$310,D$314,D$318,D$324,D$328),3)-0.001=0,"OK","ERROR")</f>
        <v>OK</v>
      </c>
      <c r="E53" s="91" t="str">
        <f>IF(ROUND(E$48-SUM(E$197,E$229,E$245,E$248,E$251,E$261,E$274,E$284,E$288,E$292,E$302,E$306,E$310,E$314,E$318,E$324,E$328),3)=0,"OK","ERROR")</f>
        <v>OK</v>
      </c>
      <c r="F53" s="91" t="str">
        <f>IF(ROUND(F$48-SUM(F$197,F$229,F$245,F$248,F$251,F$261,F$274,F$284,F$288,F$292,F$302,F$306,F$310,F$314,F$318,F$324,F$328),3)-0.001=0,"OK","ERROR")</f>
        <v>OK</v>
      </c>
      <c r="G53" s="91" t="str">
        <f t="shared" ref="G53:H53" si="27">IF(ROUND(G$48-SUM(G$197,G$229,G$245,G$248,G$251,G$261,G$274,G$284,G$288,G$292,G$302,G$306,G$310,G$314,G$318,G$324,G$328),3)=0,"OK","ERROR")</f>
        <v>OK</v>
      </c>
      <c r="H53" s="91" t="str">
        <f t="shared" si="27"/>
        <v>OK</v>
      </c>
      <c r="I53" s="91" t="str">
        <f>IF(ROUND(I$48-SUM(I$197,I$229,I$245,I$248,I$251,I$261,I$274,I$284,I$288,I$292,I$302,I$306,I$310,I$314,I$318,I$324,I$328)-0.002,3)=0,"OK","ERROR")</f>
        <v>OK</v>
      </c>
      <c r="J53" s="91" t="str">
        <f t="shared" ref="J53:X53" ca="1" si="28">IF(ROUND(J$48-SUM(J$197,J$229,J$245,J$248,J$251,J$261,J$274,J$284,J$288,J$292,J$302,J$306,J$310,J$314,J$318,J$324,J$328),3)=0,"OK","ERROR")</f>
        <v>OK</v>
      </c>
      <c r="K53" s="91" t="str">
        <f t="shared" ca="1" si="28"/>
        <v>OK</v>
      </c>
      <c r="L53" s="91" t="str">
        <f t="shared" ca="1" si="28"/>
        <v>OK</v>
      </c>
      <c r="M53" s="91" t="str">
        <f t="shared" ca="1" si="28"/>
        <v>OK</v>
      </c>
      <c r="N53" s="91" t="str">
        <f t="shared" ca="1" si="28"/>
        <v>OK</v>
      </c>
      <c r="O53" s="91" t="str">
        <f t="shared" ca="1" si="28"/>
        <v>OK</v>
      </c>
      <c r="P53" s="91" t="str">
        <f t="shared" ca="1" si="28"/>
        <v>OK</v>
      </c>
      <c r="Q53" s="91" t="str">
        <f t="shared" ca="1" si="28"/>
        <v>OK</v>
      </c>
      <c r="R53" s="91" t="str">
        <f t="shared" ca="1" si="28"/>
        <v>OK</v>
      </c>
      <c r="S53" s="91" t="str">
        <f t="shared" ca="1" si="28"/>
        <v>OK</v>
      </c>
      <c r="T53" s="91" t="str">
        <f t="shared" ca="1" si="28"/>
        <v>OK</v>
      </c>
      <c r="U53" s="91" t="str">
        <f t="shared" ca="1" si="28"/>
        <v>OK</v>
      </c>
      <c r="V53" s="91" t="str">
        <f t="shared" ca="1" si="28"/>
        <v>OK</v>
      </c>
      <c r="W53" s="91" t="str">
        <f t="shared" ca="1" si="28"/>
        <v>OK</v>
      </c>
      <c r="X53" s="91" t="str">
        <f t="shared" ca="1" si="28"/>
        <v>OK</v>
      </c>
    </row>
    <row r="54" spans="1:24" x14ac:dyDescent="0.25">
      <c r="A54" s="9"/>
      <c r="B54" s="9"/>
      <c r="C54" s="13"/>
      <c r="D54" s="13"/>
      <c r="E54" s="13"/>
      <c r="F54" s="13"/>
      <c r="G54" s="13"/>
      <c r="H54" s="13"/>
      <c r="I54" s="13"/>
      <c r="J54" s="13"/>
      <c r="K54" s="13"/>
      <c r="L54" s="13"/>
      <c r="M54" s="13"/>
      <c r="N54" s="13"/>
      <c r="O54" s="42"/>
      <c r="P54" s="42"/>
      <c r="Q54" s="42"/>
      <c r="R54" s="42"/>
      <c r="S54" s="42"/>
      <c r="T54" s="42"/>
      <c r="U54" s="42"/>
      <c r="V54" s="42"/>
      <c r="W54" s="42"/>
      <c r="X54" s="42"/>
    </row>
    <row r="55" spans="1:24" x14ac:dyDescent="0.25">
      <c r="A55" s="12" t="s">
        <v>1132</v>
      </c>
      <c r="B55" s="9"/>
      <c r="C55" s="13"/>
      <c r="D55" s="114"/>
      <c r="E55" s="114"/>
      <c r="F55" s="114"/>
      <c r="G55" s="114"/>
      <c r="H55" s="114"/>
      <c r="I55" s="114"/>
      <c r="J55" s="114"/>
      <c r="K55" s="114"/>
      <c r="L55" s="114"/>
      <c r="M55" s="114"/>
      <c r="N55" s="114"/>
      <c r="O55" s="18"/>
      <c r="P55" s="18"/>
      <c r="Q55" s="18"/>
      <c r="R55" s="18"/>
      <c r="S55" s="18"/>
      <c r="T55" s="18"/>
      <c r="U55" s="18"/>
      <c r="V55" s="18"/>
      <c r="W55" s="18"/>
      <c r="X55" s="18"/>
    </row>
    <row r="56" spans="1:24" x14ac:dyDescent="0.25">
      <c r="A56" s="9" t="s">
        <v>1133</v>
      </c>
      <c r="B56" s="9"/>
      <c r="C56" s="13"/>
      <c r="D56" s="42">
        <f t="shared" ref="D56:X56" ca="1" si="29">SUM(D$356,D$363,D$372,D$381,D$397,D$406,D$420,D$424,D$429,D$438,D$444,D$450,D$451)</f>
        <v>364.65199999999999</v>
      </c>
      <c r="E56" s="42">
        <f t="shared" ca="1" si="29"/>
        <v>393.4</v>
      </c>
      <c r="F56" s="42">
        <f t="shared" ca="1" si="29"/>
        <v>438.59599999999995</v>
      </c>
      <c r="G56" s="42">
        <f t="shared" ca="1" si="29"/>
        <v>501.84400000000005</v>
      </c>
      <c r="H56" s="42">
        <f t="shared" ca="1" si="29"/>
        <v>536.66599999999994</v>
      </c>
      <c r="I56" s="42">
        <f t="shared" ca="1" si="29"/>
        <v>570.86800000000005</v>
      </c>
      <c r="J56" s="43">
        <f t="shared" ca="1" si="29"/>
        <v>600.50799999999992</v>
      </c>
      <c r="K56" s="43">
        <f t="shared" ca="1" si="29"/>
        <v>619.46400000000006</v>
      </c>
      <c r="L56" s="43">
        <f t="shared" ca="1" si="29"/>
        <v>637.74200000000008</v>
      </c>
      <c r="M56" s="43">
        <f t="shared" ca="1" si="29"/>
        <v>657.05399999999997</v>
      </c>
      <c r="N56" s="43">
        <f t="shared" ca="1" si="29"/>
        <v>676.23599999999999</v>
      </c>
      <c r="O56" s="47">
        <f t="shared" ca="1" si="29"/>
        <v>698.53174131989613</v>
      </c>
      <c r="P56" s="47">
        <f t="shared" ca="1" si="29"/>
        <v>720.73230468694464</v>
      </c>
      <c r="Q56" s="47">
        <f t="shared" ca="1" si="29"/>
        <v>743.62222280846197</v>
      </c>
      <c r="R56" s="47">
        <f t="shared" ca="1" si="29"/>
        <v>767.14885575682899</v>
      </c>
      <c r="S56" s="47">
        <f t="shared" ca="1" si="29"/>
        <v>791.38255098328727</v>
      </c>
      <c r="T56" s="47">
        <f t="shared" ca="1" si="29"/>
        <v>816.35801067862599</v>
      </c>
      <c r="U56" s="47">
        <f t="shared" ca="1" si="29"/>
        <v>842.04054611740878</v>
      </c>
      <c r="V56" s="47">
        <f t="shared" ca="1" si="29"/>
        <v>868.38083570920219</v>
      </c>
      <c r="W56" s="47">
        <f t="shared" ca="1" si="29"/>
        <v>895.38218882447029</v>
      </c>
      <c r="X56" s="47">
        <f t="shared" ca="1" si="29"/>
        <v>923.16187088557501</v>
      </c>
    </row>
    <row r="57" spans="1:24" x14ac:dyDescent="0.25">
      <c r="A57" s="9" t="s">
        <v>1134</v>
      </c>
      <c r="B57" s="9"/>
      <c r="C57" s="13"/>
      <c r="D57" s="42">
        <f t="shared" ref="D57:X57" si="30">SUM(D$70,D$454,D$461,D$465,D$469,D$475,D$480,D$486)</f>
        <v>221.31299999999999</v>
      </c>
      <c r="E57" s="42">
        <f t="shared" si="30"/>
        <v>277.45699999999999</v>
      </c>
      <c r="F57" s="42">
        <f t="shared" si="30"/>
        <v>281.40300000000002</v>
      </c>
      <c r="G57" s="42">
        <f t="shared" si="30"/>
        <v>327.52500000000003</v>
      </c>
      <c r="H57" s="42">
        <f t="shared" si="30"/>
        <v>345.19400000000002</v>
      </c>
      <c r="I57" s="42">
        <f t="shared" si="30"/>
        <v>379.81899999999996</v>
      </c>
      <c r="J57" s="43">
        <f t="shared" si="30"/>
        <v>417.37800000000004</v>
      </c>
      <c r="K57" s="43">
        <f t="shared" si="30"/>
        <v>446.24</v>
      </c>
      <c r="L57" s="43">
        <f t="shared" si="30"/>
        <v>469.96299999999997</v>
      </c>
      <c r="M57" s="43">
        <f t="shared" si="30"/>
        <v>489.21399999999994</v>
      </c>
      <c r="N57" s="43">
        <f t="shared" si="30"/>
        <v>504.34300000000002</v>
      </c>
      <c r="O57" s="47">
        <f t="shared" ca="1" si="30"/>
        <v>523.28421089982703</v>
      </c>
      <c r="P57" s="47">
        <f t="shared" ca="1" si="30"/>
        <v>542.33263057892634</v>
      </c>
      <c r="Q57" s="47">
        <f t="shared" ca="1" si="30"/>
        <v>562.41350643776696</v>
      </c>
      <c r="R57" s="47">
        <f t="shared" ca="1" si="30"/>
        <v>583.56440691138096</v>
      </c>
      <c r="S57" s="47">
        <f t="shared" ca="1" si="30"/>
        <v>605.69683186764644</v>
      </c>
      <c r="T57" s="47">
        <f t="shared" ca="1" si="30"/>
        <v>628.78840333015557</v>
      </c>
      <c r="U57" s="47">
        <f t="shared" ca="1" si="30"/>
        <v>652.67191637940073</v>
      </c>
      <c r="V57" s="47">
        <f t="shared" ca="1" si="30"/>
        <v>677.5745850026783</v>
      </c>
      <c r="W57" s="47">
        <f t="shared" ca="1" si="30"/>
        <v>703.80749998378167</v>
      </c>
      <c r="X57" s="47">
        <f t="shared" ca="1" si="30"/>
        <v>731.55199057456537</v>
      </c>
    </row>
    <row r="58" spans="1:24" x14ac:dyDescent="0.25">
      <c r="A58" s="9" t="s">
        <v>838</v>
      </c>
      <c r="B58" s="9"/>
      <c r="C58" s="13"/>
      <c r="D58" s="65">
        <f t="shared" ref="D58:X58" ca="1" si="31">D$56-D$57</f>
        <v>143.339</v>
      </c>
      <c r="E58" s="65">
        <f t="shared" ca="1" si="31"/>
        <v>115.94299999999998</v>
      </c>
      <c r="F58" s="65">
        <f t="shared" ca="1" si="31"/>
        <v>157.19299999999993</v>
      </c>
      <c r="G58" s="65">
        <f t="shared" ca="1" si="31"/>
        <v>174.31900000000002</v>
      </c>
      <c r="H58" s="65">
        <f t="shared" ca="1" si="31"/>
        <v>191.47199999999992</v>
      </c>
      <c r="I58" s="65">
        <f t="shared" ca="1" si="31"/>
        <v>191.04900000000009</v>
      </c>
      <c r="J58" s="66">
        <f t="shared" ca="1" si="31"/>
        <v>183.12999999999988</v>
      </c>
      <c r="K58" s="66">
        <f t="shared" ca="1" si="31"/>
        <v>173.22400000000005</v>
      </c>
      <c r="L58" s="66">
        <f t="shared" ca="1" si="31"/>
        <v>167.77900000000011</v>
      </c>
      <c r="M58" s="66">
        <f t="shared" ca="1" si="31"/>
        <v>167.84000000000003</v>
      </c>
      <c r="N58" s="66">
        <f t="shared" ca="1" si="31"/>
        <v>171.89299999999997</v>
      </c>
      <c r="O58" s="67">
        <f t="shared" ca="1" si="31"/>
        <v>175.2475304200691</v>
      </c>
      <c r="P58" s="67">
        <f t="shared" ca="1" si="31"/>
        <v>178.3996741080183</v>
      </c>
      <c r="Q58" s="67">
        <f t="shared" ca="1" si="31"/>
        <v>181.20871637069502</v>
      </c>
      <c r="R58" s="67">
        <f t="shared" ca="1" si="31"/>
        <v>183.58444884544804</v>
      </c>
      <c r="S58" s="67">
        <f t="shared" ca="1" si="31"/>
        <v>185.68571911564084</v>
      </c>
      <c r="T58" s="67">
        <f t="shared" ca="1" si="31"/>
        <v>187.56960734847041</v>
      </c>
      <c r="U58" s="67">
        <f t="shared" ca="1" si="31"/>
        <v>189.36862973800805</v>
      </c>
      <c r="V58" s="67">
        <f t="shared" ca="1" si="31"/>
        <v>190.80625070652388</v>
      </c>
      <c r="W58" s="67">
        <f t="shared" ca="1" si="31"/>
        <v>191.57468884068862</v>
      </c>
      <c r="X58" s="67">
        <f t="shared" ca="1" si="31"/>
        <v>191.60988031100965</v>
      </c>
    </row>
    <row r="59" spans="1:24" x14ac:dyDescent="0.25">
      <c r="A59" s="11" t="s">
        <v>1135</v>
      </c>
      <c r="B59" s="10" t="str">
        <f>$B$38</f>
        <v>From Fiscal Forecasts</v>
      </c>
      <c r="C59" s="13"/>
      <c r="D59" s="35">
        <f>'Fiscal Forecasts'!D$145</f>
        <v>6.39</v>
      </c>
      <c r="E59" s="35">
        <f>'Fiscal Forecasts'!E$145</f>
        <v>5.6230000000000002</v>
      </c>
      <c r="F59" s="35">
        <f>'Fiscal Forecasts'!F$145</f>
        <v>5.7240000000000002</v>
      </c>
      <c r="G59" s="35">
        <f>'Fiscal Forecasts'!G$145</f>
        <v>7.2830000000000004</v>
      </c>
      <c r="H59" s="35">
        <f>'Fiscal Forecasts'!H$145</f>
        <v>7.9580000000000002</v>
      </c>
      <c r="I59" s="35">
        <f>'Fiscal Forecasts'!I$145</f>
        <v>9.2309999999999999</v>
      </c>
      <c r="J59" s="17">
        <f>'Fiscal Forecasts'!J$145</f>
        <v>9.4350000000000005</v>
      </c>
      <c r="K59" s="17">
        <f>'Fiscal Forecasts'!K$145</f>
        <v>9.3460000000000001</v>
      </c>
      <c r="L59" s="17">
        <f>'Fiscal Forecasts'!L$145</f>
        <v>9.4849999999999994</v>
      </c>
      <c r="M59" s="17">
        <f>'Fiscal Forecasts'!M$145</f>
        <v>9.5519999999999996</v>
      </c>
      <c r="N59" s="17">
        <f>'Fiscal Forecasts'!N$145</f>
        <v>9.5259999999999998</v>
      </c>
      <c r="O59" s="16">
        <f ca="1">IF(O$6=OFFSET(Assumptions!$B$8,0,$C$1),AVERAGE(L$59/SUM(L$370,L$379),M$59/SUM(M$370,M$379),N$59/SUM(N$370,N$379)),N$59/SUM(N$370,N$379))*SUM(O$370,O$379)</f>
        <v>10.072620250258607</v>
      </c>
      <c r="P59" s="16">
        <f ca="1">IF(P$6=OFFSET(Assumptions!$B$8,0,$C$1),AVERAGE(M$59/SUM(M$370,M$379),N$59/SUM(N$370,N$379),O$59/SUM(O$370,O$379)),O$59/SUM(O$370,O$379))*SUM(P$370,P$379)</f>
        <v>10.499059686650636</v>
      </c>
      <c r="Q59" s="16">
        <f ca="1">IF(Q$6=OFFSET(Assumptions!$B$8,0,$C$1),AVERAGE(N$59/SUM(N$370,N$379),O$59/SUM(O$370,O$379),P$59/SUM(P$370,P$379)),P$59/SUM(P$370,P$379))*SUM(Q$370,Q$379)</f>
        <v>10.926425039567219</v>
      </c>
      <c r="R59" s="16">
        <f ca="1">IF(R$6=OFFSET(Assumptions!$B$8,0,$C$1),AVERAGE(O$59/SUM(O$370,O$379),P$59/SUM(P$370,P$379),Q$59/SUM(Q$370,Q$379)),Q$59/SUM(Q$370,Q$379))*SUM(R$370,R$379)</f>
        <v>11.353752508474253</v>
      </c>
      <c r="S59" s="16">
        <f ca="1">IF(S$6=OFFSET(Assumptions!$B$8,0,$C$1),AVERAGE(P$59/SUM(P$370,P$379),Q$59/SUM(Q$370,Q$379),R$59/SUM(R$370,R$379)),R$59/SUM(R$370,R$379))*SUM(S$370,S$379)</f>
        <v>11.790502403214663</v>
      </c>
      <c r="T59" s="16">
        <f ca="1">IF(T$6=OFFSET(Assumptions!$B$8,0,$C$1),AVERAGE(Q$59/SUM(Q$370,Q$379),R$59/SUM(R$370,R$379),S$59/SUM(S$370,S$379)),S$59/SUM(S$370,S$379))*SUM(T$370,T$379)</f>
        <v>12.236008204399441</v>
      </c>
      <c r="U59" s="16">
        <f ca="1">IF(U$6=OFFSET(Assumptions!$B$8,0,$C$1),AVERAGE(R$59/SUM(R$370,R$379),S$59/SUM(S$370,S$379),T$59/SUM(T$370,T$379)),T$59/SUM(T$370,T$379))*SUM(U$370,U$379)</f>
        <v>12.687453957643454</v>
      </c>
      <c r="V59" s="16">
        <f ca="1">IF(V$6=OFFSET(Assumptions!$B$8,0,$C$1),AVERAGE(S$59/SUM(S$370,S$379),T$59/SUM(T$370,T$379),U$59/SUM(U$370,U$379)),U$59/SUM(U$370,U$379))*SUM(V$370,V$379)</f>
        <v>13.145687110674762</v>
      </c>
      <c r="W59" s="16">
        <f ca="1">IF(W$6=OFFSET(Assumptions!$B$8,0,$C$1),AVERAGE(T$59/SUM(T$370,T$379),U$59/SUM(U$370,U$379),V$59/SUM(V$370,V$379)),V$59/SUM(V$370,V$379))*SUM(W$370,W$379)</f>
        <v>13.610690591336256</v>
      </c>
      <c r="X59" s="16">
        <f ca="1">IF(X$6=OFFSET(Assumptions!$B$8,0,$C$1),AVERAGE(U$59/SUM(U$370,U$379),V$59/SUM(V$370,V$379),W$59/SUM(W$370,W$379)),W$59/SUM(W$370,W$379))*SUM(X$370,X$379)</f>
        <v>14.085968447025619</v>
      </c>
    </row>
    <row r="60" spans="1:24" x14ac:dyDescent="0.25">
      <c r="A60" s="9" t="s">
        <v>839</v>
      </c>
      <c r="B60" s="10"/>
      <c r="C60" s="13"/>
      <c r="D60" s="65">
        <f t="shared" ref="D60:X60" ca="1" si="32">D$58-D$59</f>
        <v>136.94900000000001</v>
      </c>
      <c r="E60" s="65">
        <f t="shared" ca="1" si="32"/>
        <v>110.31999999999998</v>
      </c>
      <c r="F60" s="65">
        <f t="shared" ca="1" si="32"/>
        <v>151.46899999999994</v>
      </c>
      <c r="G60" s="65">
        <f t="shared" ca="1" si="32"/>
        <v>167.03600000000003</v>
      </c>
      <c r="H60" s="65">
        <f t="shared" ca="1" si="32"/>
        <v>183.51399999999992</v>
      </c>
      <c r="I60" s="65">
        <f t="shared" ca="1" si="32"/>
        <v>181.8180000000001</v>
      </c>
      <c r="J60" s="66">
        <f t="shared" ca="1" si="32"/>
        <v>173.69499999999988</v>
      </c>
      <c r="K60" s="66">
        <f t="shared" ca="1" si="32"/>
        <v>163.87800000000004</v>
      </c>
      <c r="L60" s="66">
        <f t="shared" ca="1" si="32"/>
        <v>158.2940000000001</v>
      </c>
      <c r="M60" s="66">
        <f t="shared" ca="1" si="32"/>
        <v>158.28800000000004</v>
      </c>
      <c r="N60" s="66">
        <f t="shared" ca="1" si="32"/>
        <v>162.36699999999996</v>
      </c>
      <c r="O60" s="67">
        <f t="shared" ca="1" si="32"/>
        <v>165.17491016981049</v>
      </c>
      <c r="P60" s="67">
        <f t="shared" ca="1" si="32"/>
        <v>167.90061442136766</v>
      </c>
      <c r="Q60" s="67">
        <f t="shared" ca="1" si="32"/>
        <v>170.28229133112779</v>
      </c>
      <c r="R60" s="67">
        <f t="shared" ca="1" si="32"/>
        <v>172.23069633697378</v>
      </c>
      <c r="S60" s="67">
        <f t="shared" ca="1" si="32"/>
        <v>173.89521671242616</v>
      </c>
      <c r="T60" s="67">
        <f t="shared" ca="1" si="32"/>
        <v>175.33359914407097</v>
      </c>
      <c r="U60" s="67">
        <f t="shared" ca="1" si="32"/>
        <v>176.68117578036461</v>
      </c>
      <c r="V60" s="67">
        <f t="shared" ca="1" si="32"/>
        <v>177.66056359584911</v>
      </c>
      <c r="W60" s="67">
        <f t="shared" ca="1" si="32"/>
        <v>177.96399824935236</v>
      </c>
      <c r="X60" s="67">
        <f t="shared" ca="1" si="32"/>
        <v>177.52391186398404</v>
      </c>
    </row>
    <row r="61" spans="1:24" x14ac:dyDescent="0.25">
      <c r="A61" s="55" t="s">
        <v>1136</v>
      </c>
      <c r="B61" s="10" t="str">
        <f>$B$42</f>
        <v>Outturn &amp; Forecast only</v>
      </c>
      <c r="C61" s="13"/>
      <c r="D61" s="91" t="str">
        <f ca="1">IF(ROUND('Fiscal Forecasts'!D$143-D$58,3)=0,"OK","ERROR")</f>
        <v>OK</v>
      </c>
      <c r="E61" s="91" t="str">
        <f ca="1">IF(ROUND('Fiscal Forecasts'!E$143-E$58,3)=0,"OK","ERROR")</f>
        <v>OK</v>
      </c>
      <c r="F61" s="91" t="str">
        <f ca="1">IF(ROUND('Fiscal Forecasts'!F$143-F$58,3)=0,"OK","ERROR")</f>
        <v>OK</v>
      </c>
      <c r="G61" s="91" t="str">
        <f ca="1">IF(ROUND('Fiscal Forecasts'!G$143-G$58,3)=0,"OK","ERROR")</f>
        <v>OK</v>
      </c>
      <c r="H61" s="91" t="str">
        <f ca="1">IF(ROUND('Fiscal Forecasts'!H$143-H$58,3)=0,"OK","ERROR")</f>
        <v>OK</v>
      </c>
      <c r="I61" s="91" t="str">
        <f ca="1">IF(ROUND('Fiscal Forecasts'!I$143-I$58,3)=0,"OK","ERROR")</f>
        <v>OK</v>
      </c>
      <c r="J61" s="91" t="str">
        <f ca="1">IF(ROUND('Fiscal Forecasts'!J$143-J$58,3)=0,"OK","ERROR")</f>
        <v>OK</v>
      </c>
      <c r="K61" s="91" t="str">
        <f ca="1">IF(ROUND('Fiscal Forecasts'!K$143-K$58,3)=0,"OK","ERROR")</f>
        <v>OK</v>
      </c>
      <c r="L61" s="91" t="str">
        <f ca="1">IF(ROUND('Fiscal Forecasts'!L$143-L$58,3)=0,"OK","ERROR")</f>
        <v>OK</v>
      </c>
      <c r="M61" s="91" t="str">
        <f ca="1">IF(ROUND('Fiscal Forecasts'!M$143-M$58,3)=0,"OK","ERROR")</f>
        <v>OK</v>
      </c>
      <c r="N61" s="91" t="str">
        <f ca="1">IF(ROUND('Fiscal Forecasts'!N$143-N$58,3)=0,"OK","ERROR")</f>
        <v>OK</v>
      </c>
      <c r="O61" s="18"/>
      <c r="P61" s="18"/>
      <c r="Q61" s="18"/>
      <c r="R61" s="18"/>
      <c r="S61" s="18"/>
      <c r="T61" s="18"/>
      <c r="U61" s="18"/>
      <c r="V61" s="18"/>
      <c r="W61" s="18"/>
      <c r="X61" s="18"/>
    </row>
    <row r="62" spans="1:24" x14ac:dyDescent="0.25">
      <c r="A62" s="55" t="s">
        <v>1147</v>
      </c>
      <c r="B62" s="10" t="s">
        <v>1146</v>
      </c>
      <c r="C62" s="13"/>
      <c r="D62" s="36"/>
      <c r="E62" s="36"/>
      <c r="F62" s="36"/>
      <c r="G62" s="36"/>
      <c r="H62" s="36"/>
      <c r="I62" s="36"/>
      <c r="J62" s="19"/>
      <c r="K62" s="19"/>
      <c r="L62" s="19"/>
      <c r="M62" s="19"/>
      <c r="N62" s="19"/>
      <c r="O62" s="91" t="str">
        <f t="shared" ref="O62:X62" ca="1" si="33">IF(ROUND(O$39+O$38-(O$58-N$58),3)=0,"OK","ERROR")</f>
        <v>OK</v>
      </c>
      <c r="P62" s="91" t="str">
        <f t="shared" ca="1" si="33"/>
        <v>OK</v>
      </c>
      <c r="Q62" s="91" t="str">
        <f t="shared" ca="1" si="33"/>
        <v>OK</v>
      </c>
      <c r="R62" s="91" t="str">
        <f t="shared" ca="1" si="33"/>
        <v>OK</v>
      </c>
      <c r="S62" s="91" t="str">
        <f t="shared" ca="1" si="33"/>
        <v>OK</v>
      </c>
      <c r="T62" s="91" t="str">
        <f t="shared" ca="1" si="33"/>
        <v>OK</v>
      </c>
      <c r="U62" s="91" t="str">
        <f t="shared" ca="1" si="33"/>
        <v>OK</v>
      </c>
      <c r="V62" s="91" t="str">
        <f t="shared" ca="1" si="33"/>
        <v>OK</v>
      </c>
      <c r="W62" s="91" t="str">
        <f t="shared" ca="1" si="33"/>
        <v>OK</v>
      </c>
      <c r="X62" s="91" t="str">
        <f t="shared" ca="1" si="33"/>
        <v>OK</v>
      </c>
    </row>
    <row r="63" spans="1:24" x14ac:dyDescent="0.25">
      <c r="A63" s="9" t="s">
        <v>672</v>
      </c>
      <c r="B63" s="9"/>
      <c r="C63" s="13"/>
      <c r="D63" s="42">
        <f t="shared" ref="D63:X63" ca="1" si="34">SUM(D$355,D$362,D$368,D$377,D$397,D$403,D$419,D$423,D$427,D$437,D$441,D$450,D$451)</f>
        <v>201.42400000000004</v>
      </c>
      <c r="E63" s="42">
        <f t="shared" ca="1" si="34"/>
        <v>219.821</v>
      </c>
      <c r="F63" s="42">
        <f t="shared" ca="1" si="34"/>
        <v>239.35500000000002</v>
      </c>
      <c r="G63" s="42">
        <f t="shared" ca="1" si="34"/>
        <v>269.32</v>
      </c>
      <c r="H63" s="42">
        <f t="shared" ca="1" si="34"/>
        <v>294.69400000000002</v>
      </c>
      <c r="I63" s="42">
        <f t="shared" ca="1" si="34"/>
        <v>326.74099999999999</v>
      </c>
      <c r="J63" s="43">
        <f t="shared" ca="1" si="34"/>
        <v>357.79299999999995</v>
      </c>
      <c r="K63" s="43">
        <f t="shared" ca="1" si="34"/>
        <v>372.36100000000005</v>
      </c>
      <c r="L63" s="43">
        <f t="shared" ca="1" si="34"/>
        <v>387.94900000000007</v>
      </c>
      <c r="M63" s="43">
        <f t="shared" ca="1" si="34"/>
        <v>401.86699999999996</v>
      </c>
      <c r="N63" s="43">
        <f t="shared" ca="1" si="34"/>
        <v>416.26400000000001</v>
      </c>
      <c r="O63" s="47">
        <f t="shared" ca="1" si="34"/>
        <v>432.97294674571225</v>
      </c>
      <c r="P63" s="47">
        <f t="shared" ca="1" si="34"/>
        <v>449.34894031547736</v>
      </c>
      <c r="Q63" s="47">
        <f t="shared" ca="1" si="34"/>
        <v>466.2321771888241</v>
      </c>
      <c r="R63" s="47">
        <f t="shared" ca="1" si="34"/>
        <v>483.56153976588149</v>
      </c>
      <c r="S63" s="47">
        <f t="shared" ca="1" si="34"/>
        <v>501.33709774520719</v>
      </c>
      <c r="T63" s="47">
        <f t="shared" ca="1" si="34"/>
        <v>519.57287793981573</v>
      </c>
      <c r="U63" s="47">
        <f t="shared" ca="1" si="34"/>
        <v>538.22904239667616</v>
      </c>
      <c r="V63" s="47">
        <f t="shared" ca="1" si="34"/>
        <v>557.34162313967806</v>
      </c>
      <c r="W63" s="47">
        <f t="shared" ca="1" si="34"/>
        <v>577.00607283747831</v>
      </c>
      <c r="X63" s="47">
        <f t="shared" ca="1" si="34"/>
        <v>597.33966730181453</v>
      </c>
    </row>
    <row r="64" spans="1:24" x14ac:dyDescent="0.25">
      <c r="A64" s="9" t="s">
        <v>674</v>
      </c>
      <c r="B64" s="9"/>
      <c r="C64" s="13"/>
      <c r="D64" s="42">
        <f t="shared" ref="D64:X64" si="35">SUM(D$71,D$454,D$460,D$464,D$468,D$472,D$478,D$485)</f>
        <v>132.88</v>
      </c>
      <c r="E64" s="42">
        <f t="shared" si="35"/>
        <v>172.70499999999998</v>
      </c>
      <c r="F64" s="42">
        <f t="shared" si="35"/>
        <v>178.81700000000001</v>
      </c>
      <c r="G64" s="42">
        <f t="shared" si="35"/>
        <v>224.036</v>
      </c>
      <c r="H64" s="42">
        <f t="shared" si="35"/>
        <v>235.35300000000001</v>
      </c>
      <c r="I64" s="42">
        <f t="shared" si="35"/>
        <v>261.70100000000002</v>
      </c>
      <c r="J64" s="43">
        <f t="shared" si="35"/>
        <v>296.44799999999992</v>
      </c>
      <c r="K64" s="43">
        <f t="shared" si="35"/>
        <v>316.36</v>
      </c>
      <c r="L64" s="43">
        <f t="shared" si="35"/>
        <v>333.11800000000005</v>
      </c>
      <c r="M64" s="43">
        <f t="shared" si="35"/>
        <v>343.65699999999998</v>
      </c>
      <c r="N64" s="43">
        <f t="shared" si="35"/>
        <v>351.35600000000005</v>
      </c>
      <c r="O64" s="47">
        <f t="shared" ca="1" si="35"/>
        <v>362.89454747120857</v>
      </c>
      <c r="P64" s="47">
        <f t="shared" ca="1" si="35"/>
        <v>374.73906036597464</v>
      </c>
      <c r="Q64" s="47">
        <f t="shared" ca="1" si="35"/>
        <v>388.01027487830038</v>
      </c>
      <c r="R64" s="47">
        <f t="shared" ca="1" si="35"/>
        <v>402.82363875070735</v>
      </c>
      <c r="S64" s="47">
        <f t="shared" ca="1" si="35"/>
        <v>419.15909060192229</v>
      </c>
      <c r="T64" s="47">
        <f t="shared" ca="1" si="35"/>
        <v>437.12192526457403</v>
      </c>
      <c r="U64" s="47">
        <f t="shared" ca="1" si="35"/>
        <v>456.6364361581455</v>
      </c>
      <c r="V64" s="47">
        <f t="shared" ca="1" si="35"/>
        <v>477.77609804218923</v>
      </c>
      <c r="W64" s="47">
        <f t="shared" ca="1" si="35"/>
        <v>500.6708761763507</v>
      </c>
      <c r="X64" s="47">
        <f t="shared" ca="1" si="35"/>
        <v>525.45767065904124</v>
      </c>
    </row>
    <row r="65" spans="1:24" x14ac:dyDescent="0.25">
      <c r="A65" s="9" t="s">
        <v>676</v>
      </c>
      <c r="B65" s="9"/>
      <c r="C65" s="13"/>
      <c r="D65" s="65">
        <f t="shared" ref="D65:X65" ca="1" si="36">D$63-D$64</f>
        <v>68.54400000000004</v>
      </c>
      <c r="E65" s="65">
        <f t="shared" ca="1" si="36"/>
        <v>47.116000000000014</v>
      </c>
      <c r="F65" s="65">
        <f t="shared" ca="1" si="36"/>
        <v>60.538000000000011</v>
      </c>
      <c r="G65" s="65">
        <f t="shared" ca="1" si="36"/>
        <v>45.283999999999992</v>
      </c>
      <c r="H65" s="65">
        <f t="shared" ca="1" si="36"/>
        <v>59.341000000000008</v>
      </c>
      <c r="I65" s="65">
        <f t="shared" ca="1" si="36"/>
        <v>65.039999999999964</v>
      </c>
      <c r="J65" s="66">
        <f t="shared" ca="1" si="36"/>
        <v>61.345000000000027</v>
      </c>
      <c r="K65" s="66">
        <f t="shared" ca="1" si="36"/>
        <v>56.001000000000033</v>
      </c>
      <c r="L65" s="66">
        <f t="shared" ca="1" si="36"/>
        <v>54.831000000000017</v>
      </c>
      <c r="M65" s="66">
        <f t="shared" ca="1" si="36"/>
        <v>58.20999999999998</v>
      </c>
      <c r="N65" s="66">
        <f t="shared" ca="1" si="36"/>
        <v>64.907999999999959</v>
      </c>
      <c r="O65" s="67">
        <f t="shared" ca="1" si="36"/>
        <v>70.078399274503681</v>
      </c>
      <c r="P65" s="67">
        <f t="shared" ca="1" si="36"/>
        <v>74.609879949502727</v>
      </c>
      <c r="Q65" s="67">
        <f t="shared" ca="1" si="36"/>
        <v>78.221902310523717</v>
      </c>
      <c r="R65" s="67">
        <f t="shared" ca="1" si="36"/>
        <v>80.737901015174145</v>
      </c>
      <c r="S65" s="67">
        <f t="shared" ca="1" si="36"/>
        <v>82.178007143284901</v>
      </c>
      <c r="T65" s="67">
        <f t="shared" ca="1" si="36"/>
        <v>82.450952675241695</v>
      </c>
      <c r="U65" s="67">
        <f t="shared" ca="1" si="36"/>
        <v>81.592606238530664</v>
      </c>
      <c r="V65" s="67">
        <f t="shared" ca="1" si="36"/>
        <v>79.56552509748883</v>
      </c>
      <c r="W65" s="67">
        <f t="shared" ca="1" si="36"/>
        <v>76.335196661127611</v>
      </c>
      <c r="X65" s="67">
        <f t="shared" ca="1" si="36"/>
        <v>71.881996642773288</v>
      </c>
    </row>
    <row r="66" spans="1:24" x14ac:dyDescent="0.25">
      <c r="A66" s="55" t="s">
        <v>1155</v>
      </c>
      <c r="B66" s="10" t="str">
        <f>$B$42</f>
        <v>Outturn &amp; Forecast only</v>
      </c>
      <c r="C66" s="13"/>
      <c r="D66" s="91" t="str">
        <f ca="1">IF(ROUND('Fiscal Forecasts'!D$200-D$65,3)=0,"OK","ERROR")</f>
        <v>OK</v>
      </c>
      <c r="E66" s="91" t="str">
        <f ca="1">IF(ROUND('Fiscal Forecasts'!E$200-E$65,3)=0,"OK","ERROR")</f>
        <v>OK</v>
      </c>
      <c r="F66" s="91" t="str">
        <f ca="1">IF(ROUND('Fiscal Forecasts'!F$200-F$65,3)=0,"OK","ERROR")</f>
        <v>OK</v>
      </c>
      <c r="G66" s="91" t="str">
        <f ca="1">IF(ROUND('Fiscal Forecasts'!G$200-G$65,3)=0,"OK","ERROR")</f>
        <v>OK</v>
      </c>
      <c r="H66" s="91" t="str">
        <f ca="1">IF(ROUND('Fiscal Forecasts'!H$200-H$65,3)=0,"OK","ERROR")</f>
        <v>OK</v>
      </c>
      <c r="I66" s="91" t="str">
        <f ca="1">IF(ROUND('Fiscal Forecasts'!I$200-I$65,3)=0,"OK","ERROR")</f>
        <v>OK</v>
      </c>
      <c r="J66" s="91" t="str">
        <f ca="1">IF(ROUND('Fiscal Forecasts'!J$200-J$65,3)=0,"OK","ERROR")</f>
        <v>OK</v>
      </c>
      <c r="K66" s="91" t="str">
        <f ca="1">IF(ROUND('Fiscal Forecasts'!K$200-K$65,3)=0,"OK","ERROR")</f>
        <v>OK</v>
      </c>
      <c r="L66" s="91" t="str">
        <f ca="1">IF(ROUND('Fiscal Forecasts'!L$200-L$65,3)=0,"OK","ERROR")</f>
        <v>OK</v>
      </c>
      <c r="M66" s="91" t="str">
        <f ca="1">IF(ROUND('Fiscal Forecasts'!M$200-M$65,3)=0,"OK","ERROR")</f>
        <v>OK</v>
      </c>
      <c r="N66" s="91" t="str">
        <f ca="1">IF(ROUND('Fiscal Forecasts'!N$200-N$65,3)=0,"OK","ERROR")</f>
        <v>OK</v>
      </c>
      <c r="O66" s="18"/>
      <c r="P66" s="18"/>
      <c r="Q66" s="18"/>
      <c r="R66" s="18"/>
      <c r="S66" s="18"/>
      <c r="T66" s="18"/>
      <c r="U66" s="18"/>
      <c r="V66" s="18"/>
      <c r="W66" s="18"/>
      <c r="X66" s="18"/>
    </row>
    <row r="67" spans="1:24" x14ac:dyDescent="0.25">
      <c r="A67" s="55" t="s">
        <v>1156</v>
      </c>
      <c r="B67" s="10" t="str">
        <f>$B$62</f>
        <v>Projected Years only</v>
      </c>
      <c r="C67" s="13"/>
      <c r="D67" s="36"/>
      <c r="E67" s="36"/>
      <c r="F67" s="36"/>
      <c r="G67" s="36"/>
      <c r="H67" s="36"/>
      <c r="I67" s="36"/>
      <c r="J67" s="19"/>
      <c r="K67" s="19"/>
      <c r="L67" s="19"/>
      <c r="M67" s="19"/>
      <c r="N67" s="19"/>
      <c r="O67" s="91" t="str">
        <f t="shared" ref="O67:X67" ca="1" si="37">IF(ROUND(O$49-(O$65-N$65),3)=0,"OK","ERROR")</f>
        <v>OK</v>
      </c>
      <c r="P67" s="91" t="str">
        <f t="shared" ca="1" si="37"/>
        <v>OK</v>
      </c>
      <c r="Q67" s="91" t="str">
        <f t="shared" ca="1" si="37"/>
        <v>OK</v>
      </c>
      <c r="R67" s="91" t="str">
        <f t="shared" ca="1" si="37"/>
        <v>OK</v>
      </c>
      <c r="S67" s="91" t="str">
        <f t="shared" ca="1" si="37"/>
        <v>OK</v>
      </c>
      <c r="T67" s="91" t="str">
        <f t="shared" ca="1" si="37"/>
        <v>OK</v>
      </c>
      <c r="U67" s="91" t="str">
        <f t="shared" ca="1" si="37"/>
        <v>OK</v>
      </c>
      <c r="V67" s="91" t="str">
        <f t="shared" ca="1" si="37"/>
        <v>OK</v>
      </c>
      <c r="W67" s="91" t="str">
        <f t="shared" ca="1" si="37"/>
        <v>OK</v>
      </c>
      <c r="X67" s="91" t="str">
        <f t="shared" ca="1" si="37"/>
        <v>OK</v>
      </c>
    </row>
    <row r="68" spans="1:24" x14ac:dyDescent="0.25">
      <c r="A68" s="9"/>
      <c r="B68" s="9"/>
      <c r="C68" s="13"/>
      <c r="D68" s="36"/>
      <c r="E68" s="36"/>
      <c r="F68" s="36"/>
      <c r="G68" s="36"/>
      <c r="H68" s="36"/>
      <c r="I68" s="36"/>
      <c r="J68" s="19"/>
      <c r="K68" s="19"/>
      <c r="L68" s="19"/>
      <c r="M68" s="19"/>
      <c r="N68" s="19"/>
      <c r="O68" s="18"/>
      <c r="P68" s="18"/>
      <c r="Q68" s="18"/>
      <c r="R68" s="18"/>
      <c r="S68" s="18"/>
      <c r="T68" s="18"/>
      <c r="U68" s="18"/>
      <c r="V68" s="18"/>
      <c r="W68" s="18"/>
      <c r="X68" s="18"/>
    </row>
    <row r="69" spans="1:24" x14ac:dyDescent="0.25">
      <c r="A69" s="12" t="s">
        <v>894</v>
      </c>
      <c r="B69" s="9"/>
      <c r="C69" s="13"/>
      <c r="D69" s="36"/>
      <c r="E69" s="36"/>
      <c r="F69" s="36"/>
      <c r="G69" s="36"/>
      <c r="H69" s="36"/>
      <c r="I69" s="36"/>
      <c r="J69" s="36"/>
      <c r="K69" s="36"/>
      <c r="L69" s="36"/>
      <c r="M69" s="36"/>
      <c r="N69" s="36"/>
      <c r="O69" s="13"/>
      <c r="P69" s="13"/>
      <c r="Q69" s="13"/>
      <c r="R69" s="13"/>
      <c r="S69" s="13"/>
      <c r="T69" s="13"/>
      <c r="U69" s="13"/>
      <c r="V69" s="13"/>
      <c r="W69" s="13"/>
      <c r="X69" s="13"/>
    </row>
    <row r="70" spans="1:24" x14ac:dyDescent="0.25">
      <c r="A70" s="9" t="s">
        <v>895</v>
      </c>
      <c r="B70" s="10" t="str">
        <f>$B$38</f>
        <v>From Fiscal Forecasts</v>
      </c>
      <c r="C70" s="13"/>
      <c r="D70" s="42">
        <f>'Fiscal Forecasts'!D$137</f>
        <v>110.248</v>
      </c>
      <c r="E70" s="42">
        <f>'Fiscal Forecasts'!E$137</f>
        <v>152.71700000000001</v>
      </c>
      <c r="F70" s="42">
        <f>'Fiscal Forecasts'!F$137</f>
        <v>162.56</v>
      </c>
      <c r="G70" s="42">
        <f>'Fiscal Forecasts'!G$137</f>
        <v>203.965</v>
      </c>
      <c r="H70" s="42">
        <f>'Fiscal Forecasts'!H$137</f>
        <v>226.755</v>
      </c>
      <c r="I70" s="42">
        <f>'Fiscal Forecasts'!I$137</f>
        <v>250.94300000000001</v>
      </c>
      <c r="J70" s="43">
        <f>'Fiscal Forecasts'!J$137</f>
        <v>277.57</v>
      </c>
      <c r="K70" s="43">
        <f>'Fiscal Forecasts'!K$137</f>
        <v>305.07600000000002</v>
      </c>
      <c r="L70" s="43">
        <f>'Fiscal Forecasts'!L$137</f>
        <v>325.91899999999998</v>
      </c>
      <c r="M70" s="43">
        <f>'Fiscal Forecasts'!M$137</f>
        <v>342.61099999999999</v>
      </c>
      <c r="N70" s="43">
        <f>'Fiscal Forecasts'!N$137</f>
        <v>354.2</v>
      </c>
      <c r="O70" s="47">
        <f t="shared" ref="O70:X70" ca="1" si="38">SUM(N$70,O$108)</f>
        <v>365.47713387208995</v>
      </c>
      <c r="P70" s="47">
        <f t="shared" ca="1" si="38"/>
        <v>378.88990819827023</v>
      </c>
      <c r="Q70" s="47">
        <f t="shared" ca="1" si="38"/>
        <v>392.95181504428433</v>
      </c>
      <c r="R70" s="47">
        <f t="shared" ca="1" si="38"/>
        <v>407.75130541298779</v>
      </c>
      <c r="S70" s="47">
        <f t="shared" ca="1" si="38"/>
        <v>423.19498046165103</v>
      </c>
      <c r="T70" s="47">
        <f t="shared" ca="1" si="38"/>
        <v>439.23879130950843</v>
      </c>
      <c r="U70" s="47">
        <f t="shared" ca="1" si="38"/>
        <v>455.75478669296507</v>
      </c>
      <c r="V70" s="47">
        <f t="shared" ca="1" si="38"/>
        <v>472.99843718542996</v>
      </c>
      <c r="W70" s="47">
        <f t="shared" ca="1" si="38"/>
        <v>491.26640510568188</v>
      </c>
      <c r="X70" s="47">
        <f t="shared" ca="1" si="38"/>
        <v>510.72988360407146</v>
      </c>
    </row>
    <row r="71" spans="1:24" x14ac:dyDescent="0.25">
      <c r="A71" s="11" t="s">
        <v>645</v>
      </c>
      <c r="B71" s="10" t="str">
        <f>$B$38</f>
        <v>From Fiscal Forecasts</v>
      </c>
      <c r="C71" s="13"/>
      <c r="D71" s="42">
        <f>'Fiscal Forecasts'!D$147</f>
        <v>91.51</v>
      </c>
      <c r="E71" s="42">
        <f>'Fiscal Forecasts'!E$147</f>
        <v>126.34099999999999</v>
      </c>
      <c r="F71" s="42">
        <f>'Fiscal Forecasts'!F$147</f>
        <v>132.54300000000001</v>
      </c>
      <c r="G71" s="42">
        <f>'Fiscal Forecasts'!G$147</f>
        <v>168.98599999999999</v>
      </c>
      <c r="H71" s="42">
        <f>'Fiscal Forecasts'!H$147</f>
        <v>191.029</v>
      </c>
      <c r="I71" s="42">
        <f>'Fiscal Forecasts'!I$147</f>
        <v>216.34899999999999</v>
      </c>
      <c r="J71" s="43">
        <f>'Fiscal Forecasts'!J$147</f>
        <v>244.69399999999999</v>
      </c>
      <c r="K71" s="43">
        <f>'Fiscal Forecasts'!K$147</f>
        <v>266.68599999999998</v>
      </c>
      <c r="L71" s="43">
        <f>'Fiscal Forecasts'!L$147</f>
        <v>283.69200000000001</v>
      </c>
      <c r="M71" s="43">
        <f>'Fiscal Forecasts'!M$147</f>
        <v>295.63799999999998</v>
      </c>
      <c r="N71" s="43">
        <f>'Fiscal Forecasts'!N$147</f>
        <v>304.26799999999997</v>
      </c>
      <c r="O71" s="47">
        <f t="shared" ref="O71:X71" ca="1" si="39">SUM(N$71,O$518)</f>
        <v>312.84691201022821</v>
      </c>
      <c r="P71" s="47">
        <f t="shared" ca="1" si="39"/>
        <v>324.14992742161735</v>
      </c>
      <c r="Q71" s="47">
        <f t="shared" ca="1" si="39"/>
        <v>336.82339179606885</v>
      </c>
      <c r="R71" s="47">
        <f t="shared" ca="1" si="39"/>
        <v>350.99391723016385</v>
      </c>
      <c r="S71" s="47">
        <f t="shared" ca="1" si="39"/>
        <v>366.63224363896359</v>
      </c>
      <c r="T71" s="47">
        <f t="shared" ca="1" si="39"/>
        <v>383.84180411458311</v>
      </c>
      <c r="U71" s="47">
        <f t="shared" ca="1" si="39"/>
        <v>402.5419676723821</v>
      </c>
      <c r="V71" s="47">
        <f t="shared" ca="1" si="39"/>
        <v>422.80816864774755</v>
      </c>
      <c r="W71" s="47">
        <f t="shared" ca="1" si="39"/>
        <v>444.766560539225</v>
      </c>
      <c r="X71" s="47">
        <f t="shared" ca="1" si="39"/>
        <v>468.54712783472496</v>
      </c>
    </row>
    <row r="72" spans="1:24" x14ac:dyDescent="0.25">
      <c r="A72" s="11" t="s">
        <v>646</v>
      </c>
      <c r="B72" s="10" t="str">
        <f t="shared" ref="B72:B80" si="40">$B$38</f>
        <v>From Fiscal Forecasts</v>
      </c>
      <c r="C72" s="13"/>
      <c r="D72" s="35">
        <f>'Fiscal Forecasts'!D$148</f>
        <v>0.251</v>
      </c>
      <c r="E72" s="35">
        <f>'Fiscal Forecasts'!E$148</f>
        <v>5.5E-2</v>
      </c>
      <c r="F72" s="35">
        <f>'Fiscal Forecasts'!F$148</f>
        <v>2.1000000000000001E-2</v>
      </c>
      <c r="G72" s="35">
        <f>'Fiscal Forecasts'!G$148</f>
        <v>0.20799999999999999</v>
      </c>
      <c r="H72" s="35">
        <f>'Fiscal Forecasts'!H$148</f>
        <v>0.96199999999999997</v>
      </c>
      <c r="I72" s="35">
        <f>'Fiscal Forecasts'!I$148</f>
        <v>0.84699999999999998</v>
      </c>
      <c r="J72" s="17">
        <f>'Fiscal Forecasts'!J$148</f>
        <v>5.6289999999999996</v>
      </c>
      <c r="K72" s="17">
        <f>'Fiscal Forecasts'!K$148</f>
        <v>5.2130000000000001</v>
      </c>
      <c r="L72" s="17">
        <f>'Fiscal Forecasts'!L$148</f>
        <v>6.266</v>
      </c>
      <c r="M72" s="17">
        <f>'Fiscal Forecasts'!M$148</f>
        <v>5.5540000000000003</v>
      </c>
      <c r="N72" s="17">
        <f>'Fiscal Forecasts'!N$148</f>
        <v>5.21</v>
      </c>
      <c r="O72" s="16">
        <f t="shared" ref="O72:X72" ca="1" si="41">N$72*(1+O$29)</f>
        <v>5.3142000000000005</v>
      </c>
      <c r="P72" s="16">
        <f t="shared" ca="1" si="41"/>
        <v>5.420484000000001</v>
      </c>
      <c r="Q72" s="16">
        <f t="shared" ca="1" si="41"/>
        <v>5.5288936800000013</v>
      </c>
      <c r="R72" s="16">
        <f t="shared" ca="1" si="41"/>
        <v>5.6394715536000017</v>
      </c>
      <c r="S72" s="16">
        <f t="shared" ca="1" si="41"/>
        <v>5.7522609846720023</v>
      </c>
      <c r="T72" s="16">
        <f t="shared" ca="1" si="41"/>
        <v>5.867306204365442</v>
      </c>
      <c r="U72" s="16">
        <f t="shared" ca="1" si="41"/>
        <v>5.9846523284527509</v>
      </c>
      <c r="V72" s="16">
        <f t="shared" ca="1" si="41"/>
        <v>6.104345375021806</v>
      </c>
      <c r="W72" s="16">
        <f t="shared" ca="1" si="41"/>
        <v>6.226432282522242</v>
      </c>
      <c r="X72" s="16">
        <f t="shared" ca="1" si="41"/>
        <v>6.3509609281726869</v>
      </c>
    </row>
    <row r="73" spans="1:24" x14ac:dyDescent="0.25">
      <c r="A73" s="11" t="s">
        <v>1044</v>
      </c>
      <c r="B73" s="10" t="str">
        <f t="shared" si="40"/>
        <v>From Fiscal Forecasts</v>
      </c>
      <c r="C73" s="13"/>
      <c r="D73" s="35">
        <f>'Fiscal Forecasts'!D$149</f>
        <v>0.90300000000000002</v>
      </c>
      <c r="E73" s="35">
        <f>'Fiscal Forecasts'!E$149</f>
        <v>2.6749999999999998</v>
      </c>
      <c r="F73" s="35">
        <f>'Fiscal Forecasts'!F$149</f>
        <v>2.2170000000000001</v>
      </c>
      <c r="G73" s="35">
        <f>'Fiscal Forecasts'!G$149</f>
        <v>9.99</v>
      </c>
      <c r="H73" s="35">
        <f>'Fiscal Forecasts'!H$149</f>
        <v>3.093</v>
      </c>
      <c r="I73" s="35">
        <f>'Fiscal Forecasts'!I$149</f>
        <v>2.754</v>
      </c>
      <c r="J73" s="17">
        <f>'Fiscal Forecasts'!J$149</f>
        <v>6.6070000000000002</v>
      </c>
      <c r="K73" s="17">
        <f>'Fiscal Forecasts'!K$149</f>
        <v>6.3109999999999999</v>
      </c>
      <c r="L73" s="17">
        <f>'Fiscal Forecasts'!L$149</f>
        <v>7.3639999999999999</v>
      </c>
      <c r="M73" s="17">
        <f>'Fiscal Forecasts'!M$149</f>
        <v>6.6509999999999998</v>
      </c>
      <c r="N73" s="17">
        <f>'Fiscal Forecasts'!N$149</f>
        <v>6.335</v>
      </c>
      <c r="O73" s="16">
        <f ca="1">OFFSET(Assumptions!$B$53,0,$C$1)*O$394</f>
        <v>5.0083082706011082</v>
      </c>
      <c r="P73" s="16">
        <f ca="1">OFFSET(Assumptions!$B$53,0,$C$1)*P$394</f>
        <v>5.303445993985485</v>
      </c>
      <c r="Q73" s="16">
        <f ca="1">OFFSET(Assumptions!$B$53,0,$C$1)*Q$394</f>
        <v>5.6088278429922438</v>
      </c>
      <c r="R73" s="16">
        <f ca="1">OFFSET(Assumptions!$B$53,0,$C$1)*R$394</f>
        <v>5.9223912278876014</v>
      </c>
      <c r="S73" s="16">
        <f ca="1">OFFSET(Assumptions!$B$53,0,$C$1)*S$394</f>
        <v>6.2431275008564224</v>
      </c>
      <c r="T73" s="16">
        <f ca="1">OFFSET(Assumptions!$B$53,0,$C$1)*T$394</f>
        <v>6.5718228075012632</v>
      </c>
      <c r="U73" s="16">
        <f ca="1">OFFSET(Assumptions!$B$53,0,$C$1)*U$394</f>
        <v>6.9066586412970077</v>
      </c>
      <c r="V73" s="16">
        <f ca="1">OFFSET(Assumptions!$B$53,0,$C$1)*V$394</f>
        <v>7.2489560832900279</v>
      </c>
      <c r="W73" s="16">
        <f ca="1">OFFSET(Assumptions!$B$53,0,$C$1)*W$394</f>
        <v>7.6024543097193593</v>
      </c>
      <c r="X73" s="16">
        <f ca="1">OFFSET(Assumptions!$B$53,0,$C$1)*X$394</f>
        <v>7.9713789773345125</v>
      </c>
    </row>
    <row r="74" spans="1:24" x14ac:dyDescent="0.25">
      <c r="A74" s="11" t="s">
        <v>1045</v>
      </c>
      <c r="B74" s="10" t="str">
        <f t="shared" si="40"/>
        <v>From Fiscal Forecasts</v>
      </c>
      <c r="C74" s="13"/>
      <c r="D74" s="35">
        <f>'Fiscal Forecasts'!D$150</f>
        <v>92.590999999999994</v>
      </c>
      <c r="E74" s="35">
        <f>'Fiscal Forecasts'!E$150</f>
        <v>101.77800000000001</v>
      </c>
      <c r="F74" s="35">
        <f>'Fiscal Forecasts'!F$150</f>
        <v>108.423</v>
      </c>
      <c r="G74" s="35">
        <f>'Fiscal Forecasts'!G$150</f>
        <v>121.13800000000001</v>
      </c>
      <c r="H74" s="35">
        <f>'Fiscal Forecasts'!H$150</f>
        <v>135.595</v>
      </c>
      <c r="I74" s="35">
        <f>'Fiscal Forecasts'!I$150</f>
        <v>154.9</v>
      </c>
      <c r="J74" s="17">
        <f>'Fiscal Forecasts'!J$150</f>
        <v>178.327</v>
      </c>
      <c r="K74" s="17">
        <f>'Fiscal Forecasts'!K$150</f>
        <v>184.34800000000001</v>
      </c>
      <c r="L74" s="17">
        <f>'Fiscal Forecasts'!L$150</f>
        <v>192.185</v>
      </c>
      <c r="M74" s="17">
        <f>'Fiscal Forecasts'!M$150</f>
        <v>198.71100000000001</v>
      </c>
      <c r="N74" s="17">
        <f>'Fiscal Forecasts'!N$150</f>
        <v>206.35</v>
      </c>
      <c r="O74" s="16">
        <f t="shared" ref="O74:X74" ca="1" si="42">SUM(O$355,O$368,O$377,O$397,O$403)</f>
        <v>211.19504072049011</v>
      </c>
      <c r="P74" s="16">
        <f t="shared" ca="1" si="42"/>
        <v>217.89289636413051</v>
      </c>
      <c r="Q74" s="16">
        <f t="shared" ca="1" si="42"/>
        <v>224.80707839071698</v>
      </c>
      <c r="R74" s="16">
        <f t="shared" ca="1" si="42"/>
        <v>231.88820532530087</v>
      </c>
      <c r="S74" s="16">
        <f t="shared" ca="1" si="42"/>
        <v>239.11210667478636</v>
      </c>
      <c r="T74" s="16">
        <f t="shared" ca="1" si="42"/>
        <v>246.48584164773231</v>
      </c>
      <c r="U74" s="16">
        <f t="shared" ca="1" si="42"/>
        <v>253.96863580884855</v>
      </c>
      <c r="V74" s="16">
        <f t="shared" ca="1" si="42"/>
        <v>261.58583681645962</v>
      </c>
      <c r="W74" s="16">
        <f t="shared" ca="1" si="42"/>
        <v>269.42234041725624</v>
      </c>
      <c r="X74" s="16">
        <f t="shared" ca="1" si="42"/>
        <v>277.57621770886936</v>
      </c>
    </row>
    <row r="75" spans="1:24" x14ac:dyDescent="0.25">
      <c r="A75" s="11" t="s">
        <v>1046</v>
      </c>
      <c r="B75" s="10" t="str">
        <f t="shared" si="40"/>
        <v>From Fiscal Forecasts</v>
      </c>
      <c r="C75" s="13"/>
      <c r="D75" s="35">
        <f>'Fiscal Forecasts'!D$151</f>
        <v>0.66900000000000004</v>
      </c>
      <c r="E75" s="35">
        <f>'Fiscal Forecasts'!E$151</f>
        <v>1.9E-2</v>
      </c>
      <c r="F75" s="35">
        <f>'Fiscal Forecasts'!F$151</f>
        <v>5.6000000000000001E-2</v>
      </c>
      <c r="G75" s="35">
        <f>'Fiscal Forecasts'!G$151</f>
        <v>0.55100000000000005</v>
      </c>
      <c r="H75" s="35">
        <f>'Fiscal Forecasts'!H$151</f>
        <v>2.5649999999999999</v>
      </c>
      <c r="I75" s="35">
        <f>'Fiscal Forecasts'!I$151</f>
        <v>3.278</v>
      </c>
      <c r="J75" s="17">
        <f>'Fiscal Forecasts'!J$151</f>
        <v>4.8579999999999997</v>
      </c>
      <c r="K75" s="17">
        <f>'Fiscal Forecasts'!K$151</f>
        <v>4.2329999999999997</v>
      </c>
      <c r="L75" s="17">
        <f>'Fiscal Forecasts'!L$151</f>
        <v>4.2619999999999996</v>
      </c>
      <c r="M75" s="17">
        <f>'Fiscal Forecasts'!M$151</f>
        <v>4.2910000000000004</v>
      </c>
      <c r="N75" s="17">
        <f>'Fiscal Forecasts'!N$151</f>
        <v>4.3239999999999998</v>
      </c>
      <c r="O75" s="16">
        <f t="shared" ref="O75:X75" ca="1" si="43">N$75*(1+O$29)</f>
        <v>4.4104799999999997</v>
      </c>
      <c r="P75" s="16">
        <f t="shared" ca="1" si="43"/>
        <v>4.4986895999999996</v>
      </c>
      <c r="Q75" s="16">
        <f t="shared" ca="1" si="43"/>
        <v>4.588663392</v>
      </c>
      <c r="R75" s="16">
        <f t="shared" ca="1" si="43"/>
        <v>4.6804366598399998</v>
      </c>
      <c r="S75" s="16">
        <f t="shared" ca="1" si="43"/>
        <v>4.7740453930367996</v>
      </c>
      <c r="T75" s="16">
        <f t="shared" ca="1" si="43"/>
        <v>4.8695263008975358</v>
      </c>
      <c r="U75" s="16">
        <f t="shared" ca="1" si="43"/>
        <v>4.9669168269154866</v>
      </c>
      <c r="V75" s="16">
        <f t="shared" ca="1" si="43"/>
        <v>5.0662551634537962</v>
      </c>
      <c r="W75" s="16">
        <f t="shared" ca="1" si="43"/>
        <v>5.1675802667228723</v>
      </c>
      <c r="X75" s="16">
        <f t="shared" ca="1" si="43"/>
        <v>5.2709318720573295</v>
      </c>
    </row>
    <row r="76" spans="1:24" x14ac:dyDescent="0.25">
      <c r="A76" s="11" t="s">
        <v>650</v>
      </c>
      <c r="B76" s="10" t="str">
        <f t="shared" si="40"/>
        <v>From Fiscal Forecasts</v>
      </c>
      <c r="C76" s="13"/>
      <c r="D76" s="35">
        <f>'Fiscal Forecasts'!D$152</f>
        <v>46.292999999999999</v>
      </c>
      <c r="E76" s="35">
        <f>'Fiscal Forecasts'!E$152</f>
        <v>46.895000000000003</v>
      </c>
      <c r="F76" s="35">
        <f>'Fiscal Forecasts'!F$152</f>
        <v>61.483999999999995</v>
      </c>
      <c r="G76" s="35">
        <f>'Fiscal Forecasts'!G$152</f>
        <v>65.254999999999995</v>
      </c>
      <c r="H76" s="35">
        <f>'Fiscal Forecasts'!H$152</f>
        <v>67.994000000000014</v>
      </c>
      <c r="I76" s="35">
        <f>'Fiscal Forecasts'!I$152</f>
        <v>78.811999999999998</v>
      </c>
      <c r="J76" s="17">
        <f>'Fiscal Forecasts'!J$152</f>
        <v>90.046999999999997</v>
      </c>
      <c r="K76" s="17">
        <f>'Fiscal Forecasts'!K$152</f>
        <v>93.933000000000007</v>
      </c>
      <c r="L76" s="17">
        <f>'Fiscal Forecasts'!L$152</f>
        <v>100.199</v>
      </c>
      <c r="M76" s="17">
        <f>'Fiscal Forecasts'!M$152</f>
        <v>104.995</v>
      </c>
      <c r="N76" s="17">
        <f>'Fiscal Forecasts'!N$152</f>
        <v>110.628</v>
      </c>
      <c r="O76" s="16">
        <f t="shared" ref="O76:X76" ca="1" si="44">SUM(O$353,O$366,O$375,O$397,O$400,O$75-O$72)</f>
        <v>115.5183207204901</v>
      </c>
      <c r="P76" s="16">
        <f t="shared" ca="1" si="44"/>
        <v>122.28010196413048</v>
      </c>
      <c r="Q76" s="16">
        <f t="shared" ca="1" si="44"/>
        <v>129.27684810271697</v>
      </c>
      <c r="R76" s="16">
        <f t="shared" ca="1" si="44"/>
        <v>136.46117043154086</v>
      </c>
      <c r="S76" s="16">
        <f t="shared" ca="1" si="44"/>
        <v>143.80989108315114</v>
      </c>
      <c r="T76" s="16">
        <f t="shared" ca="1" si="44"/>
        <v>151.34106174426441</v>
      </c>
      <c r="U76" s="16">
        <f t="shared" ca="1" si="44"/>
        <v>159.01290030731127</v>
      </c>
      <c r="V76" s="16">
        <f t="shared" ca="1" si="44"/>
        <v>166.85574660489161</v>
      </c>
      <c r="W76" s="16">
        <f t="shared" ca="1" si="44"/>
        <v>174.95548840145685</v>
      </c>
      <c r="X76" s="16">
        <f t="shared" ca="1" si="44"/>
        <v>183.40918865275401</v>
      </c>
    </row>
    <row r="77" spans="1:24" x14ac:dyDescent="0.25">
      <c r="A77" s="11" t="s">
        <v>651</v>
      </c>
      <c r="B77" s="10" t="str">
        <f t="shared" si="40"/>
        <v>From Fiscal Forecasts</v>
      </c>
      <c r="C77" s="13"/>
      <c r="D77" s="35">
        <f>'Fiscal Forecasts'!D$153</f>
        <v>13.845000000000001</v>
      </c>
      <c r="E77" s="35">
        <f>'Fiscal Forecasts'!E$153</f>
        <v>14.555999999999999</v>
      </c>
      <c r="F77" s="35">
        <f>'Fiscal Forecasts'!F$153</f>
        <v>18.728000000000002</v>
      </c>
      <c r="G77" s="35">
        <f>'Fiscal Forecasts'!G$153</f>
        <v>26.103000000000002</v>
      </c>
      <c r="H77" s="35">
        <f>'Fiscal Forecasts'!H$153</f>
        <v>36.540999999999997</v>
      </c>
      <c r="I77" s="35">
        <f>'Fiscal Forecasts'!I$153</f>
        <v>40.387999999999998</v>
      </c>
      <c r="J77" s="17">
        <f>'Fiscal Forecasts'!J$153</f>
        <v>35.066000000000003</v>
      </c>
      <c r="K77" s="17">
        <f>'Fiscal Forecasts'!K$153</f>
        <v>29.248000000000001</v>
      </c>
      <c r="L77" s="17">
        <f>'Fiscal Forecasts'!L$153</f>
        <v>32.091999999999999</v>
      </c>
      <c r="M77" s="17">
        <f>'Fiscal Forecasts'!M$153</f>
        <v>33.713999999999999</v>
      </c>
      <c r="N77" s="17">
        <f>'Fiscal Forecasts'!N$153</f>
        <v>35.417999999999999</v>
      </c>
      <c r="O77" s="16">
        <f t="shared" ref="O77:X77" si="45">SUM(O$401:O$402)</f>
        <v>35.354999999999997</v>
      </c>
      <c r="P77" s="16">
        <f t="shared" si="45"/>
        <v>35.272999999999996</v>
      </c>
      <c r="Q77" s="16">
        <f t="shared" si="45"/>
        <v>35.171999999999997</v>
      </c>
      <c r="R77" s="16">
        <f t="shared" si="45"/>
        <v>35.049999999999997</v>
      </c>
      <c r="S77" s="16">
        <f t="shared" si="45"/>
        <v>34.905999999999999</v>
      </c>
      <c r="T77" s="16">
        <f t="shared" si="45"/>
        <v>34.728999999999999</v>
      </c>
      <c r="U77" s="16">
        <f t="shared" si="45"/>
        <v>34.519999999999996</v>
      </c>
      <c r="V77" s="16">
        <f t="shared" si="45"/>
        <v>34.274000000000001</v>
      </c>
      <c r="W77" s="16">
        <f t="shared" si="45"/>
        <v>33.989999999999995</v>
      </c>
      <c r="X77" s="16">
        <f t="shared" si="45"/>
        <v>33.668999999999997</v>
      </c>
    </row>
    <row r="78" spans="1:24" x14ac:dyDescent="0.25">
      <c r="A78" s="9" t="s">
        <v>896</v>
      </c>
      <c r="B78" s="9"/>
      <c r="C78" s="13"/>
      <c r="D78" s="65">
        <f>SUM(D$71,D$72,D$76,D$77)-SUM(D$73,D$74,D$75)</f>
        <v>57.736000000000004</v>
      </c>
      <c r="E78" s="65">
        <f t="shared" ref="E78:X78" si="46">SUM(E$71,E$72,E$76,E$77)-SUM(E$73,E$74,E$75)</f>
        <v>83.375</v>
      </c>
      <c r="F78" s="65">
        <f t="shared" si="46"/>
        <v>102.08000000000001</v>
      </c>
      <c r="G78" s="65">
        <f t="shared" si="46"/>
        <v>128.87299999999996</v>
      </c>
      <c r="H78" s="65">
        <f t="shared" si="46"/>
        <v>155.27300000000002</v>
      </c>
      <c r="I78" s="65">
        <f t="shared" si="46"/>
        <v>175.46399999999997</v>
      </c>
      <c r="J78" s="66">
        <f t="shared" si="46"/>
        <v>185.64400000000003</v>
      </c>
      <c r="K78" s="66">
        <f t="shared" si="46"/>
        <v>200.18799999999996</v>
      </c>
      <c r="L78" s="66">
        <f t="shared" si="46"/>
        <v>218.43800000000002</v>
      </c>
      <c r="M78" s="66">
        <f t="shared" si="46"/>
        <v>230.24799999999993</v>
      </c>
      <c r="N78" s="66">
        <f t="shared" si="46"/>
        <v>238.51499999999993</v>
      </c>
      <c r="O78" s="92">
        <f t="shared" ca="1" si="46"/>
        <v>248.4206037396271</v>
      </c>
      <c r="P78" s="92">
        <f t="shared" ca="1" si="46"/>
        <v>259.42848142763182</v>
      </c>
      <c r="Q78" s="92">
        <f t="shared" ca="1" si="46"/>
        <v>271.79656395307666</v>
      </c>
      <c r="R78" s="92">
        <f t="shared" ca="1" si="46"/>
        <v>285.65352600227618</v>
      </c>
      <c r="S78" s="92">
        <f t="shared" ca="1" si="46"/>
        <v>300.97111613810711</v>
      </c>
      <c r="T78" s="92">
        <f t="shared" ca="1" si="46"/>
        <v>317.85198130708187</v>
      </c>
      <c r="U78" s="92">
        <f t="shared" ca="1" si="46"/>
        <v>336.21730903108511</v>
      </c>
      <c r="V78" s="92">
        <f t="shared" ca="1" si="46"/>
        <v>356.14121256445759</v>
      </c>
      <c r="W78" s="92">
        <f t="shared" ca="1" si="46"/>
        <v>377.74610622950564</v>
      </c>
      <c r="X78" s="92">
        <f t="shared" ca="1" si="46"/>
        <v>401.15774885739052</v>
      </c>
    </row>
    <row r="79" spans="1:24" x14ac:dyDescent="0.25">
      <c r="A79" s="11" t="s">
        <v>653</v>
      </c>
      <c r="B79" s="10" t="str">
        <f t="shared" si="40"/>
        <v>From Fiscal Forecasts</v>
      </c>
      <c r="C79" s="13"/>
      <c r="D79" s="35">
        <f>'Fiscal Forecasts'!D$155</f>
        <v>6.931</v>
      </c>
      <c r="E79" s="35">
        <f>'Fiscal Forecasts'!E$155</f>
        <v>11.111000000000001</v>
      </c>
      <c r="F79" s="35">
        <f>'Fiscal Forecasts'!F$155</f>
        <v>11.836</v>
      </c>
      <c r="G79" s="35">
        <f>'Fiscal Forecasts'!G$155</f>
        <v>14.345000000000001</v>
      </c>
      <c r="H79" s="35">
        <f>'Fiscal Forecasts'!H$155</f>
        <v>48.11</v>
      </c>
      <c r="I79" s="35">
        <f>'Fiscal Forecasts'!I$155</f>
        <v>56.47</v>
      </c>
      <c r="J79" s="17">
        <f>'Fiscal Forecasts'!J$155</f>
        <v>62.162999999999997</v>
      </c>
      <c r="K79" s="17">
        <f>'Fiscal Forecasts'!K$155</f>
        <v>67.882999999999996</v>
      </c>
      <c r="L79" s="17">
        <f>'Fiscal Forecasts'!L$155</f>
        <v>73.34</v>
      </c>
      <c r="M79" s="17">
        <f>'Fiscal Forecasts'!M$155</f>
        <v>78.39</v>
      </c>
      <c r="N79" s="17">
        <f>'Fiscal Forecasts'!N$155</f>
        <v>82.649000000000001</v>
      </c>
      <c r="O79" s="16">
        <f t="shared" ref="O79:X79" ca="1" si="47">N$79+O$80-N$80</f>
        <v>84.811425450562993</v>
      </c>
      <c r="P79" s="16">
        <f t="shared" ca="1" si="47"/>
        <v>87.041151233088783</v>
      </c>
      <c r="Q79" s="16">
        <f t="shared" ca="1" si="47"/>
        <v>89.275718359475107</v>
      </c>
      <c r="R79" s="16">
        <f t="shared" ca="1" si="47"/>
        <v>91.510087401571781</v>
      </c>
      <c r="S79" s="16">
        <f t="shared" ca="1" si="47"/>
        <v>93.793723523637368</v>
      </c>
      <c r="T79" s="16">
        <f t="shared" ca="1" si="47"/>
        <v>96.12314169277056</v>
      </c>
      <c r="U79" s="16">
        <f t="shared" ca="1" si="47"/>
        <v>98.483618115721697</v>
      </c>
      <c r="V79" s="16">
        <f t="shared" ca="1" si="47"/>
        <v>100.87958384620518</v>
      </c>
      <c r="W79" s="16">
        <f t="shared" ca="1" si="47"/>
        <v>103.31094961895703</v>
      </c>
      <c r="X79" s="16">
        <f t="shared" ca="1" si="47"/>
        <v>105.79603706222977</v>
      </c>
    </row>
    <row r="80" spans="1:24" x14ac:dyDescent="0.25">
      <c r="A80" s="11" t="s">
        <v>1170</v>
      </c>
      <c r="B80" s="10" t="str">
        <f t="shared" si="40"/>
        <v>From Fiscal Forecasts</v>
      </c>
      <c r="C80" s="13"/>
      <c r="D80" s="35">
        <f>'Fiscal Forecasts'!D$156</f>
        <v>0</v>
      </c>
      <c r="E80" s="35">
        <f>'Fiscal Forecasts'!E$156</f>
        <v>0</v>
      </c>
      <c r="F80" s="35">
        <f>'Fiscal Forecasts'!F$156</f>
        <v>0</v>
      </c>
      <c r="G80" s="35">
        <f>'Fiscal Forecasts'!G$156</f>
        <v>0</v>
      </c>
      <c r="H80" s="35">
        <f>'Fiscal Forecasts'!H$156</f>
        <v>30.574000000000002</v>
      </c>
      <c r="I80" s="35">
        <f>'Fiscal Forecasts'!I$156</f>
        <v>33.290999999999997</v>
      </c>
      <c r="J80" s="17">
        <f>'Fiscal Forecasts'!J$156</f>
        <v>36.505000000000003</v>
      </c>
      <c r="K80" s="17">
        <f>'Fiscal Forecasts'!K$156</f>
        <v>40.314999999999998</v>
      </c>
      <c r="L80" s="17">
        <f>'Fiscal Forecasts'!L$156</f>
        <v>44.011000000000003</v>
      </c>
      <c r="M80" s="17">
        <f>'Fiscal Forecasts'!M$156</f>
        <v>48.152999999999999</v>
      </c>
      <c r="N80" s="17">
        <f>'Fiscal Forecasts'!N$156</f>
        <v>51.787999999999997</v>
      </c>
      <c r="O80" s="16">
        <f t="shared" ref="O80:X80" ca="1" si="48">N$80+O$404-N$404</f>
        <v>53.950425450562982</v>
      </c>
      <c r="P80" s="16">
        <f t="shared" ca="1" si="48"/>
        <v>56.180151233088779</v>
      </c>
      <c r="Q80" s="16">
        <f t="shared" ca="1" si="48"/>
        <v>58.414718359475103</v>
      </c>
      <c r="R80" s="16">
        <f t="shared" ca="1" si="48"/>
        <v>60.649087401571769</v>
      </c>
      <c r="S80" s="16">
        <f t="shared" ca="1" si="48"/>
        <v>62.932723523637343</v>
      </c>
      <c r="T80" s="16">
        <f t="shared" ca="1" si="48"/>
        <v>65.262141692770541</v>
      </c>
      <c r="U80" s="16">
        <f t="shared" ca="1" si="48"/>
        <v>67.622618115721679</v>
      </c>
      <c r="V80" s="16">
        <f t="shared" ca="1" si="48"/>
        <v>70.018583846205175</v>
      </c>
      <c r="W80" s="16">
        <f t="shared" ca="1" si="48"/>
        <v>72.449949618957021</v>
      </c>
      <c r="X80" s="16">
        <f t="shared" ca="1" si="48"/>
        <v>74.935037062229767</v>
      </c>
    </row>
    <row r="81" spans="1:24" x14ac:dyDescent="0.25">
      <c r="A81" s="9" t="s">
        <v>830</v>
      </c>
      <c r="B81" s="9"/>
      <c r="C81" s="13"/>
      <c r="D81" s="65">
        <f>SUM(D$78,D$79)-SUM(D$77,D$80)</f>
        <v>50.822000000000003</v>
      </c>
      <c r="E81" s="65">
        <f t="shared" ref="E81:X81" si="49">SUM(E$78,E$79)-SUM(E$77,E$80)</f>
        <v>79.930000000000007</v>
      </c>
      <c r="F81" s="65">
        <f t="shared" si="49"/>
        <v>95.188000000000017</v>
      </c>
      <c r="G81" s="65">
        <f t="shared" si="49"/>
        <v>117.11499999999995</v>
      </c>
      <c r="H81" s="65">
        <f t="shared" si="49"/>
        <v>136.26800000000003</v>
      </c>
      <c r="I81" s="65">
        <f t="shared" si="49"/>
        <v>158.25499999999997</v>
      </c>
      <c r="J81" s="66">
        <f t="shared" si="49"/>
        <v>176.23600000000002</v>
      </c>
      <c r="K81" s="66">
        <f t="shared" si="49"/>
        <v>198.50799999999998</v>
      </c>
      <c r="L81" s="66">
        <f t="shared" si="49"/>
        <v>215.67500000000001</v>
      </c>
      <c r="M81" s="66">
        <f t="shared" si="49"/>
        <v>226.77099999999993</v>
      </c>
      <c r="N81" s="66">
        <f t="shared" si="49"/>
        <v>233.95799999999994</v>
      </c>
      <c r="O81" s="92">
        <f t="shared" ca="1" si="49"/>
        <v>243.9266037396271</v>
      </c>
      <c r="P81" s="92">
        <f t="shared" ca="1" si="49"/>
        <v>255.01648142763185</v>
      </c>
      <c r="Q81" s="92">
        <f t="shared" ca="1" si="49"/>
        <v>267.48556395307662</v>
      </c>
      <c r="R81" s="92">
        <f t="shared" ca="1" si="49"/>
        <v>281.46452600227622</v>
      </c>
      <c r="S81" s="92">
        <f t="shared" ca="1" si="49"/>
        <v>296.92611613810715</v>
      </c>
      <c r="T81" s="92">
        <f t="shared" ca="1" si="49"/>
        <v>313.98398130708188</v>
      </c>
      <c r="U81" s="92">
        <f t="shared" ca="1" si="49"/>
        <v>332.55830903108512</v>
      </c>
      <c r="V81" s="92">
        <f t="shared" ca="1" si="49"/>
        <v>352.72821256445764</v>
      </c>
      <c r="W81" s="92">
        <f t="shared" ca="1" si="49"/>
        <v>374.61710622950562</v>
      </c>
      <c r="X81" s="92">
        <f t="shared" ca="1" si="49"/>
        <v>398.34974885739052</v>
      </c>
    </row>
    <row r="82" spans="1:24" x14ac:dyDescent="0.25">
      <c r="A82" s="9" t="s">
        <v>656</v>
      </c>
      <c r="B82" s="9"/>
      <c r="C82" s="13"/>
      <c r="D82" s="65">
        <f>SUM(D$81,D$73)-D$76</f>
        <v>5.4320000000000022</v>
      </c>
      <c r="E82" s="65">
        <f t="shared" ref="E82:X82" si="50">SUM(E$81,E$73)-E$76</f>
        <v>35.71</v>
      </c>
      <c r="F82" s="65">
        <f t="shared" si="50"/>
        <v>35.921000000000021</v>
      </c>
      <c r="G82" s="65">
        <f t="shared" si="50"/>
        <v>61.849999999999952</v>
      </c>
      <c r="H82" s="65">
        <f t="shared" si="50"/>
        <v>71.367000000000004</v>
      </c>
      <c r="I82" s="65">
        <f t="shared" si="50"/>
        <v>82.19699999999996</v>
      </c>
      <c r="J82" s="66">
        <f t="shared" si="50"/>
        <v>92.796000000000021</v>
      </c>
      <c r="K82" s="66">
        <f t="shared" si="50"/>
        <v>110.88599999999998</v>
      </c>
      <c r="L82" s="66">
        <f t="shared" si="50"/>
        <v>122.84000000000002</v>
      </c>
      <c r="M82" s="66">
        <f t="shared" si="50"/>
        <v>128.42699999999994</v>
      </c>
      <c r="N82" s="66">
        <f t="shared" si="50"/>
        <v>129.66499999999996</v>
      </c>
      <c r="O82" s="92">
        <f t="shared" ca="1" si="50"/>
        <v>133.41659128973811</v>
      </c>
      <c r="P82" s="92">
        <f t="shared" ca="1" si="50"/>
        <v>138.03982545748681</v>
      </c>
      <c r="Q82" s="92">
        <f t="shared" ca="1" si="50"/>
        <v>143.81754369335189</v>
      </c>
      <c r="R82" s="92">
        <f t="shared" ca="1" si="50"/>
        <v>150.92574679862295</v>
      </c>
      <c r="S82" s="92">
        <f t="shared" ca="1" si="50"/>
        <v>159.35935255581242</v>
      </c>
      <c r="T82" s="92">
        <f t="shared" ca="1" si="50"/>
        <v>169.2147423703187</v>
      </c>
      <c r="U82" s="92">
        <f t="shared" ca="1" si="50"/>
        <v>180.45206736507083</v>
      </c>
      <c r="V82" s="92">
        <f t="shared" ca="1" si="50"/>
        <v>193.12142204285604</v>
      </c>
      <c r="W82" s="92">
        <f t="shared" ca="1" si="50"/>
        <v>207.26407213776812</v>
      </c>
      <c r="X82" s="92">
        <f t="shared" ca="1" si="50"/>
        <v>222.91193918197101</v>
      </c>
    </row>
    <row r="83" spans="1:24" x14ac:dyDescent="0.25">
      <c r="A83" s="55" t="s">
        <v>897</v>
      </c>
      <c r="B83" s="10" t="str">
        <f>$B$42</f>
        <v>Outturn &amp; Forecast only</v>
      </c>
      <c r="C83" s="13"/>
      <c r="D83" s="91" t="str">
        <f>IF(ROUND('Fiscal Forecasts'!D$158-D$82,3)=0,"OK","ERROR")</f>
        <v>OK</v>
      </c>
      <c r="E83" s="91" t="str">
        <f>IF(ROUND('Fiscal Forecasts'!E$158-E$82,3)=0,"OK","ERROR")</f>
        <v>OK</v>
      </c>
      <c r="F83" s="91" t="str">
        <f>IF(ROUND('Fiscal Forecasts'!F$158-F$82,3)=0,"OK","ERROR")</f>
        <v>OK</v>
      </c>
      <c r="G83" s="91" t="str">
        <f>IF(ROUND('Fiscal Forecasts'!G$158-G$82,3)=0,"OK","ERROR")</f>
        <v>OK</v>
      </c>
      <c r="H83" s="91" t="str">
        <f>IF(ROUND('Fiscal Forecasts'!H$158-H$82,3)=0,"OK","ERROR")</f>
        <v>OK</v>
      </c>
      <c r="I83" s="91" t="str">
        <f>IF(ROUND('Fiscal Forecasts'!I$158-I$82,3)=0,"OK","ERROR")</f>
        <v>OK</v>
      </c>
      <c r="J83" s="91" t="str">
        <f>IF(ROUND('Fiscal Forecasts'!J$158-J$82,3)=0,"OK","ERROR")</f>
        <v>OK</v>
      </c>
      <c r="K83" s="91" t="str">
        <f>IF(ROUND('Fiscal Forecasts'!K$158-K$82,3)=0,"OK","ERROR")</f>
        <v>OK</v>
      </c>
      <c r="L83" s="91" t="str">
        <f>IF(ROUND('Fiscal Forecasts'!L$158-L$82,3)=0,"OK","ERROR")</f>
        <v>OK</v>
      </c>
      <c r="M83" s="91" t="str">
        <f>IF(ROUND('Fiscal Forecasts'!M$158-M$82,3)=0,"OK","ERROR")</f>
        <v>OK</v>
      </c>
      <c r="N83" s="91" t="str">
        <f>IF(ROUND('Fiscal Forecasts'!N$158-N$82,3)=0,"OK","ERROR")</f>
        <v>OK</v>
      </c>
      <c r="O83" s="18"/>
      <c r="P83" s="18"/>
      <c r="Q83" s="18"/>
      <c r="R83" s="18"/>
      <c r="S83" s="18"/>
      <c r="T83" s="18"/>
      <c r="U83" s="18"/>
      <c r="V83" s="18"/>
      <c r="W83" s="18"/>
      <c r="X83" s="18"/>
    </row>
    <row r="84" spans="1:24" x14ac:dyDescent="0.25">
      <c r="A84" s="11" t="s">
        <v>898</v>
      </c>
      <c r="B84" s="10" t="str">
        <f t="shared" ref="B84" si="51">$B$38</f>
        <v>From Fiscal Forecasts</v>
      </c>
      <c r="C84" s="13"/>
      <c r="D84" s="35">
        <f>'Fiscal Forecasts'!D$160</f>
        <v>6.4809999999999999</v>
      </c>
      <c r="E84" s="35">
        <f>'Fiscal Forecasts'!E$160</f>
        <v>21.887999999999998</v>
      </c>
      <c r="F84" s="35">
        <f>'Fiscal Forecasts'!F$160</f>
        <v>30.420999999999999</v>
      </c>
      <c r="G84" s="35">
        <f>'Fiscal Forecasts'!G$160</f>
        <v>45.088000000000001</v>
      </c>
      <c r="H84" s="35">
        <f>'Fiscal Forecasts'!H$160</f>
        <v>53.109000000000002</v>
      </c>
      <c r="I84" s="35">
        <f>'Fiscal Forecasts'!I$160</f>
        <v>38.475999999999999</v>
      </c>
      <c r="J84" s="17">
        <f>'Fiscal Forecasts'!J$160</f>
        <v>33.716999999999999</v>
      </c>
      <c r="K84" s="17">
        <f>'Fiscal Forecasts'!K$160</f>
        <v>26.771999999999998</v>
      </c>
      <c r="L84" s="17">
        <f>'Fiscal Forecasts'!L$160</f>
        <v>20.100000000000001</v>
      </c>
      <c r="M84" s="17">
        <f>'Fiscal Forecasts'!M$160</f>
        <v>20.100000000000001</v>
      </c>
      <c r="N84" s="17">
        <f>'Fiscal Forecasts'!N$160</f>
        <v>20.100000000000001</v>
      </c>
      <c r="O84" s="16">
        <f t="shared" ref="O84:X84" ca="1" si="52">N$84*(1+O$29)</f>
        <v>20.502000000000002</v>
      </c>
      <c r="P84" s="16">
        <f t="shared" ca="1" si="52"/>
        <v>20.912040000000005</v>
      </c>
      <c r="Q84" s="16">
        <f t="shared" ca="1" si="52"/>
        <v>21.330280800000004</v>
      </c>
      <c r="R84" s="16">
        <f t="shared" ca="1" si="52"/>
        <v>21.756886416000004</v>
      </c>
      <c r="S84" s="16">
        <f t="shared" ca="1" si="52"/>
        <v>22.192024144320005</v>
      </c>
      <c r="T84" s="16">
        <f t="shared" ca="1" si="52"/>
        <v>22.635864627206406</v>
      </c>
      <c r="U84" s="16">
        <f t="shared" ca="1" si="52"/>
        <v>23.088581919750535</v>
      </c>
      <c r="V84" s="16">
        <f t="shared" ca="1" si="52"/>
        <v>23.550353558145545</v>
      </c>
      <c r="W84" s="16">
        <f t="shared" ca="1" si="52"/>
        <v>24.021360629308457</v>
      </c>
      <c r="X84" s="16">
        <f t="shared" ca="1" si="52"/>
        <v>24.501787841894625</v>
      </c>
    </row>
    <row r="85" spans="1:24" x14ac:dyDescent="0.25">
      <c r="A85" s="55" t="s">
        <v>659</v>
      </c>
      <c r="B85" s="9"/>
      <c r="C85" s="13"/>
      <c r="D85" s="65">
        <f>SUM(D$71,D$72)-SUM(D$73,D$84)</f>
        <v>84.37700000000001</v>
      </c>
      <c r="E85" s="65">
        <f t="shared" ref="E85:X85" si="53">SUM(E$71,E$72)-SUM(E$73,E$84)</f>
        <v>101.833</v>
      </c>
      <c r="F85" s="65">
        <f t="shared" si="53"/>
        <v>99.925999999999988</v>
      </c>
      <c r="G85" s="65">
        <f t="shared" si="53"/>
        <v>114.11599999999999</v>
      </c>
      <c r="H85" s="65">
        <f t="shared" si="53"/>
        <v>135.78899999999999</v>
      </c>
      <c r="I85" s="65">
        <f t="shared" si="53"/>
        <v>175.96600000000001</v>
      </c>
      <c r="J85" s="66">
        <f t="shared" si="53"/>
        <v>209.99899999999997</v>
      </c>
      <c r="K85" s="66">
        <f t="shared" si="53"/>
        <v>238.816</v>
      </c>
      <c r="L85" s="66">
        <f t="shared" si="53"/>
        <v>262.49400000000003</v>
      </c>
      <c r="M85" s="66">
        <f t="shared" si="53"/>
        <v>274.44099999999997</v>
      </c>
      <c r="N85" s="66">
        <f t="shared" si="53"/>
        <v>283.04299999999995</v>
      </c>
      <c r="O85" s="92">
        <f t="shared" ca="1" si="53"/>
        <v>292.65080373962712</v>
      </c>
      <c r="P85" s="92">
        <f t="shared" ca="1" si="53"/>
        <v>303.35492542763183</v>
      </c>
      <c r="Q85" s="92">
        <f t="shared" ca="1" si="53"/>
        <v>315.41317683307659</v>
      </c>
      <c r="R85" s="92">
        <f t="shared" ca="1" si="53"/>
        <v>328.95411113987626</v>
      </c>
      <c r="S85" s="92">
        <f t="shared" ca="1" si="53"/>
        <v>343.94935297845916</v>
      </c>
      <c r="T85" s="92">
        <f t="shared" ca="1" si="53"/>
        <v>360.50142288424087</v>
      </c>
      <c r="U85" s="92">
        <f t="shared" ca="1" si="53"/>
        <v>378.53137943978732</v>
      </c>
      <c r="V85" s="92">
        <f t="shared" ca="1" si="53"/>
        <v>398.11320438133379</v>
      </c>
      <c r="W85" s="92">
        <f t="shared" ca="1" si="53"/>
        <v>419.36917788271944</v>
      </c>
      <c r="X85" s="92">
        <f t="shared" ca="1" si="53"/>
        <v>442.42492194366855</v>
      </c>
    </row>
    <row r="86" spans="1:24" x14ac:dyDescent="0.25">
      <c r="A86" s="9"/>
      <c r="B86" s="9"/>
      <c r="C86" s="13"/>
      <c r="D86" s="36"/>
      <c r="E86" s="36"/>
      <c r="F86" s="36"/>
      <c r="G86" s="36"/>
      <c r="H86" s="36"/>
      <c r="I86" s="36"/>
      <c r="J86" s="19"/>
      <c r="K86" s="19"/>
      <c r="L86" s="19"/>
      <c r="M86" s="19"/>
      <c r="N86" s="19"/>
      <c r="O86" s="18"/>
      <c r="P86" s="18"/>
      <c r="Q86" s="18"/>
      <c r="R86" s="18"/>
      <c r="S86" s="18"/>
      <c r="T86" s="18"/>
      <c r="U86" s="18"/>
      <c r="V86" s="18"/>
      <c r="W86" s="18"/>
      <c r="X86" s="18"/>
    </row>
    <row r="87" spans="1:24" x14ac:dyDescent="0.25">
      <c r="A87" s="12" t="s">
        <v>1048</v>
      </c>
      <c r="B87" s="9"/>
      <c r="C87" s="13"/>
      <c r="D87" s="36"/>
      <c r="E87" s="36"/>
      <c r="F87" s="36"/>
      <c r="G87" s="36"/>
      <c r="H87" s="36"/>
      <c r="I87" s="36"/>
      <c r="J87" s="19"/>
      <c r="K87" s="19"/>
      <c r="L87" s="19"/>
      <c r="M87" s="19"/>
      <c r="N87" s="19"/>
      <c r="O87" s="18"/>
      <c r="P87" s="18"/>
      <c r="Q87" s="18"/>
      <c r="R87" s="18"/>
      <c r="S87" s="18"/>
      <c r="T87" s="18"/>
      <c r="U87" s="18"/>
      <c r="V87" s="18"/>
      <c r="W87" s="18"/>
      <c r="X87" s="18"/>
    </row>
    <row r="88" spans="1:24" x14ac:dyDescent="0.25">
      <c r="A88" s="11" t="s">
        <v>574</v>
      </c>
      <c r="B88" s="10" t="str">
        <f t="shared" ref="B88:B96" si="54">$B$38</f>
        <v>From Fiscal Forecasts</v>
      </c>
      <c r="C88" s="13"/>
      <c r="D88" s="35">
        <f>'Fiscal Forecasts'!D$74</f>
        <v>83.016999999999996</v>
      </c>
      <c r="E88" s="35">
        <f>'Fiscal Forecasts'!E$74</f>
        <v>83.156000000000006</v>
      </c>
      <c r="F88" s="35">
        <f>'Fiscal Forecasts'!F$74</f>
        <v>95.382000000000005</v>
      </c>
      <c r="G88" s="35">
        <f>'Fiscal Forecasts'!G$74</f>
        <v>102.712</v>
      </c>
      <c r="H88" s="35">
        <f>'Fiscal Forecasts'!H$74</f>
        <v>110.78700000000001</v>
      </c>
      <c r="I88" s="35">
        <f>'Fiscal Forecasts'!I$74</f>
        <v>116.042</v>
      </c>
      <c r="J88" s="17">
        <f>'Fiscal Forecasts'!J$74</f>
        <v>121.328</v>
      </c>
      <c r="K88" s="17">
        <f>'Fiscal Forecasts'!K$74</f>
        <v>122.887</v>
      </c>
      <c r="L88" s="17">
        <f>'Fiscal Forecasts'!L$74</f>
        <v>131.096</v>
      </c>
      <c r="M88" s="17">
        <f>'Fiscal Forecasts'!M$74</f>
        <v>138.239</v>
      </c>
      <c r="N88" s="17">
        <f>'Fiscal Forecasts'!N$74</f>
        <v>145.541</v>
      </c>
      <c r="O88" s="16">
        <f t="shared" ref="O88:X88" ca="1" si="55">(O$489-O$385+O$141)</f>
        <v>151.09837350612511</v>
      </c>
      <c r="P88" s="16">
        <f t="shared" ca="1" si="55"/>
        <v>157.26363368341887</v>
      </c>
      <c r="Q88" s="16">
        <f t="shared" ca="1" si="55"/>
        <v>163.66152400156537</v>
      </c>
      <c r="R88" s="16">
        <f t="shared" ca="1" si="55"/>
        <v>170.09394244765312</v>
      </c>
      <c r="S88" s="16">
        <f t="shared" ca="1" si="55"/>
        <v>176.65559011328375</v>
      </c>
      <c r="T88" s="16">
        <f t="shared" ca="1" si="55"/>
        <v>183.34833573537901</v>
      </c>
      <c r="U88" s="16">
        <f t="shared" ca="1" si="55"/>
        <v>190.13476110159522</v>
      </c>
      <c r="V88" s="16">
        <f t="shared" ca="1" si="55"/>
        <v>197.02207339143527</v>
      </c>
      <c r="W88" s="16">
        <f t="shared" ca="1" si="55"/>
        <v>204.00959554257619</v>
      </c>
      <c r="X88" s="16">
        <f t="shared" ca="1" si="55"/>
        <v>211.14540203345899</v>
      </c>
    </row>
    <row r="89" spans="1:24" x14ac:dyDescent="0.25">
      <c r="A89" s="11" t="s">
        <v>575</v>
      </c>
      <c r="B89" s="10" t="str">
        <f t="shared" si="54"/>
        <v>From Fiscal Forecasts</v>
      </c>
      <c r="C89" s="13"/>
      <c r="D89" s="35">
        <f>'Fiscal Forecasts'!D$75</f>
        <v>5.1870000000000003</v>
      </c>
      <c r="E89" s="35">
        <f>'Fiscal Forecasts'!E$75</f>
        <v>5.2939999999999996</v>
      </c>
      <c r="F89" s="35">
        <f>'Fiscal Forecasts'!F$75</f>
        <v>6.4240000000000004</v>
      </c>
      <c r="G89" s="35">
        <f>'Fiscal Forecasts'!G$75</f>
        <v>7.8029999999999999</v>
      </c>
      <c r="H89" s="35">
        <f>'Fiscal Forecasts'!H$75</f>
        <v>7.6310000000000002</v>
      </c>
      <c r="I89" s="35">
        <f>'Fiscal Forecasts'!I$75</f>
        <v>7.484</v>
      </c>
      <c r="J89" s="17">
        <f>'Fiscal Forecasts'!J$75</f>
        <v>7.9989999999999997</v>
      </c>
      <c r="K89" s="17">
        <f>'Fiscal Forecasts'!K$75</f>
        <v>8.6050000000000004</v>
      </c>
      <c r="L89" s="17">
        <f>'Fiscal Forecasts'!L$75</f>
        <v>9.2100000000000009</v>
      </c>
      <c r="M89" s="17">
        <f>'Fiscal Forecasts'!M$75</f>
        <v>9.8490000000000002</v>
      </c>
      <c r="N89" s="17">
        <f>'Fiscal Forecasts'!N$75</f>
        <v>10.413</v>
      </c>
      <c r="O89" s="16">
        <f t="shared" ref="O89:X89" ca="1" si="56">SUM(O$146,O$148,O$149,O$151)</f>
        <v>11.624343197189001</v>
      </c>
      <c r="P89" s="16">
        <f t="shared" ca="1" si="56"/>
        <v>12.357999630779686</v>
      </c>
      <c r="Q89" s="16">
        <f t="shared" ca="1" si="56"/>
        <v>13.175966787549914</v>
      </c>
      <c r="R89" s="16">
        <f t="shared" ca="1" si="56"/>
        <v>14.032442985481318</v>
      </c>
      <c r="S89" s="16">
        <f t="shared" ca="1" si="56"/>
        <v>14.959409050031137</v>
      </c>
      <c r="T89" s="16">
        <f t="shared" ca="1" si="56"/>
        <v>15.929322116477383</v>
      </c>
      <c r="U89" s="16">
        <f t="shared" ca="1" si="56"/>
        <v>16.978729004015072</v>
      </c>
      <c r="V89" s="16">
        <f t="shared" ca="1" si="56"/>
        <v>17.901857933544228</v>
      </c>
      <c r="W89" s="16">
        <f t="shared" ca="1" si="56"/>
        <v>18.601225007730122</v>
      </c>
      <c r="X89" s="16">
        <f t="shared" ca="1" si="56"/>
        <v>19.244960779862286</v>
      </c>
    </row>
    <row r="90" spans="1:24" x14ac:dyDescent="0.25">
      <c r="A90" s="11" t="s">
        <v>530</v>
      </c>
      <c r="B90" s="10" t="str">
        <f t="shared" si="54"/>
        <v>From Fiscal Forecasts</v>
      </c>
      <c r="C90" s="13"/>
      <c r="D90" s="35">
        <f>'Fiscal Forecasts'!D$76</f>
        <v>19.763999999999999</v>
      </c>
      <c r="E90" s="35">
        <f>'Fiscal Forecasts'!E$76</f>
        <v>18.289000000000001</v>
      </c>
      <c r="F90" s="35">
        <f>'Fiscal Forecasts'!F$76</f>
        <v>17.731999999999999</v>
      </c>
      <c r="G90" s="35">
        <f>'Fiscal Forecasts'!G$76</f>
        <v>17.834</v>
      </c>
      <c r="H90" s="35">
        <f>'Fiscal Forecasts'!H$76</f>
        <v>22.283999999999999</v>
      </c>
      <c r="I90" s="35">
        <f>'Fiscal Forecasts'!I$76</f>
        <v>24.359000000000002</v>
      </c>
      <c r="J90" s="17">
        <f>'Fiscal Forecasts'!J$76</f>
        <v>27.206</v>
      </c>
      <c r="K90" s="17">
        <f>'Fiscal Forecasts'!K$76</f>
        <v>27.605</v>
      </c>
      <c r="L90" s="17">
        <f>'Fiscal Forecasts'!L$76</f>
        <v>28.786999999999999</v>
      </c>
      <c r="M90" s="17">
        <f>'Fiscal Forecasts'!M$76</f>
        <v>29.917000000000002</v>
      </c>
      <c r="N90" s="17">
        <f>'Fiscal Forecasts'!N$76</f>
        <v>30.298999999999999</v>
      </c>
      <c r="O90" s="16">
        <f t="shared" ref="O90:X90" ca="1" si="57">O$155</f>
        <v>31.517025502224552</v>
      </c>
      <c r="P90" s="16">
        <f t="shared" ca="1" si="57"/>
        <v>32.834131196395788</v>
      </c>
      <c r="Q90" s="16">
        <f t="shared" ca="1" si="57"/>
        <v>34.154889165926434</v>
      </c>
      <c r="R90" s="16">
        <f t="shared" ca="1" si="57"/>
        <v>35.475773927409826</v>
      </c>
      <c r="S90" s="16">
        <f t="shared" ca="1" si="57"/>
        <v>36.824653359169588</v>
      </c>
      <c r="T90" s="16">
        <f t="shared" ca="1" si="57"/>
        <v>38.199401650237419</v>
      </c>
      <c r="U90" s="16">
        <f t="shared" ca="1" si="57"/>
        <v>39.59293518274719</v>
      </c>
      <c r="V90" s="16">
        <f t="shared" ca="1" si="57"/>
        <v>41.007289806661774</v>
      </c>
      <c r="W90" s="16">
        <f t="shared" ca="1" si="57"/>
        <v>42.441198296769436</v>
      </c>
      <c r="X90" s="16">
        <f t="shared" ca="1" si="57"/>
        <v>43.90572355563144</v>
      </c>
    </row>
    <row r="91" spans="1:24" x14ac:dyDescent="0.25">
      <c r="A91" s="11" t="s">
        <v>576</v>
      </c>
      <c r="B91" s="10" t="str">
        <f t="shared" si="54"/>
        <v>From Fiscal Forecasts</v>
      </c>
      <c r="C91" s="13"/>
      <c r="D91" s="35">
        <f>'Fiscal Forecasts'!D$77</f>
        <v>2.528</v>
      </c>
      <c r="E91" s="35">
        <f>'Fiscal Forecasts'!E$77</f>
        <v>2.3069999999999999</v>
      </c>
      <c r="F91" s="35">
        <f>'Fiscal Forecasts'!F$77</f>
        <v>1.67</v>
      </c>
      <c r="G91" s="35">
        <f>'Fiscal Forecasts'!G$77</f>
        <v>1.9610000000000001</v>
      </c>
      <c r="H91" s="35">
        <f>'Fiscal Forecasts'!H$77</f>
        <v>3.6110000000000002</v>
      </c>
      <c r="I91" s="35">
        <f>'Fiscal Forecasts'!I$77</f>
        <v>5.2830000000000004</v>
      </c>
      <c r="J91" s="17">
        <f>'Fiscal Forecasts'!J$77</f>
        <v>6.0940000000000003</v>
      </c>
      <c r="K91" s="17">
        <f>'Fiscal Forecasts'!K$77</f>
        <v>5.6040000000000001</v>
      </c>
      <c r="L91" s="17">
        <f>'Fiscal Forecasts'!L$77</f>
        <v>4.6559999999999997</v>
      </c>
      <c r="M91" s="17">
        <f>'Fiscal Forecasts'!M$77</f>
        <v>4.6390000000000002</v>
      </c>
      <c r="N91" s="17">
        <f>'Fiscal Forecasts'!N$77</f>
        <v>4.9080000000000004</v>
      </c>
      <c r="O91" s="16">
        <f t="shared" ref="O91:X91" ca="1" si="58">SUM(O$158,O$160,O$162:O$164,O$341)</f>
        <v>6.9626776990843595</v>
      </c>
      <c r="P91" s="16">
        <f t="shared" ca="1" si="58"/>
        <v>7.096944455830168</v>
      </c>
      <c r="Q91" s="16">
        <f t="shared" ca="1" si="58"/>
        <v>7.2342034416784191</v>
      </c>
      <c r="R91" s="16">
        <f t="shared" ca="1" si="58"/>
        <v>7.3741305167375675</v>
      </c>
      <c r="S91" s="16">
        <f t="shared" ca="1" si="58"/>
        <v>7.5165717741497984</v>
      </c>
      <c r="T91" s="16">
        <f t="shared" ca="1" si="58"/>
        <v>7.6509193443429977</v>
      </c>
      <c r="U91" s="16">
        <f t="shared" ca="1" si="58"/>
        <v>7.7874269024508687</v>
      </c>
      <c r="V91" s="16">
        <f t="shared" ca="1" si="58"/>
        <v>7.926034612833865</v>
      </c>
      <c r="W91" s="16">
        <f t="shared" ca="1" si="58"/>
        <v>8.0672401452018629</v>
      </c>
      <c r="X91" s="16">
        <f t="shared" ca="1" si="58"/>
        <v>8.2119143950204592</v>
      </c>
    </row>
    <row r="92" spans="1:24" x14ac:dyDescent="0.25">
      <c r="A92" s="11" t="s">
        <v>577</v>
      </c>
      <c r="B92" s="10" t="str">
        <f t="shared" si="54"/>
        <v>From Fiscal Forecasts</v>
      </c>
      <c r="C92" s="13"/>
      <c r="D92" s="35">
        <f>'Fiscal Forecasts'!D$78</f>
        <v>4.5629999999999997</v>
      </c>
      <c r="E92" s="35">
        <f>'Fiscal Forecasts'!E$78</f>
        <v>4.5439999999999996</v>
      </c>
      <c r="F92" s="35">
        <f>'Fiscal Forecasts'!F$78</f>
        <v>4.8140000000000001</v>
      </c>
      <c r="G92" s="35">
        <f>'Fiscal Forecasts'!G$78</f>
        <v>4.8019999999999996</v>
      </c>
      <c r="H92" s="35">
        <f>'Fiscal Forecasts'!H$78</f>
        <v>4.9219999999999997</v>
      </c>
      <c r="I92" s="35">
        <f>'Fiscal Forecasts'!I$78</f>
        <v>6.5350000000000001</v>
      </c>
      <c r="J92" s="17">
        <f>'Fiscal Forecasts'!J$78</f>
        <v>6.6260000000000003</v>
      </c>
      <c r="K92" s="17">
        <f>'Fiscal Forecasts'!K$78</f>
        <v>6.0540000000000003</v>
      </c>
      <c r="L92" s="17">
        <f>'Fiscal Forecasts'!L$78</f>
        <v>6.3639999999999999</v>
      </c>
      <c r="M92" s="17">
        <f>'Fiscal Forecasts'!M$78</f>
        <v>6.4029999999999996</v>
      </c>
      <c r="N92" s="17">
        <f>'Fiscal Forecasts'!N$78</f>
        <v>6.6180000000000003</v>
      </c>
      <c r="O92" s="16">
        <f t="shared" ref="O92:X92" ca="1" si="59">SUM(O$173,O$179)</f>
        <v>5.957937142686907</v>
      </c>
      <c r="P92" s="16">
        <f t="shared" ca="1" si="59"/>
        <v>6.1667266413542272</v>
      </c>
      <c r="Q92" s="16">
        <f t="shared" ca="1" si="59"/>
        <v>6.3787635746558369</v>
      </c>
      <c r="R92" s="16">
        <f t="shared" ca="1" si="59"/>
        <v>6.5944233547183666</v>
      </c>
      <c r="S92" s="16">
        <f t="shared" ca="1" si="59"/>
        <v>6.8151050446889379</v>
      </c>
      <c r="T92" s="16">
        <f t="shared" ca="1" si="59"/>
        <v>7.0360323772641662</v>
      </c>
      <c r="U92" s="16">
        <f t="shared" ca="1" si="59"/>
        <v>7.2562037724334445</v>
      </c>
      <c r="V92" s="16">
        <f t="shared" ca="1" si="59"/>
        <v>7.4750218963047637</v>
      </c>
      <c r="W92" s="16">
        <f t="shared" ca="1" si="59"/>
        <v>7.6927036798367174</v>
      </c>
      <c r="X92" s="16">
        <f t="shared" ca="1" si="59"/>
        <v>7.9134964364881988</v>
      </c>
    </row>
    <row r="93" spans="1:24" x14ac:dyDescent="0.25">
      <c r="A93" s="9" t="s">
        <v>578</v>
      </c>
      <c r="B93" s="9"/>
      <c r="C93" s="13"/>
      <c r="D93" s="65">
        <f>SUM(D$88:D$92)</f>
        <v>115.059</v>
      </c>
      <c r="E93" s="65">
        <f t="shared" ref="E93:X93" si="60">SUM(E$88:E$92)</f>
        <v>113.59</v>
      </c>
      <c r="F93" s="65">
        <f t="shared" si="60"/>
        <v>126.02200000000002</v>
      </c>
      <c r="G93" s="65">
        <f t="shared" si="60"/>
        <v>135.11199999999999</v>
      </c>
      <c r="H93" s="65">
        <f t="shared" si="60"/>
        <v>149.23499999999999</v>
      </c>
      <c r="I93" s="65">
        <f t="shared" si="60"/>
        <v>159.70299999999997</v>
      </c>
      <c r="J93" s="66">
        <f t="shared" si="60"/>
        <v>169.25299999999999</v>
      </c>
      <c r="K93" s="66">
        <f t="shared" si="60"/>
        <v>170.755</v>
      </c>
      <c r="L93" s="66">
        <f t="shared" si="60"/>
        <v>180.11300000000003</v>
      </c>
      <c r="M93" s="66">
        <f t="shared" si="60"/>
        <v>189.047</v>
      </c>
      <c r="N93" s="66">
        <f t="shared" si="60"/>
        <v>197.779</v>
      </c>
      <c r="O93" s="92">
        <f t="shared" ca="1" si="60"/>
        <v>207.16035704730996</v>
      </c>
      <c r="P93" s="92">
        <f t="shared" ca="1" si="60"/>
        <v>215.71943560777873</v>
      </c>
      <c r="Q93" s="92">
        <f t="shared" ca="1" si="60"/>
        <v>224.60534697137598</v>
      </c>
      <c r="R93" s="92">
        <f t="shared" ca="1" si="60"/>
        <v>233.5707132320002</v>
      </c>
      <c r="S93" s="92">
        <f t="shared" ca="1" si="60"/>
        <v>242.77132934132322</v>
      </c>
      <c r="T93" s="92">
        <f t="shared" ca="1" si="60"/>
        <v>252.16401122370101</v>
      </c>
      <c r="U93" s="92">
        <f t="shared" ca="1" si="60"/>
        <v>261.75005596324178</v>
      </c>
      <c r="V93" s="92">
        <f t="shared" ca="1" si="60"/>
        <v>271.33227764077992</v>
      </c>
      <c r="W93" s="92">
        <f t="shared" ca="1" si="60"/>
        <v>280.8119626721143</v>
      </c>
      <c r="X93" s="92">
        <f t="shared" ca="1" si="60"/>
        <v>290.42149720046137</v>
      </c>
    </row>
    <row r="94" spans="1:24" x14ac:dyDescent="0.25">
      <c r="A94" s="11" t="s">
        <v>534</v>
      </c>
      <c r="B94" s="10" t="str">
        <f t="shared" si="54"/>
        <v>From Fiscal Forecasts</v>
      </c>
      <c r="C94" s="13"/>
      <c r="D94" s="35">
        <f>'Fiscal Forecasts'!D$80</f>
        <v>27.981999999999999</v>
      </c>
      <c r="E94" s="35">
        <f>'Fiscal Forecasts'!E$80</f>
        <v>42.945</v>
      </c>
      <c r="F94" s="35">
        <f>'Fiscal Forecasts'!F$80</f>
        <v>35.515000000000001</v>
      </c>
      <c r="G94" s="35">
        <f>'Fiscal Forecasts'!G$80</f>
        <v>44.273000000000003</v>
      </c>
      <c r="H94" s="35">
        <f>'Fiscal Forecasts'!H$80</f>
        <v>39.17</v>
      </c>
      <c r="I94" s="35">
        <f>'Fiscal Forecasts'!I$80</f>
        <v>42.335000000000001</v>
      </c>
      <c r="J94" s="17">
        <f>'Fiscal Forecasts'!J$80</f>
        <v>46.25</v>
      </c>
      <c r="K94" s="17">
        <f>'Fiscal Forecasts'!K$80</f>
        <v>47.412999999999997</v>
      </c>
      <c r="L94" s="17">
        <f>'Fiscal Forecasts'!L$80</f>
        <v>48.414999999999999</v>
      </c>
      <c r="M94" s="17">
        <f>'Fiscal Forecasts'!M$80</f>
        <v>49.828000000000003</v>
      </c>
      <c r="N94" s="17">
        <f>'Fiscal Forecasts'!N$80</f>
        <v>51.317</v>
      </c>
      <c r="O94" s="16">
        <f t="shared" ref="O94:X94" ca="1" si="61">O$194</f>
        <v>52.716537878014769</v>
      </c>
      <c r="P94" s="16">
        <f t="shared" ca="1" si="61"/>
        <v>54.97496932655698</v>
      </c>
      <c r="Q94" s="16">
        <f t="shared" ca="1" si="61"/>
        <v>57.336481433380918</v>
      </c>
      <c r="R94" s="16">
        <f t="shared" ca="1" si="61"/>
        <v>59.784834344606928</v>
      </c>
      <c r="S94" s="16">
        <f t="shared" ca="1" si="61"/>
        <v>62.321710620668796</v>
      </c>
      <c r="T94" s="16">
        <f t="shared" ca="1" si="61"/>
        <v>64.903902206045629</v>
      </c>
      <c r="U94" s="16">
        <f t="shared" ca="1" si="61"/>
        <v>67.58738423613697</v>
      </c>
      <c r="V94" s="16">
        <f t="shared" ca="1" si="61"/>
        <v>70.30501559046796</v>
      </c>
      <c r="W94" s="16">
        <f t="shared" ca="1" si="61"/>
        <v>72.993209551386627</v>
      </c>
      <c r="X94" s="16">
        <f t="shared" ca="1" si="61"/>
        <v>75.659959432481941</v>
      </c>
    </row>
    <row r="95" spans="1:24" x14ac:dyDescent="0.25">
      <c r="A95" s="11" t="s">
        <v>579</v>
      </c>
      <c r="B95" s="10" t="str">
        <f t="shared" si="54"/>
        <v>From Fiscal Forecasts</v>
      </c>
      <c r="C95" s="13"/>
      <c r="D95" s="35">
        <f>'Fiscal Forecasts'!D$81</f>
        <v>72.078999999999994</v>
      </c>
      <c r="E95" s="35">
        <f>'Fiscal Forecasts'!E$81</f>
        <v>77.191999999999993</v>
      </c>
      <c r="F95" s="35">
        <f>'Fiscal Forecasts'!F$81</f>
        <v>84.256</v>
      </c>
      <c r="G95" s="35">
        <f>'Fiscal Forecasts'!G$81</f>
        <v>92.965000000000003</v>
      </c>
      <c r="H95" s="35">
        <f>'Fiscal Forecasts'!H$81</f>
        <v>99.414000000000001</v>
      </c>
      <c r="I95" s="35">
        <f>'Fiscal Forecasts'!I$81</f>
        <v>111.095</v>
      </c>
      <c r="J95" s="17">
        <f ca="1">'Fiscal Forecasts'!J$81+IF(OFFSET(Assumptions!$B$56,0,$C$1)="Yes",SUM(Allocation!C$14:C$24),0)</f>
        <v>117.63</v>
      </c>
      <c r="K95" s="17">
        <f ca="1">'Fiscal Forecasts'!K$81+IF(OFFSET(Assumptions!$B$56,0,$C$1)="Yes",SUM(Allocation!D$14:D$24),0)</f>
        <v>117.75399999999999</v>
      </c>
      <c r="L95" s="17">
        <f ca="1">'Fiscal Forecasts'!L$81+IF(OFFSET(Assumptions!$B$56,0,$C$1)="Yes",SUM(Allocation!E$14:E$24),0)</f>
        <v>120.57599999999999</v>
      </c>
      <c r="M95" s="17">
        <f ca="1">'Fiscal Forecasts'!M$81+IF(OFFSET(Assumptions!$B$56,0,$C$1)="Yes",SUM(Allocation!F$14:F$24),0)</f>
        <v>121.95500000000001</v>
      </c>
      <c r="N95" s="17">
        <f ca="1">'Fiscal Forecasts'!N$81+IF(OFFSET(Assumptions!$B$56,0,$C$1)="Yes",SUM(Allocation!G$14:G$24),0)</f>
        <v>124.11</v>
      </c>
      <c r="O95" s="16">
        <f t="shared" ref="O95:X95" ca="1" si="62">SUM(O$212,O$226,O$240)-SUM(O$115,O$272,O$282,O$322,O$475-N$475,O$480-N$480)</f>
        <v>129.77140497308457</v>
      </c>
      <c r="P95" s="16">
        <f t="shared" ca="1" si="62"/>
        <v>135.71950665841212</v>
      </c>
      <c r="Q95" s="16">
        <f t="shared" ca="1" si="62"/>
        <v>142.00471729525307</v>
      </c>
      <c r="R95" s="16">
        <f t="shared" ca="1" si="62"/>
        <v>148.37957847715379</v>
      </c>
      <c r="S95" s="16">
        <f t="shared" ca="1" si="62"/>
        <v>154.73572064311688</v>
      </c>
      <c r="T95" s="16">
        <f t="shared" ca="1" si="62"/>
        <v>161.20708281425942</v>
      </c>
      <c r="U95" s="16">
        <f t="shared" ca="1" si="62"/>
        <v>167.66127574854923</v>
      </c>
      <c r="V95" s="16">
        <f t="shared" ca="1" si="62"/>
        <v>174.37160634624496</v>
      </c>
      <c r="W95" s="16">
        <f t="shared" ca="1" si="62"/>
        <v>181.27900749709849</v>
      </c>
      <c r="X95" s="16">
        <f t="shared" ca="1" si="62"/>
        <v>188.36963621608476</v>
      </c>
    </row>
    <row r="96" spans="1:24" x14ac:dyDescent="0.25">
      <c r="A96" s="11" t="s">
        <v>580</v>
      </c>
      <c r="B96" s="10" t="str">
        <f t="shared" si="54"/>
        <v>From Fiscal Forecasts</v>
      </c>
      <c r="C96" s="13"/>
      <c r="D96" s="35">
        <f>'Fiscal Forecasts'!D$82</f>
        <v>4.0250000000000004</v>
      </c>
      <c r="E96" s="35">
        <f>'Fiscal Forecasts'!E$82</f>
        <v>3.8490000000000002</v>
      </c>
      <c r="F96" s="35">
        <f>'Fiscal Forecasts'!F$82</f>
        <v>3.1469999999999998</v>
      </c>
      <c r="G96" s="35">
        <f>'Fiscal Forecasts'!G$82</f>
        <v>3.2509999999999999</v>
      </c>
      <c r="H96" s="35">
        <f>'Fiscal Forecasts'!H$82</f>
        <v>6.1260000000000003</v>
      </c>
      <c r="I96" s="35">
        <f>'Fiscal Forecasts'!I$82</f>
        <v>8.5790000000000006</v>
      </c>
      <c r="J96" s="17">
        <f>'Fiscal Forecasts'!J$82</f>
        <v>8.5350000000000001</v>
      </c>
      <c r="K96" s="17">
        <f>'Fiscal Forecasts'!K$82</f>
        <v>9.2810000000000006</v>
      </c>
      <c r="L96" s="17">
        <f>'Fiscal Forecasts'!L$82</f>
        <v>10.356999999999999</v>
      </c>
      <c r="M96" s="17">
        <f>'Fiscal Forecasts'!M$82</f>
        <v>10.997</v>
      </c>
      <c r="N96" s="17">
        <f>'Fiscal Forecasts'!N$82</f>
        <v>12.266999999999999</v>
      </c>
      <c r="O96" s="16">
        <f t="shared" ref="O96:X96" ca="1" si="63">(2*N$70-SUM(O$93,O$106,O$107)+SUM(O$94,O$95,O$97,O$109,O$356-N$356))/(2/O$234-1)</f>
        <v>15.268172253205821</v>
      </c>
      <c r="P96" s="16">
        <f t="shared" ca="1" si="63"/>
        <v>15.847677007514502</v>
      </c>
      <c r="Q96" s="16">
        <f t="shared" ca="1" si="63"/>
        <v>16.490329689113064</v>
      </c>
      <c r="R96" s="16">
        <f t="shared" ca="1" si="63"/>
        <v>17.166799333152127</v>
      </c>
      <c r="S96" s="16">
        <f t="shared" ca="1" si="63"/>
        <v>17.877299796630943</v>
      </c>
      <c r="T96" s="16">
        <f t="shared" ca="1" si="63"/>
        <v>18.554732451559811</v>
      </c>
      <c r="U96" s="16">
        <f t="shared" ca="1" si="63"/>
        <v>19.25522601633509</v>
      </c>
      <c r="V96" s="16">
        <f t="shared" ca="1" si="63"/>
        <v>19.981523015363706</v>
      </c>
      <c r="W96" s="16">
        <f t="shared" ca="1" si="63"/>
        <v>20.745494288517872</v>
      </c>
      <c r="X96" s="16">
        <f t="shared" ca="1" si="63"/>
        <v>21.557202281214774</v>
      </c>
    </row>
    <row r="97" spans="1:24" x14ac:dyDescent="0.25">
      <c r="A97" s="11" t="s">
        <v>1125</v>
      </c>
      <c r="B97" s="9"/>
      <c r="C97" s="13"/>
      <c r="D97" s="35">
        <f t="shared" ref="D97:X97" si="64">SUM(D$245,D$248)</f>
        <v>0</v>
      </c>
      <c r="E97" s="35">
        <f t="shared" si="64"/>
        <v>0</v>
      </c>
      <c r="F97" s="35">
        <f t="shared" si="64"/>
        <v>0</v>
      </c>
      <c r="G97" s="35">
        <f t="shared" si="64"/>
        <v>0</v>
      </c>
      <c r="H97" s="35">
        <f t="shared" si="64"/>
        <v>0</v>
      </c>
      <c r="I97" s="35">
        <f t="shared" si="64"/>
        <v>0</v>
      </c>
      <c r="J97" s="17">
        <f t="shared" ca="1" si="64"/>
        <v>0</v>
      </c>
      <c r="K97" s="17">
        <f t="shared" ca="1" si="64"/>
        <v>0</v>
      </c>
      <c r="L97" s="17">
        <f t="shared" ca="1" si="64"/>
        <v>0</v>
      </c>
      <c r="M97" s="17">
        <f t="shared" ca="1" si="64"/>
        <v>0</v>
      </c>
      <c r="N97" s="17">
        <f t="shared" ca="1" si="64"/>
        <v>0</v>
      </c>
      <c r="O97" s="16">
        <f t="shared" ca="1" si="64"/>
        <v>0</v>
      </c>
      <c r="P97" s="16">
        <f t="shared" ca="1" si="64"/>
        <v>0</v>
      </c>
      <c r="Q97" s="16">
        <f t="shared" ca="1" si="64"/>
        <v>0</v>
      </c>
      <c r="R97" s="16">
        <f t="shared" ca="1" si="64"/>
        <v>0</v>
      </c>
      <c r="S97" s="16">
        <f t="shared" ca="1" si="64"/>
        <v>0</v>
      </c>
      <c r="T97" s="16">
        <f t="shared" ca="1" si="64"/>
        <v>0</v>
      </c>
      <c r="U97" s="16">
        <f t="shared" ca="1" si="64"/>
        <v>0</v>
      </c>
      <c r="V97" s="16">
        <f t="shared" ca="1" si="64"/>
        <v>0</v>
      </c>
      <c r="W97" s="16">
        <f t="shared" ca="1" si="64"/>
        <v>0</v>
      </c>
      <c r="X97" s="16">
        <f t="shared" ca="1" si="64"/>
        <v>0</v>
      </c>
    </row>
    <row r="98" spans="1:24" x14ac:dyDescent="0.25">
      <c r="A98" s="9" t="s">
        <v>1157</v>
      </c>
      <c r="B98" s="9"/>
      <c r="C98" s="13"/>
      <c r="D98" s="65">
        <f>SUM(D$94:D$97)</f>
        <v>104.086</v>
      </c>
      <c r="E98" s="65">
        <f t="shared" ref="E98:X98" si="65">SUM(E$94:E$97)</f>
        <v>123.986</v>
      </c>
      <c r="F98" s="65">
        <f t="shared" si="65"/>
        <v>122.91800000000001</v>
      </c>
      <c r="G98" s="65">
        <f t="shared" si="65"/>
        <v>140.489</v>
      </c>
      <c r="H98" s="65">
        <f t="shared" si="65"/>
        <v>144.71</v>
      </c>
      <c r="I98" s="65">
        <f t="shared" si="65"/>
        <v>162.00900000000001</v>
      </c>
      <c r="J98" s="66">
        <f t="shared" ca="1" si="65"/>
        <v>172.41499999999999</v>
      </c>
      <c r="K98" s="66">
        <f t="shared" ca="1" si="65"/>
        <v>174.44799999999998</v>
      </c>
      <c r="L98" s="66">
        <f t="shared" ca="1" si="65"/>
        <v>179.34799999999998</v>
      </c>
      <c r="M98" s="66">
        <f t="shared" ca="1" si="65"/>
        <v>182.78000000000003</v>
      </c>
      <c r="N98" s="66">
        <f t="shared" ca="1" si="65"/>
        <v>187.69399999999999</v>
      </c>
      <c r="O98" s="92">
        <f t="shared" ca="1" si="65"/>
        <v>197.75611510430517</v>
      </c>
      <c r="P98" s="92">
        <f t="shared" ca="1" si="65"/>
        <v>206.54215299248361</v>
      </c>
      <c r="Q98" s="92">
        <f t="shared" ca="1" si="65"/>
        <v>215.83152841774705</v>
      </c>
      <c r="R98" s="92">
        <f t="shared" ca="1" si="65"/>
        <v>225.33121215491286</v>
      </c>
      <c r="S98" s="92">
        <f t="shared" ca="1" si="65"/>
        <v>234.93473106041662</v>
      </c>
      <c r="T98" s="92">
        <f t="shared" ca="1" si="65"/>
        <v>244.66571747186487</v>
      </c>
      <c r="U98" s="92">
        <f t="shared" ca="1" si="65"/>
        <v>254.50388600102127</v>
      </c>
      <c r="V98" s="92">
        <f t="shared" ca="1" si="65"/>
        <v>264.65814495207667</v>
      </c>
      <c r="W98" s="92">
        <f t="shared" ca="1" si="65"/>
        <v>275.01771133700299</v>
      </c>
      <c r="X98" s="92">
        <f t="shared" ca="1" si="65"/>
        <v>285.58679792978143</v>
      </c>
    </row>
    <row r="99" spans="1:24" x14ac:dyDescent="0.25">
      <c r="A99" s="9" t="s">
        <v>1142</v>
      </c>
      <c r="B99" s="9"/>
      <c r="C99" s="13"/>
      <c r="D99" s="65">
        <f>D$93-D$98</f>
        <v>10.972999999999999</v>
      </c>
      <c r="E99" s="65">
        <f t="shared" ref="E99:X99" si="66">E$93-E$98</f>
        <v>-10.396000000000001</v>
      </c>
      <c r="F99" s="65">
        <f t="shared" si="66"/>
        <v>3.1040000000000134</v>
      </c>
      <c r="G99" s="65">
        <f t="shared" si="66"/>
        <v>-5.3770000000000095</v>
      </c>
      <c r="H99" s="65">
        <f t="shared" si="66"/>
        <v>4.5249999999999773</v>
      </c>
      <c r="I99" s="65">
        <f t="shared" si="66"/>
        <v>-2.30600000000004</v>
      </c>
      <c r="J99" s="66">
        <f t="shared" ca="1" si="66"/>
        <v>-3.1620000000000061</v>
      </c>
      <c r="K99" s="66">
        <f t="shared" ca="1" si="66"/>
        <v>-3.6929999999999836</v>
      </c>
      <c r="L99" s="66">
        <f t="shared" ca="1" si="66"/>
        <v>0.7650000000000432</v>
      </c>
      <c r="M99" s="66">
        <f t="shared" ca="1" si="66"/>
        <v>6.2669999999999675</v>
      </c>
      <c r="N99" s="66">
        <f t="shared" ca="1" si="66"/>
        <v>10.085000000000008</v>
      </c>
      <c r="O99" s="92">
        <f t="shared" ca="1" si="66"/>
        <v>9.4042419430047914</v>
      </c>
      <c r="P99" s="92">
        <f t="shared" ca="1" si="66"/>
        <v>9.1772826152951268</v>
      </c>
      <c r="Q99" s="92">
        <f t="shared" ca="1" si="66"/>
        <v>8.7738185536289279</v>
      </c>
      <c r="R99" s="92">
        <f t="shared" ca="1" si="66"/>
        <v>8.2395010770873398</v>
      </c>
      <c r="S99" s="92">
        <f t="shared" ca="1" si="66"/>
        <v>7.8365982809065997</v>
      </c>
      <c r="T99" s="92">
        <f t="shared" ca="1" si="66"/>
        <v>7.4982937518361439</v>
      </c>
      <c r="U99" s="92">
        <f t="shared" ca="1" si="66"/>
        <v>7.246169962220506</v>
      </c>
      <c r="V99" s="92">
        <f t="shared" ca="1" si="66"/>
        <v>6.6741326887032528</v>
      </c>
      <c r="W99" s="92">
        <f t="shared" ca="1" si="66"/>
        <v>5.7942513351113121</v>
      </c>
      <c r="X99" s="92">
        <f t="shared" ca="1" si="66"/>
        <v>4.8346992706799483</v>
      </c>
    </row>
    <row r="100" spans="1:24" x14ac:dyDescent="0.25">
      <c r="A100" s="11" t="s">
        <v>1126</v>
      </c>
      <c r="B100" s="10" t="str">
        <f t="shared" ref="B100:B104" si="67">$B$38</f>
        <v>From Fiscal Forecasts</v>
      </c>
      <c r="C100" s="13"/>
      <c r="D100" s="35">
        <f>-'Fiscal Forecasts'!D$85</f>
        <v>8.4640000000000004</v>
      </c>
      <c r="E100" s="35">
        <f>-'Fiscal Forecasts'!E$85</f>
        <v>9.0709999999999997</v>
      </c>
      <c r="F100" s="35">
        <f>-'Fiscal Forecasts'!F$85</f>
        <v>9.3930000000000007</v>
      </c>
      <c r="G100" s="35">
        <f>-'Fiscal Forecasts'!G$85</f>
        <v>10.571999999999999</v>
      </c>
      <c r="H100" s="35">
        <f>-'Fiscal Forecasts'!H$85</f>
        <v>14.271000000000001</v>
      </c>
      <c r="I100" s="35">
        <f>-'Fiscal Forecasts'!I$85</f>
        <v>16.948</v>
      </c>
      <c r="J100" s="17">
        <f>-'Fiscal Forecasts'!J$85</f>
        <v>15.737</v>
      </c>
      <c r="K100" s="17">
        <f>-'Fiscal Forecasts'!K$85</f>
        <v>17.817</v>
      </c>
      <c r="L100" s="17">
        <f>-'Fiscal Forecasts'!L$85</f>
        <v>15.276999999999999</v>
      </c>
      <c r="M100" s="17">
        <f>-'Fiscal Forecasts'!M$85</f>
        <v>14.224</v>
      </c>
      <c r="N100" s="17">
        <f>-'Fiscal Forecasts'!N$85</f>
        <v>12.698</v>
      </c>
      <c r="O100" s="16">
        <f t="shared" ref="O100:X100" ca="1" si="68">SUM(O$429-N$429,O$218)</f>
        <v>11.714747316313188</v>
      </c>
      <c r="P100" s="16">
        <f t="shared" ca="1" si="68"/>
        <v>11.739327932043718</v>
      </c>
      <c r="Q100" s="16">
        <f t="shared" ca="1" si="68"/>
        <v>11.800890311107777</v>
      </c>
      <c r="R100" s="16">
        <f t="shared" ca="1" si="68"/>
        <v>11.870370881610375</v>
      </c>
      <c r="S100" s="16">
        <f t="shared" ca="1" si="68"/>
        <v>11.941204662617775</v>
      </c>
      <c r="T100" s="16">
        <f t="shared" ca="1" si="68"/>
        <v>12.013338886677428</v>
      </c>
      <c r="U100" s="16">
        <f t="shared" ca="1" si="68"/>
        <v>12.086516977663774</v>
      </c>
      <c r="V100" s="16">
        <f t="shared" ca="1" si="68"/>
        <v>12.160825440625404</v>
      </c>
      <c r="W100" s="16">
        <f t="shared" ca="1" si="68"/>
        <v>12.236270015643228</v>
      </c>
      <c r="X100" s="16">
        <f t="shared" ca="1" si="68"/>
        <v>12.313189112753307</v>
      </c>
    </row>
    <row r="101" spans="1:24" x14ac:dyDescent="0.25">
      <c r="A101" s="11" t="s">
        <v>1163</v>
      </c>
      <c r="B101" s="10" t="str">
        <f t="shared" si="67"/>
        <v>From Fiscal Forecasts</v>
      </c>
      <c r="C101" s="13"/>
      <c r="D101" s="35">
        <f>-'Fiscal Forecasts'!D$86</f>
        <v>-3.8039999999999998</v>
      </c>
      <c r="E101" s="35">
        <f>-'Fiscal Forecasts'!E$86</f>
        <v>14.148999999999999</v>
      </c>
      <c r="F101" s="35">
        <f>-'Fiscal Forecasts'!F$86</f>
        <v>-4.1890000000000001</v>
      </c>
      <c r="G101" s="35">
        <f>-'Fiscal Forecasts'!G$86</f>
        <v>4.9859999999999998</v>
      </c>
      <c r="H101" s="35">
        <f>-'Fiscal Forecasts'!H$86</f>
        <v>4.9059999999999997</v>
      </c>
      <c r="I101" s="35">
        <f>-'Fiscal Forecasts'!I$86</f>
        <v>10.231999999999999</v>
      </c>
      <c r="J101" s="17">
        <f>-'Fiscal Forecasts'!J$86</f>
        <v>6.375</v>
      </c>
      <c r="K101" s="17">
        <f>-'Fiscal Forecasts'!K$86</f>
        <v>4.6929999999999996</v>
      </c>
      <c r="L101" s="17">
        <f>-'Fiscal Forecasts'!L$86</f>
        <v>-3.2610000000000001</v>
      </c>
      <c r="M101" s="17">
        <f>-'Fiscal Forecasts'!M$86</f>
        <v>-0.20200000000000001</v>
      </c>
      <c r="N101" s="17">
        <f>-'Fiscal Forecasts'!N$86</f>
        <v>-0.113</v>
      </c>
      <c r="O101" s="16">
        <f t="shared" ref="O101:X101" ca="1" si="69">SUM(O$372-N$372,O$381-N$381,O$397-N$397)-SUM(O$340,O$343:O$345)</f>
        <v>-2.6260628699416904</v>
      </c>
      <c r="P101" s="16">
        <f t="shared" ca="1" si="69"/>
        <v>-0.5560093800008179</v>
      </c>
      <c r="Q101" s="16">
        <f t="shared" ca="1" si="69"/>
        <v>-0.61888529475448895</v>
      </c>
      <c r="R101" s="16">
        <f t="shared" ca="1" si="69"/>
        <v>-0.72918476219052053</v>
      </c>
      <c r="S101" s="16">
        <f t="shared" ca="1" si="69"/>
        <v>-0.85783984643032163</v>
      </c>
      <c r="T101" s="16">
        <f t="shared" ca="1" si="69"/>
        <v>-0.96735590032054652</v>
      </c>
      <c r="U101" s="16">
        <f t="shared" ca="1" si="69"/>
        <v>-1.114387345815155</v>
      </c>
      <c r="V101" s="16">
        <f t="shared" ca="1" si="69"/>
        <v>-1.3422295341735193</v>
      </c>
      <c r="W101" s="16">
        <f t="shared" ca="1" si="69"/>
        <v>-1.6041744214994882</v>
      </c>
      <c r="X101" s="16">
        <f t="shared" ca="1" si="69"/>
        <v>-1.8210006160178978</v>
      </c>
    </row>
    <row r="102" spans="1:24" x14ac:dyDescent="0.25">
      <c r="A102" s="11" t="s">
        <v>1164</v>
      </c>
      <c r="B102" s="10" t="str">
        <f t="shared" si="67"/>
        <v>From Fiscal Forecasts</v>
      </c>
      <c r="C102" s="13"/>
      <c r="D102" s="35">
        <f>-'Fiscal Forecasts'!D$87</f>
        <v>0.79100000000000004</v>
      </c>
      <c r="E102" s="35">
        <f>-'Fiscal Forecasts'!E$87</f>
        <v>0.85499999999999998</v>
      </c>
      <c r="F102" s="35">
        <f>-'Fiscal Forecasts'!F$87</f>
        <v>0.89800000000000002</v>
      </c>
      <c r="G102" s="35">
        <f>-'Fiscal Forecasts'!G$87</f>
        <v>0.71</v>
      </c>
      <c r="H102" s="35">
        <f>-'Fiscal Forecasts'!H$87</f>
        <v>0.86799999999999999</v>
      </c>
      <c r="I102" s="35">
        <f>-'Fiscal Forecasts'!I$87</f>
        <v>0.86</v>
      </c>
      <c r="J102" s="17">
        <f>-'Fiscal Forecasts'!J$87</f>
        <v>0.91400000000000003</v>
      </c>
      <c r="K102" s="17">
        <f>-'Fiscal Forecasts'!K$87</f>
        <v>0.74299999999999999</v>
      </c>
      <c r="L102" s="17">
        <f>-'Fiscal Forecasts'!L$87</f>
        <v>0.621</v>
      </c>
      <c r="M102" s="17">
        <f>-'Fiscal Forecasts'!M$87</f>
        <v>0.59199999999999997</v>
      </c>
      <c r="N102" s="17">
        <f>-'Fiscal Forecasts'!N$87</f>
        <v>0.622</v>
      </c>
      <c r="O102" s="16">
        <f t="shared" ref="O102:X102" ca="1" si="70">SUM(O$444-N$444,O$115)</f>
        <v>0.86540356501818028</v>
      </c>
      <c r="P102" s="16">
        <f t="shared" ca="1" si="70"/>
        <v>0.87623288155166745</v>
      </c>
      <c r="Q102" s="16">
        <f t="shared" ca="1" si="70"/>
        <v>0.88727878441582397</v>
      </c>
      <c r="R102" s="16">
        <f t="shared" ca="1" si="70"/>
        <v>0.89854560533726402</v>
      </c>
      <c r="S102" s="16">
        <f t="shared" ca="1" si="70"/>
        <v>0.91003776267713388</v>
      </c>
      <c r="T102" s="16">
        <f t="shared" ca="1" si="70"/>
        <v>0.92175976316379893</v>
      </c>
      <c r="U102" s="16">
        <f t="shared" ca="1" si="70"/>
        <v>0.93371620366019847</v>
      </c>
      <c r="V102" s="16">
        <f t="shared" ca="1" si="70"/>
        <v>0.94591177296652651</v>
      </c>
      <c r="W102" s="16">
        <f t="shared" ca="1" si="70"/>
        <v>0.95835125365897966</v>
      </c>
      <c r="X102" s="16">
        <f t="shared" ca="1" si="70"/>
        <v>0.97103952396528281</v>
      </c>
    </row>
    <row r="103" spans="1:24" x14ac:dyDescent="0.25">
      <c r="A103" s="11" t="s">
        <v>1165</v>
      </c>
      <c r="B103" s="10" t="str">
        <f t="shared" si="67"/>
        <v>From Fiscal Forecasts</v>
      </c>
      <c r="C103" s="13"/>
      <c r="D103" s="35">
        <f>-'Fiscal Forecasts'!D$88</f>
        <v>1.9019999999999999</v>
      </c>
      <c r="E103" s="35">
        <f>-'Fiscal Forecasts'!E$88</f>
        <v>1.29</v>
      </c>
      <c r="F103" s="35">
        <f>-'Fiscal Forecasts'!F$88</f>
        <v>5.6630000000000003</v>
      </c>
      <c r="G103" s="35">
        <f>-'Fiscal Forecasts'!G$88</f>
        <v>12.958</v>
      </c>
      <c r="H103" s="35">
        <f>-'Fiscal Forecasts'!H$88</f>
        <v>8.2149999999999999</v>
      </c>
      <c r="I103" s="35">
        <f>-'Fiscal Forecasts'!I$88</f>
        <v>-0.151</v>
      </c>
      <c r="J103" s="17">
        <f>-'Fiscal Forecasts'!J$88</f>
        <v>-6.0140000000000002</v>
      </c>
      <c r="K103" s="17">
        <f>-'Fiscal Forecasts'!K$88</f>
        <v>-2.7429999999999999</v>
      </c>
      <c r="L103" s="17">
        <f>-'Fiscal Forecasts'!L$88</f>
        <v>3.83</v>
      </c>
      <c r="M103" s="17">
        <f>-'Fiscal Forecasts'!M$88</f>
        <v>4.2050000000000001</v>
      </c>
      <c r="N103" s="17">
        <f>-'Fiscal Forecasts'!N$88</f>
        <v>3.948</v>
      </c>
      <c r="O103" s="16">
        <f t="shared" ref="O103:X103" ca="1" si="71">SUM(O$406-N$406,O$411,-O$413)</f>
        <v>3.4696511861953203</v>
      </c>
      <c r="P103" s="16">
        <f t="shared" ca="1" si="71"/>
        <v>2.9442632046461332</v>
      </c>
      <c r="Q103" s="16">
        <f t="shared" ca="1" si="71"/>
        <v>2.956684471526438</v>
      </c>
      <c r="R103" s="16">
        <f t="shared" ca="1" si="71"/>
        <v>2.9615199859409089</v>
      </c>
      <c r="S103" s="16">
        <f t="shared" ca="1" si="71"/>
        <v>3.015597420692532</v>
      </c>
      <c r="T103" s="16">
        <f t="shared" ca="1" si="71"/>
        <v>3.0619226309681102</v>
      </c>
      <c r="U103" s="16">
        <f t="shared" ca="1" si="71"/>
        <v>3.0975157276296006</v>
      </c>
      <c r="V103" s="16">
        <f t="shared" ca="1" si="71"/>
        <v>3.1394517818057759</v>
      </c>
      <c r="W103" s="16">
        <f t="shared" ca="1" si="71"/>
        <v>3.1915403977656345</v>
      </c>
      <c r="X103" s="16">
        <f t="shared" ca="1" si="71"/>
        <v>3.2762647608818378</v>
      </c>
    </row>
    <row r="104" spans="1:24" x14ac:dyDescent="0.25">
      <c r="A104" s="11" t="s">
        <v>1166</v>
      </c>
      <c r="B104" s="10" t="str">
        <f t="shared" si="67"/>
        <v>From Fiscal Forecasts</v>
      </c>
      <c r="C104" s="13"/>
      <c r="D104" s="35">
        <f>-'Fiscal Forecasts'!D$89</f>
        <v>-0.13600000000000001</v>
      </c>
      <c r="E104" s="35">
        <f>-'Fiscal Forecasts'!E$89</f>
        <v>0.28599999999999998</v>
      </c>
      <c r="F104" s="35">
        <f>-'Fiscal Forecasts'!F$89</f>
        <v>0.39200000000000002</v>
      </c>
      <c r="G104" s="35">
        <f>-'Fiscal Forecasts'!G$89</f>
        <v>0.44800000000000001</v>
      </c>
      <c r="H104" s="35">
        <f>-'Fiscal Forecasts'!H$89</f>
        <v>0.20200000000000001</v>
      </c>
      <c r="I104" s="35">
        <f>-'Fiscal Forecasts'!I$89</f>
        <v>0.39700000000000002</v>
      </c>
      <c r="J104" s="17">
        <f>-'Fiscal Forecasts'!J$89</f>
        <v>0.45600000000000002</v>
      </c>
      <c r="K104" s="17">
        <f>-'Fiscal Forecasts'!K$89</f>
        <v>0.26600000000000001</v>
      </c>
      <c r="L104" s="17">
        <f>-'Fiscal Forecasts'!L$89</f>
        <v>0.193</v>
      </c>
      <c r="M104" s="17">
        <f>-'Fiscal Forecasts'!M$89</f>
        <v>0.26800000000000002</v>
      </c>
      <c r="N104" s="17">
        <f>-'Fiscal Forecasts'!N$89</f>
        <v>8.7999999999999995E-2</v>
      </c>
      <c r="O104" s="16">
        <f t="shared" ref="O104:X104" ca="1" si="72">SUM(O$438-N$438,-O$350)</f>
        <v>0.1328558682668792</v>
      </c>
      <c r="P104" s="16">
        <f t="shared" ca="1" si="72"/>
        <v>0.13052759215871396</v>
      </c>
      <c r="Q104" s="16">
        <f t="shared" ca="1" si="72"/>
        <v>0.12832011727515197</v>
      </c>
      <c r="R104" s="16">
        <f t="shared" ca="1" si="72"/>
        <v>0.12625748403581546</v>
      </c>
      <c r="S104" s="16">
        <f t="shared" ca="1" si="72"/>
        <v>0.1241343169194109</v>
      </c>
      <c r="T104" s="16">
        <f t="shared" ca="1" si="72"/>
        <v>0.12196822618779574</v>
      </c>
      <c r="U104" s="16">
        <f t="shared" ca="1" si="72"/>
        <v>0.11982419770520558</v>
      </c>
      <c r="V104" s="16">
        <f t="shared" ca="1" si="72"/>
        <v>0.11768663252061806</v>
      </c>
      <c r="W104" s="16">
        <f t="shared" ca="1" si="72"/>
        <v>0.1155590240249198</v>
      </c>
      <c r="X104" s="16">
        <f t="shared" ca="1" si="72"/>
        <v>0.11336741536922484</v>
      </c>
    </row>
    <row r="105" spans="1:24" x14ac:dyDescent="0.25">
      <c r="A105" s="11" t="s">
        <v>1130</v>
      </c>
      <c r="B105" s="9"/>
      <c r="C105" s="13"/>
      <c r="D105" s="35">
        <f t="shared" ref="D105:X105" si="73">SUM(D$450-C$450,D$451-C$451)</f>
        <v>0</v>
      </c>
      <c r="E105" s="35">
        <f t="shared" si="73"/>
        <v>0</v>
      </c>
      <c r="F105" s="35">
        <f t="shared" si="73"/>
        <v>0</v>
      </c>
      <c r="G105" s="35">
        <f t="shared" si="73"/>
        <v>0</v>
      </c>
      <c r="H105" s="35">
        <f t="shared" si="73"/>
        <v>0</v>
      </c>
      <c r="I105" s="35">
        <f t="shared" si="73"/>
        <v>0</v>
      </c>
      <c r="J105" s="17">
        <f t="shared" si="73"/>
        <v>-1.5</v>
      </c>
      <c r="K105" s="17">
        <f t="shared" si="73"/>
        <v>1.6600000000000001</v>
      </c>
      <c r="L105" s="17">
        <f t="shared" si="73"/>
        <v>3.0419999999999998</v>
      </c>
      <c r="M105" s="17">
        <f t="shared" si="73"/>
        <v>3.3770000000000002</v>
      </c>
      <c r="N105" s="17">
        <f t="shared" si="73"/>
        <v>3.9310000000000005</v>
      </c>
      <c r="O105" s="16">
        <f t="shared" ca="1" si="73"/>
        <v>7</v>
      </c>
      <c r="P105" s="16">
        <f t="shared" ca="1" si="73"/>
        <v>7.2100000000000009</v>
      </c>
      <c r="Q105" s="16">
        <f t="shared" ca="1" si="73"/>
        <v>7.4262999999999977</v>
      </c>
      <c r="R105" s="16">
        <f t="shared" ca="1" si="73"/>
        <v>7.6490890000000036</v>
      </c>
      <c r="S105" s="16">
        <f t="shared" ca="1" si="73"/>
        <v>7.8785616700000034</v>
      </c>
      <c r="T105" s="16">
        <f t="shared" ca="1" si="73"/>
        <v>8.114918520099998</v>
      </c>
      <c r="U105" s="16">
        <f t="shared" ca="1" si="73"/>
        <v>8.3583660757030032</v>
      </c>
      <c r="V105" s="16">
        <f t="shared" ca="1" si="73"/>
        <v>8.609117057974089</v>
      </c>
      <c r="W105" s="16">
        <f t="shared" ca="1" si="73"/>
        <v>8.867390569713308</v>
      </c>
      <c r="X105" s="16">
        <f t="shared" ca="1" si="73"/>
        <v>9.1334122868047132</v>
      </c>
    </row>
    <row r="106" spans="1:24" x14ac:dyDescent="0.25">
      <c r="A106" s="9" t="s">
        <v>1158</v>
      </c>
      <c r="B106" s="9"/>
      <c r="C106" s="13"/>
      <c r="D106" s="65">
        <f>-SUM(D$100:D$105)</f>
        <v>-7.2170000000000005</v>
      </c>
      <c r="E106" s="65">
        <f t="shared" ref="E106:I106" si="74">-SUM(E$100:E$105)</f>
        <v>-25.651</v>
      </c>
      <c r="F106" s="65">
        <f t="shared" si="74"/>
        <v>-12.157</v>
      </c>
      <c r="G106" s="65">
        <f t="shared" si="74"/>
        <v>-29.673999999999999</v>
      </c>
      <c r="H106" s="65">
        <f t="shared" si="74"/>
        <v>-28.462</v>
      </c>
      <c r="I106" s="65">
        <f t="shared" si="74"/>
        <v>-28.285999999999998</v>
      </c>
      <c r="J106" s="66">
        <f t="shared" ref="J106:X106" si="75">-SUM(J$100:J$105)</f>
        <v>-15.968000000000004</v>
      </c>
      <c r="K106" s="66">
        <f t="shared" si="75"/>
        <v>-22.435999999999996</v>
      </c>
      <c r="L106" s="66">
        <f t="shared" si="75"/>
        <v>-19.701999999999998</v>
      </c>
      <c r="M106" s="66">
        <f t="shared" si="75"/>
        <v>-22.464000000000002</v>
      </c>
      <c r="N106" s="66">
        <f t="shared" si="75"/>
        <v>-21.174000000000003</v>
      </c>
      <c r="O106" s="92">
        <f t="shared" ca="1" si="75"/>
        <v>-20.55659506585188</v>
      </c>
      <c r="P106" s="92">
        <f t="shared" ca="1" si="75"/>
        <v>-22.344342230399416</v>
      </c>
      <c r="Q106" s="92">
        <f t="shared" ca="1" si="75"/>
        <v>-22.5805883895707</v>
      </c>
      <c r="R106" s="92">
        <f t="shared" ca="1" si="75"/>
        <v>-22.776598194733843</v>
      </c>
      <c r="S106" s="92">
        <f t="shared" ca="1" si="75"/>
        <v>-23.011695986476532</v>
      </c>
      <c r="T106" s="92">
        <f t="shared" ca="1" si="75"/>
        <v>-23.266552126776585</v>
      </c>
      <c r="U106" s="92">
        <f t="shared" ca="1" si="75"/>
        <v>-23.481551836546629</v>
      </c>
      <c r="V106" s="92">
        <f t="shared" ca="1" si="75"/>
        <v>-23.630763151718895</v>
      </c>
      <c r="W106" s="92">
        <f t="shared" ca="1" si="75"/>
        <v>-23.764936839306586</v>
      </c>
      <c r="X106" s="92">
        <f t="shared" ca="1" si="75"/>
        <v>-23.986272483756469</v>
      </c>
    </row>
    <row r="107" spans="1:24" x14ac:dyDescent="0.25">
      <c r="A107" s="11" t="s">
        <v>590</v>
      </c>
      <c r="B107" s="10" t="str">
        <f t="shared" ref="B107:B109" si="76">$B$38</f>
        <v>From Fiscal Forecasts</v>
      </c>
      <c r="C107" s="13"/>
      <c r="D107" s="35">
        <f>'Fiscal Forecasts'!D$92</f>
        <v>0.437</v>
      </c>
      <c r="E107" s="35">
        <f>'Fiscal Forecasts'!E$92</f>
        <v>1.2090000000000001</v>
      </c>
      <c r="F107" s="35">
        <f>'Fiscal Forecasts'!F$92</f>
        <v>0.23400000000000001</v>
      </c>
      <c r="G107" s="35">
        <f>'Fiscal Forecasts'!G$92</f>
        <v>0.80500000000000005</v>
      </c>
      <c r="H107" s="35">
        <f>'Fiscal Forecasts'!H$92</f>
        <v>-5.8999999999999997E-2</v>
      </c>
      <c r="I107" s="35">
        <f>'Fiscal Forecasts'!I$92</f>
        <v>-2.4E-2</v>
      </c>
      <c r="J107" s="17">
        <f>'Fiscal Forecasts'!J$92</f>
        <v>8.8999999999999996E-2</v>
      </c>
      <c r="K107" s="17">
        <f>'Fiscal Forecasts'!K$92</f>
        <v>9.0999999999999998E-2</v>
      </c>
      <c r="L107" s="17">
        <f>'Fiscal Forecasts'!L$92</f>
        <v>9.1999999999999998E-2</v>
      </c>
      <c r="M107" s="17">
        <f>'Fiscal Forecasts'!M$92</f>
        <v>9.1999999999999998E-2</v>
      </c>
      <c r="N107" s="17">
        <f>'Fiscal Forecasts'!N$92</f>
        <v>9.2999999999999999E-2</v>
      </c>
      <c r="O107" s="16">
        <f t="shared" ref="O107:X107" ca="1" si="77">O$454-N$454</f>
        <v>0.18867999999999974</v>
      </c>
      <c r="P107" s="16">
        <f t="shared" ca="1" si="77"/>
        <v>0.19245360000000034</v>
      </c>
      <c r="Q107" s="16">
        <f t="shared" ca="1" si="77"/>
        <v>0.19630267199999984</v>
      </c>
      <c r="R107" s="16">
        <f t="shared" ca="1" si="77"/>
        <v>0.20022872544000059</v>
      </c>
      <c r="S107" s="16">
        <f t="shared" ca="1" si="77"/>
        <v>0.20423329994880035</v>
      </c>
      <c r="T107" s="16">
        <f t="shared" ca="1" si="77"/>
        <v>0.20831796594777607</v>
      </c>
      <c r="U107" s="16">
        <f t="shared" ca="1" si="77"/>
        <v>0.21248432526673255</v>
      </c>
      <c r="V107" s="16">
        <f t="shared" ca="1" si="77"/>
        <v>0.21673401177206664</v>
      </c>
      <c r="W107" s="16">
        <f t="shared" ca="1" si="77"/>
        <v>0.22106869200750801</v>
      </c>
      <c r="X107" s="16">
        <f t="shared" ca="1" si="77"/>
        <v>0.22549006584765863</v>
      </c>
    </row>
    <row r="108" spans="1:24" x14ac:dyDescent="0.25">
      <c r="A108" s="11" t="s">
        <v>1159</v>
      </c>
      <c r="B108" s="10" t="str">
        <f t="shared" si="76"/>
        <v>From Fiscal Forecasts</v>
      </c>
      <c r="C108" s="13"/>
      <c r="D108" s="35">
        <f>SUM('Fiscal Forecasts'!D$93:D$96)</f>
        <v>-2.5789999999999997</v>
      </c>
      <c r="E108" s="35">
        <f>SUM('Fiscal Forecasts'!E$93:E$96)</f>
        <v>36.155999999999999</v>
      </c>
      <c r="F108" s="35">
        <f>SUM('Fiscal Forecasts'!F$93:F$96)</f>
        <v>7.3529999999999998</v>
      </c>
      <c r="G108" s="35">
        <f>SUM('Fiscal Forecasts'!G$93:G$96)</f>
        <v>33.409000000000006</v>
      </c>
      <c r="H108" s="35">
        <f>SUM('Fiscal Forecasts'!H$93:H$96)</f>
        <v>24.929000000000002</v>
      </c>
      <c r="I108" s="35">
        <f>SUM('Fiscal Forecasts'!I$93:I$96)</f>
        <v>28.588000000000001</v>
      </c>
      <c r="J108" s="17">
        <f>SUM('Fiscal Forecasts'!J$93:J$96)</f>
        <v>25.192000000000004</v>
      </c>
      <c r="K108" s="17">
        <f>SUM('Fiscal Forecasts'!K$93:K$96)</f>
        <v>26.640000000000004</v>
      </c>
      <c r="L108" s="17">
        <f>SUM('Fiscal Forecasts'!L$93:L$96)</f>
        <v>20.073999999999998</v>
      </c>
      <c r="M108" s="17">
        <f>SUM('Fiscal Forecasts'!M$93:M$96)</f>
        <v>15.950000000000001</v>
      </c>
      <c r="N108" s="17">
        <f>SUM('Fiscal Forecasts'!N$93:N$96)</f>
        <v>11.384</v>
      </c>
      <c r="O108" s="16">
        <f t="shared" ref="O108:X108" ca="1" si="78">O$356-N$356-SUM(O$99,O$106,O$107)</f>
        <v>11.277133872089978</v>
      </c>
      <c r="P108" s="16">
        <f t="shared" ca="1" si="78"/>
        <v>13.412774326180287</v>
      </c>
      <c r="Q108" s="16">
        <f t="shared" ca="1" si="78"/>
        <v>14.061906846014091</v>
      </c>
      <c r="R108" s="16">
        <f t="shared" ca="1" si="78"/>
        <v>14.799490368703482</v>
      </c>
      <c r="S108" s="16">
        <f t="shared" ca="1" si="78"/>
        <v>15.443675048663263</v>
      </c>
      <c r="T108" s="16">
        <f t="shared" ca="1" si="78"/>
        <v>16.043810847857401</v>
      </c>
      <c r="U108" s="16">
        <f t="shared" ca="1" si="78"/>
        <v>16.515995383456644</v>
      </c>
      <c r="V108" s="16">
        <f t="shared" ca="1" si="78"/>
        <v>17.243650492464891</v>
      </c>
      <c r="W108" s="16">
        <f t="shared" ca="1" si="78"/>
        <v>18.26796792025192</v>
      </c>
      <c r="X108" s="16">
        <f t="shared" ca="1" si="78"/>
        <v>19.463478498389581</v>
      </c>
    </row>
    <row r="109" spans="1:24" x14ac:dyDescent="0.25">
      <c r="A109" s="11" t="s">
        <v>1167</v>
      </c>
      <c r="B109" s="10" t="str">
        <f t="shared" si="76"/>
        <v>From Fiscal Forecasts</v>
      </c>
      <c r="C109" s="13"/>
      <c r="D109" s="35">
        <f>-'Fiscal Forecasts'!D$97</f>
        <v>0.504</v>
      </c>
      <c r="E109" s="35">
        <f>-'Fiscal Forecasts'!E$97</f>
        <v>0.47899999999999998</v>
      </c>
      <c r="F109" s="35">
        <f>-'Fiscal Forecasts'!F$97</f>
        <v>0.373</v>
      </c>
      <c r="G109" s="35">
        <f>-'Fiscal Forecasts'!G$97</f>
        <v>0.30399999999999999</v>
      </c>
      <c r="H109" s="35">
        <f>-'Fiscal Forecasts'!H$97</f>
        <v>0.372</v>
      </c>
      <c r="I109" s="35">
        <f>-'Fiscal Forecasts'!I$97</f>
        <v>0.505</v>
      </c>
      <c r="J109" s="17">
        <f>-'Fiscal Forecasts'!J$97</f>
        <v>0.438</v>
      </c>
      <c r="K109" s="17">
        <f>-'Fiscal Forecasts'!K$97</f>
        <v>0.46200000000000002</v>
      </c>
      <c r="L109" s="17">
        <f>-'Fiscal Forecasts'!L$97</f>
        <v>0.46300000000000002</v>
      </c>
      <c r="M109" s="17">
        <f>-'Fiscal Forecasts'!M$97</f>
        <v>0.504</v>
      </c>
      <c r="N109" s="17">
        <f>-'Fiscal Forecasts'!N$97</f>
        <v>0.52600000000000002</v>
      </c>
      <c r="O109" s="16">
        <f t="shared" ref="O109:X109" ca="1" si="79">O$38-O$40</f>
        <v>0.47501635990689384</v>
      </c>
      <c r="P109" s="16">
        <f t="shared" ca="1" si="79"/>
        <v>0.49512688763084811</v>
      </c>
      <c r="Q109" s="16">
        <f t="shared" ca="1" si="79"/>
        <v>0.51528108080491808</v>
      </c>
      <c r="R109" s="16">
        <f t="shared" ca="1" si="79"/>
        <v>0.5354334874007326</v>
      </c>
      <c r="S109" s="16">
        <f t="shared" ca="1" si="79"/>
        <v>0.55603024773069565</v>
      </c>
      <c r="T109" s="16">
        <f t="shared" ca="1" si="79"/>
        <v>0.57703992929699566</v>
      </c>
      <c r="U109" s="16">
        <f t="shared" ca="1" si="79"/>
        <v>0.5983297340422794</v>
      </c>
      <c r="V109" s="16">
        <f t="shared" ca="1" si="79"/>
        <v>0.61993962689374504</v>
      </c>
      <c r="W109" s="16">
        <f t="shared" ca="1" si="79"/>
        <v>0.64186880274271907</v>
      </c>
      <c r="X109" s="16">
        <f t="shared" ca="1" si="79"/>
        <v>0.66428250953843782</v>
      </c>
    </row>
    <row r="110" spans="1:24" x14ac:dyDescent="0.25">
      <c r="A110" s="9" t="s">
        <v>1160</v>
      </c>
      <c r="B110" s="9"/>
      <c r="C110" s="13"/>
      <c r="D110" s="65">
        <f>(D$107+D$108-D$109)</f>
        <v>-2.6459999999999999</v>
      </c>
      <c r="E110" s="65">
        <f t="shared" ref="E110:X110" si="80">(E$107+E$108-E$109)</f>
        <v>36.886000000000003</v>
      </c>
      <c r="F110" s="65">
        <f t="shared" si="80"/>
        <v>7.2139999999999995</v>
      </c>
      <c r="G110" s="65">
        <f t="shared" si="80"/>
        <v>33.910000000000004</v>
      </c>
      <c r="H110" s="65">
        <f t="shared" si="80"/>
        <v>24.498000000000001</v>
      </c>
      <c r="I110" s="65">
        <f t="shared" si="80"/>
        <v>28.059000000000001</v>
      </c>
      <c r="J110" s="66">
        <f t="shared" si="80"/>
        <v>24.843000000000004</v>
      </c>
      <c r="K110" s="66">
        <f t="shared" si="80"/>
        <v>26.269000000000005</v>
      </c>
      <c r="L110" s="66">
        <f t="shared" si="80"/>
        <v>19.702999999999996</v>
      </c>
      <c r="M110" s="66">
        <f t="shared" si="80"/>
        <v>15.538000000000002</v>
      </c>
      <c r="N110" s="66">
        <f t="shared" si="80"/>
        <v>10.951000000000001</v>
      </c>
      <c r="O110" s="92">
        <f t="shared" ca="1" si="80"/>
        <v>10.990797512183084</v>
      </c>
      <c r="P110" s="92">
        <f t="shared" ca="1" si="80"/>
        <v>13.110101038549439</v>
      </c>
      <c r="Q110" s="92">
        <f t="shared" ca="1" si="80"/>
        <v>13.742928437209173</v>
      </c>
      <c r="R110" s="92">
        <f t="shared" ca="1" si="80"/>
        <v>14.464285606742751</v>
      </c>
      <c r="S110" s="92">
        <f t="shared" ca="1" si="80"/>
        <v>15.091878100881367</v>
      </c>
      <c r="T110" s="92">
        <f t="shared" ca="1" si="80"/>
        <v>15.675088884508183</v>
      </c>
      <c r="U110" s="92">
        <f t="shared" ca="1" si="80"/>
        <v>16.130149974681096</v>
      </c>
      <c r="V110" s="92">
        <f t="shared" ca="1" si="80"/>
        <v>16.840444877343209</v>
      </c>
      <c r="W110" s="92">
        <f t="shared" ca="1" si="80"/>
        <v>17.847167809516705</v>
      </c>
      <c r="X110" s="92">
        <f t="shared" ca="1" si="80"/>
        <v>19.024686054698801</v>
      </c>
    </row>
    <row r="111" spans="1:24" x14ac:dyDescent="0.25">
      <c r="A111" s="9" t="s">
        <v>597</v>
      </c>
      <c r="B111" s="9"/>
      <c r="C111" s="13"/>
      <c r="D111" s="65">
        <f>SUM(D$99,D$106,D$110)</f>
        <v>1.1099999999999985</v>
      </c>
      <c r="E111" s="65">
        <f t="shared" ref="E111:X111" si="81">SUM(E$99,E$106,E$110)</f>
        <v>0.83900000000000574</v>
      </c>
      <c r="F111" s="65">
        <f t="shared" si="81"/>
        <v>-1.8389999999999871</v>
      </c>
      <c r="G111" s="65">
        <f t="shared" si="81"/>
        <v>-1.1410000000000053</v>
      </c>
      <c r="H111" s="65">
        <f t="shared" si="81"/>
        <v>0.56099999999997863</v>
      </c>
      <c r="I111" s="65">
        <f t="shared" si="81"/>
        <v>-2.5330000000000368</v>
      </c>
      <c r="J111" s="66">
        <f t="shared" ca="1" si="81"/>
        <v>5.7129999999999939</v>
      </c>
      <c r="K111" s="66">
        <f t="shared" ca="1" si="81"/>
        <v>0.14000000000002544</v>
      </c>
      <c r="L111" s="66">
        <f t="shared" ca="1" si="81"/>
        <v>0.76600000000004087</v>
      </c>
      <c r="M111" s="66">
        <f t="shared" ca="1" si="81"/>
        <v>-0.65900000000003267</v>
      </c>
      <c r="N111" s="66">
        <f t="shared" ca="1" si="81"/>
        <v>-0.13799999999999457</v>
      </c>
      <c r="O111" s="92">
        <f t="shared" ca="1" si="81"/>
        <v>-0.16155561066400459</v>
      </c>
      <c r="P111" s="92">
        <f t="shared" ca="1" si="81"/>
        <v>-5.6958576554849927E-2</v>
      </c>
      <c r="Q111" s="92">
        <f t="shared" ca="1" si="81"/>
        <v>-6.3841398732598975E-2</v>
      </c>
      <c r="R111" s="92">
        <f t="shared" ca="1" si="81"/>
        <v>-7.2811510903752819E-2</v>
      </c>
      <c r="S111" s="92">
        <f t="shared" ca="1" si="81"/>
        <v>-8.3219604688565596E-2</v>
      </c>
      <c r="T111" s="92">
        <f t="shared" ca="1" si="81"/>
        <v>-9.3169490432257973E-2</v>
      </c>
      <c r="U111" s="92">
        <f t="shared" ca="1" si="81"/>
        <v>-0.10523189964502677</v>
      </c>
      <c r="V111" s="92">
        <f t="shared" ca="1" si="81"/>
        <v>-0.11618558567243298</v>
      </c>
      <c r="W111" s="92">
        <f t="shared" ca="1" si="81"/>
        <v>-0.12351769467856855</v>
      </c>
      <c r="X111" s="92">
        <f t="shared" ca="1" si="81"/>
        <v>-0.1268871583777198</v>
      </c>
    </row>
    <row r="112" spans="1:24" x14ac:dyDescent="0.25">
      <c r="A112" s="12" t="s">
        <v>1141</v>
      </c>
      <c r="B112" s="9"/>
      <c r="C112" s="13"/>
      <c r="D112" s="36"/>
      <c r="E112" s="36"/>
      <c r="F112" s="36"/>
      <c r="G112" s="36"/>
      <c r="H112" s="36"/>
      <c r="I112" s="36"/>
      <c r="J112" s="19"/>
      <c r="K112" s="19"/>
      <c r="L112" s="19"/>
      <c r="M112" s="19"/>
      <c r="N112" s="19"/>
      <c r="O112" s="18"/>
      <c r="P112" s="18"/>
      <c r="Q112" s="18"/>
      <c r="R112" s="18"/>
      <c r="S112" s="18"/>
      <c r="T112" s="18"/>
      <c r="U112" s="18"/>
      <c r="V112" s="18"/>
      <c r="W112" s="18"/>
      <c r="X112" s="18"/>
    </row>
    <row r="113" spans="1:24" x14ac:dyDescent="0.25">
      <c r="A113" s="9" t="s">
        <v>1161</v>
      </c>
      <c r="B113" s="9"/>
      <c r="C113" s="13"/>
      <c r="D113" s="42">
        <f t="shared" ref="D113:X113" si="82">SUM(D$346,D$350,-D$38)</f>
        <v>-7.3769999999999989</v>
      </c>
      <c r="E113" s="42">
        <f t="shared" si="82"/>
        <v>-7.1269999999999998</v>
      </c>
      <c r="F113" s="42">
        <f t="shared" si="82"/>
        <v>20.545999999999999</v>
      </c>
      <c r="G113" s="42">
        <f t="shared" si="82"/>
        <v>-7.6029999999999998</v>
      </c>
      <c r="H113" s="42">
        <f t="shared" si="82"/>
        <v>14.132000000000001</v>
      </c>
      <c r="I113" s="42">
        <f t="shared" si="82"/>
        <v>4.3490000000000002</v>
      </c>
      <c r="J113" s="43">
        <f t="shared" si="82"/>
        <v>8.9680000000000017</v>
      </c>
      <c r="K113" s="43">
        <f t="shared" si="82"/>
        <v>5.41</v>
      </c>
      <c r="L113" s="43">
        <f t="shared" si="82"/>
        <v>5.6450000000000005</v>
      </c>
      <c r="M113" s="43">
        <f t="shared" si="82"/>
        <v>6.0649999999999995</v>
      </c>
      <c r="N113" s="43">
        <f t="shared" si="82"/>
        <v>6.6349999999999998</v>
      </c>
      <c r="O113" s="47">
        <f t="shared" ca="1" si="82"/>
        <v>6.9867364514005148</v>
      </c>
      <c r="P113" s="47">
        <f t="shared" ca="1" si="82"/>
        <v>7.383365985753354</v>
      </c>
      <c r="Q113" s="47">
        <f t="shared" ca="1" si="82"/>
        <v>7.8010630154507101</v>
      </c>
      <c r="R113" s="47">
        <f t="shared" ca="1" si="82"/>
        <v>8.2386236557164452</v>
      </c>
      <c r="S113" s="47">
        <f t="shared" ca="1" si="82"/>
        <v>8.694942810242793</v>
      </c>
      <c r="T113" s="47">
        <f t="shared" ca="1" si="82"/>
        <v>9.1712841317286049</v>
      </c>
      <c r="U113" s="47">
        <f t="shared" ca="1" si="82"/>
        <v>9.6686540346067691</v>
      </c>
      <c r="V113" s="47">
        <f t="shared" ca="1" si="82"/>
        <v>10.182613191857303</v>
      </c>
      <c r="W113" s="47">
        <f t="shared" ca="1" si="82"/>
        <v>10.711883349592151</v>
      </c>
      <c r="X113" s="47">
        <f t="shared" ca="1" si="82"/>
        <v>11.260510673872137</v>
      </c>
    </row>
    <row r="114" spans="1:24" x14ac:dyDescent="0.25">
      <c r="A114" s="11" t="s">
        <v>536</v>
      </c>
      <c r="B114" s="10"/>
      <c r="C114" s="13"/>
      <c r="D114" s="35">
        <f t="shared" ref="D114:X114" si="83">D$218</f>
        <v>4.5540000000000003</v>
      </c>
      <c r="E114" s="35">
        <f t="shared" si="83"/>
        <v>5.2940000000000005</v>
      </c>
      <c r="F114" s="35">
        <f t="shared" si="83"/>
        <v>5.5660000000000007</v>
      </c>
      <c r="G114" s="35">
        <f t="shared" si="83"/>
        <v>6.1520000000000001</v>
      </c>
      <c r="H114" s="35">
        <f t="shared" si="83"/>
        <v>6.6009999999999991</v>
      </c>
      <c r="I114" s="35">
        <f t="shared" si="83"/>
        <v>7.6210000000000004</v>
      </c>
      <c r="J114" s="17">
        <f t="shared" si="83"/>
        <v>8.06</v>
      </c>
      <c r="K114" s="17">
        <f t="shared" si="83"/>
        <v>8.4239999999999995</v>
      </c>
      <c r="L114" s="17">
        <f t="shared" si="83"/>
        <v>8.7170000000000005</v>
      </c>
      <c r="M114" s="17">
        <f t="shared" si="83"/>
        <v>9.0640000000000001</v>
      </c>
      <c r="N114" s="17">
        <f t="shared" si="83"/>
        <v>9.2050000000000001</v>
      </c>
      <c r="O114" s="16">
        <f t="shared" ca="1" si="83"/>
        <v>9.2337767255345771</v>
      </c>
      <c r="P114" s="16">
        <f t="shared" ca="1" si="83"/>
        <v>9.2625053385363252</v>
      </c>
      <c r="Q114" s="16">
        <f t="shared" ca="1" si="83"/>
        <v>9.291610423013152</v>
      </c>
      <c r="R114" s="16">
        <f t="shared" ca="1" si="83"/>
        <v>9.3211784522143883</v>
      </c>
      <c r="S114" s="16">
        <f t="shared" ca="1" si="83"/>
        <v>9.3512196339142797</v>
      </c>
      <c r="T114" s="16">
        <f t="shared" ca="1" si="83"/>
        <v>9.3817434538140496</v>
      </c>
      <c r="U114" s="16">
        <f t="shared" ca="1" si="83"/>
        <v>9.4127563469539659</v>
      </c>
      <c r="V114" s="16">
        <f t="shared" ca="1" si="83"/>
        <v>9.4442656664558218</v>
      </c>
      <c r="W114" s="16">
        <f t="shared" ca="1" si="83"/>
        <v>9.4762787469463063</v>
      </c>
      <c r="X114" s="16">
        <f t="shared" ca="1" si="83"/>
        <v>9.508806719157846</v>
      </c>
    </row>
    <row r="115" spans="1:24" x14ac:dyDescent="0.25">
      <c r="A115" s="11" t="s">
        <v>1228</v>
      </c>
      <c r="B115" s="10" t="str">
        <f>$B$38</f>
        <v>From Fiscal Forecasts</v>
      </c>
      <c r="C115" s="13"/>
      <c r="D115" s="35">
        <f>-'Fiscal Forecasts'!D$104</f>
        <v>-1.5799999999999996</v>
      </c>
      <c r="E115" s="35">
        <f>-'Fiscal Forecasts'!E$104</f>
        <v>2.726</v>
      </c>
      <c r="F115" s="35">
        <f>-'Fiscal Forecasts'!F$104</f>
        <v>1.0489999999999999</v>
      </c>
      <c r="G115" s="35">
        <f>-'Fiscal Forecasts'!G$104</f>
        <v>-0.26900000000000002</v>
      </c>
      <c r="H115" s="35">
        <f>-'Fiscal Forecasts'!H$104</f>
        <v>0.73399999999999999</v>
      </c>
      <c r="I115" s="35">
        <f>-'Fiscal Forecasts'!I$104</f>
        <v>1.1950000000000001</v>
      </c>
      <c r="J115" s="17">
        <f>-'Fiscal Forecasts'!J$104</f>
        <v>0.84399999999999997</v>
      </c>
      <c r="K115" s="17">
        <f>-'Fiscal Forecasts'!K$104</f>
        <v>1.556</v>
      </c>
      <c r="L115" s="17">
        <f>-'Fiscal Forecasts'!L$104</f>
        <v>0.83</v>
      </c>
      <c r="M115" s="17">
        <f>-'Fiscal Forecasts'!M$104</f>
        <v>0.81299999999999994</v>
      </c>
      <c r="N115" s="17">
        <f>-'Fiscal Forecasts'!N$104</f>
        <v>0.81</v>
      </c>
      <c r="O115" s="16">
        <f ca="1">IF(O$6=OFFSET(Assumptions!$B$8,0,$C$1),AVERAGE(L$115/L$444,M$115/M$444,N$115/N$444),N$115/N$444)*O$444</f>
        <v>0.81740356501818023</v>
      </c>
      <c r="P115" s="16">
        <f ca="1">IF(P$6=OFFSET(Assumptions!$B$8,0,$C$1),AVERAGE(M$115/M$444,N$115/N$444,O$115/O$444),O$115/O$444)*P$444</f>
        <v>0.82727288155166734</v>
      </c>
      <c r="Q115" s="16">
        <f ca="1">IF(Q$6=OFFSET(Assumptions!$B$8,0,$C$1),AVERAGE(N$115/N$444,O$115/O$444,P$115/P$444),P$115/P$444)*Q$444</f>
        <v>0.83733958441582412</v>
      </c>
      <c r="R115" s="16">
        <f ca="1">IF(R$6=OFFSET(Assumptions!$B$8,0,$C$1),AVERAGE(O$115/O$444,P$115/P$444,Q$115/Q$444),Q$115/Q$444)*R$444</f>
        <v>0.84760762133726408</v>
      </c>
      <c r="S115" s="16">
        <f ca="1">IF(S$6=OFFSET(Assumptions!$B$8,0,$C$1),AVERAGE(P$115/P$444,Q$115/Q$444,R$115/R$444),R$115/R$444)*S$444</f>
        <v>0.85808101899713307</v>
      </c>
      <c r="T115" s="16">
        <f ca="1">IF(T$6=OFFSET(Assumptions!$B$8,0,$C$1),AVERAGE(Q$115/Q$444,R$115/R$444,S$115/S$444),S$115/S$444)*T$444</f>
        <v>0.86876388461019916</v>
      </c>
      <c r="U115" s="16">
        <f ca="1">IF(U$6=OFFSET(Assumptions!$B$8,0,$C$1),AVERAGE(R$115/R$444,S$115/S$444,T$115/T$444),T$115/T$444)*U$444</f>
        <v>0.87966040753552655</v>
      </c>
      <c r="V115" s="16">
        <f ca="1">IF(V$6=OFFSET(Assumptions!$B$8,0,$C$1),AVERAGE(S$115/S$444,T$115/T$444,U$115/U$444),U$115/U$444)*V$444</f>
        <v>0.89077486091936064</v>
      </c>
      <c r="W115" s="16">
        <f ca="1">IF(W$6=OFFSET(Assumptions!$B$8,0,$C$1),AVERAGE(T$115/T$444,U$115/U$444,V$115/V$444),V$115/V$444)*W$444</f>
        <v>0.90211160337087126</v>
      </c>
      <c r="X115" s="16">
        <f ca="1">IF(X$6=OFFSET(Assumptions!$B$8,0,$C$1),AVERAGE(U$115/U$444,V$115/V$444,W$115/W$444),W$115/W$444)*X$444</f>
        <v>0.91367508067141212</v>
      </c>
    </row>
    <row r="116" spans="1:24" x14ac:dyDescent="0.25">
      <c r="A116" s="11" t="s">
        <v>603</v>
      </c>
      <c r="B116" s="10" t="str">
        <f>$B$38</f>
        <v>From Fiscal Forecasts</v>
      </c>
      <c r="C116" s="13"/>
      <c r="D116" s="35">
        <f>-'Fiscal Forecasts'!D$105</f>
        <v>0.76300000000000001</v>
      </c>
      <c r="E116" s="35">
        <f>-'Fiscal Forecasts'!E$105</f>
        <v>1.2789999999999999</v>
      </c>
      <c r="F116" s="35">
        <f>-'Fiscal Forecasts'!F$105</f>
        <v>1.0389999999999999</v>
      </c>
      <c r="G116" s="35">
        <f>-'Fiscal Forecasts'!G$105</f>
        <v>0.85799999999999998</v>
      </c>
      <c r="H116" s="35">
        <f>-'Fiscal Forecasts'!H$105</f>
        <v>0.73799999999999999</v>
      </c>
      <c r="I116" s="35">
        <f>-'Fiscal Forecasts'!I$105</f>
        <v>0.71899999999999997</v>
      </c>
      <c r="J116" s="17">
        <f>-'Fiscal Forecasts'!J$105</f>
        <v>0.61199999999999999</v>
      </c>
      <c r="K116" s="17">
        <f>-'Fiscal Forecasts'!K$105</f>
        <v>0.68100000000000005</v>
      </c>
      <c r="L116" s="17">
        <f>-'Fiscal Forecasts'!L$105</f>
        <v>0.67400000000000004</v>
      </c>
      <c r="M116" s="17">
        <f>-'Fiscal Forecasts'!M$105</f>
        <v>0.65</v>
      </c>
      <c r="N116" s="17">
        <f>-'Fiscal Forecasts'!N$105</f>
        <v>0.66300000000000003</v>
      </c>
      <c r="O116" s="16">
        <f t="shared" ref="O116:X116" si="84">O$411</f>
        <v>0.65600000000000003</v>
      </c>
      <c r="P116" s="16">
        <f t="shared" si="84"/>
        <v>0.67400000000000004</v>
      </c>
      <c r="Q116" s="16">
        <f t="shared" si="84"/>
        <v>0.69299999999999995</v>
      </c>
      <c r="R116" s="16">
        <f t="shared" si="84"/>
        <v>0.71099999999999997</v>
      </c>
      <c r="S116" s="16">
        <f t="shared" si="84"/>
        <v>0.72699999999999998</v>
      </c>
      <c r="T116" s="16">
        <f t="shared" si="84"/>
        <v>0.74199999999999999</v>
      </c>
      <c r="U116" s="16">
        <f t="shared" si="84"/>
        <v>0.75600000000000001</v>
      </c>
      <c r="V116" s="16">
        <f t="shared" si="84"/>
        <v>0.76900000000000002</v>
      </c>
      <c r="W116" s="16">
        <f t="shared" si="84"/>
        <v>0.78300000000000003</v>
      </c>
      <c r="X116" s="16">
        <f t="shared" si="84"/>
        <v>0.79700000000000004</v>
      </c>
    </row>
    <row r="117" spans="1:24" x14ac:dyDescent="0.25">
      <c r="A117" s="11" t="s">
        <v>1171</v>
      </c>
      <c r="B117" s="10" t="str">
        <f>$B$38</f>
        <v>From Fiscal Forecasts</v>
      </c>
      <c r="C117" s="13"/>
      <c r="D117" s="35">
        <f>-'Fiscal Forecasts'!D$106</f>
        <v>4.1000000000000002E-2</v>
      </c>
      <c r="E117" s="35">
        <f>-'Fiscal Forecasts'!E$106</f>
        <v>5.2999999999999999E-2</v>
      </c>
      <c r="F117" s="35">
        <f>-'Fiscal Forecasts'!F$106</f>
        <v>1E-3</v>
      </c>
      <c r="G117" s="35">
        <f>-'Fiscal Forecasts'!G$106</f>
        <v>3.7999999999999999E-2</v>
      </c>
      <c r="H117" s="35">
        <f>-'Fiscal Forecasts'!H$106</f>
        <v>9.7000000000000003E-2</v>
      </c>
      <c r="I117" s="35">
        <f>-'Fiscal Forecasts'!I$106</f>
        <v>0.123</v>
      </c>
      <c r="J117" s="17">
        <f>-'Fiscal Forecasts'!J$106</f>
        <v>-3.1E-2</v>
      </c>
      <c r="K117" s="17">
        <f>-'Fiscal Forecasts'!K$106</f>
        <v>-4.7E-2</v>
      </c>
      <c r="L117" s="17">
        <f>-'Fiscal Forecasts'!L$106</f>
        <v>-3.1E-2</v>
      </c>
      <c r="M117" s="17">
        <f>-'Fiscal Forecasts'!M$106</f>
        <v>1.0999999999999999E-2</v>
      </c>
      <c r="N117" s="17">
        <f>-'Fiscal Forecasts'!N$106</f>
        <v>0.01</v>
      </c>
      <c r="O117" s="16">
        <f ca="1">IF(O$6=OFFSET(Assumptions!$B$8,0,$C$1),OFFSET(Assumptions!$B$9,0,$C$1),N$117)</f>
        <v>0</v>
      </c>
      <c r="P117" s="16">
        <f ca="1">IF(P$6=OFFSET(Assumptions!$B$8,0,$C$1),OFFSET(Assumptions!$B$9,0,$C$1),O$117)</f>
        <v>0</v>
      </c>
      <c r="Q117" s="16">
        <f ca="1">IF(Q$6=OFFSET(Assumptions!$B$8,0,$C$1),OFFSET(Assumptions!$B$9,0,$C$1),P$117)</f>
        <v>0</v>
      </c>
      <c r="R117" s="16">
        <f ca="1">IF(R$6=OFFSET(Assumptions!$B$8,0,$C$1),OFFSET(Assumptions!$B$9,0,$C$1),Q$117)</f>
        <v>0</v>
      </c>
      <c r="S117" s="16">
        <f ca="1">IF(S$6=OFFSET(Assumptions!$B$8,0,$C$1),OFFSET(Assumptions!$B$9,0,$C$1),R$117)</f>
        <v>0</v>
      </c>
      <c r="T117" s="16">
        <f ca="1">IF(T$6=OFFSET(Assumptions!$B$8,0,$C$1),OFFSET(Assumptions!$B$9,0,$C$1),S$117)</f>
        <v>0</v>
      </c>
      <c r="U117" s="16">
        <f ca="1">IF(U$6=OFFSET(Assumptions!$B$8,0,$C$1),OFFSET(Assumptions!$B$9,0,$C$1),T$117)</f>
        <v>0</v>
      </c>
      <c r="V117" s="16">
        <f ca="1">IF(V$6=OFFSET(Assumptions!$B$8,0,$C$1),OFFSET(Assumptions!$B$9,0,$C$1),U$117)</f>
        <v>0</v>
      </c>
      <c r="W117" s="16">
        <f ca="1">IF(W$6=OFFSET(Assumptions!$B$8,0,$C$1),OFFSET(Assumptions!$B$9,0,$C$1),V$117)</f>
        <v>0</v>
      </c>
      <c r="X117" s="16">
        <f ca="1">IF(X$6=OFFSET(Assumptions!$B$8,0,$C$1),OFFSET(Assumptions!$B$9,0,$C$1),W$117)</f>
        <v>0</v>
      </c>
    </row>
    <row r="118" spans="1:24" x14ac:dyDescent="0.25">
      <c r="A118" s="11" t="s">
        <v>605</v>
      </c>
      <c r="B118" s="10" t="str">
        <f>$B$38</f>
        <v>From Fiscal Forecasts</v>
      </c>
      <c r="C118" s="13"/>
      <c r="D118" s="35">
        <f>-'Fiscal Forecasts'!D$107</f>
        <v>1.768</v>
      </c>
      <c r="E118" s="35">
        <f>-'Fiscal Forecasts'!E$107</f>
        <v>2.351</v>
      </c>
      <c r="F118" s="35">
        <f>-'Fiscal Forecasts'!F$107</f>
        <v>1.8680000000000001</v>
      </c>
      <c r="G118" s="35">
        <f>-'Fiscal Forecasts'!G$107</f>
        <v>1.696</v>
      </c>
      <c r="H118" s="35">
        <f>-'Fiscal Forecasts'!H$107</f>
        <v>3.5249999999999999</v>
      </c>
      <c r="I118" s="35">
        <f>-'Fiscal Forecasts'!I$107</f>
        <v>3.8380000000000001</v>
      </c>
      <c r="J118" s="17">
        <f>-'Fiscal Forecasts'!J$107</f>
        <v>4.0350000000000001</v>
      </c>
      <c r="K118" s="17">
        <f>-'Fiscal Forecasts'!K$107</f>
        <v>3.0369999999999999</v>
      </c>
      <c r="L118" s="17">
        <f>-'Fiscal Forecasts'!L$107</f>
        <v>3.3239999999999998</v>
      </c>
      <c r="M118" s="17">
        <f>-'Fiscal Forecasts'!M$107</f>
        <v>3.6920000000000002</v>
      </c>
      <c r="N118" s="17">
        <f>-'Fiscal Forecasts'!N$107</f>
        <v>3.85</v>
      </c>
      <c r="O118" s="16">
        <f t="shared" ref="O118:X118" ca="1" si="85">O$475-N$475</f>
        <v>4.2940415667566612</v>
      </c>
      <c r="P118" s="16">
        <f t="shared" ca="1" si="85"/>
        <v>4.6745198695422658</v>
      </c>
      <c r="Q118" s="16">
        <f t="shared" ca="1" si="85"/>
        <v>4.9931983149520676</v>
      </c>
      <c r="R118" s="16">
        <f t="shared" ca="1" si="85"/>
        <v>5.2719906953987135</v>
      </c>
      <c r="S118" s="16">
        <f t="shared" ca="1" si="85"/>
        <v>5.5463118745630595</v>
      </c>
      <c r="T118" s="16">
        <f t="shared" ca="1" si="85"/>
        <v>5.8402675851831418</v>
      </c>
      <c r="U118" s="16">
        <f t="shared" ca="1" si="85"/>
        <v>6.0898671107307507</v>
      </c>
      <c r="V118" s="16">
        <f t="shared" ca="1" si="85"/>
        <v>6.3129879384634364</v>
      </c>
      <c r="W118" s="16">
        <f t="shared" ca="1" si="85"/>
        <v>6.5465401488230697</v>
      </c>
      <c r="X118" s="16">
        <f t="shared" ca="1" si="85"/>
        <v>6.7831238224722483</v>
      </c>
    </row>
    <row r="119" spans="1:24" x14ac:dyDescent="0.25">
      <c r="A119" s="11" t="s">
        <v>606</v>
      </c>
      <c r="B119" s="10" t="str">
        <f>$B$38</f>
        <v>From Fiscal Forecasts</v>
      </c>
      <c r="C119" s="13"/>
      <c r="D119" s="35">
        <f>-'Fiscal Forecasts'!D$108</f>
        <v>0</v>
      </c>
      <c r="E119" s="35">
        <f>-'Fiscal Forecasts'!E$108</f>
        <v>0</v>
      </c>
      <c r="F119" s="35">
        <f>-'Fiscal Forecasts'!F$108</f>
        <v>0</v>
      </c>
      <c r="G119" s="35">
        <f>-'Fiscal Forecasts'!G$108</f>
        <v>0</v>
      </c>
      <c r="H119" s="35">
        <f>-'Fiscal Forecasts'!H$108</f>
        <v>-0.39500000000000002</v>
      </c>
      <c r="I119" s="35">
        <f>-'Fiscal Forecasts'!I$108</f>
        <v>-0.61399999999999999</v>
      </c>
      <c r="J119" s="17">
        <f>-'Fiscal Forecasts'!J$108</f>
        <v>-1.2769999999999999</v>
      </c>
      <c r="K119" s="17">
        <f>-'Fiscal Forecasts'!K$108</f>
        <v>-1.145</v>
      </c>
      <c r="L119" s="17">
        <f>-'Fiscal Forecasts'!L$108</f>
        <v>-0.88600000000000001</v>
      </c>
      <c r="M119" s="17">
        <f>-'Fiscal Forecasts'!M$108</f>
        <v>-0.64300000000000002</v>
      </c>
      <c r="N119" s="17">
        <f>-'Fiscal Forecasts'!N$108</f>
        <v>-0.64900000000000002</v>
      </c>
      <c r="O119" s="16">
        <f t="shared" ref="O119:X119" ca="1" si="86">O$469-N$469</f>
        <v>-0.40904000000000007</v>
      </c>
      <c r="P119" s="16">
        <f t="shared" ca="1" si="86"/>
        <v>-0.37950079999999975</v>
      </c>
      <c r="Q119" s="16">
        <f t="shared" ca="1" si="86"/>
        <v>-0.34937081599999997</v>
      </c>
      <c r="R119" s="16">
        <f t="shared" ca="1" si="86"/>
        <v>-0.3186382323200001</v>
      </c>
      <c r="S119" s="16">
        <f t="shared" ca="1" si="86"/>
        <v>-0.2872909969663997</v>
      </c>
      <c r="T119" s="16">
        <f t="shared" ca="1" si="86"/>
        <v>-0.25531681690572761</v>
      </c>
      <c r="U119" s="16">
        <f t="shared" ca="1" si="86"/>
        <v>-0.2227031532438426</v>
      </c>
      <c r="V119" s="16">
        <f t="shared" ca="1" si="86"/>
        <v>-0.18943721630871924</v>
      </c>
      <c r="W119" s="16">
        <f t="shared" ca="1" si="86"/>
        <v>-0.15550596063489364</v>
      </c>
      <c r="X119" s="16">
        <f t="shared" ca="1" si="86"/>
        <v>-0.12089607984759154</v>
      </c>
    </row>
    <row r="120" spans="1:24" x14ac:dyDescent="0.25">
      <c r="A120" s="11" t="s">
        <v>607</v>
      </c>
      <c r="B120" s="10" t="str">
        <f t="shared" ref="B120" si="87">$B$38</f>
        <v>From Fiscal Forecasts</v>
      </c>
      <c r="C120" s="13"/>
      <c r="D120" s="35">
        <f>-'Fiscal Forecasts'!D$109</f>
        <v>-0.57099999999999995</v>
      </c>
      <c r="E120" s="35">
        <f>-'Fiscal Forecasts'!E$109</f>
        <v>0.80400000000000005</v>
      </c>
      <c r="F120" s="35">
        <f>-'Fiscal Forecasts'!F$109</f>
        <v>-0.73299999999999998</v>
      </c>
      <c r="G120" s="35">
        <f>-'Fiscal Forecasts'!G$109</f>
        <v>-0.79</v>
      </c>
      <c r="H120" s="35">
        <f>-'Fiscal Forecasts'!H$109</f>
        <v>-6.0999999999999999E-2</v>
      </c>
      <c r="I120" s="35">
        <f>-'Fiscal Forecasts'!I$109</f>
        <v>-6.0999999999999999E-2</v>
      </c>
      <c r="J120" s="17">
        <f>-'Fiscal Forecasts'!J$109</f>
        <v>0.05</v>
      </c>
      <c r="K120" s="17">
        <f>-'Fiscal Forecasts'!K$109</f>
        <v>4.9000000000000002E-2</v>
      </c>
      <c r="L120" s="17">
        <f>-'Fiscal Forecasts'!L$109</f>
        <v>4.8000000000000001E-2</v>
      </c>
      <c r="M120" s="17">
        <f>-'Fiscal Forecasts'!M$109</f>
        <v>4.5999999999999999E-2</v>
      </c>
      <c r="N120" s="17">
        <f>-'Fiscal Forecasts'!N$109</f>
        <v>4.4999999999999998E-2</v>
      </c>
      <c r="O120" s="16">
        <f t="shared" ref="O120:X120" ca="1" si="88">O$480-N$480</f>
        <v>-0.19022764830508443</v>
      </c>
      <c r="P120" s="16">
        <f t="shared" ca="1" si="88"/>
        <v>-0.19206557203389885</v>
      </c>
      <c r="Q120" s="16">
        <f t="shared" ca="1" si="88"/>
        <v>-0.19448453389830522</v>
      </c>
      <c r="R120" s="16">
        <f t="shared" ca="1" si="88"/>
        <v>-0.19883866525423732</v>
      </c>
      <c r="S120" s="16">
        <f t="shared" ca="1" si="88"/>
        <v>-0.20029004237288106</v>
      </c>
      <c r="T120" s="16">
        <f t="shared" ca="1" si="88"/>
        <v>-0.2007738347457626</v>
      </c>
      <c r="U120" s="16">
        <f t="shared" ca="1" si="88"/>
        <v>-0.19400074152542324</v>
      </c>
      <c r="V120" s="16">
        <f t="shared" ca="1" si="88"/>
        <v>-0.1915817796610173</v>
      </c>
      <c r="W120" s="16">
        <f t="shared" ca="1" si="88"/>
        <v>-0.18867902542372894</v>
      </c>
      <c r="X120" s="16">
        <f t="shared" ca="1" si="88"/>
        <v>-0.18529247881355948</v>
      </c>
    </row>
    <row r="121" spans="1:24" x14ac:dyDescent="0.25">
      <c r="A121" s="9" t="s">
        <v>1143</v>
      </c>
      <c r="B121" s="9"/>
      <c r="C121" s="13"/>
      <c r="D121" s="65">
        <f t="shared" ref="D121:X121" si="89">-SUM(D$114:D$120)</f>
        <v>-4.9750000000000005</v>
      </c>
      <c r="E121" s="65">
        <f t="shared" si="89"/>
        <v>-12.507</v>
      </c>
      <c r="F121" s="65">
        <f t="shared" si="89"/>
        <v>-8.7899999999999991</v>
      </c>
      <c r="G121" s="65">
        <f t="shared" si="89"/>
        <v>-7.6849999999999996</v>
      </c>
      <c r="H121" s="65">
        <f t="shared" si="89"/>
        <v>-11.238999999999999</v>
      </c>
      <c r="I121" s="65">
        <f t="shared" si="89"/>
        <v>-12.820999999999998</v>
      </c>
      <c r="J121" s="66">
        <f t="shared" si="89"/>
        <v>-12.293000000000001</v>
      </c>
      <c r="K121" s="66">
        <f t="shared" si="89"/>
        <v>-12.555</v>
      </c>
      <c r="L121" s="66">
        <f t="shared" si="89"/>
        <v>-12.676</v>
      </c>
      <c r="M121" s="66">
        <f t="shared" si="89"/>
        <v>-13.632999999999999</v>
      </c>
      <c r="N121" s="66">
        <f t="shared" si="89"/>
        <v>-13.933999999999999</v>
      </c>
      <c r="O121" s="92">
        <f t="shared" ca="1" si="89"/>
        <v>-14.401954209004336</v>
      </c>
      <c r="P121" s="92">
        <f t="shared" ca="1" si="89"/>
        <v>-14.866731717596361</v>
      </c>
      <c r="Q121" s="92">
        <f t="shared" ca="1" si="89"/>
        <v>-15.271292972482737</v>
      </c>
      <c r="R121" s="92">
        <f t="shared" ca="1" si="89"/>
        <v>-15.634299871376129</v>
      </c>
      <c r="S121" s="92">
        <f t="shared" ca="1" si="89"/>
        <v>-15.995031488135194</v>
      </c>
      <c r="T121" s="92">
        <f t="shared" ca="1" si="89"/>
        <v>-16.376684271955899</v>
      </c>
      <c r="U121" s="92">
        <f t="shared" ca="1" si="89"/>
        <v>-16.721579970450982</v>
      </c>
      <c r="V121" s="92">
        <f t="shared" ca="1" si="89"/>
        <v>-17.036009469868883</v>
      </c>
      <c r="W121" s="92">
        <f t="shared" ca="1" si="89"/>
        <v>-17.363745513081625</v>
      </c>
      <c r="X121" s="92">
        <f t="shared" ca="1" si="89"/>
        <v>-17.696417063640361</v>
      </c>
    </row>
    <row r="122" spans="1:24" x14ac:dyDescent="0.25">
      <c r="A122" s="11" t="s">
        <v>609</v>
      </c>
      <c r="B122" s="10" t="str">
        <f t="shared" ref="B122:B127" si="90">$B$38</f>
        <v>From Fiscal Forecasts</v>
      </c>
      <c r="C122" s="13"/>
      <c r="D122" s="35">
        <f>'Fiscal Forecasts'!D$111</f>
        <v>4.1879999999999997</v>
      </c>
      <c r="E122" s="35">
        <f>'Fiscal Forecasts'!E$111</f>
        <v>0.63100000000000001</v>
      </c>
      <c r="F122" s="35">
        <f>'Fiscal Forecasts'!F$111</f>
        <v>1.4810000000000001</v>
      </c>
      <c r="G122" s="35">
        <f>'Fiscal Forecasts'!G$111</f>
        <v>5.0270000000000001</v>
      </c>
      <c r="H122" s="35">
        <f>'Fiscal Forecasts'!H$111</f>
        <v>1.155</v>
      </c>
      <c r="I122" s="35">
        <f>'Fiscal Forecasts'!I$111</f>
        <v>3.3050000000000002</v>
      </c>
      <c r="J122" s="17">
        <f>'Fiscal Forecasts'!J$111</f>
        <v>-2.56</v>
      </c>
      <c r="K122" s="17">
        <f>'Fiscal Forecasts'!K$111</f>
        <v>1.3380000000000001</v>
      </c>
      <c r="L122" s="17">
        <f>'Fiscal Forecasts'!L$111</f>
        <v>-0.01</v>
      </c>
      <c r="M122" s="17">
        <f>'Fiscal Forecasts'!M$111</f>
        <v>1.1919999999999999</v>
      </c>
      <c r="N122" s="17">
        <f>'Fiscal Forecasts'!N$111</f>
        <v>1.5449999999999999</v>
      </c>
      <c r="O122" s="16">
        <f t="shared" ref="O122:X122" ca="1" si="91">O$363-N$363</f>
        <v>4.2002421011101845</v>
      </c>
      <c r="P122" s="16">
        <f t="shared" ca="1" si="91"/>
        <v>1.8150547992839776</v>
      </c>
      <c r="Q122" s="16">
        <f t="shared" ca="1" si="91"/>
        <v>1.8637758813322876</v>
      </c>
      <c r="R122" s="16">
        <f t="shared" ca="1" si="91"/>
        <v>1.8869478208642079</v>
      </c>
      <c r="S122" s="16">
        <f t="shared" ca="1" si="91"/>
        <v>1.9269300777456166</v>
      </c>
      <c r="T122" s="16">
        <f t="shared" ca="1" si="91"/>
        <v>1.9663144849072296</v>
      </c>
      <c r="U122" s="16">
        <f t="shared" ca="1" si="91"/>
        <v>1.9991291365301436</v>
      </c>
      <c r="V122" s="16">
        <f t="shared" ca="1" si="91"/>
        <v>2.0348328280565013</v>
      </c>
      <c r="W122" s="16">
        <f t="shared" ca="1" si="91"/>
        <v>2.0730834485657184</v>
      </c>
      <c r="X122" s="16">
        <f t="shared" ca="1" si="91"/>
        <v>2.1219787327612138</v>
      </c>
    </row>
    <row r="123" spans="1:24" x14ac:dyDescent="0.25">
      <c r="A123" s="11" t="s">
        <v>610</v>
      </c>
      <c r="B123" s="10" t="str">
        <f t="shared" si="90"/>
        <v>From Fiscal Forecasts</v>
      </c>
      <c r="C123" s="13"/>
      <c r="D123" s="35">
        <f>'Fiscal Forecasts'!D$112</f>
        <v>3.6999999999999998E-2</v>
      </c>
      <c r="E123" s="35">
        <f>'Fiscal Forecasts'!E$112</f>
        <v>2.1000000000000001E-2</v>
      </c>
      <c r="F123" s="35">
        <f>'Fiscal Forecasts'!F$112</f>
        <v>1.1259999999999999</v>
      </c>
      <c r="G123" s="35">
        <f>'Fiscal Forecasts'!G$112</f>
        <v>0.19700000000000001</v>
      </c>
      <c r="H123" s="35">
        <f>'Fiscal Forecasts'!H$112</f>
        <v>0.183</v>
      </c>
      <c r="I123" s="35">
        <f>'Fiscal Forecasts'!I$112</f>
        <v>0.21099999999999999</v>
      </c>
      <c r="J123" s="17">
        <f>'Fiscal Forecasts'!J$112</f>
        <v>-1.05</v>
      </c>
      <c r="K123" s="17">
        <f>'Fiscal Forecasts'!K$112</f>
        <v>-1.0189999999999999</v>
      </c>
      <c r="L123" s="17">
        <f>'Fiscal Forecasts'!L$112</f>
        <v>-6.7000000000000004E-2</v>
      </c>
      <c r="M123" s="17">
        <f>'Fiscal Forecasts'!M$112</f>
        <v>-0.34699999999999998</v>
      </c>
      <c r="N123" s="17">
        <f>'Fiscal Forecasts'!N$112</f>
        <v>-3.6999999999999998E-2</v>
      </c>
      <c r="O123" s="16">
        <f t="shared" ref="O123:X123" ca="1" si="92">O$413-O$341</f>
        <v>0.33801009791106412</v>
      </c>
      <c r="P123" s="16">
        <f t="shared" ca="1" si="92"/>
        <v>0.35180265179958148</v>
      </c>
      <c r="Q123" s="16">
        <f t="shared" ca="1" si="92"/>
        <v>0.35957955635343375</v>
      </c>
      <c r="R123" s="16">
        <f t="shared" ca="1" si="92"/>
        <v>0.36235710120209463</v>
      </c>
      <c r="S123" s="16">
        <f t="shared" ca="1" si="92"/>
        <v>0.35997539336294582</v>
      </c>
      <c r="T123" s="16">
        <f t="shared" ca="1" si="92"/>
        <v>0.35144569798214537</v>
      </c>
      <c r="U123" s="16">
        <f t="shared" ca="1" si="92"/>
        <v>0.33481560878051553</v>
      </c>
      <c r="V123" s="16">
        <f t="shared" ca="1" si="92"/>
        <v>0.31307080266007081</v>
      </c>
      <c r="W123" s="16">
        <f t="shared" ca="1" si="92"/>
        <v>0.28921156816507315</v>
      </c>
      <c r="X123" s="16">
        <f t="shared" ca="1" si="92"/>
        <v>0.26117868180295678</v>
      </c>
    </row>
    <row r="124" spans="1:24" x14ac:dyDescent="0.25">
      <c r="A124" s="11" t="s">
        <v>611</v>
      </c>
      <c r="B124" s="10" t="str">
        <f t="shared" si="90"/>
        <v>From Fiscal Forecasts</v>
      </c>
      <c r="C124" s="13"/>
      <c r="D124" s="35">
        <f>'Fiscal Forecasts'!D$113</f>
        <v>0.17499999999999999</v>
      </c>
      <c r="E124" s="35">
        <f>'Fiscal Forecasts'!E$113</f>
        <v>0.254</v>
      </c>
      <c r="F124" s="35">
        <f>'Fiscal Forecasts'!F$113</f>
        <v>0.42099999999999999</v>
      </c>
      <c r="G124" s="35">
        <f>'Fiscal Forecasts'!G$113</f>
        <v>0.874</v>
      </c>
      <c r="H124" s="35">
        <f>'Fiscal Forecasts'!H$113</f>
        <v>-2.7E-2</v>
      </c>
      <c r="I124" s="35">
        <f>'Fiscal Forecasts'!I$113</f>
        <v>-0.18</v>
      </c>
      <c r="J124" s="17">
        <f>'Fiscal Forecasts'!J$113</f>
        <v>0.54400000000000004</v>
      </c>
      <c r="K124" s="17">
        <f>'Fiscal Forecasts'!K$113</f>
        <v>0.112</v>
      </c>
      <c r="L124" s="17">
        <f>'Fiscal Forecasts'!L$113</f>
        <v>4.2000000000000003E-2</v>
      </c>
      <c r="M124" s="17">
        <f>'Fiscal Forecasts'!M$113</f>
        <v>-7.0999999999999994E-2</v>
      </c>
      <c r="N124" s="17">
        <f>'Fiscal Forecasts'!N$113</f>
        <v>-9.2999999999999999E-2</v>
      </c>
      <c r="O124" s="16">
        <f t="shared" ref="O124:X124" ca="1" si="93">O$420-N$420</f>
        <v>3.4920000000000062E-2</v>
      </c>
      <c r="P124" s="16">
        <f t="shared" ca="1" si="93"/>
        <v>3.5618399999999717E-2</v>
      </c>
      <c r="Q124" s="16">
        <f t="shared" ca="1" si="93"/>
        <v>3.6330768000000013E-2</v>
      </c>
      <c r="R124" s="16">
        <f t="shared" ca="1" si="93"/>
        <v>3.7057383360000085E-2</v>
      </c>
      <c r="S124" s="16">
        <f t="shared" ca="1" si="93"/>
        <v>3.7798531027199989E-2</v>
      </c>
      <c r="T124" s="16">
        <f t="shared" ca="1" si="93"/>
        <v>3.855450164774421E-2</v>
      </c>
      <c r="U124" s="16">
        <f t="shared" ca="1" si="93"/>
        <v>3.9325591680698935E-2</v>
      </c>
      <c r="V124" s="16">
        <f t="shared" ca="1" si="93"/>
        <v>4.0112103514312825E-2</v>
      </c>
      <c r="W124" s="16">
        <f t="shared" ca="1" si="93"/>
        <v>4.0914345584599054E-2</v>
      </c>
      <c r="X124" s="16">
        <f t="shared" ca="1" si="93"/>
        <v>4.1732632496291E-2</v>
      </c>
    </row>
    <row r="125" spans="1:24" x14ac:dyDescent="0.25">
      <c r="A125" s="11" t="s">
        <v>612</v>
      </c>
      <c r="B125" s="10" t="str">
        <f t="shared" si="90"/>
        <v>From Fiscal Forecasts</v>
      </c>
      <c r="C125" s="13"/>
      <c r="D125" s="35">
        <f>'Fiscal Forecasts'!D$114</f>
        <v>3.5999999999999997E-2</v>
      </c>
      <c r="E125" s="35">
        <f>'Fiscal Forecasts'!E$114</f>
        <v>0.108</v>
      </c>
      <c r="F125" s="35">
        <f>'Fiscal Forecasts'!F$114</f>
        <v>6.3E-2</v>
      </c>
      <c r="G125" s="35">
        <f>'Fiscal Forecasts'!G$114</f>
        <v>0.30299999999999999</v>
      </c>
      <c r="H125" s="35">
        <f>'Fiscal Forecasts'!H$114</f>
        <v>0.113</v>
      </c>
      <c r="I125" s="35">
        <f>'Fiscal Forecasts'!I$114</f>
        <v>0.30499999999999999</v>
      </c>
      <c r="J125" s="17">
        <f>'Fiscal Forecasts'!J$114</f>
        <v>0.58199999999999996</v>
      </c>
      <c r="K125" s="17">
        <f>'Fiscal Forecasts'!K$114</f>
        <v>-0.17799999999999999</v>
      </c>
      <c r="L125" s="17">
        <f>'Fiscal Forecasts'!L$114</f>
        <v>0.109</v>
      </c>
      <c r="M125" s="17">
        <f>'Fiscal Forecasts'!M$114</f>
        <v>0.107</v>
      </c>
      <c r="N125" s="17">
        <f>'Fiscal Forecasts'!N$114</f>
        <v>1.4999999999999999E-2</v>
      </c>
      <c r="O125" s="16">
        <f t="shared" ref="O125:X125" ca="1" si="94">O$424-N$424</f>
        <v>5.4840000000000444E-2</v>
      </c>
      <c r="P125" s="16">
        <f t="shared" ca="1" si="94"/>
        <v>5.5936799999999565E-2</v>
      </c>
      <c r="Q125" s="16">
        <f t="shared" ca="1" si="94"/>
        <v>5.7055536000000018E-2</v>
      </c>
      <c r="R125" s="16">
        <f t="shared" ca="1" si="94"/>
        <v>5.8196646719999912E-2</v>
      </c>
      <c r="S125" s="16">
        <f t="shared" ca="1" si="94"/>
        <v>5.9360579654399892E-2</v>
      </c>
      <c r="T125" s="16">
        <f t="shared" ca="1" si="94"/>
        <v>6.0547791247488547E-2</v>
      </c>
      <c r="U125" s="16">
        <f t="shared" ca="1" si="94"/>
        <v>6.1758747072437892E-2</v>
      </c>
      <c r="V125" s="16">
        <f t="shared" ca="1" si="94"/>
        <v>6.2993922013887094E-2</v>
      </c>
      <c r="W125" s="16">
        <f t="shared" ca="1" si="94"/>
        <v>6.4253800454164178E-2</v>
      </c>
      <c r="X125" s="16">
        <f t="shared" ca="1" si="94"/>
        <v>6.5538876463246964E-2</v>
      </c>
    </row>
    <row r="126" spans="1:24" x14ac:dyDescent="0.25">
      <c r="A126" s="11" t="s">
        <v>1168</v>
      </c>
      <c r="B126" s="10" t="str">
        <f t="shared" si="90"/>
        <v>From Fiscal Forecasts</v>
      </c>
      <c r="C126" s="13"/>
      <c r="D126" s="35">
        <f>-'Fiscal Forecasts'!D$115</f>
        <v>9.7000000000000003E-2</v>
      </c>
      <c r="E126" s="35">
        <f>-'Fiscal Forecasts'!E$115</f>
        <v>6.8000000000000005E-2</v>
      </c>
      <c r="F126" s="35">
        <f>-'Fiscal Forecasts'!F$115</f>
        <v>-0.04</v>
      </c>
      <c r="G126" s="35">
        <f>-'Fiscal Forecasts'!G$115</f>
        <v>0.81899999999999995</v>
      </c>
      <c r="H126" s="35">
        <f>-'Fiscal Forecasts'!H$115</f>
        <v>0.24399999999999999</v>
      </c>
      <c r="I126" s="35">
        <f>-'Fiscal Forecasts'!I$115</f>
        <v>-0.158</v>
      </c>
      <c r="J126" s="17">
        <f>-'Fiscal Forecasts'!J$115</f>
        <v>0.183</v>
      </c>
      <c r="K126" s="17">
        <f>-'Fiscal Forecasts'!K$115</f>
        <v>7.0000000000000001E-3</v>
      </c>
      <c r="L126" s="17">
        <f>-'Fiscal Forecasts'!L$115</f>
        <v>9.0999999999999998E-2</v>
      </c>
      <c r="M126" s="17">
        <f>-'Fiscal Forecasts'!M$115</f>
        <v>2.4E-2</v>
      </c>
      <c r="N126" s="17">
        <f>-'Fiscal Forecasts'!N$115</f>
        <v>6.4000000000000001E-2</v>
      </c>
      <c r="O126" s="16">
        <f t="shared" ref="O126:X126" ca="1" si="95">O$465-N$465</f>
        <v>8.9760000000000506E-2</v>
      </c>
      <c r="P126" s="16">
        <f t="shared" ca="1" si="95"/>
        <v>9.1555199999998838E-2</v>
      </c>
      <c r="Q126" s="16">
        <f t="shared" ca="1" si="95"/>
        <v>9.3386304000000031E-2</v>
      </c>
      <c r="R126" s="16">
        <f t="shared" ca="1" si="95"/>
        <v>9.5254030079999552E-2</v>
      </c>
      <c r="S126" s="16">
        <f t="shared" ca="1" si="95"/>
        <v>9.7159110681600325E-2</v>
      </c>
      <c r="T126" s="16">
        <f t="shared" ca="1" si="95"/>
        <v>9.9102292895232758E-2</v>
      </c>
      <c r="U126" s="16">
        <f t="shared" ca="1" si="95"/>
        <v>0.10108433875313683</v>
      </c>
      <c r="V126" s="16">
        <f t="shared" ca="1" si="95"/>
        <v>0.10310602552820036</v>
      </c>
      <c r="W126" s="16">
        <f t="shared" ca="1" si="95"/>
        <v>0.10516814603876323</v>
      </c>
      <c r="X126" s="16">
        <f t="shared" ca="1" si="95"/>
        <v>0.10727150895953841</v>
      </c>
    </row>
    <row r="127" spans="1:24" x14ac:dyDescent="0.25">
      <c r="A127" s="11" t="s">
        <v>1169</v>
      </c>
      <c r="B127" s="10" t="str">
        <f t="shared" si="90"/>
        <v>From Fiscal Forecasts</v>
      </c>
      <c r="C127" s="13"/>
      <c r="D127" s="35">
        <f>-'Fiscal Forecasts'!D$116</f>
        <v>2.5710000000000002</v>
      </c>
      <c r="E127" s="35">
        <f>-'Fiscal Forecasts'!E$116</f>
        <v>0.95599999999999996</v>
      </c>
      <c r="F127" s="35">
        <f>-'Fiscal Forecasts'!F$116</f>
        <v>1.8320000000000001</v>
      </c>
      <c r="G127" s="35">
        <f>-'Fiscal Forecasts'!G$116</f>
        <v>1.849</v>
      </c>
      <c r="H127" s="35">
        <f>-'Fiscal Forecasts'!H$116</f>
        <v>3.2770000000000001</v>
      </c>
      <c r="I127" s="35">
        <f>-'Fiscal Forecasts'!I$116</f>
        <v>1.3859999999999999</v>
      </c>
      <c r="J127" s="17">
        <f>-'Fiscal Forecasts'!J$116</f>
        <v>-3.661</v>
      </c>
      <c r="K127" s="17">
        <f>-'Fiscal Forecasts'!K$116</f>
        <v>-0.70799999999999996</v>
      </c>
      <c r="L127" s="17">
        <f>-'Fiscal Forecasts'!L$116</f>
        <v>-0.61799999999999999</v>
      </c>
      <c r="M127" s="17">
        <f>-'Fiscal Forecasts'!M$116</f>
        <v>-0.40500000000000003</v>
      </c>
      <c r="N127" s="17">
        <f>-'Fiscal Forecasts'!N$116</f>
        <v>8.1000000000000003E-2</v>
      </c>
      <c r="O127" s="16">
        <f t="shared" ref="O127:X127" ca="1" si="96">SUM(O$461-N$461,O$486-N$486)</f>
        <v>3.6908631092854733</v>
      </c>
      <c r="P127" s="16">
        <f t="shared" ca="1" si="96"/>
        <v>1.2486830554107087</v>
      </c>
      <c r="Q127" s="16">
        <f t="shared" ca="1" si="96"/>
        <v>1.2799370717726362</v>
      </c>
      <c r="R127" s="16">
        <f t="shared" ca="1" si="96"/>
        <v>1.301413551566224</v>
      </c>
      <c r="S127" s="16">
        <f t="shared" ca="1" si="96"/>
        <v>1.3286266617480607</v>
      </c>
      <c r="T127" s="16">
        <f t="shared" ca="1" si="96"/>
        <v>1.3561634222771737</v>
      </c>
      <c r="U127" s="16">
        <f t="shared" ca="1" si="96"/>
        <v>1.3807857858069852</v>
      </c>
      <c r="V127" s="16">
        <f t="shared" ca="1" si="96"/>
        <v>1.4072091510187086</v>
      </c>
      <c r="W127" s="16">
        <f t="shared" ca="1" si="96"/>
        <v>1.4363550600407855</v>
      </c>
      <c r="X127" s="16">
        <f t="shared" ca="1" si="96"/>
        <v>1.4713152537757992</v>
      </c>
    </row>
    <row r="128" spans="1:24" x14ac:dyDescent="0.25">
      <c r="A128" s="9" t="s">
        <v>615</v>
      </c>
      <c r="B128" s="9"/>
      <c r="C128" s="13"/>
      <c r="D128" s="65">
        <f t="shared" ref="D128:X128" si="97">SUM(D$122:D$125)-SUM(D$126:D$127)</f>
        <v>1.7679999999999989</v>
      </c>
      <c r="E128" s="65">
        <f t="shared" si="97"/>
        <v>-1.0000000000000009E-2</v>
      </c>
      <c r="F128" s="65">
        <f t="shared" si="97"/>
        <v>1.2990000000000002</v>
      </c>
      <c r="G128" s="65">
        <f t="shared" si="97"/>
        <v>3.7329999999999997</v>
      </c>
      <c r="H128" s="65">
        <f t="shared" si="97"/>
        <v>-2.0969999999999995</v>
      </c>
      <c r="I128" s="65">
        <f t="shared" si="97"/>
        <v>2.4130000000000003</v>
      </c>
      <c r="J128" s="66">
        <f t="shared" si="97"/>
        <v>0.99399999999999977</v>
      </c>
      <c r="K128" s="66">
        <f t="shared" si="97"/>
        <v>0.95400000000000018</v>
      </c>
      <c r="L128" s="66">
        <f t="shared" si="97"/>
        <v>0.60099999999999998</v>
      </c>
      <c r="M128" s="66">
        <f t="shared" si="97"/>
        <v>1.262</v>
      </c>
      <c r="N128" s="66">
        <f t="shared" si="97"/>
        <v>1.2849999999999999</v>
      </c>
      <c r="O128" s="92">
        <f t="shared" ca="1" si="97"/>
        <v>0.84738908973577542</v>
      </c>
      <c r="P128" s="92">
        <f t="shared" ca="1" si="97"/>
        <v>0.91817439567285097</v>
      </c>
      <c r="Q128" s="92">
        <f t="shared" ca="1" si="97"/>
        <v>0.94341836591308503</v>
      </c>
      <c r="R128" s="92">
        <f t="shared" ca="1" si="97"/>
        <v>0.94789137050007888</v>
      </c>
      <c r="S128" s="92">
        <f t="shared" ca="1" si="97"/>
        <v>0.95827880936050125</v>
      </c>
      <c r="T128" s="92">
        <f t="shared" ca="1" si="97"/>
        <v>0.96159676061220134</v>
      </c>
      <c r="U128" s="92">
        <f t="shared" ca="1" si="97"/>
        <v>0.95315895950367402</v>
      </c>
      <c r="V128" s="92">
        <f t="shared" ca="1" si="97"/>
        <v>0.94069447969786291</v>
      </c>
      <c r="W128" s="92">
        <f t="shared" ca="1" si="97"/>
        <v>0.92593995669000595</v>
      </c>
      <c r="X128" s="92">
        <f t="shared" ca="1" si="97"/>
        <v>0.9118421607883711</v>
      </c>
    </row>
    <row r="129" spans="1:24" x14ac:dyDescent="0.25">
      <c r="A129" s="9" t="s">
        <v>1144</v>
      </c>
      <c r="B129" s="9"/>
      <c r="C129" s="13"/>
      <c r="D129" s="65">
        <f t="shared" ref="D129:X129" si="98">SUM(D$99,D$113,D$121,D$128)</f>
        <v>0.38899999999999846</v>
      </c>
      <c r="E129" s="65">
        <f t="shared" si="98"/>
        <v>-30.040000000000003</v>
      </c>
      <c r="F129" s="65">
        <f t="shared" si="98"/>
        <v>16.159000000000013</v>
      </c>
      <c r="G129" s="65">
        <f t="shared" si="98"/>
        <v>-16.932000000000009</v>
      </c>
      <c r="H129" s="65">
        <f t="shared" si="98"/>
        <v>5.3209999999999802</v>
      </c>
      <c r="I129" s="65">
        <f t="shared" si="98"/>
        <v>-8.3650000000000375</v>
      </c>
      <c r="J129" s="66">
        <f t="shared" ca="1" si="98"/>
        <v>-5.4930000000000057</v>
      </c>
      <c r="K129" s="66">
        <f t="shared" ca="1" si="98"/>
        <v>-9.8839999999999826</v>
      </c>
      <c r="L129" s="66">
        <f t="shared" ca="1" si="98"/>
        <v>-5.6649999999999565</v>
      </c>
      <c r="M129" s="66">
        <f t="shared" ca="1" si="98"/>
        <v>-3.900000000003212E-2</v>
      </c>
      <c r="N129" s="66">
        <f t="shared" ca="1" si="98"/>
        <v>4.0710000000000068</v>
      </c>
      <c r="O129" s="92">
        <f t="shared" ca="1" si="98"/>
        <v>2.8364132751367452</v>
      </c>
      <c r="P129" s="92">
        <f t="shared" ca="1" si="98"/>
        <v>2.6120912791249711</v>
      </c>
      <c r="Q129" s="92">
        <f t="shared" ca="1" si="98"/>
        <v>2.2470069625099844</v>
      </c>
      <c r="R129" s="92">
        <f t="shared" ca="1" si="98"/>
        <v>1.7917162319277349</v>
      </c>
      <c r="S129" s="92">
        <f t="shared" ca="1" si="98"/>
        <v>1.4947884123747004</v>
      </c>
      <c r="T129" s="92">
        <f t="shared" ca="1" si="98"/>
        <v>1.2544903722210514</v>
      </c>
      <c r="U129" s="92">
        <f t="shared" ca="1" si="98"/>
        <v>1.1464029858799654</v>
      </c>
      <c r="V129" s="92">
        <f t="shared" ca="1" si="98"/>
        <v>0.76143089038953571</v>
      </c>
      <c r="W129" s="92">
        <f t="shared" ca="1" si="98"/>
        <v>6.8329128311842346E-2</v>
      </c>
      <c r="X129" s="92">
        <f t="shared" ca="1" si="98"/>
        <v>-0.68936495829990463</v>
      </c>
    </row>
    <row r="130" spans="1:24" x14ac:dyDescent="0.25">
      <c r="A130" s="55" t="s">
        <v>1162</v>
      </c>
      <c r="B130" s="9"/>
      <c r="C130" s="13"/>
      <c r="D130" s="91" t="str">
        <f t="shared" ref="D130:X130" ca="1" si="99">IF(ROUND(D$39-D$129,3)=0,"OK","ERROR")</f>
        <v>OK</v>
      </c>
      <c r="E130" s="91" t="str">
        <f t="shared" ca="1" si="99"/>
        <v>OK</v>
      </c>
      <c r="F130" s="91" t="str">
        <f t="shared" ca="1" si="99"/>
        <v>OK</v>
      </c>
      <c r="G130" s="91" t="str">
        <f t="shared" ca="1" si="99"/>
        <v>OK</v>
      </c>
      <c r="H130" s="91" t="str">
        <f t="shared" ca="1" si="99"/>
        <v>OK</v>
      </c>
      <c r="I130" s="91" t="str">
        <f t="shared" ca="1" si="99"/>
        <v>OK</v>
      </c>
      <c r="J130" s="91" t="str">
        <f t="shared" ca="1" si="99"/>
        <v>OK</v>
      </c>
      <c r="K130" s="91" t="str">
        <f t="shared" ca="1" si="99"/>
        <v>OK</v>
      </c>
      <c r="L130" s="91" t="str">
        <f t="shared" ca="1" si="99"/>
        <v>OK</v>
      </c>
      <c r="M130" s="91" t="str">
        <f t="shared" ca="1" si="99"/>
        <v>OK</v>
      </c>
      <c r="N130" s="91" t="str">
        <f t="shared" ca="1" si="99"/>
        <v>OK</v>
      </c>
      <c r="O130" s="91" t="str">
        <f t="shared" ca="1" si="99"/>
        <v>OK</v>
      </c>
      <c r="P130" s="91" t="str">
        <f t="shared" ca="1" si="99"/>
        <v>OK</v>
      </c>
      <c r="Q130" s="91" t="str">
        <f t="shared" ca="1" si="99"/>
        <v>OK</v>
      </c>
      <c r="R130" s="91" t="str">
        <f t="shared" ca="1" si="99"/>
        <v>OK</v>
      </c>
      <c r="S130" s="91" t="str">
        <f t="shared" ca="1" si="99"/>
        <v>OK</v>
      </c>
      <c r="T130" s="91" t="str">
        <f t="shared" ca="1" si="99"/>
        <v>OK</v>
      </c>
      <c r="U130" s="91" t="str">
        <f t="shared" ca="1" si="99"/>
        <v>OK</v>
      </c>
      <c r="V130" s="91" t="str">
        <f t="shared" ca="1" si="99"/>
        <v>OK</v>
      </c>
      <c r="W130" s="91" t="str">
        <f t="shared" ca="1" si="99"/>
        <v>OK</v>
      </c>
      <c r="X130" s="91" t="str">
        <f t="shared" ca="1" si="99"/>
        <v>OK</v>
      </c>
    </row>
    <row r="131" spans="1:24" x14ac:dyDescent="0.25">
      <c r="A131" s="9"/>
      <c r="B131" s="9"/>
      <c r="C131" s="13"/>
      <c r="D131" s="36"/>
      <c r="E131" s="36"/>
      <c r="F131" s="36"/>
      <c r="G131" s="36"/>
      <c r="H131" s="36"/>
      <c r="I131" s="36"/>
      <c r="J131" s="19"/>
      <c r="K131" s="19"/>
      <c r="L131" s="19"/>
      <c r="M131" s="19"/>
      <c r="N131" s="19"/>
      <c r="O131" s="18"/>
      <c r="P131" s="18"/>
      <c r="Q131" s="18"/>
      <c r="R131" s="18"/>
      <c r="S131" s="18"/>
      <c r="T131" s="18"/>
      <c r="U131" s="18"/>
      <c r="V131" s="18"/>
      <c r="W131" s="18"/>
      <c r="X131" s="18"/>
    </row>
    <row r="132" spans="1:24" x14ac:dyDescent="0.25">
      <c r="A132" s="12" t="s">
        <v>847</v>
      </c>
      <c r="B132" s="9"/>
      <c r="C132" s="13"/>
      <c r="D132" s="40"/>
      <c r="E132" s="40"/>
      <c r="F132" s="40"/>
      <c r="G132" s="40"/>
      <c r="H132" s="40"/>
      <c r="I132" s="40"/>
    </row>
    <row r="133" spans="1:24" x14ac:dyDescent="0.25">
      <c r="A133" s="9" t="s">
        <v>694</v>
      </c>
      <c r="B133" s="9"/>
      <c r="C133" s="13"/>
      <c r="D133" s="40"/>
      <c r="E133" s="40"/>
      <c r="F133" s="40"/>
      <c r="G133" s="40"/>
      <c r="H133" s="40"/>
      <c r="I133" s="40"/>
    </row>
    <row r="134" spans="1:24" x14ac:dyDescent="0.25">
      <c r="A134" s="11" t="s">
        <v>848</v>
      </c>
      <c r="B134" s="10" t="str">
        <f>$B$38</f>
        <v>From Fiscal Forecasts</v>
      </c>
      <c r="C134" s="13"/>
      <c r="D134" s="35">
        <f>'Fiscal Forecasts'!D$220</f>
        <v>32.878999999999998</v>
      </c>
      <c r="E134" s="35">
        <f>'Fiscal Forecasts'!E$220</f>
        <v>34.963000000000001</v>
      </c>
      <c r="F134" s="35">
        <f>'Fiscal Forecasts'!F$220</f>
        <v>38.164000000000001</v>
      </c>
      <c r="G134" s="35">
        <f>'Fiscal Forecasts'!G$220</f>
        <v>42.448</v>
      </c>
      <c r="H134" s="35">
        <f>'Fiscal Forecasts'!H$220</f>
        <v>47.386000000000003</v>
      </c>
      <c r="I134" s="35">
        <f>'Fiscal Forecasts'!I$220</f>
        <v>52.283000000000001</v>
      </c>
      <c r="J134" s="17">
        <f>'Fiscal Forecasts'!J$220</f>
        <v>52.734000000000002</v>
      </c>
      <c r="K134" s="17">
        <f>'Fiscal Forecasts'!K$220</f>
        <v>55.243000000000002</v>
      </c>
      <c r="L134" s="17">
        <f>'Fiscal Forecasts'!L$220</f>
        <v>58.265999999999998</v>
      </c>
      <c r="M134" s="17">
        <f>'Fiscal Forecasts'!M$220</f>
        <v>61.514000000000003</v>
      </c>
      <c r="N134" s="17">
        <f>'Fiscal Forecasts'!N$220</f>
        <v>65.031999999999996</v>
      </c>
      <c r="O134" s="16">
        <f ca="1">N$134*(1+O$17)*(1+IF(O$6&lt;OFFSET(Assumptions!$B$8,0,$C$1)+OFFSET(Assumptions!$B$29,0,$C$1)="Yes",OFFSET(Assumptions!$B$30,0,$C$1),1)*O$26)</f>
        <v>67.666933667365313</v>
      </c>
      <c r="P134" s="16">
        <f ca="1">O$134*(1+P$17)*(1+IF(P$6&lt;OFFSET(Assumptions!$B$8,0,$C$1)+OFFSET(Assumptions!$B$29,0,$C$1)="Yes",OFFSET(Assumptions!$B$30,0,$C$1),1)*P$26)</f>
        <v>70.382669882235248</v>
      </c>
      <c r="Q134" s="16">
        <f ca="1">P$134*(1+Q$17)*(1+IF(Q$6&lt;OFFSET(Assumptions!$B$8,0,$C$1)+OFFSET(Assumptions!$B$29,0,$C$1)="Yes",OFFSET(Assumptions!$B$30,0,$C$1),1)*Q$26)</f>
        <v>73.180737795712076</v>
      </c>
      <c r="R134" s="16">
        <f ca="1">Q$134*(1+R$17)*(1+IF(R$6&lt;OFFSET(Assumptions!$B$8,0,$C$1)+OFFSET(Assumptions!$B$29,0,$C$1)="Yes",OFFSET(Assumptions!$B$30,0,$C$1),1)*R$26)</f>
        <v>76.062339138307749</v>
      </c>
      <c r="S134" s="16">
        <f ca="1">R$134*(1+S$17)*(1+IF(S$6&lt;OFFSET(Assumptions!$B$8,0,$C$1)+OFFSET(Assumptions!$B$29,0,$C$1)="Yes",OFFSET(Assumptions!$B$30,0,$C$1),1)*S$26)</f>
        <v>79.007478813698654</v>
      </c>
      <c r="T134" s="16">
        <f ca="1">S$134*(1+T$17)*(1+IF(T$6&lt;OFFSET(Assumptions!$B$8,0,$C$1)+OFFSET(Assumptions!$B$29,0,$C$1)="Yes",OFFSET(Assumptions!$B$30,0,$C$1),1)*T$26)</f>
        <v>82.011662275416356</v>
      </c>
      <c r="U134" s="16">
        <f ca="1">T$134*(1+U$17)*(1+IF(U$6&lt;OFFSET(Assumptions!$B$8,0,$C$1)+OFFSET(Assumptions!$B$29,0,$C$1)="Yes",OFFSET(Assumptions!$B$30,0,$C$1),1)*U$26)</f>
        <v>85.055900671755111</v>
      </c>
      <c r="V134" s="16">
        <f ca="1">U$134*(1+V$17)*(1+IF(V$6&lt;OFFSET(Assumptions!$B$8,0,$C$1)+OFFSET(Assumptions!$B$29,0,$C$1)="Yes",OFFSET(Assumptions!$B$30,0,$C$1),1)*V$26)</f>
        <v>88.145908604954769</v>
      </c>
      <c r="W134" s="16">
        <f ca="1">V$134*(1+W$17)*(1+IF(W$6&lt;OFFSET(Assumptions!$B$8,0,$C$1)+OFFSET(Assumptions!$B$29,0,$C$1)="Yes",OFFSET(Assumptions!$B$30,0,$C$1),1)*W$26)</f>
        <v>91.281570952177546</v>
      </c>
      <c r="X134" s="16">
        <f ca="1">W$134*(1+X$17)*(1+IF(X$6&lt;OFFSET(Assumptions!$B$8,0,$C$1)+OFFSET(Assumptions!$B$29,0,$C$1)="Yes",OFFSET(Assumptions!$B$30,0,$C$1),1)*X$26)</f>
        <v>94.486516589216393</v>
      </c>
    </row>
    <row r="135" spans="1:24" x14ac:dyDescent="0.25">
      <c r="A135" s="11" t="s">
        <v>849</v>
      </c>
      <c r="B135" s="10" t="str">
        <f>$B$38</f>
        <v>From Fiscal Forecasts</v>
      </c>
      <c r="C135" s="13"/>
      <c r="D135" s="35">
        <f>'Fiscal Forecasts'!D$221</f>
        <v>8.3160000000000007</v>
      </c>
      <c r="E135" s="35">
        <f>'Fiscal Forecasts'!E$221</f>
        <v>8.1910000000000007</v>
      </c>
      <c r="F135" s="35">
        <f>'Fiscal Forecasts'!F$221</f>
        <v>10.183999999999999</v>
      </c>
      <c r="G135" s="35">
        <f>'Fiscal Forecasts'!G$221</f>
        <v>12.015000000000001</v>
      </c>
      <c r="H135" s="35">
        <f>'Fiscal Forecasts'!H$221</f>
        <v>11.71</v>
      </c>
      <c r="I135" s="35">
        <f>'Fiscal Forecasts'!I$221</f>
        <v>14.042999999999999</v>
      </c>
      <c r="J135" s="17">
        <f>'Fiscal Forecasts'!J$221</f>
        <v>13.619</v>
      </c>
      <c r="K135" s="17">
        <f>'Fiscal Forecasts'!K$221</f>
        <v>13.744</v>
      </c>
      <c r="L135" s="17">
        <f>'Fiscal Forecasts'!L$221</f>
        <v>13.545</v>
      </c>
      <c r="M135" s="17">
        <f>'Fiscal Forecasts'!M$221</f>
        <v>13.956</v>
      </c>
      <c r="N135" s="17">
        <f>'Fiscal Forecasts'!N$221</f>
        <v>14.414</v>
      </c>
      <c r="O135" s="16">
        <f ca="1">N$135*(1+O$17)*(1+IF(O$6&lt;OFFSET(Assumptions!$B$8,0,$C$1)+OFFSET(Assumptions!$B$29,0,$C$1)="Yes",OFFSET(Assumptions!$B$30,0,$C$1),1)*O$26)</f>
        <v>14.998019157974591</v>
      </c>
      <c r="P135" s="16">
        <f ca="1">O$135*(1+P$17)*(1+IF(P$6&lt;OFFSET(Assumptions!$B$8,0,$C$1)+OFFSET(Assumptions!$B$29,0,$C$1)="Yes",OFFSET(Assumptions!$B$30,0,$C$1),1)*P$26)</f>
        <v>15.599947774673065</v>
      </c>
      <c r="Q135" s="16">
        <f ca="1">P$135*(1+Q$17)*(1+IF(Q$6&lt;OFFSET(Assumptions!$B$8,0,$C$1)+OFFSET(Assumptions!$B$29,0,$C$1)="Yes",OFFSET(Assumptions!$B$30,0,$C$1),1)*Q$26)</f>
        <v>16.220124778376704</v>
      </c>
      <c r="R135" s="16">
        <f ca="1">Q$135*(1+R$17)*(1+IF(R$6&lt;OFFSET(Assumptions!$B$8,0,$C$1)+OFFSET(Assumptions!$B$29,0,$C$1)="Yes",OFFSET(Assumptions!$B$30,0,$C$1),1)*R$26)</f>
        <v>16.858816526318858</v>
      </c>
      <c r="S135" s="16">
        <f ca="1">R$135*(1+S$17)*(1+IF(S$6&lt;OFFSET(Assumptions!$B$8,0,$C$1)+OFFSET(Assumptions!$B$29,0,$C$1)="Yes",OFFSET(Assumptions!$B$30,0,$C$1),1)*S$26)</f>
        <v>17.511591210798567</v>
      </c>
      <c r="T135" s="16">
        <f ca="1">S$135*(1+T$17)*(1+IF(T$6&lt;OFFSET(Assumptions!$B$8,0,$C$1)+OFFSET(Assumptions!$B$29,0,$C$1)="Yes",OFFSET(Assumptions!$B$30,0,$C$1),1)*T$26)</f>
        <v>18.17745263928299</v>
      </c>
      <c r="U135" s="16">
        <f ca="1">T$135*(1+U$17)*(1+IF(U$6&lt;OFFSET(Assumptions!$B$8,0,$C$1)+OFFSET(Assumptions!$B$29,0,$C$1)="Yes",OFFSET(Assumptions!$B$30,0,$C$1),1)*U$26)</f>
        <v>18.852192032886553</v>
      </c>
      <c r="V135" s="16">
        <f ca="1">U$135*(1+V$17)*(1+IF(V$6&lt;OFFSET(Assumptions!$B$8,0,$C$1)+OFFSET(Assumptions!$B$29,0,$C$1)="Yes",OFFSET(Assumptions!$B$30,0,$C$1),1)*V$26)</f>
        <v>19.537076003072613</v>
      </c>
      <c r="W135" s="16">
        <f ca="1">V$135*(1+W$17)*(1+IF(W$6&lt;OFFSET(Assumptions!$B$8,0,$C$1)+OFFSET(Assumptions!$B$29,0,$C$1)="Yes",OFFSET(Assumptions!$B$30,0,$C$1),1)*W$26)</f>
        <v>20.232079033471017</v>
      </c>
      <c r="X135" s="16">
        <f ca="1">W$135*(1+X$17)*(1+IF(X$6&lt;OFFSET(Assumptions!$B$8,0,$C$1)+OFFSET(Assumptions!$B$29,0,$C$1)="Yes",OFFSET(Assumptions!$B$30,0,$C$1),1)*X$26)</f>
        <v>20.942438339847538</v>
      </c>
    </row>
    <row r="136" spans="1:24" x14ac:dyDescent="0.25">
      <c r="A136" s="11" t="s">
        <v>852</v>
      </c>
      <c r="B136" s="10" t="str">
        <f>$B$38</f>
        <v>From Fiscal Forecasts</v>
      </c>
      <c r="C136" s="64" cm="1">
        <f t="array" aca="1" ref="C136" ca="1">SUMPRODUCT(OFFSET($N$136,0,0,1,-OFFSET(Assumptions!$B$33,0,$C$1))/OFFSET($N$13,0,0,1,-OFFSET(Assumptions!$B$33,0,$C$1)))/OFFSET(Assumptions!$B$33,0,$C$1)</f>
        <v>4.2272263426074277E-2</v>
      </c>
      <c r="D136" s="35">
        <f>'Fiscal Forecasts'!D$222</f>
        <v>15.199</v>
      </c>
      <c r="E136" s="35">
        <f>'Fiscal Forecasts'!E$222</f>
        <v>12.103999999999999</v>
      </c>
      <c r="F136" s="35">
        <f>'Fiscal Forecasts'!F$222</f>
        <v>15.768000000000001</v>
      </c>
      <c r="G136" s="35">
        <f>'Fiscal Forecasts'!G$222</f>
        <v>19.896000000000001</v>
      </c>
      <c r="H136" s="35">
        <f>'Fiscal Forecasts'!H$222</f>
        <v>17.978000000000002</v>
      </c>
      <c r="I136" s="35">
        <f>'Fiscal Forecasts'!I$222</f>
        <v>16.908999999999999</v>
      </c>
      <c r="J136" s="17">
        <f>'Fiscal Forecasts'!J$222</f>
        <v>16.321999999999999</v>
      </c>
      <c r="K136" s="17">
        <f>'Fiscal Forecasts'!K$222</f>
        <v>16.748000000000001</v>
      </c>
      <c r="L136" s="17">
        <f>'Fiscal Forecasts'!L$222</f>
        <v>19.547000000000001</v>
      </c>
      <c r="M136" s="17">
        <f>'Fiscal Forecasts'!M$222</f>
        <v>20.765999999999998</v>
      </c>
      <c r="N136" s="17">
        <f>'Fiscal Forecasts'!N$222</f>
        <v>22.405999999999999</v>
      </c>
      <c r="O136" s="16">
        <f ca="1">(N$136/N$13+MIN(ABS($C$136-N$136/N$13),OFFSET(Assumptions!$B$34,0,$C$1))*SIGN($C$136-N$136/N$13))*O$13</f>
        <v>23.111792604654376</v>
      </c>
      <c r="P136" s="16">
        <f ca="1">(O$136/O$13+MIN(ABS($C$136-O$136/O$13),OFFSET(Assumptions!$B$34,0,$C$1))*SIGN($C$136-O$136/O$13))*P$13</f>
        <v>24.09751422280257</v>
      </c>
      <c r="Q136" s="16">
        <f ca="1">(P$136/P$13+MIN(ABS($C$136-P$136/P$13),OFFSET(Assumptions!$B$34,0,$C$1))*SIGN($C$136-P$136/P$13))*Q$13</f>
        <v>25.085376111894224</v>
      </c>
      <c r="R136" s="16">
        <f ca="1">(Q$136/Q$13+MIN(ABS($C$136-Q$136/Q$13),OFFSET(Assumptions!$B$34,0,$C$1))*SIGN($C$136-Q$136/Q$13))*R$13</f>
        <v>26.07315043148829</v>
      </c>
      <c r="S136" s="16">
        <f ca="1">(R$136/R$13+MIN(ABS($C$136-R$136/R$13),OFFSET(Assumptions!$B$34,0,$C$1))*SIGN($C$136-R$136/R$13))*S$13</f>
        <v>27.082704839992381</v>
      </c>
      <c r="T136" s="16">
        <f ca="1">(S$136/S$13+MIN(ABS($C$136-S$136/S$13),OFFSET(Assumptions!$B$34,0,$C$1))*SIGN($C$136-S$136/S$13))*T$13</f>
        <v>28.112498667115254</v>
      </c>
      <c r="U136" s="16">
        <f ca="1">(T$136/T$13+MIN(ABS($C$136-T$136/T$13),OFFSET(Assumptions!$B$34,0,$C$1))*SIGN($C$136-T$136/T$13))*U$13</f>
        <v>29.15602278899015</v>
      </c>
      <c r="V136" s="16">
        <f ca="1">(U$136/U$13+MIN(ABS($C$136-U$136/U$13),OFFSET(Assumptions!$B$34,0,$C$1))*SIGN($C$136-U$136/U$13))*V$13</f>
        <v>30.215236094674967</v>
      </c>
      <c r="W136" s="16">
        <f ca="1">(V$136/V$13+MIN(ABS($C$136-V$136/V$13),OFFSET(Assumptions!$B$34,0,$C$1))*SIGN($C$136-V$136/V$13))*W$13</f>
        <v>31.290099121603866</v>
      </c>
      <c r="X136" s="16">
        <f ca="1">(W$136/W$13+MIN(ABS($C$136-W$136/W$13),OFFSET(Assumptions!$B$34,0,$C$1))*SIGN($C$136-W$136/W$13))*X$13</f>
        <v>32.388711531712751</v>
      </c>
    </row>
    <row r="137" spans="1:24" x14ac:dyDescent="0.25">
      <c r="A137" s="11" t="s">
        <v>853</v>
      </c>
      <c r="B137" s="10" t="str">
        <f t="shared" ref="B137:B141" si="100">$B$38</f>
        <v>From Fiscal Forecasts</v>
      </c>
      <c r="C137" s="64" cm="1">
        <f t="array" aca="1" ref="C137" ca="1">SUMPRODUCT(OFFSET($N$137,0,0,1,-OFFSET(Assumptions!$B$33,0,$C$1))/OFFSET($N$13,0,0,1,-OFFSET(Assumptions!$B$33,0,$C$1)))/OFFSET(Assumptions!$B$33,0,$C$1)</f>
        <v>6.9331116486344269E-2</v>
      </c>
      <c r="D137" s="35">
        <f>'Fiscal Forecasts'!D$223</f>
        <v>21.861999999999998</v>
      </c>
      <c r="E137" s="35">
        <f>'Fiscal Forecasts'!E$223</f>
        <v>21.748999999999999</v>
      </c>
      <c r="F137" s="35">
        <f>'Fiscal Forecasts'!F$223</f>
        <v>25.562000000000001</v>
      </c>
      <c r="G137" s="35">
        <f>'Fiscal Forecasts'!G$223</f>
        <v>26.123999999999999</v>
      </c>
      <c r="H137" s="35">
        <f>'Fiscal Forecasts'!H$223</f>
        <v>28.13</v>
      </c>
      <c r="I137" s="35">
        <f>'Fiscal Forecasts'!I$223</f>
        <v>29.277999999999999</v>
      </c>
      <c r="J137" s="17">
        <f>'Fiscal Forecasts'!J$223</f>
        <v>29.81</v>
      </c>
      <c r="K137" s="17">
        <f>'Fiscal Forecasts'!K$223</f>
        <v>30.504999999999999</v>
      </c>
      <c r="L137" s="17">
        <f>'Fiscal Forecasts'!L$223</f>
        <v>32.298999999999999</v>
      </c>
      <c r="M137" s="17">
        <f>'Fiscal Forecasts'!M$223</f>
        <v>34.191000000000003</v>
      </c>
      <c r="N137" s="17">
        <f>'Fiscal Forecasts'!N$223</f>
        <v>35.695</v>
      </c>
      <c r="O137" s="16">
        <f ca="1">(N$137/N$13+MIN(ABS($C$137-N$137/N$13),OFFSET(Assumptions!$B$34,0,$C$1))*SIGN($C$137-N$137/N$13))*O$13</f>
        <v>37.508519862937639</v>
      </c>
      <c r="P137" s="16">
        <f ca="1">(O$137/O$13+MIN(ABS($C$137-O$137/O$13),OFFSET(Assumptions!$B$34,0,$C$1))*SIGN($C$137-O$137/O$13))*P$13</f>
        <v>39.393291670045947</v>
      </c>
      <c r="Q137" s="16">
        <f ca="1">(P$137/P$13+MIN(ABS($C$137-P$137/P$13),OFFSET(Assumptions!$B$34,0,$C$1))*SIGN($C$137-P$137/P$13))*Q$13</f>
        <v>41.142749225127339</v>
      </c>
      <c r="R137" s="16">
        <f ca="1">(Q$137/Q$13+MIN(ABS($C$137-Q$137/Q$13),OFFSET(Assumptions!$B$34,0,$C$1))*SIGN($C$137-Q$137/Q$13))*R$13</f>
        <v>42.762806701674812</v>
      </c>
      <c r="S137" s="16">
        <f ca="1">(R$137/R$13+MIN(ABS($C$137-R$137/R$13),OFFSET(Assumptions!$B$34,0,$C$1))*SIGN($C$137-R$137/R$13))*S$13</f>
        <v>44.418585896410953</v>
      </c>
      <c r="T137" s="16">
        <f ca="1">(S$137/S$13+MIN(ABS($C$137-S$137/S$13),OFFSET(Assumptions!$B$34,0,$C$1))*SIGN($C$137-S$137/S$13))*T$13</f>
        <v>46.107559942242041</v>
      </c>
      <c r="U137" s="16">
        <f ca="1">(T$137/T$13+MIN(ABS($C$137-T$137/T$13),OFFSET(Assumptions!$B$34,0,$C$1))*SIGN($C$137-T$137/T$13))*U$13</f>
        <v>47.819053167026226</v>
      </c>
      <c r="V137" s="16">
        <f ca="1">(U$137/U$13+MIN(ABS($C$137-U$137/U$13),OFFSET(Assumptions!$B$34,0,$C$1))*SIGN($C$137-U$137/U$13))*V$13</f>
        <v>49.556278362188671</v>
      </c>
      <c r="W137" s="16">
        <f ca="1">(V$137/V$13+MIN(ABS($C$137-V$137/V$13),OFFSET(Assumptions!$B$34,0,$C$1))*SIGN($C$137-V$137/V$13))*W$13</f>
        <v>51.319170804822953</v>
      </c>
      <c r="X137" s="16">
        <f ca="1">(W$137/W$13+MIN(ABS($C$137-W$137/W$13),OFFSET(Assumptions!$B$34,0,$C$1))*SIGN($C$137-W$137/W$13))*X$13</f>
        <v>53.12101482275223</v>
      </c>
    </row>
    <row r="138" spans="1:24" x14ac:dyDescent="0.25">
      <c r="A138" s="11" t="s">
        <v>854</v>
      </c>
      <c r="B138" s="10" t="str">
        <f t="shared" si="100"/>
        <v>From Fiscal Forecasts</v>
      </c>
      <c r="C138" s="64" cm="1">
        <f t="array" aca="1" ref="C138" ca="1">SUMPRODUCT(OFFSET($N$138,0,0,1,-OFFSET(Assumptions!$B$33,0,$C$1))/OFFSET($N$13,0,0,1,-OFFSET(Assumptions!$B$33,0,$C$1)))/OFFSET(Assumptions!$B$33,0,$C$1)</f>
        <v>1.0544383130732245E-2</v>
      </c>
      <c r="D138" s="35">
        <f>'Fiscal Forecasts'!D$224</f>
        <v>3.8820000000000001</v>
      </c>
      <c r="E138" s="35">
        <f>'Fiscal Forecasts'!E$224</f>
        <v>3.819</v>
      </c>
      <c r="F138" s="35">
        <f>'Fiscal Forecasts'!F$224</f>
        <v>4.306</v>
      </c>
      <c r="G138" s="35">
        <f>'Fiscal Forecasts'!G$224</f>
        <v>3.823</v>
      </c>
      <c r="H138" s="35">
        <f>'Fiscal Forecasts'!H$224</f>
        <v>2.976</v>
      </c>
      <c r="I138" s="35">
        <f>'Fiscal Forecasts'!I$224</f>
        <v>4.0730000000000004</v>
      </c>
      <c r="J138" s="17">
        <f>'Fiscal Forecasts'!J$224</f>
        <v>4.2720000000000002</v>
      </c>
      <c r="K138" s="17">
        <f>'Fiscal Forecasts'!K$224</f>
        <v>4.5709999999999997</v>
      </c>
      <c r="L138" s="17">
        <f>'Fiscal Forecasts'!L$224</f>
        <v>5.05</v>
      </c>
      <c r="M138" s="17">
        <f>'Fiscal Forecasts'!M$224</f>
        <v>5.6630000000000003</v>
      </c>
      <c r="N138" s="17">
        <f>'Fiscal Forecasts'!N$224</f>
        <v>6.093</v>
      </c>
      <c r="O138" s="16">
        <f ca="1">(N$138/N$13+MIN(ABS($C$138-N$138/N$13),OFFSET(Assumptions!$B$34,0,$C$1))*SIGN($C$138-N$138/N$13))*O$13</f>
        <v>6.0825296956577661</v>
      </c>
      <c r="P138" s="16">
        <f ca="1">(O$138/O$13+MIN(ABS($C$138-O$138/O$13),OFFSET(Assumptions!$B$34,0,$C$1))*SIGN($C$138-O$138/O$13))*P$13</f>
        <v>6.0569230620472281</v>
      </c>
      <c r="Q138" s="16">
        <f ca="1">(P$138/P$13+MIN(ABS($C$138-P$138/P$13),OFFSET(Assumptions!$B$34,0,$C$1))*SIGN($C$138-P$138/P$13))*Q$13</f>
        <v>6.257290129848518</v>
      </c>
      <c r="R138" s="16">
        <f ca="1">(Q$138/Q$13+MIN(ABS($C$138-Q$138/Q$13),OFFSET(Assumptions!$B$34,0,$C$1))*SIGN($C$138-Q$138/Q$13))*R$13</f>
        <v>6.503680316423524</v>
      </c>
      <c r="S138" s="16">
        <f ca="1">(R$138/R$13+MIN(ABS($C$138-R$138/R$13),OFFSET(Assumptions!$B$34,0,$C$1))*SIGN($C$138-R$138/R$13))*S$13</f>
        <v>6.7555033230908412</v>
      </c>
      <c r="T138" s="16">
        <f ca="1">(S$138/S$13+MIN(ABS($C$138-S$138/S$13),OFFSET(Assumptions!$B$34,0,$C$1))*SIGN($C$138-S$138/S$13))*T$13</f>
        <v>7.0123748454269004</v>
      </c>
      <c r="U138" s="16">
        <f ca="1">(T$138/T$13+MIN(ABS($C$138-T$138/T$13),OFFSET(Assumptions!$B$34,0,$C$1))*SIGN($C$138-T$138/T$13))*U$13</f>
        <v>7.2726712491539551</v>
      </c>
      <c r="V138" s="16">
        <f ca="1">(U$138/U$13+MIN(ABS($C$138-U$138/U$13),OFFSET(Assumptions!$B$34,0,$C$1))*SIGN($C$138-U$138/U$13))*V$13</f>
        <v>7.536881159083241</v>
      </c>
      <c r="W138" s="16">
        <f ca="1">(V$138/V$13+MIN(ABS($C$138-V$138/V$13),OFFSET(Assumptions!$B$34,0,$C$1))*SIGN($C$138-V$138/V$13))*W$13</f>
        <v>7.8049947316819113</v>
      </c>
      <c r="X138" s="16">
        <f ca="1">(W$138/W$13+MIN(ABS($C$138-W$138/W$13),OFFSET(Assumptions!$B$34,0,$C$1))*SIGN($C$138-W$138/W$13))*X$13</f>
        <v>8.0790323446577013</v>
      </c>
    </row>
    <row r="139" spans="1:24" x14ac:dyDescent="0.25">
      <c r="A139" s="11" t="s">
        <v>700</v>
      </c>
      <c r="B139" s="10" t="str">
        <f t="shared" si="100"/>
        <v>From Fiscal Forecasts</v>
      </c>
      <c r="C139" s="64"/>
      <c r="D139" s="35">
        <f>'Fiscal Forecasts'!D$225</f>
        <v>3.585</v>
      </c>
      <c r="E139" s="35">
        <f>'Fiscal Forecasts'!E$225</f>
        <v>3.6949999999999998</v>
      </c>
      <c r="F139" s="35">
        <f>'Fiscal Forecasts'!F$225</f>
        <v>3.3780000000000001</v>
      </c>
      <c r="G139" s="35">
        <f>'Fiscal Forecasts'!G$225</f>
        <v>3.5670000000000002</v>
      </c>
      <c r="H139" s="35">
        <f>'Fiscal Forecasts'!H$225</f>
        <v>3.532</v>
      </c>
      <c r="I139" s="35">
        <f>'Fiscal Forecasts'!I$225</f>
        <v>3.3140000000000001</v>
      </c>
      <c r="J139" s="17">
        <f>'Fiscal Forecasts'!J$225</f>
        <v>3.403</v>
      </c>
      <c r="K139" s="17">
        <f>'Fiscal Forecasts'!K$225</f>
        <v>3.399</v>
      </c>
      <c r="L139" s="17">
        <f>'Fiscal Forecasts'!L$225</f>
        <v>3.39</v>
      </c>
      <c r="M139" s="17">
        <f>'Fiscal Forecasts'!M$225</f>
        <v>3.39</v>
      </c>
      <c r="N139" s="17">
        <f>'Fiscal Forecasts'!N$225</f>
        <v>3.4140000000000001</v>
      </c>
      <c r="O139" s="16">
        <f ca="1">N$139*(1+O$19)*(1+O$29)</f>
        <v>3.5254182749113085</v>
      </c>
      <c r="P139" s="16">
        <f t="shared" ref="P139:X139" ca="1" si="101">O$139*(1+P$19)*(1+P$29)</f>
        <v>3.6378905766677603</v>
      </c>
      <c r="Q139" s="16">
        <f t="shared" ca="1" si="101"/>
        <v>3.7517149994902392</v>
      </c>
      <c r="R139" s="16">
        <f t="shared" ca="1" si="101"/>
        <v>3.8658702725971064</v>
      </c>
      <c r="S139" s="16">
        <f t="shared" ca="1" si="101"/>
        <v>3.9809623053354337</v>
      </c>
      <c r="T139" s="16">
        <f t="shared" ca="1" si="101"/>
        <v>4.096721368764916</v>
      </c>
      <c r="U139" s="16">
        <f t="shared" ca="1" si="101"/>
        <v>4.2146608693789736</v>
      </c>
      <c r="V139" s="16">
        <f t="shared" ca="1" si="101"/>
        <v>4.3341912410765806</v>
      </c>
      <c r="W139" s="16">
        <f t="shared" ca="1" si="101"/>
        <v>4.4536100740016673</v>
      </c>
      <c r="X139" s="16">
        <f t="shared" ca="1" si="101"/>
        <v>4.5741774460329756</v>
      </c>
    </row>
    <row r="140" spans="1:24" x14ac:dyDescent="0.25">
      <c r="A140" s="9" t="s">
        <v>908</v>
      </c>
      <c r="B140" s="10"/>
      <c r="C140" s="13"/>
      <c r="D140" s="65">
        <f t="shared" ref="D140:X140" si="102">SUM(D$134:D$139)</f>
        <v>85.722999999999999</v>
      </c>
      <c r="E140" s="65">
        <f t="shared" si="102"/>
        <v>84.521000000000001</v>
      </c>
      <c r="F140" s="65">
        <f t="shared" si="102"/>
        <v>97.361999999999995</v>
      </c>
      <c r="G140" s="65">
        <f t="shared" si="102"/>
        <v>107.87299999999999</v>
      </c>
      <c r="H140" s="65">
        <f t="shared" si="102"/>
        <v>111.712</v>
      </c>
      <c r="I140" s="65">
        <f t="shared" si="102"/>
        <v>119.89999999999998</v>
      </c>
      <c r="J140" s="66">
        <f t="shared" si="102"/>
        <v>120.16000000000003</v>
      </c>
      <c r="K140" s="66">
        <f t="shared" si="102"/>
        <v>124.21</v>
      </c>
      <c r="L140" s="66">
        <f t="shared" si="102"/>
        <v>132.09699999999998</v>
      </c>
      <c r="M140" s="66">
        <f t="shared" si="102"/>
        <v>139.47999999999999</v>
      </c>
      <c r="N140" s="66">
        <f t="shared" si="102"/>
        <v>147.05399999999997</v>
      </c>
      <c r="O140" s="67">
        <f t="shared" ca="1" si="102"/>
        <v>152.89321326350102</v>
      </c>
      <c r="P140" s="67">
        <f t="shared" ca="1" si="102"/>
        <v>159.16823718847181</v>
      </c>
      <c r="Q140" s="67">
        <f t="shared" ca="1" si="102"/>
        <v>165.63799304044909</v>
      </c>
      <c r="R140" s="67">
        <f t="shared" ca="1" si="102"/>
        <v>172.12666338681035</v>
      </c>
      <c r="S140" s="67">
        <f t="shared" ca="1" si="102"/>
        <v>178.75682638932682</v>
      </c>
      <c r="T140" s="67">
        <f t="shared" ca="1" si="102"/>
        <v>185.51826973824845</v>
      </c>
      <c r="U140" s="67">
        <f t="shared" ca="1" si="102"/>
        <v>192.37050077919096</v>
      </c>
      <c r="V140" s="67">
        <f t="shared" ca="1" si="102"/>
        <v>199.32557146505084</v>
      </c>
      <c r="W140" s="67">
        <f t="shared" ca="1" si="102"/>
        <v>206.38152471775896</v>
      </c>
      <c r="X140" s="67">
        <f t="shared" ca="1" si="102"/>
        <v>213.59189107421957</v>
      </c>
    </row>
    <row r="141" spans="1:24" x14ac:dyDescent="0.25">
      <c r="A141" s="11" t="s">
        <v>855</v>
      </c>
      <c r="B141" s="10" t="str">
        <f t="shared" si="100"/>
        <v>From Fiscal Forecasts</v>
      </c>
      <c r="C141" s="64" cm="1">
        <f t="array" aca="1" ref="C141" ca="1">SUMPRODUCT(OFFSET($N$141,0,0,1,-OFFSET(Assumptions!$B$33,0,$C$1))/OFFSET($N$13,0,0,1,-OFFSET(Assumptions!$B$33,0,$C$1)))/OFFSET(Assumptions!$B$33,0,$C$1)</f>
        <v>-1.8075933684058583E-3</v>
      </c>
      <c r="D141" s="35">
        <f>D$140-'Fiscal Forecasts'!D$163</f>
        <v>-0.74500000000000455</v>
      </c>
      <c r="E141" s="35">
        <f>E$140-'Fiscal Forecasts'!E$163</f>
        <v>-0.58100000000000307</v>
      </c>
      <c r="F141" s="35">
        <f>F$140-'Fiscal Forecasts'!F$163</f>
        <v>-0.62100000000000932</v>
      </c>
      <c r="G141" s="35">
        <f>G$140-'Fiscal Forecasts'!G$163</f>
        <v>-0.58500000000000796</v>
      </c>
      <c r="H141" s="35">
        <f>H$140-'Fiscal Forecasts'!H$163</f>
        <v>-0.6460000000000008</v>
      </c>
      <c r="I141" s="35">
        <f>I$140-'Fiscal Forecasts'!I$163</f>
        <v>-0.66600000000002524</v>
      </c>
      <c r="J141" s="17">
        <f>J$140-'Fiscal Forecasts'!J$163</f>
        <v>-0.73399999999998045</v>
      </c>
      <c r="K141" s="17">
        <f>K$140-'Fiscal Forecasts'!K$163</f>
        <v>-0.83400000000000318</v>
      </c>
      <c r="L141" s="17">
        <f>L$140-'Fiscal Forecasts'!L$163</f>
        <v>-0.92100000000002069</v>
      </c>
      <c r="M141" s="17">
        <f>M$140-'Fiscal Forecasts'!M$163</f>
        <v>-1.0110000000000241</v>
      </c>
      <c r="N141" s="17">
        <f>N$140-'Fiscal Forecasts'!N$163</f>
        <v>-1.146000000000015</v>
      </c>
      <c r="O141" s="16">
        <f ca="1">(N$141/N$13+MIN(ABS($C$141-N$141/N$13),OFFSET(Assumptions!$B$34,0,$C$1))*SIGN($C$141-N$141/N$13))*O$13</f>
        <v>-0.98827741072355701</v>
      </c>
      <c r="P141" s="16">
        <f ca="1">(O$141/O$13+MIN(ABS($C$141-O$141/O$13),OFFSET(Assumptions!$B$34,0,$C$1))*SIGN($C$141-O$141/O$13))*P$13</f>
        <v>-1.0304275989474487</v>
      </c>
      <c r="Q141" s="16">
        <f ca="1">(P$141/P$13+MIN(ABS($C$141-P$141/P$13),OFFSET(Assumptions!$B$34,0,$C$1))*SIGN($C$141-P$141/P$13))*Q$13</f>
        <v>-1.0726693067458899</v>
      </c>
      <c r="R141" s="16">
        <f ca="1">(Q$141/Q$13+MIN(ABS($C$141-Q$141/Q$13),OFFSET(Assumptions!$B$34,0,$C$1))*SIGN($C$141-Q$141/Q$13))*R$13</f>
        <v>-1.1149072700075997</v>
      </c>
      <c r="S141" s="16">
        <f ca="1">(R$141/R$13+MIN(ABS($C$141-R$141/R$13),OFFSET(Assumptions!$B$34,0,$C$1))*SIGN($C$141-R$141/R$13))*S$13</f>
        <v>-1.1580765660413503</v>
      </c>
      <c r="T141" s="16">
        <f ca="1">(S$141/S$13+MIN(ABS($C$141-S$141/S$13),OFFSET(Assumptions!$B$34,0,$C$1))*SIGN($C$141-S$141/S$13))*T$13</f>
        <v>-1.2021113146416447</v>
      </c>
      <c r="U141" s="16">
        <f ca="1">(T$141/T$13+MIN(ABS($C$141-T$141/T$13),OFFSET(Assumptions!$B$34,0,$C$1))*SIGN($C$141-T$141/T$13))*U$13</f>
        <v>-1.246733180839354</v>
      </c>
      <c r="V141" s="16">
        <f ca="1">(U$141/U$13+MIN(ABS($C$141-U$141/U$13),OFFSET(Assumptions!$B$34,0,$C$1))*SIGN($C$141-U$141/U$13))*V$13</f>
        <v>-1.2920259281849373</v>
      </c>
      <c r="W141" s="16">
        <f ca="1">(V$141/V$13+MIN(ABS($C$141-V$141/V$13),OFFSET(Assumptions!$B$34,0,$C$1))*SIGN($C$141-V$141/V$13))*W$13</f>
        <v>-1.3379878692297809</v>
      </c>
      <c r="X141" s="16">
        <f ca="1">(W$141/W$13+MIN(ABS($C$141-W$141/W$13),OFFSET(Assumptions!$B$34,0,$C$1))*SIGN($C$141-W$141/W$13))*X$13</f>
        <v>-1.3849653515317173</v>
      </c>
    </row>
    <row r="142" spans="1:24" x14ac:dyDescent="0.25">
      <c r="A142" s="9" t="s">
        <v>856</v>
      </c>
      <c r="B142" s="9"/>
      <c r="C142" s="13"/>
      <c r="D142" s="65">
        <f t="shared" ref="D142:X142" si="103">D$140-D$141</f>
        <v>86.468000000000004</v>
      </c>
      <c r="E142" s="65">
        <f t="shared" si="103"/>
        <v>85.102000000000004</v>
      </c>
      <c r="F142" s="65">
        <f t="shared" si="103"/>
        <v>97.983000000000004</v>
      </c>
      <c r="G142" s="65">
        <f t="shared" si="103"/>
        <v>108.458</v>
      </c>
      <c r="H142" s="65">
        <f t="shared" si="103"/>
        <v>112.358</v>
      </c>
      <c r="I142" s="65">
        <f t="shared" si="103"/>
        <v>120.566</v>
      </c>
      <c r="J142" s="66">
        <f t="shared" si="103"/>
        <v>120.89400000000001</v>
      </c>
      <c r="K142" s="66">
        <f t="shared" si="103"/>
        <v>125.044</v>
      </c>
      <c r="L142" s="66">
        <f t="shared" si="103"/>
        <v>133.018</v>
      </c>
      <c r="M142" s="66">
        <f t="shared" si="103"/>
        <v>140.49100000000001</v>
      </c>
      <c r="N142" s="66">
        <f t="shared" si="103"/>
        <v>148.19999999999999</v>
      </c>
      <c r="O142" s="67">
        <f t="shared" ca="1" si="103"/>
        <v>153.88149067422458</v>
      </c>
      <c r="P142" s="67">
        <f t="shared" ca="1" si="103"/>
        <v>160.19866478741926</v>
      </c>
      <c r="Q142" s="67">
        <f t="shared" ca="1" si="103"/>
        <v>166.71066234719498</v>
      </c>
      <c r="R142" s="67">
        <f t="shared" ca="1" si="103"/>
        <v>173.24157065681794</v>
      </c>
      <c r="S142" s="67">
        <f t="shared" ca="1" si="103"/>
        <v>179.91490295536818</v>
      </c>
      <c r="T142" s="67">
        <f t="shared" ca="1" si="103"/>
        <v>186.7203810528901</v>
      </c>
      <c r="U142" s="67">
        <f t="shared" ca="1" si="103"/>
        <v>193.61723396003032</v>
      </c>
      <c r="V142" s="67">
        <f t="shared" ca="1" si="103"/>
        <v>200.61759739323577</v>
      </c>
      <c r="W142" s="67">
        <f t="shared" ca="1" si="103"/>
        <v>207.71951258698874</v>
      </c>
      <c r="X142" s="67">
        <f t="shared" ca="1" si="103"/>
        <v>214.97685642575129</v>
      </c>
    </row>
    <row r="143" spans="1:24" x14ac:dyDescent="0.25">
      <c r="A143" s="9"/>
      <c r="B143" s="9"/>
      <c r="C143" s="13"/>
      <c r="D143" s="68"/>
      <c r="E143" s="68"/>
      <c r="F143" s="68"/>
      <c r="G143" s="68"/>
      <c r="H143" s="68"/>
      <c r="I143" s="68"/>
      <c r="J143" s="69"/>
      <c r="K143" s="69"/>
      <c r="L143" s="69"/>
      <c r="M143" s="69"/>
      <c r="N143" s="69"/>
      <c r="O143" s="70"/>
      <c r="P143" s="70"/>
      <c r="Q143" s="70"/>
      <c r="R143" s="70"/>
      <c r="S143" s="70"/>
      <c r="T143" s="70"/>
      <c r="U143" s="70"/>
      <c r="V143" s="70"/>
      <c r="W143" s="70"/>
      <c r="X143" s="70"/>
    </row>
    <row r="144" spans="1:24" x14ac:dyDescent="0.25">
      <c r="A144" s="9" t="s">
        <v>702</v>
      </c>
      <c r="B144" s="9"/>
      <c r="C144" s="13"/>
      <c r="D144" s="68"/>
      <c r="E144" s="68"/>
      <c r="F144" s="68"/>
      <c r="G144" s="68"/>
      <c r="H144" s="68"/>
      <c r="I144" s="68"/>
      <c r="J144" s="69"/>
      <c r="K144" s="69"/>
      <c r="L144" s="69"/>
      <c r="M144" s="69"/>
      <c r="N144" s="69"/>
      <c r="O144" s="70"/>
      <c r="P144" s="70"/>
      <c r="Q144" s="70"/>
      <c r="R144" s="70"/>
      <c r="S144" s="70"/>
      <c r="T144" s="70"/>
      <c r="U144" s="70"/>
      <c r="V144" s="70"/>
      <c r="W144" s="70"/>
      <c r="X144" s="70"/>
    </row>
    <row r="145" spans="1:24" x14ac:dyDescent="0.25">
      <c r="A145" s="11" t="s">
        <v>857</v>
      </c>
      <c r="B145" s="10" t="str">
        <f>$B$38</f>
        <v>From Fiscal Forecasts</v>
      </c>
      <c r="C145" s="13"/>
      <c r="D145" s="35">
        <f>'Fiscal Forecasts'!D$229</f>
        <v>0.84599999999999997</v>
      </c>
      <c r="E145" s="35">
        <f>'Fiscal Forecasts'!E$229</f>
        <v>1.0429999999999999</v>
      </c>
      <c r="F145" s="35">
        <f>'Fiscal Forecasts'!F$229</f>
        <v>1.6339999999999999</v>
      </c>
      <c r="G145" s="35">
        <f>'Fiscal Forecasts'!G$229</f>
        <v>3.0059999999999998</v>
      </c>
      <c r="H145" s="35">
        <f>'Fiscal Forecasts'!H$229</f>
        <v>1.5820000000000001</v>
      </c>
      <c r="I145" s="35">
        <f>'Fiscal Forecasts'!I$229</f>
        <v>1.69</v>
      </c>
      <c r="J145" s="17">
        <f>'Fiscal Forecasts'!J$229</f>
        <v>2.4350000000000001</v>
      </c>
      <c r="K145" s="17">
        <f>'Fiscal Forecasts'!K$229</f>
        <v>2.2149999999999999</v>
      </c>
      <c r="L145" s="17">
        <f>'Fiscal Forecasts'!L$229</f>
        <v>2.1240000000000001</v>
      </c>
      <c r="M145" s="17">
        <f>'Fiscal Forecasts'!M$229</f>
        <v>2.073</v>
      </c>
      <c r="N145" s="17">
        <f>'Fiscal Forecasts'!N$229</f>
        <v>2.0630000000000002</v>
      </c>
      <c r="O145" s="16">
        <f t="shared" ref="O145:X145" si="104">N$145</f>
        <v>2.0630000000000002</v>
      </c>
      <c r="P145" s="16">
        <f t="shared" si="104"/>
        <v>2.0630000000000002</v>
      </c>
      <c r="Q145" s="16">
        <f t="shared" si="104"/>
        <v>2.0630000000000002</v>
      </c>
      <c r="R145" s="16">
        <f t="shared" si="104"/>
        <v>2.0630000000000002</v>
      </c>
      <c r="S145" s="16">
        <f t="shared" si="104"/>
        <v>2.0630000000000002</v>
      </c>
      <c r="T145" s="16">
        <f t="shared" si="104"/>
        <v>2.0630000000000002</v>
      </c>
      <c r="U145" s="16">
        <f t="shared" si="104"/>
        <v>2.0630000000000002</v>
      </c>
      <c r="V145" s="16">
        <f t="shared" si="104"/>
        <v>2.0630000000000002</v>
      </c>
      <c r="W145" s="16">
        <f t="shared" si="104"/>
        <v>2.0630000000000002</v>
      </c>
      <c r="X145" s="16">
        <f t="shared" si="104"/>
        <v>2.0630000000000002</v>
      </c>
    </row>
    <row r="146" spans="1:24" x14ac:dyDescent="0.25">
      <c r="A146" s="11" t="s">
        <v>858</v>
      </c>
      <c r="B146" s="10" t="str">
        <f>$B$38</f>
        <v>From Fiscal Forecasts</v>
      </c>
      <c r="C146" s="13"/>
      <c r="D146" s="35">
        <f>'Fiscal Forecasts'!D$164-D$145</f>
        <v>1.1310000000000002</v>
      </c>
      <c r="E146" s="35">
        <f>'Fiscal Forecasts'!E$164-E$145</f>
        <v>1.0770000000000002</v>
      </c>
      <c r="F146" s="35">
        <f>'Fiscal Forecasts'!F$164-F$145</f>
        <v>1.1110000000000002</v>
      </c>
      <c r="G146" s="35">
        <f>'Fiscal Forecasts'!G$164-G$145</f>
        <v>1.3210000000000002</v>
      </c>
      <c r="H146" s="35">
        <f>'Fiscal Forecasts'!H$164-H$145</f>
        <v>1.7099999999999997</v>
      </c>
      <c r="I146" s="35">
        <f>'Fiscal Forecasts'!I$164-I$145</f>
        <v>1.899</v>
      </c>
      <c r="J146" s="17">
        <f>'Fiscal Forecasts'!J$164-J$145</f>
        <v>1.871</v>
      </c>
      <c r="K146" s="17">
        <f>'Fiscal Forecasts'!K$164-K$145</f>
        <v>2.202</v>
      </c>
      <c r="L146" s="17">
        <f>'Fiscal Forecasts'!L$164-L$145</f>
        <v>2.3009999999999997</v>
      </c>
      <c r="M146" s="17">
        <f>'Fiscal Forecasts'!M$164-M$145</f>
        <v>2.347</v>
      </c>
      <c r="N146" s="17">
        <f>'Fiscal Forecasts'!N$164-N$145</f>
        <v>2.3879999999999995</v>
      </c>
      <c r="O146" s="16">
        <f t="shared" ref="O146:X146" ca="1" si="105">N$146*(1+O$19)*(1+O$29)</f>
        <v>2.4659340481804928</v>
      </c>
      <c r="P146" s="16">
        <f t="shared" ca="1" si="105"/>
        <v>2.5446053594266576</v>
      </c>
      <c r="Q146" s="16">
        <f t="shared" ca="1" si="105"/>
        <v>2.6242224425256846</v>
      </c>
      <c r="R146" s="16">
        <f t="shared" ca="1" si="105"/>
        <v>2.7040709463860235</v>
      </c>
      <c r="S146" s="16">
        <f t="shared" ca="1" si="105"/>
        <v>2.7845746880905122</v>
      </c>
      <c r="T146" s="16">
        <f t="shared" ca="1" si="105"/>
        <v>2.8655449995930327</v>
      </c>
      <c r="U146" s="16">
        <f t="shared" ca="1" si="105"/>
        <v>2.9480404675093674</v>
      </c>
      <c r="V146" s="16">
        <f t="shared" ca="1" si="105"/>
        <v>3.0316487064120867</v>
      </c>
      <c r="W146" s="16">
        <f t="shared" ca="1" si="105"/>
        <v>3.1151789269818311</v>
      </c>
      <c r="X146" s="16">
        <f t="shared" ca="1" si="105"/>
        <v>3.1995125193692844</v>
      </c>
    </row>
    <row r="147" spans="1:24" x14ac:dyDescent="0.25">
      <c r="A147" s="9" t="s">
        <v>859</v>
      </c>
      <c r="B147" s="9"/>
      <c r="C147" s="13"/>
      <c r="D147" s="65">
        <f t="shared" ref="D147:X147" si="106">SUM(D$145:D$146)</f>
        <v>1.9770000000000003</v>
      </c>
      <c r="E147" s="65">
        <f t="shared" si="106"/>
        <v>2.12</v>
      </c>
      <c r="F147" s="65">
        <f t="shared" si="106"/>
        <v>2.7450000000000001</v>
      </c>
      <c r="G147" s="65">
        <f t="shared" si="106"/>
        <v>4.327</v>
      </c>
      <c r="H147" s="65">
        <f t="shared" si="106"/>
        <v>3.2919999999999998</v>
      </c>
      <c r="I147" s="65">
        <f t="shared" si="106"/>
        <v>3.589</v>
      </c>
      <c r="J147" s="66">
        <f t="shared" si="106"/>
        <v>4.306</v>
      </c>
      <c r="K147" s="66">
        <f t="shared" si="106"/>
        <v>4.4169999999999998</v>
      </c>
      <c r="L147" s="66">
        <f t="shared" si="106"/>
        <v>4.4249999999999998</v>
      </c>
      <c r="M147" s="66">
        <f t="shared" si="106"/>
        <v>4.42</v>
      </c>
      <c r="N147" s="66">
        <f t="shared" si="106"/>
        <v>4.4509999999999996</v>
      </c>
      <c r="O147" s="67">
        <f t="shared" ca="1" si="106"/>
        <v>4.5289340481804929</v>
      </c>
      <c r="P147" s="67">
        <f t="shared" ca="1" si="106"/>
        <v>4.6076053594266577</v>
      </c>
      <c r="Q147" s="67">
        <f t="shared" ca="1" si="106"/>
        <v>4.6872224425256848</v>
      </c>
      <c r="R147" s="67">
        <f t="shared" ca="1" si="106"/>
        <v>4.7670709463860241</v>
      </c>
      <c r="S147" s="67">
        <f t="shared" ca="1" si="106"/>
        <v>4.8475746880905124</v>
      </c>
      <c r="T147" s="67">
        <f t="shared" ca="1" si="106"/>
        <v>4.9285449995930328</v>
      </c>
      <c r="U147" s="67">
        <f t="shared" ca="1" si="106"/>
        <v>5.0110404675093676</v>
      </c>
      <c r="V147" s="67">
        <f t="shared" ca="1" si="106"/>
        <v>5.0946487064120873</v>
      </c>
      <c r="W147" s="67">
        <f t="shared" ca="1" si="106"/>
        <v>5.1781789269818308</v>
      </c>
      <c r="X147" s="67">
        <f t="shared" ca="1" si="106"/>
        <v>5.2625125193692845</v>
      </c>
    </row>
    <row r="148" spans="1:24" x14ac:dyDescent="0.25">
      <c r="A148" s="11" t="s">
        <v>703</v>
      </c>
      <c r="B148" s="10" t="str">
        <f>$B$38</f>
        <v>From Fiscal Forecasts</v>
      </c>
      <c r="C148" s="13"/>
      <c r="D148" s="35">
        <f>'Fiscal Forecasts'!D$228</f>
        <v>3.0139999999999998</v>
      </c>
      <c r="E148" s="35">
        <f>'Fiscal Forecasts'!E$228</f>
        <v>3.032</v>
      </c>
      <c r="F148" s="35">
        <f>'Fiscal Forecasts'!F$228</f>
        <v>3.27</v>
      </c>
      <c r="G148" s="35">
        <f>'Fiscal Forecasts'!G$228</f>
        <v>3.4609999999999999</v>
      </c>
      <c r="H148" s="35">
        <f>'Fiscal Forecasts'!H$228</f>
        <v>3.855</v>
      </c>
      <c r="I148" s="35">
        <f>'Fiscal Forecasts'!I$228</f>
        <v>4.1449999999999996</v>
      </c>
      <c r="J148" s="17">
        <f>'Fiscal Forecasts'!J$228</f>
        <v>4.2649999999999997</v>
      </c>
      <c r="K148" s="17">
        <f>'Fiscal Forecasts'!K$228</f>
        <v>4.7149999999999999</v>
      </c>
      <c r="L148" s="17">
        <f>'Fiscal Forecasts'!L$228</f>
        <v>5.2039999999999997</v>
      </c>
      <c r="M148" s="17">
        <f>'Fiscal Forecasts'!M$228</f>
        <v>5.7030000000000003</v>
      </c>
      <c r="N148" s="17">
        <f>'Fiscal Forecasts'!N$228</f>
        <v>6.2389999999999999</v>
      </c>
      <c r="O148" s="16">
        <f>N$148*(Exogenous!Z$26-Exogenous!Z$27)/(Exogenous!Y$26-Exogenous!Y$27)</f>
        <v>6.7922214680442501</v>
      </c>
      <c r="P148" s="16">
        <f>O$148*(Exogenous!AA$26-Exogenous!AA$27)/(Exogenous!Z$26-Exogenous!Z$27)</f>
        <v>7.3773643877749224</v>
      </c>
      <c r="Q148" s="16">
        <f>P$148*(Exogenous!AB$26-Exogenous!AB$27)/(Exogenous!AA$26-Exogenous!AA$27)</f>
        <v>8.0450326288791469</v>
      </c>
      <c r="R148" s="16">
        <f>Q$148*(Exogenous!AC$26-Exogenous!AC$27)/(Exogenous!AB$26-Exogenous!AB$27)</f>
        <v>8.7507730414661591</v>
      </c>
      <c r="S148" s="16">
        <f>R$148*(Exogenous!AD$26-Exogenous!AD$27)/(Exogenous!AC$26-Exogenous!AC$27)</f>
        <v>9.5257663808887454</v>
      </c>
      <c r="T148" s="16">
        <f>S$148*(Exogenous!AE$26-Exogenous!AE$27)/(Exogenous!AD$26-Exogenous!AD$27)</f>
        <v>10.34282594471633</v>
      </c>
      <c r="U148" s="16">
        <f>T$148*(Exogenous!AF$26-Exogenous!AF$27)/(Exogenous!AE$26-Exogenous!AE$27)</f>
        <v>11.236500181765395</v>
      </c>
      <c r="V148" s="16">
        <f>U$148*(Exogenous!AG$26-Exogenous!AG$27)/(Exogenous!AF$26-Exogenous!AF$27)</f>
        <v>12.001795802679197</v>
      </c>
      <c r="W148" s="16">
        <f>V$148*(Exogenous!AH$26-Exogenous!AH$27)/(Exogenous!AG$26-Exogenous!AG$27)</f>
        <v>12.543476849089375</v>
      </c>
      <c r="X148" s="16">
        <f>W$148*(Exogenous!AI$26-Exogenous!AI$27)/(Exogenous!AH$26-Exogenous!AH$27)</f>
        <v>13.028010010466666</v>
      </c>
    </row>
    <row r="149" spans="1:24" x14ac:dyDescent="0.25">
      <c r="A149" s="11" t="s">
        <v>860</v>
      </c>
      <c r="B149" s="10" t="str">
        <f>$B$38</f>
        <v>From Fiscal Forecasts</v>
      </c>
      <c r="C149" s="13"/>
      <c r="D149" s="35">
        <f>'Fiscal Forecasts'!D$10-SUM(D$147:D$148)</f>
        <v>1.0369999999999999</v>
      </c>
      <c r="E149" s="35">
        <f>'Fiscal Forecasts'!E$10-SUM(E$147:E$148)</f>
        <v>1.117</v>
      </c>
      <c r="F149" s="35">
        <f>'Fiscal Forecasts'!F$10-SUM(F$147:F$148)</f>
        <v>1.0229999999999997</v>
      </c>
      <c r="G149" s="35">
        <f>'Fiscal Forecasts'!G$10-SUM(G$147:G$148)</f>
        <v>1.1059999999999999</v>
      </c>
      <c r="H149" s="35">
        <f>'Fiscal Forecasts'!H$10-SUM(H$147:H$148)</f>
        <v>1.2599999999999998</v>
      </c>
      <c r="I149" s="35">
        <f>'Fiscal Forecasts'!I$10-SUM(I$147:I$148)</f>
        <v>1.6920000000000002</v>
      </c>
      <c r="J149" s="17">
        <f>'Fiscal Forecasts'!J$10-SUM(J$147:J$148)</f>
        <v>1.8849999999999998</v>
      </c>
      <c r="K149" s="17">
        <f>'Fiscal Forecasts'!K$10-SUM(K$147:K$148)</f>
        <v>1.8740000000000006</v>
      </c>
      <c r="L149" s="17">
        <f>'Fiscal Forecasts'!L$10-SUM(L$147:L$148)</f>
        <v>1.9410000000000007</v>
      </c>
      <c r="M149" s="17">
        <f>'Fiscal Forecasts'!M$10-SUM(M$147:M$148)</f>
        <v>2.0509999999999984</v>
      </c>
      <c r="N149" s="17">
        <f>'Fiscal Forecasts'!N$10-SUM(N$147:N$148)</f>
        <v>2.120000000000001</v>
      </c>
      <c r="O149" s="16">
        <f t="shared" ref="O149:X149" ca="1" si="107">N$149*(1+O$19)*(1+O$29)</f>
        <v>2.1891876809642583</v>
      </c>
      <c r="P149" s="16">
        <f t="shared" ca="1" si="107"/>
        <v>2.2590298835781066</v>
      </c>
      <c r="Q149" s="16">
        <f t="shared" ca="1" si="107"/>
        <v>2.3297117161450824</v>
      </c>
      <c r="R149" s="16">
        <f t="shared" ca="1" si="107"/>
        <v>2.4005989976291358</v>
      </c>
      <c r="S149" s="16">
        <f t="shared" ca="1" si="107"/>
        <v>2.4720679810518811</v>
      </c>
      <c r="T149" s="16">
        <f t="shared" ca="1" si="107"/>
        <v>2.543951172168021</v>
      </c>
      <c r="U149" s="16">
        <f t="shared" ca="1" si="107"/>
        <v>2.6171883547403119</v>
      </c>
      <c r="V149" s="16">
        <f t="shared" ca="1" si="107"/>
        <v>2.6914134244529437</v>
      </c>
      <c r="W149" s="16">
        <f t="shared" ca="1" si="107"/>
        <v>2.7655692316589144</v>
      </c>
      <c r="X149" s="16">
        <f t="shared" ca="1" si="107"/>
        <v>2.840438250026335</v>
      </c>
    </row>
    <row r="150" spans="1:24" x14ac:dyDescent="0.25">
      <c r="A150" s="9" t="s">
        <v>909</v>
      </c>
      <c r="B150" s="9"/>
      <c r="C150" s="13"/>
      <c r="D150" s="65">
        <f t="shared" ref="D150:X150" si="108">SUM(D$147:D$149)</f>
        <v>6.0279999999999996</v>
      </c>
      <c r="E150" s="65">
        <f t="shared" si="108"/>
        <v>6.2690000000000001</v>
      </c>
      <c r="F150" s="65">
        <f t="shared" si="108"/>
        <v>7.0380000000000003</v>
      </c>
      <c r="G150" s="65">
        <f t="shared" si="108"/>
        <v>8.8940000000000001</v>
      </c>
      <c r="H150" s="65">
        <f t="shared" si="108"/>
        <v>8.407</v>
      </c>
      <c r="I150" s="65">
        <f t="shared" si="108"/>
        <v>9.4260000000000002</v>
      </c>
      <c r="J150" s="66">
        <f t="shared" si="108"/>
        <v>10.456</v>
      </c>
      <c r="K150" s="66">
        <f t="shared" si="108"/>
        <v>11.006</v>
      </c>
      <c r="L150" s="66">
        <f t="shared" si="108"/>
        <v>11.57</v>
      </c>
      <c r="M150" s="66">
        <f t="shared" si="108"/>
        <v>12.173999999999999</v>
      </c>
      <c r="N150" s="66">
        <f t="shared" si="108"/>
        <v>12.81</v>
      </c>
      <c r="O150" s="67">
        <f t="shared" ca="1" si="108"/>
        <v>13.510343197189</v>
      </c>
      <c r="P150" s="67">
        <f t="shared" ca="1" si="108"/>
        <v>14.243999630779687</v>
      </c>
      <c r="Q150" s="67">
        <f t="shared" ca="1" si="108"/>
        <v>15.061966787549915</v>
      </c>
      <c r="R150" s="67">
        <f t="shared" ca="1" si="108"/>
        <v>15.918442985481319</v>
      </c>
      <c r="S150" s="67">
        <f t="shared" ca="1" si="108"/>
        <v>16.84540905003114</v>
      </c>
      <c r="T150" s="67">
        <f t="shared" ca="1" si="108"/>
        <v>17.815322116477383</v>
      </c>
      <c r="U150" s="67">
        <f t="shared" ca="1" si="108"/>
        <v>18.864729004015071</v>
      </c>
      <c r="V150" s="67">
        <f t="shared" ca="1" si="108"/>
        <v>19.787857933544228</v>
      </c>
      <c r="W150" s="67">
        <f t="shared" ca="1" si="108"/>
        <v>20.487225007730121</v>
      </c>
      <c r="X150" s="67">
        <f t="shared" ca="1" si="108"/>
        <v>21.130960779862285</v>
      </c>
    </row>
    <row r="151" spans="1:24" x14ac:dyDescent="0.25">
      <c r="A151" s="11" t="s">
        <v>861</v>
      </c>
      <c r="B151" s="10" t="str">
        <f>$B$38</f>
        <v>From Fiscal Forecasts</v>
      </c>
      <c r="C151" s="13"/>
      <c r="D151" s="35">
        <f>'Fiscal Forecasts'!D$374</f>
        <v>0</v>
      </c>
      <c r="E151" s="35">
        <f>'Fiscal Forecasts'!E$374</f>
        <v>0</v>
      </c>
      <c r="F151" s="35">
        <f>'Fiscal Forecasts'!F$374</f>
        <v>0.33600000000000002</v>
      </c>
      <c r="G151" s="35">
        <f>'Fiscal Forecasts'!G$374</f>
        <v>2.0960000000000001</v>
      </c>
      <c r="H151" s="35">
        <f>'Fiscal Forecasts'!H$374</f>
        <v>0.83199999999999996</v>
      </c>
      <c r="I151" s="35">
        <f>'Fiscal Forecasts'!I$374</f>
        <v>0.21</v>
      </c>
      <c r="J151" s="17">
        <f>'Fiscal Forecasts'!J$374</f>
        <v>0.27900000000000003</v>
      </c>
      <c r="K151" s="17">
        <f>'Fiscal Forecasts'!K$374</f>
        <v>0.33</v>
      </c>
      <c r="L151" s="17">
        <f>'Fiscal Forecasts'!L$374</f>
        <v>0.28299999999999997</v>
      </c>
      <c r="M151" s="17">
        <f>'Fiscal Forecasts'!M$374</f>
        <v>0.23</v>
      </c>
      <c r="N151" s="17">
        <f>'Fiscal Forecasts'!N$374</f>
        <v>0.17699999999999999</v>
      </c>
      <c r="O151" s="16">
        <f t="shared" ref="O151:X151" si="109">N$151</f>
        <v>0.17699999999999999</v>
      </c>
      <c r="P151" s="16">
        <f t="shared" si="109"/>
        <v>0.17699999999999999</v>
      </c>
      <c r="Q151" s="16">
        <f t="shared" si="109"/>
        <v>0.17699999999999999</v>
      </c>
      <c r="R151" s="16">
        <f t="shared" si="109"/>
        <v>0.17699999999999999</v>
      </c>
      <c r="S151" s="16">
        <f t="shared" si="109"/>
        <v>0.17699999999999999</v>
      </c>
      <c r="T151" s="16">
        <f t="shared" si="109"/>
        <v>0.17699999999999999</v>
      </c>
      <c r="U151" s="16">
        <f t="shared" si="109"/>
        <v>0.17699999999999999</v>
      </c>
      <c r="V151" s="16">
        <f t="shared" si="109"/>
        <v>0.17699999999999999</v>
      </c>
      <c r="W151" s="16">
        <f t="shared" si="109"/>
        <v>0.17699999999999999</v>
      </c>
      <c r="X151" s="16">
        <f t="shared" si="109"/>
        <v>0.17699999999999999</v>
      </c>
    </row>
    <row r="152" spans="1:24" x14ac:dyDescent="0.25">
      <c r="A152" s="9"/>
      <c r="B152" s="9"/>
      <c r="C152" s="13"/>
      <c r="D152" s="68"/>
      <c r="E152" s="68"/>
      <c r="F152" s="68"/>
      <c r="G152" s="68"/>
      <c r="H152" s="68"/>
      <c r="I152" s="68"/>
      <c r="J152" s="69"/>
      <c r="K152" s="69"/>
      <c r="L152" s="69"/>
      <c r="M152" s="69"/>
      <c r="N152" s="69"/>
      <c r="O152" s="70"/>
      <c r="P152" s="70"/>
      <c r="Q152" s="70"/>
      <c r="R152" s="70"/>
      <c r="S152" s="70"/>
      <c r="T152" s="70"/>
      <c r="U152" s="70"/>
      <c r="V152" s="70"/>
      <c r="W152" s="70"/>
      <c r="X152" s="70"/>
    </row>
    <row r="153" spans="1:24" x14ac:dyDescent="0.25">
      <c r="A153" s="9" t="s">
        <v>530</v>
      </c>
      <c r="B153" s="9"/>
      <c r="C153" s="13"/>
      <c r="D153" s="68"/>
      <c r="E153" s="68"/>
      <c r="F153" s="68"/>
      <c r="G153" s="68"/>
      <c r="H153" s="68"/>
      <c r="I153" s="68"/>
      <c r="J153" s="69"/>
      <c r="K153" s="69"/>
      <c r="L153" s="69"/>
      <c r="M153" s="69"/>
      <c r="N153" s="69"/>
      <c r="O153" s="70"/>
      <c r="P153" s="70"/>
      <c r="Q153" s="70"/>
      <c r="R153" s="70"/>
      <c r="S153" s="70"/>
      <c r="T153" s="70"/>
      <c r="U153" s="70"/>
      <c r="V153" s="70"/>
      <c r="W153" s="70"/>
      <c r="X153" s="70"/>
    </row>
    <row r="154" spans="1:24" x14ac:dyDescent="0.25">
      <c r="A154" s="9" t="s">
        <v>862</v>
      </c>
      <c r="B154" s="10" t="str">
        <f>$B$38</f>
        <v>From Fiscal Forecasts</v>
      </c>
      <c r="C154" s="13"/>
      <c r="D154" s="68">
        <f>'Fiscal Forecasts'!D165</f>
        <v>1.583</v>
      </c>
      <c r="E154" s="68">
        <f>'Fiscal Forecasts'!E165</f>
        <v>1.5529999999999999</v>
      </c>
      <c r="F154" s="68">
        <f>'Fiscal Forecasts'!F165</f>
        <v>1.5429999999999999</v>
      </c>
      <c r="G154" s="68">
        <f>'Fiscal Forecasts'!G165</f>
        <v>1.3859999999999999</v>
      </c>
      <c r="H154" s="68">
        <f>'Fiscal Forecasts'!H165</f>
        <v>1.631</v>
      </c>
      <c r="I154" s="68">
        <f>'Fiscal Forecasts'!I165</f>
        <v>1.798</v>
      </c>
      <c r="J154" s="69">
        <f>'Fiscal Forecasts'!J165</f>
        <v>2.21</v>
      </c>
      <c r="K154" s="69">
        <f>'Fiscal Forecasts'!K165</f>
        <v>2.3940000000000001</v>
      </c>
      <c r="L154" s="69">
        <f>'Fiscal Forecasts'!L165</f>
        <v>2.3420000000000001</v>
      </c>
      <c r="M154" s="69">
        <f>'Fiscal Forecasts'!M165</f>
        <v>2.427</v>
      </c>
      <c r="N154" s="69">
        <f>'Fiscal Forecasts'!N165</f>
        <v>2.4420000000000002</v>
      </c>
      <c r="O154" s="47">
        <f t="shared" ref="O154:X154" ca="1" si="110">N$154*(1+O$19)*(1+O$29)</f>
        <v>2.5216963759031681</v>
      </c>
      <c r="P154" s="47">
        <f t="shared" ca="1" si="110"/>
        <v>2.6021466866498741</v>
      </c>
      <c r="Q154" s="47">
        <f t="shared" ca="1" si="110"/>
        <v>2.6835641560501355</v>
      </c>
      <c r="R154" s="47">
        <f t="shared" ca="1" si="110"/>
        <v>2.7652182793445026</v>
      </c>
      <c r="S154" s="47">
        <f t="shared" ca="1" si="110"/>
        <v>2.8475424574191939</v>
      </c>
      <c r="T154" s="47">
        <f t="shared" ca="1" si="110"/>
        <v>2.9303437558652385</v>
      </c>
      <c r="U154" s="47">
        <f t="shared" ca="1" si="110"/>
        <v>3.014704699186717</v>
      </c>
      <c r="V154" s="47">
        <f t="shared" ca="1" si="110"/>
        <v>3.1002035766575884</v>
      </c>
      <c r="W154" s="47">
        <f t="shared" ca="1" si="110"/>
        <v>3.1856226715618248</v>
      </c>
      <c r="X154" s="47">
        <f t="shared" ca="1" si="110"/>
        <v>3.2718633049831651</v>
      </c>
    </row>
    <row r="155" spans="1:24" x14ac:dyDescent="0.25">
      <c r="A155" s="9" t="s">
        <v>910</v>
      </c>
      <c r="B155" s="10" t="str">
        <f>$B$38</f>
        <v>From Fiscal Forecasts</v>
      </c>
      <c r="C155" s="13"/>
      <c r="D155" s="68">
        <f>'Fiscal Forecasts'!D11</f>
        <v>19.795999999999999</v>
      </c>
      <c r="E155" s="68">
        <f>'Fiscal Forecasts'!E11</f>
        <v>18.437000000000001</v>
      </c>
      <c r="F155" s="68">
        <f>'Fiscal Forecasts'!F11</f>
        <v>18.5</v>
      </c>
      <c r="G155" s="68">
        <f>'Fiscal Forecasts'!G11</f>
        <v>17.442</v>
      </c>
      <c r="H155" s="68">
        <f>'Fiscal Forecasts'!H11</f>
        <v>21.954000000000001</v>
      </c>
      <c r="I155" s="68">
        <f>'Fiscal Forecasts'!I11</f>
        <v>25.135000000000002</v>
      </c>
      <c r="J155" s="69">
        <f>'Fiscal Forecasts'!J11</f>
        <v>26.361999999999998</v>
      </c>
      <c r="K155" s="69">
        <f>'Fiscal Forecasts'!K11</f>
        <v>27.553999999999998</v>
      </c>
      <c r="L155" s="69">
        <f>'Fiscal Forecasts'!L11</f>
        <v>28.504000000000001</v>
      </c>
      <c r="M155" s="69">
        <f>'Fiscal Forecasts'!M11</f>
        <v>29.87</v>
      </c>
      <c r="N155" s="69">
        <f>'Fiscal Forecasts'!N11</f>
        <v>30.238</v>
      </c>
      <c r="O155" s="47">
        <f t="shared" ref="O155:X155" ca="1" si="111">O$154+(N$155-N$154)*(1+O$14)</f>
        <v>31.517025502224552</v>
      </c>
      <c r="P155" s="47">
        <f t="shared" ca="1" si="111"/>
        <v>32.834131196395788</v>
      </c>
      <c r="Q155" s="47">
        <f t="shared" ca="1" si="111"/>
        <v>34.154889165926434</v>
      </c>
      <c r="R155" s="47">
        <f t="shared" ca="1" si="111"/>
        <v>35.475773927409826</v>
      </c>
      <c r="S155" s="47">
        <f t="shared" ca="1" si="111"/>
        <v>36.824653359169588</v>
      </c>
      <c r="T155" s="47">
        <f t="shared" ca="1" si="111"/>
        <v>38.199401650237419</v>
      </c>
      <c r="U155" s="47">
        <f t="shared" ca="1" si="111"/>
        <v>39.59293518274719</v>
      </c>
      <c r="V155" s="47">
        <f t="shared" ca="1" si="111"/>
        <v>41.007289806661774</v>
      </c>
      <c r="W155" s="47">
        <f t="shared" ca="1" si="111"/>
        <v>42.441198296769436</v>
      </c>
      <c r="X155" s="47">
        <f t="shared" ca="1" si="111"/>
        <v>43.90572355563144</v>
      </c>
    </row>
    <row r="156" spans="1:24" x14ac:dyDescent="0.25">
      <c r="A156" s="9"/>
      <c r="B156" s="9"/>
      <c r="C156" s="13"/>
      <c r="D156" s="68"/>
      <c r="E156" s="68"/>
      <c r="F156" s="68"/>
      <c r="G156" s="68"/>
      <c r="H156" s="68"/>
      <c r="I156" s="68"/>
      <c r="J156" s="69"/>
      <c r="K156" s="69"/>
      <c r="L156" s="69"/>
      <c r="M156" s="69"/>
      <c r="N156" s="69"/>
      <c r="O156" s="70"/>
      <c r="P156" s="70"/>
      <c r="Q156" s="70"/>
      <c r="R156" s="70"/>
      <c r="S156" s="70"/>
      <c r="T156" s="70"/>
      <c r="U156" s="70"/>
      <c r="V156" s="70"/>
      <c r="W156" s="70"/>
      <c r="X156" s="70"/>
    </row>
    <row r="157" spans="1:24" x14ac:dyDescent="0.25">
      <c r="A157" s="9" t="s">
        <v>531</v>
      </c>
      <c r="B157" s="9"/>
      <c r="C157" s="13"/>
      <c r="D157" s="68"/>
      <c r="E157" s="68"/>
      <c r="F157" s="68"/>
      <c r="G157" s="68"/>
      <c r="H157" s="68"/>
      <c r="I157" s="68"/>
      <c r="J157" s="69"/>
      <c r="K157" s="69"/>
      <c r="L157" s="69"/>
      <c r="M157" s="69"/>
      <c r="N157" s="69"/>
      <c r="O157" s="70"/>
      <c r="P157" s="70"/>
      <c r="Q157" s="70"/>
      <c r="R157" s="70"/>
      <c r="S157" s="70"/>
      <c r="T157" s="70"/>
      <c r="U157" s="70"/>
      <c r="V157" s="70"/>
      <c r="W157" s="70"/>
      <c r="X157" s="70"/>
    </row>
    <row r="158" spans="1:24" x14ac:dyDescent="0.25">
      <c r="A158" s="11" t="s">
        <v>867</v>
      </c>
      <c r="B158" s="9"/>
      <c r="C158" s="13"/>
      <c r="D158" s="35">
        <f ca="1">OFFSET(Assumptions!$B$47,0,$C$1)*D$384</f>
        <v>0.43208000000000002</v>
      </c>
      <c r="E158" s="35">
        <f ca="1">OFFSET(Assumptions!$B$47,0,$C$1)*E$384</f>
        <v>0.35332000000000002</v>
      </c>
      <c r="F158" s="35">
        <f ca="1">OFFSET(Assumptions!$B$47,0,$C$1)*F$384</f>
        <v>0.32647999999999999</v>
      </c>
      <c r="G158" s="35">
        <f ca="1">OFFSET(Assumptions!$B$47,0,$C$1)*G$384</f>
        <v>0.47387999999999997</v>
      </c>
      <c r="H158" s="35">
        <f ca="1">OFFSET(Assumptions!$B$47,0,$C$1)*H$384</f>
        <v>0.58079999999999998</v>
      </c>
      <c r="I158" s="35">
        <f ca="1">OFFSET(Assumptions!$B$47,0,$C$1)*I$384</f>
        <v>0.72996000000000005</v>
      </c>
      <c r="J158" s="17">
        <f ca="1">OFFSET(Assumptions!$B$47,0,$C$1)*J$384</f>
        <v>0.75020000000000009</v>
      </c>
      <c r="K158" s="17">
        <f ca="1">OFFSET(Assumptions!$B$47,0,$C$1)*K$384</f>
        <v>0.78011999999999992</v>
      </c>
      <c r="L158" s="17">
        <f ca="1">OFFSET(Assumptions!$B$47,0,$C$1)*L$384</f>
        <v>0.82235999999999998</v>
      </c>
      <c r="M158" s="17">
        <f ca="1">OFFSET(Assumptions!$B$47,0,$C$1)*M$384</f>
        <v>0.87692000000000003</v>
      </c>
      <c r="N158" s="17">
        <f ca="1">OFFSET(Assumptions!$B$47,0,$C$1)*N$384</f>
        <v>0.93104000000000009</v>
      </c>
      <c r="O158" s="16">
        <f ca="1">OFFSET(Assumptions!$B$47,0,$C$1)*O$384</f>
        <v>0.98719612249771271</v>
      </c>
      <c r="P158" s="16">
        <f ca="1">OFFSET(Assumptions!$B$47,0,$C$1)*P$384</f>
        <v>1.0459652386232476</v>
      </c>
      <c r="Q158" s="16">
        <f ca="1">OFFSET(Assumptions!$B$47,0,$C$1)*Q$384</f>
        <v>1.106944082263164</v>
      </c>
      <c r="R158" s="16">
        <f ca="1">OFFSET(Assumptions!$B$47,0,$C$1)*R$384</f>
        <v>1.1698163808582145</v>
      </c>
      <c r="S158" s="16">
        <f ca="1">OFFSET(Assumptions!$B$47,0,$C$1)*S$384</f>
        <v>1.2342598212523019</v>
      </c>
      <c r="T158" s="16">
        <f ca="1">OFFSET(Assumptions!$B$47,0,$C$1)*T$384</f>
        <v>1.3002348226020972</v>
      </c>
      <c r="U158" s="16">
        <f ca="1">OFFSET(Assumptions!$B$47,0,$C$1)*U$384</f>
        <v>1.3676609893111076</v>
      </c>
      <c r="V158" s="16">
        <f ca="1">OFFSET(Assumptions!$B$47,0,$C$1)*V$384</f>
        <v>1.4364580783544572</v>
      </c>
      <c r="W158" s="16">
        <f ca="1">OFFSET(Assumptions!$B$47,0,$C$1)*W$384</f>
        <v>1.5071179028560633</v>
      </c>
      <c r="X158" s="16">
        <f ca="1">OFFSET(Assumptions!$B$47,0,$C$1)*X$384</f>
        <v>1.580445928207433</v>
      </c>
    </row>
    <row r="159" spans="1:24" x14ac:dyDescent="0.25">
      <c r="A159" s="11" t="s">
        <v>863</v>
      </c>
      <c r="B159" s="9"/>
      <c r="C159" s="13"/>
      <c r="D159" s="35">
        <f t="shared" ref="D159:X159" si="112">D$413</f>
        <v>0.39400000000000002</v>
      </c>
      <c r="E159" s="35">
        <f t="shared" si="112"/>
        <v>0.33100000000000002</v>
      </c>
      <c r="F159" s="35">
        <f t="shared" si="112"/>
        <v>0.23499999999999999</v>
      </c>
      <c r="G159" s="35">
        <f t="shared" si="112"/>
        <v>0.28000000000000003</v>
      </c>
      <c r="H159" s="35">
        <f t="shared" si="112"/>
        <v>0.57699999999999996</v>
      </c>
      <c r="I159" s="35">
        <f t="shared" si="112"/>
        <v>0.63400000000000001</v>
      </c>
      <c r="J159" s="17">
        <f t="shared" si="112"/>
        <v>0.502</v>
      </c>
      <c r="K159" s="17">
        <f t="shared" si="112"/>
        <v>0.41299999999999998</v>
      </c>
      <c r="L159" s="17">
        <f t="shared" si="112"/>
        <v>0.42899999999999999</v>
      </c>
      <c r="M159" s="17">
        <f t="shared" si="112"/>
        <v>0.46100000000000002</v>
      </c>
      <c r="N159" s="17">
        <f t="shared" si="112"/>
        <v>0.48599999999999999</v>
      </c>
      <c r="O159" s="16">
        <f t="shared" si="112"/>
        <v>0.50700000000000001</v>
      </c>
      <c r="P159" s="16">
        <f t="shared" si="112"/>
        <v>0.52800000000000002</v>
      </c>
      <c r="Q159" s="16">
        <f t="shared" si="112"/>
        <v>0.54300000000000004</v>
      </c>
      <c r="R159" s="16">
        <f t="shared" si="112"/>
        <v>0.55300000000000005</v>
      </c>
      <c r="S159" s="16">
        <f t="shared" si="112"/>
        <v>0.55800000000000005</v>
      </c>
      <c r="T159" s="16">
        <f t="shared" si="112"/>
        <v>0.55700000000000005</v>
      </c>
      <c r="U159" s="16">
        <f t="shared" si="112"/>
        <v>0.54800000000000004</v>
      </c>
      <c r="V159" s="16">
        <f t="shared" si="112"/>
        <v>0.53400000000000003</v>
      </c>
      <c r="W159" s="16">
        <f t="shared" si="112"/>
        <v>0.51800000000000002</v>
      </c>
      <c r="X159" s="16">
        <f t="shared" si="112"/>
        <v>0.498</v>
      </c>
    </row>
    <row r="160" spans="1:24" x14ac:dyDescent="0.25">
      <c r="A160" s="11" t="s">
        <v>864</v>
      </c>
      <c r="B160" s="10" t="str">
        <f>$B$38</f>
        <v>From Fiscal Forecasts</v>
      </c>
      <c r="C160" s="13"/>
      <c r="D160" s="35">
        <f ca="1">'Fiscal Forecasts'!D$166-SUM(D$158:D$159)</f>
        <v>0.23392000000000002</v>
      </c>
      <c r="E160" s="35">
        <f ca="1">'Fiscal Forecasts'!E$166-SUM(E$158:E$159)</f>
        <v>0.16567999999999994</v>
      </c>
      <c r="F160" s="35">
        <f ca="1">'Fiscal Forecasts'!F$166-SUM(F$158:F$159)</f>
        <v>0.15451999999999999</v>
      </c>
      <c r="G160" s="35">
        <f ca="1">'Fiscal Forecasts'!G$166-SUM(G$158:G$159)</f>
        <v>0.10411999999999999</v>
      </c>
      <c r="H160" s="35">
        <f ca="1">'Fiscal Forecasts'!H$166-SUM(H$158:H$159)</f>
        <v>1.7042000000000002</v>
      </c>
      <c r="I160" s="35">
        <f ca="1">'Fiscal Forecasts'!I$166-SUM(I$158:I$159)</f>
        <v>3.0770399999999998</v>
      </c>
      <c r="J160" s="17">
        <f ca="1">'Fiscal Forecasts'!J$166-SUM(J$158:J$159)</f>
        <v>2.8267999999999995</v>
      </c>
      <c r="K160" s="17">
        <f ca="1">'Fiscal Forecasts'!K$166-SUM(K$158:K$159)</f>
        <v>2.5228800000000002</v>
      </c>
      <c r="L160" s="17">
        <f ca="1">'Fiscal Forecasts'!L$166-SUM(L$158:L$159)</f>
        <v>2.5806399999999998</v>
      </c>
      <c r="M160" s="17">
        <f ca="1">'Fiscal Forecasts'!M$166-SUM(M$158:M$159)</f>
        <v>2.8080799999999999</v>
      </c>
      <c r="N160" s="17">
        <f ca="1">'Fiscal Forecasts'!N$166-SUM(N$158:N$159)</f>
        <v>2.9759599999999997</v>
      </c>
      <c r="O160" s="16">
        <f t="shared" ref="O160:X160" ca="1" si="113">N$160*AVERAGE(1+O$29,O$234/N$234)</f>
        <v>3.0109788121259271</v>
      </c>
      <c r="P160" s="16">
        <f t="shared" ca="1" si="113"/>
        <v>3.0463909577499391</v>
      </c>
      <c r="Q160" s="16">
        <f t="shared" ca="1" si="113"/>
        <v>3.0822007575886547</v>
      </c>
      <c r="R160" s="16">
        <f t="shared" ca="1" si="113"/>
        <v>3.1184125790569905</v>
      </c>
      <c r="S160" s="16">
        <f t="shared" ca="1" si="113"/>
        <v>3.1550308367678506</v>
      </c>
      <c r="T160" s="16">
        <f t="shared" ca="1" si="113"/>
        <v>3.1865811451355293</v>
      </c>
      <c r="U160" s="16">
        <f t="shared" ca="1" si="113"/>
        <v>3.2184469565868845</v>
      </c>
      <c r="V160" s="16">
        <f t="shared" ca="1" si="113"/>
        <v>3.2506314261527534</v>
      </c>
      <c r="W160" s="16">
        <f t="shared" ca="1" si="113"/>
        <v>3.283137740414281</v>
      </c>
      <c r="X160" s="16">
        <f t="shared" ca="1" si="113"/>
        <v>3.3159691178184239</v>
      </c>
    </row>
    <row r="161" spans="1:24" x14ac:dyDescent="0.25">
      <c r="A161" s="9" t="s">
        <v>865</v>
      </c>
      <c r="B161" s="9"/>
      <c r="C161" s="13"/>
      <c r="D161" s="65">
        <f t="shared" ref="D161:X161" ca="1" si="114">SUM(D$158:D$160)</f>
        <v>1.06</v>
      </c>
      <c r="E161" s="65">
        <f t="shared" ca="1" si="114"/>
        <v>0.85</v>
      </c>
      <c r="F161" s="65">
        <f t="shared" ca="1" si="114"/>
        <v>0.71599999999999997</v>
      </c>
      <c r="G161" s="65">
        <f t="shared" ca="1" si="114"/>
        <v>0.85799999999999998</v>
      </c>
      <c r="H161" s="65">
        <f t="shared" ca="1" si="114"/>
        <v>2.8620000000000001</v>
      </c>
      <c r="I161" s="65">
        <f t="shared" ca="1" si="114"/>
        <v>4.4409999999999998</v>
      </c>
      <c r="J161" s="66">
        <f t="shared" ca="1" si="114"/>
        <v>4.0789999999999997</v>
      </c>
      <c r="K161" s="66">
        <f t="shared" ca="1" si="114"/>
        <v>3.7160000000000002</v>
      </c>
      <c r="L161" s="66">
        <f t="shared" ca="1" si="114"/>
        <v>3.8319999999999999</v>
      </c>
      <c r="M161" s="66">
        <f t="shared" ca="1" si="114"/>
        <v>4.1459999999999999</v>
      </c>
      <c r="N161" s="66">
        <f t="shared" ca="1" si="114"/>
        <v>4.3929999999999998</v>
      </c>
      <c r="O161" s="67">
        <f t="shared" ca="1" si="114"/>
        <v>4.50517493462364</v>
      </c>
      <c r="P161" s="67">
        <f t="shared" ca="1" si="114"/>
        <v>4.6203561963731872</v>
      </c>
      <c r="Q161" s="67">
        <f t="shared" ca="1" si="114"/>
        <v>4.7321448398518182</v>
      </c>
      <c r="R161" s="67">
        <f t="shared" ca="1" si="114"/>
        <v>4.8412289599152052</v>
      </c>
      <c r="S161" s="67">
        <f t="shared" ca="1" si="114"/>
        <v>4.9472906580201528</v>
      </c>
      <c r="T161" s="67">
        <f t="shared" ca="1" si="114"/>
        <v>5.0438159677376264</v>
      </c>
      <c r="U161" s="67">
        <f t="shared" ca="1" si="114"/>
        <v>5.1341079458979921</v>
      </c>
      <c r="V161" s="67">
        <f t="shared" ca="1" si="114"/>
        <v>5.2210895045072103</v>
      </c>
      <c r="W161" s="67">
        <f t="shared" ca="1" si="114"/>
        <v>5.3082556432703445</v>
      </c>
      <c r="X161" s="67">
        <f t="shared" ca="1" si="114"/>
        <v>5.3944150460258573</v>
      </c>
    </row>
    <row r="162" spans="1:24" x14ac:dyDescent="0.25">
      <c r="A162" s="11" t="s">
        <v>707</v>
      </c>
      <c r="B162" s="10" t="str">
        <f>$B$38</f>
        <v>From Fiscal Forecasts</v>
      </c>
      <c r="C162" s="13"/>
      <c r="D162" s="35">
        <f>'Fiscal Forecasts'!D$233</f>
        <v>1.016</v>
      </c>
      <c r="E162" s="35">
        <f>'Fiscal Forecasts'!E$233</f>
        <v>0.94699999999999995</v>
      </c>
      <c r="F162" s="35">
        <f>'Fiscal Forecasts'!F$233</f>
        <v>0.78500000000000003</v>
      </c>
      <c r="G162" s="35">
        <f>'Fiscal Forecasts'!G$233</f>
        <v>0.82699999999999996</v>
      </c>
      <c r="H162" s="35">
        <f>'Fiscal Forecasts'!H$233</f>
        <v>2.097</v>
      </c>
      <c r="I162" s="35">
        <f>'Fiscal Forecasts'!I$233</f>
        <v>3.56</v>
      </c>
      <c r="J162" s="17">
        <f>'Fiscal Forecasts'!J$233</f>
        <v>4.0650000000000004</v>
      </c>
      <c r="K162" s="17">
        <f>'Fiscal Forecasts'!K$233</f>
        <v>4.1219999999999999</v>
      </c>
      <c r="L162" s="17">
        <f>'Fiscal Forecasts'!L$233</f>
        <v>4.16</v>
      </c>
      <c r="M162" s="17">
        <f>'Fiscal Forecasts'!M$233</f>
        <v>4.2519999999999998</v>
      </c>
      <c r="N162" s="17">
        <f>'Fiscal Forecasts'!N$233</f>
        <v>4.5149999999999997</v>
      </c>
      <c r="O162" s="16">
        <f t="shared" ref="O162:X162" ca="1" si="115">N$162*AVERAGE(1+O$29,O$234/N$234)</f>
        <v>4.5681290530613854</v>
      </c>
      <c r="P162" s="16">
        <f t="shared" ca="1" si="115"/>
        <v>4.6218548549849379</v>
      </c>
      <c r="Q162" s="16">
        <f t="shared" ca="1" si="115"/>
        <v>4.6761839609782312</v>
      </c>
      <c r="R162" s="16">
        <f t="shared" ca="1" si="115"/>
        <v>4.7311229970975122</v>
      </c>
      <c r="S162" s="16">
        <f t="shared" ca="1" si="115"/>
        <v>4.7866786610058085</v>
      </c>
      <c r="T162" s="16">
        <f t="shared" ca="1" si="115"/>
        <v>4.8345454476158665</v>
      </c>
      <c r="U162" s="16">
        <f t="shared" ca="1" si="115"/>
        <v>4.8828909020920248</v>
      </c>
      <c r="V162" s="16">
        <f t="shared" ca="1" si="115"/>
        <v>4.931719811112945</v>
      </c>
      <c r="W162" s="16">
        <f t="shared" ca="1" si="115"/>
        <v>4.9810370092240746</v>
      </c>
      <c r="X162" s="16">
        <f t="shared" ca="1" si="115"/>
        <v>5.0308473793163158</v>
      </c>
    </row>
    <row r="163" spans="1:24" x14ac:dyDescent="0.25">
      <c r="A163" s="11" t="s">
        <v>904</v>
      </c>
      <c r="B163" s="10" t="str">
        <f>$B$38</f>
        <v>From Fiscal Forecasts</v>
      </c>
      <c r="C163" s="13"/>
      <c r="D163" s="35">
        <f>'Fiscal Forecasts'!D$234</f>
        <v>1.014</v>
      </c>
      <c r="E163" s="35">
        <f>'Fiscal Forecasts'!E$234</f>
        <v>0.95299999999999996</v>
      </c>
      <c r="F163" s="35">
        <f>'Fiscal Forecasts'!F$234</f>
        <v>0.79100000000000004</v>
      </c>
      <c r="G163" s="35">
        <f>'Fiscal Forecasts'!G$234</f>
        <v>0.95699999999999996</v>
      </c>
      <c r="H163" s="35">
        <f>'Fiscal Forecasts'!H$234</f>
        <v>0.67500000000000004</v>
      </c>
      <c r="I163" s="35">
        <f>'Fiscal Forecasts'!I$234</f>
        <v>0.22800000000000001</v>
      </c>
      <c r="J163" s="17">
        <f>'Fiscal Forecasts'!J$234</f>
        <v>0.124</v>
      </c>
      <c r="K163" s="17">
        <f>'Fiscal Forecasts'!K$234</f>
        <v>8.4000000000000005E-2</v>
      </c>
      <c r="L163" s="17">
        <f>'Fiscal Forecasts'!L$234</f>
        <v>7.6999999999999999E-2</v>
      </c>
      <c r="M163" s="17">
        <f>'Fiscal Forecasts'!M$234</f>
        <v>8.8999999999999996E-2</v>
      </c>
      <c r="N163" s="17">
        <f>'Fiscal Forecasts'!N$234</f>
        <v>0.1</v>
      </c>
      <c r="O163" s="16">
        <f t="shared" ref="O163:X163" ca="1" si="116">N$163*AVERAGE(1+O$29,O$234/N$234)</f>
        <v>0.10117672321287677</v>
      </c>
      <c r="P163" s="16">
        <f t="shared" ca="1" si="116"/>
        <v>0.1023666634548159</v>
      </c>
      <c r="Q163" s="16">
        <f t="shared" ca="1" si="116"/>
        <v>0.10356996591313912</v>
      </c>
      <c r="R163" s="16">
        <f t="shared" ca="1" si="116"/>
        <v>0.10478677734435243</v>
      </c>
      <c r="S163" s="16">
        <f t="shared" ca="1" si="116"/>
        <v>0.10601724609093707</v>
      </c>
      <c r="T163" s="16">
        <f t="shared" ca="1" si="116"/>
        <v>0.10707741855184645</v>
      </c>
      <c r="U163" s="16">
        <f t="shared" ca="1" si="116"/>
        <v>0.10814819273736492</v>
      </c>
      <c r="V163" s="16">
        <f t="shared" ca="1" si="116"/>
        <v>0.10922967466473857</v>
      </c>
      <c r="W163" s="16">
        <f t="shared" ca="1" si="116"/>
        <v>0.11032197141138596</v>
      </c>
      <c r="X163" s="16">
        <f t="shared" ca="1" si="116"/>
        <v>0.11142519112549981</v>
      </c>
    </row>
    <row r="164" spans="1:24" x14ac:dyDescent="0.25">
      <c r="A164" s="11" t="s">
        <v>866</v>
      </c>
      <c r="B164" s="10" t="str">
        <f>$B$38</f>
        <v>From Fiscal Forecasts</v>
      </c>
      <c r="C164" s="13"/>
      <c r="D164" s="35">
        <f>'Fiscal Forecasts'!D$235</f>
        <v>-0.44400000000000001</v>
      </c>
      <c r="E164" s="35">
        <f>'Fiscal Forecasts'!E$235</f>
        <v>-0.45</v>
      </c>
      <c r="F164" s="35">
        <f>'Fiscal Forecasts'!F$235</f>
        <v>-0.34899999999999998</v>
      </c>
      <c r="G164" s="35">
        <f>'Fiscal Forecasts'!G$235</f>
        <v>-0.35</v>
      </c>
      <c r="H164" s="35">
        <f>'Fiscal Forecasts'!H$235</f>
        <v>-0.622</v>
      </c>
      <c r="I164" s="35">
        <f>'Fiscal Forecasts'!I$235</f>
        <v>-1.109</v>
      </c>
      <c r="J164" s="17">
        <f>'Fiscal Forecasts'!J$235</f>
        <v>-1.3979999999999999</v>
      </c>
      <c r="K164" s="17">
        <f>'Fiscal Forecasts'!K$235</f>
        <v>-1.514</v>
      </c>
      <c r="L164" s="17">
        <f>'Fiscal Forecasts'!L$235</f>
        <v>-1.61</v>
      </c>
      <c r="M164" s="17">
        <f>'Fiscal Forecasts'!M$235</f>
        <v>-1.732</v>
      </c>
      <c r="N164" s="17">
        <f>'Fiscal Forecasts'!N$235</f>
        <v>-1.8520000000000001</v>
      </c>
      <c r="O164" s="16">
        <f t="shared" ref="O164:X164" ca="1" si="117">N$164*O$162/N$162</f>
        <v>-1.8737929139024778</v>
      </c>
      <c r="P164" s="16">
        <f t="shared" ca="1" si="117"/>
        <v>-1.8958306071831907</v>
      </c>
      <c r="Q164" s="16">
        <f t="shared" ca="1" si="117"/>
        <v>-1.9181157687113368</v>
      </c>
      <c r="R164" s="16">
        <f t="shared" ca="1" si="117"/>
        <v>-1.9406511164174074</v>
      </c>
      <c r="S164" s="16">
        <f t="shared" ca="1" si="117"/>
        <v>-1.9634393976041549</v>
      </c>
      <c r="T164" s="16">
        <f t="shared" ca="1" si="117"/>
        <v>-1.9830737915801961</v>
      </c>
      <c r="U164" s="16">
        <f t="shared" ca="1" si="117"/>
        <v>-2.0029045294959982</v>
      </c>
      <c r="V164" s="16">
        <f t="shared" ca="1" si="117"/>
        <v>-2.0229335747909585</v>
      </c>
      <c r="W164" s="16">
        <f t="shared" ca="1" si="117"/>
        <v>-2.043162910538868</v>
      </c>
      <c r="X164" s="16">
        <f t="shared" ca="1" si="117"/>
        <v>-2.063594539644257</v>
      </c>
    </row>
    <row r="165" spans="1:24" x14ac:dyDescent="0.25">
      <c r="A165" s="9" t="s">
        <v>911</v>
      </c>
      <c r="B165" s="9"/>
      <c r="C165" s="13"/>
      <c r="D165" s="65">
        <f t="shared" ref="D165:X165" ca="1" si="118">SUM(D$161:D$164)</f>
        <v>2.6459999999999999</v>
      </c>
      <c r="E165" s="65">
        <f t="shared" ca="1" si="118"/>
        <v>2.2999999999999998</v>
      </c>
      <c r="F165" s="65">
        <f t="shared" ca="1" si="118"/>
        <v>1.9429999999999998</v>
      </c>
      <c r="G165" s="65">
        <f t="shared" ca="1" si="118"/>
        <v>2.2919999999999998</v>
      </c>
      <c r="H165" s="65">
        <f t="shared" ca="1" si="118"/>
        <v>5.0119999999999996</v>
      </c>
      <c r="I165" s="65">
        <f t="shared" ca="1" si="118"/>
        <v>7.1199999999999992</v>
      </c>
      <c r="J165" s="66">
        <f t="shared" ca="1" si="118"/>
        <v>6.870000000000001</v>
      </c>
      <c r="K165" s="66">
        <f t="shared" ca="1" si="118"/>
        <v>6.4079999999999995</v>
      </c>
      <c r="L165" s="66">
        <f t="shared" ca="1" si="118"/>
        <v>6.4590000000000005</v>
      </c>
      <c r="M165" s="66">
        <f t="shared" ca="1" si="118"/>
        <v>6.7549999999999999</v>
      </c>
      <c r="N165" s="66">
        <f t="shared" ca="1" si="118"/>
        <v>7.1559999999999988</v>
      </c>
      <c r="O165" s="67">
        <f t="shared" ca="1" si="118"/>
        <v>7.3006877969954251</v>
      </c>
      <c r="P165" s="67">
        <f t="shared" ca="1" si="118"/>
        <v>7.4487471076297513</v>
      </c>
      <c r="Q165" s="67">
        <f t="shared" ca="1" si="118"/>
        <v>7.5937829980318519</v>
      </c>
      <c r="R165" s="67">
        <f t="shared" ca="1" si="118"/>
        <v>7.7364876179396633</v>
      </c>
      <c r="S165" s="67">
        <f t="shared" ca="1" si="118"/>
        <v>7.8765471675127436</v>
      </c>
      <c r="T165" s="67">
        <f t="shared" ca="1" si="118"/>
        <v>8.0023650423251418</v>
      </c>
      <c r="U165" s="67">
        <f t="shared" ca="1" si="118"/>
        <v>8.1222425112313843</v>
      </c>
      <c r="V165" s="67">
        <f t="shared" ca="1" si="118"/>
        <v>8.2391054154939365</v>
      </c>
      <c r="W165" s="67">
        <f t="shared" ca="1" si="118"/>
        <v>8.3564517133669369</v>
      </c>
      <c r="X165" s="67">
        <f t="shared" ca="1" si="118"/>
        <v>8.4730930768234156</v>
      </c>
    </row>
    <row r="166" spans="1:24" x14ac:dyDescent="0.25">
      <c r="A166" s="9"/>
      <c r="B166" s="9"/>
      <c r="C166" s="13"/>
      <c r="D166" s="40"/>
      <c r="E166" s="40"/>
      <c r="F166" s="40"/>
      <c r="G166" s="40"/>
      <c r="H166" s="40"/>
      <c r="I166" s="40"/>
    </row>
    <row r="167" spans="1:24" x14ac:dyDescent="0.25">
      <c r="A167" s="9" t="s">
        <v>902</v>
      </c>
      <c r="B167" s="9"/>
      <c r="C167" s="13"/>
      <c r="D167" s="40"/>
      <c r="E167" s="40"/>
      <c r="F167" s="40"/>
      <c r="G167" s="40"/>
      <c r="H167" s="40"/>
      <c r="I167" s="40"/>
    </row>
    <row r="168" spans="1:24" x14ac:dyDescent="0.25">
      <c r="A168" s="11" t="s">
        <v>899</v>
      </c>
      <c r="B168" s="9"/>
      <c r="C168" s="13"/>
      <c r="D168" s="35">
        <f ca="1">OFFSET(Assumptions!$B$48,0,$C$1)*D$384</f>
        <v>0.54010000000000002</v>
      </c>
      <c r="E168" s="35">
        <f ca="1">OFFSET(Assumptions!$B$48,0,$C$1)*E$384</f>
        <v>0.44165000000000004</v>
      </c>
      <c r="F168" s="35">
        <f ca="1">OFFSET(Assumptions!$B$48,0,$C$1)*F$384</f>
        <v>0.40810000000000002</v>
      </c>
      <c r="G168" s="35">
        <f ca="1">OFFSET(Assumptions!$B$48,0,$C$1)*G$384</f>
        <v>0.59235000000000004</v>
      </c>
      <c r="H168" s="35">
        <f ca="1">OFFSET(Assumptions!$B$48,0,$C$1)*H$384</f>
        <v>0.72600000000000009</v>
      </c>
      <c r="I168" s="35">
        <f ca="1">OFFSET(Assumptions!$B$48,0,$C$1)*I$384</f>
        <v>0.91245000000000009</v>
      </c>
      <c r="J168" s="17">
        <f ca="1">OFFSET(Assumptions!$B$48,0,$C$1)*J$384</f>
        <v>0.93775000000000008</v>
      </c>
      <c r="K168" s="17">
        <f ca="1">OFFSET(Assumptions!$B$48,0,$C$1)*K$384</f>
        <v>0.97515000000000007</v>
      </c>
      <c r="L168" s="17">
        <f ca="1">OFFSET(Assumptions!$B$48,0,$C$1)*L$384</f>
        <v>1.0279500000000001</v>
      </c>
      <c r="M168" s="17">
        <f ca="1">OFFSET(Assumptions!$B$48,0,$C$1)*M$384</f>
        <v>1.0961500000000002</v>
      </c>
      <c r="N168" s="17">
        <f ca="1">OFFSET(Assumptions!$B$48,0,$C$1)*N$384</f>
        <v>1.1638000000000002</v>
      </c>
      <c r="O168" s="16">
        <f ca="1">OFFSET(Assumptions!$B$48,0,$C$1)*O$384</f>
        <v>1.2339951531221409</v>
      </c>
      <c r="P168" s="16">
        <f ca="1">OFFSET(Assumptions!$B$48,0,$C$1)*P$384</f>
        <v>1.3074565482790597</v>
      </c>
      <c r="Q168" s="16">
        <f ca="1">OFFSET(Assumptions!$B$48,0,$C$1)*Q$384</f>
        <v>1.3836801028289551</v>
      </c>
      <c r="R168" s="16">
        <f ca="1">OFFSET(Assumptions!$B$48,0,$C$1)*R$384</f>
        <v>1.4622704760727681</v>
      </c>
      <c r="S168" s="16">
        <f ca="1">OFFSET(Assumptions!$B$48,0,$C$1)*S$384</f>
        <v>1.5428247765653775</v>
      </c>
      <c r="T168" s="16">
        <f ca="1">OFFSET(Assumptions!$B$48,0,$C$1)*T$384</f>
        <v>1.6252935282526217</v>
      </c>
      <c r="U168" s="16">
        <f ca="1">OFFSET(Assumptions!$B$48,0,$C$1)*U$384</f>
        <v>1.7095762366388845</v>
      </c>
      <c r="V168" s="16">
        <f ca="1">OFFSET(Assumptions!$B$48,0,$C$1)*V$384</f>
        <v>1.7955725979430714</v>
      </c>
      <c r="W168" s="16">
        <f ca="1">OFFSET(Assumptions!$B$48,0,$C$1)*W$384</f>
        <v>1.8838973785700792</v>
      </c>
      <c r="X168" s="16">
        <f ca="1">OFFSET(Assumptions!$B$48,0,$C$1)*X$384</f>
        <v>1.9755574102592912</v>
      </c>
    </row>
    <row r="169" spans="1:24" x14ac:dyDescent="0.25">
      <c r="A169" s="11" t="s">
        <v>900</v>
      </c>
      <c r="B169" s="10" t="str">
        <f>$B$38</f>
        <v>From Fiscal Forecasts</v>
      </c>
      <c r="C169" s="13"/>
      <c r="D169" s="35">
        <f ca="1">'Fiscal Forecasts'!D$238-D$168</f>
        <v>0.92290000000000005</v>
      </c>
      <c r="E169" s="35">
        <f ca="1">'Fiscal Forecasts'!E$238-E$168</f>
        <v>0.89434999999999998</v>
      </c>
      <c r="F169" s="35">
        <f ca="1">'Fiscal Forecasts'!F$238-F$168</f>
        <v>0.68590000000000007</v>
      </c>
      <c r="G169" s="35">
        <f ca="1">'Fiscal Forecasts'!G$238-G$168</f>
        <v>0.79864999999999997</v>
      </c>
      <c r="H169" s="35">
        <f ca="1">'Fiscal Forecasts'!H$238-H$168</f>
        <v>1.3620000000000001</v>
      </c>
      <c r="I169" s="35">
        <f ca="1">'Fiscal Forecasts'!I$238-I$168</f>
        <v>0.79554999999999987</v>
      </c>
      <c r="J169" s="17">
        <f ca="1">'Fiscal Forecasts'!J$238-J$168</f>
        <v>0.59024999999999994</v>
      </c>
      <c r="K169" s="17">
        <f ca="1">'Fiscal Forecasts'!K$238-K$168</f>
        <v>0.60784999999999989</v>
      </c>
      <c r="L169" s="17">
        <f ca="1">'Fiscal Forecasts'!L$238-L$168</f>
        <v>0.61004999999999976</v>
      </c>
      <c r="M169" s="17">
        <f ca="1">'Fiscal Forecasts'!M$238-M$168</f>
        <v>0.64484999999999992</v>
      </c>
      <c r="N169" s="17">
        <f ca="1">'Fiscal Forecasts'!N$238-N$168</f>
        <v>0.72419999999999973</v>
      </c>
      <c r="O169" s="16">
        <f t="shared" ref="O169:X169" ca="1" si="119">N$169*(1+O$19)*(1+O$29)</f>
        <v>0.74783477290297851</v>
      </c>
      <c r="P169" s="16">
        <f t="shared" ca="1" si="119"/>
        <v>0.77169313287135066</v>
      </c>
      <c r="Q169" s="16">
        <f t="shared" ca="1" si="119"/>
        <v>0.79583831360012602</v>
      </c>
      <c r="R169" s="16">
        <f t="shared" ca="1" si="119"/>
        <v>0.82005367645425398</v>
      </c>
      <c r="S169" s="16">
        <f t="shared" ca="1" si="119"/>
        <v>0.84446775088574089</v>
      </c>
      <c r="T169" s="16">
        <f t="shared" ca="1" si="119"/>
        <v>0.86902332022833928</v>
      </c>
      <c r="U169" s="16">
        <f t="shared" ca="1" si="119"/>
        <v>0.89404141816176042</v>
      </c>
      <c r="V169" s="16">
        <f t="shared" ca="1" si="119"/>
        <v>0.91939698207019815</v>
      </c>
      <c r="W169" s="16">
        <f t="shared" ca="1" si="119"/>
        <v>0.94472888564499247</v>
      </c>
      <c r="X169" s="16">
        <f t="shared" ca="1" si="119"/>
        <v>0.970304424843901</v>
      </c>
    </row>
    <row r="170" spans="1:24" x14ac:dyDescent="0.25">
      <c r="A170" s="9" t="s">
        <v>901</v>
      </c>
      <c r="B170" s="10"/>
      <c r="C170" s="13"/>
      <c r="D170" s="65">
        <f t="shared" ref="D170:X170" ca="1" si="120">SUM(D$168:D$169)</f>
        <v>1.4630000000000001</v>
      </c>
      <c r="E170" s="65">
        <f t="shared" ca="1" si="120"/>
        <v>1.3360000000000001</v>
      </c>
      <c r="F170" s="65">
        <f t="shared" ca="1" si="120"/>
        <v>1.0940000000000001</v>
      </c>
      <c r="G170" s="65">
        <f t="shared" ca="1" si="120"/>
        <v>1.391</v>
      </c>
      <c r="H170" s="65">
        <f t="shared" ca="1" si="120"/>
        <v>2.0880000000000001</v>
      </c>
      <c r="I170" s="65">
        <f t="shared" ca="1" si="120"/>
        <v>1.708</v>
      </c>
      <c r="J170" s="66">
        <f t="shared" ca="1" si="120"/>
        <v>1.528</v>
      </c>
      <c r="K170" s="66">
        <f t="shared" ca="1" si="120"/>
        <v>1.583</v>
      </c>
      <c r="L170" s="66">
        <f t="shared" ca="1" si="120"/>
        <v>1.6379999999999999</v>
      </c>
      <c r="M170" s="66">
        <f t="shared" ca="1" si="120"/>
        <v>1.7410000000000001</v>
      </c>
      <c r="N170" s="66">
        <f t="shared" ca="1" si="120"/>
        <v>1.8879999999999999</v>
      </c>
      <c r="O170" s="67">
        <f t="shared" ca="1" si="120"/>
        <v>1.9818299260251195</v>
      </c>
      <c r="P170" s="67">
        <f t="shared" ca="1" si="120"/>
        <v>2.0791496811504104</v>
      </c>
      <c r="Q170" s="67">
        <f t="shared" ca="1" si="120"/>
        <v>2.1795184164290813</v>
      </c>
      <c r="R170" s="67">
        <f t="shared" ca="1" si="120"/>
        <v>2.2823241525270221</v>
      </c>
      <c r="S170" s="67">
        <f t="shared" ca="1" si="120"/>
        <v>2.3872925274511183</v>
      </c>
      <c r="T170" s="67">
        <f t="shared" ca="1" si="120"/>
        <v>2.494316848480961</v>
      </c>
      <c r="U170" s="67">
        <f t="shared" ca="1" si="120"/>
        <v>2.6036176548006447</v>
      </c>
      <c r="V170" s="67">
        <f t="shared" ca="1" si="120"/>
        <v>2.7149695800132694</v>
      </c>
      <c r="W170" s="67">
        <f t="shared" ca="1" si="120"/>
        <v>2.8286262642150719</v>
      </c>
      <c r="X170" s="67">
        <f t="shared" ca="1" si="120"/>
        <v>2.9458618351031922</v>
      </c>
    </row>
    <row r="171" spans="1:24" x14ac:dyDescent="0.25">
      <c r="A171" s="11" t="s">
        <v>707</v>
      </c>
      <c r="B171" s="9"/>
      <c r="C171" s="13"/>
      <c r="D171" s="35">
        <f>'Fiscal Forecasts'!D$239</f>
        <v>0.42399999999999999</v>
      </c>
      <c r="E171" s="35">
        <f>'Fiscal Forecasts'!E$239</f>
        <v>0.39500000000000002</v>
      </c>
      <c r="F171" s="35">
        <f>'Fiscal Forecasts'!F$239</f>
        <v>0.44700000000000001</v>
      </c>
      <c r="G171" s="35">
        <f>'Fiscal Forecasts'!G$239</f>
        <v>0.52200000000000002</v>
      </c>
      <c r="H171" s="35">
        <f>'Fiscal Forecasts'!H$239</f>
        <v>0.60499999999999998</v>
      </c>
      <c r="I171" s="35">
        <f>'Fiscal Forecasts'!I$239</f>
        <v>0.63</v>
      </c>
      <c r="J171" s="17">
        <f>'Fiscal Forecasts'!J$239</f>
        <v>0.67100000000000004</v>
      </c>
      <c r="K171" s="17">
        <f>'Fiscal Forecasts'!K$239</f>
        <v>0.50600000000000001</v>
      </c>
      <c r="L171" s="17">
        <f>'Fiscal Forecasts'!L$239</f>
        <v>0.50700000000000001</v>
      </c>
      <c r="M171" s="17">
        <f>'Fiscal Forecasts'!M$239</f>
        <v>0.51200000000000001</v>
      </c>
      <c r="N171" s="17">
        <f>'Fiscal Forecasts'!N$239</f>
        <v>0.52200000000000002</v>
      </c>
      <c r="O171" s="16">
        <f>N$171*Exogenous!Z$29/Exogenous!Y$29</f>
        <v>0.55993653052481185</v>
      </c>
      <c r="P171" s="16">
        <f>O$171*Exogenous!AA$29/Exogenous!Z$29</f>
        <v>0.59921687753195196</v>
      </c>
      <c r="Q171" s="16">
        <f>P$171*Exogenous!AB$29/Exogenous!AA$29</f>
        <v>0.6405431792135341</v>
      </c>
      <c r="R171" s="16">
        <f>Q$171*Exogenous!AC$29/Exogenous!AB$29</f>
        <v>0.68088904174981446</v>
      </c>
      <c r="S171" s="16">
        <f>R$171*Exogenous!AD$29/Exogenous!AC$29</f>
        <v>0.71901058242729976</v>
      </c>
      <c r="T171" s="16">
        <f>S$171*Exogenous!AE$29/Exogenous!AD$29</f>
        <v>0.76070892538747026</v>
      </c>
      <c r="U171" s="16">
        <f>T$171*Exogenous!AF$29/Exogenous!AE$29</f>
        <v>0.81012945848256734</v>
      </c>
      <c r="V171" s="16">
        <f>U$171*Exogenous!AG$29/Exogenous!AF$29</f>
        <v>0.86678899566931389</v>
      </c>
      <c r="W171" s="16">
        <f>V$171*Exogenous!AH$29/Exogenous!AG$29</f>
        <v>0.92792583455579747</v>
      </c>
      <c r="X171" s="16">
        <f>W$171*Exogenous!AI$29/Exogenous!AH$29</f>
        <v>0.99167656096189905</v>
      </c>
    </row>
    <row r="172" spans="1:24" x14ac:dyDescent="0.25">
      <c r="A172" s="11" t="s">
        <v>903</v>
      </c>
      <c r="B172" s="9"/>
      <c r="C172" s="13"/>
      <c r="D172" s="35">
        <f>'Fiscal Forecasts'!D$240</f>
        <v>-0.81699999999999995</v>
      </c>
      <c r="E172" s="35">
        <f>'Fiscal Forecasts'!E$240</f>
        <v>-0.82499999999999996</v>
      </c>
      <c r="F172" s="35">
        <f>'Fiscal Forecasts'!F$240</f>
        <v>-0.63800000000000001</v>
      </c>
      <c r="G172" s="35">
        <f>'Fiscal Forecasts'!G$240</f>
        <v>-0.66500000000000004</v>
      </c>
      <c r="H172" s="35">
        <f>'Fiscal Forecasts'!H$240</f>
        <v>-1.35</v>
      </c>
      <c r="I172" s="35">
        <f>'Fiscal Forecasts'!I$240</f>
        <v>-0.90800000000000003</v>
      </c>
      <c r="J172" s="17">
        <f>'Fiscal Forecasts'!J$240</f>
        <v>-0.69599999999999995</v>
      </c>
      <c r="K172" s="17">
        <f>'Fiscal Forecasts'!K$240</f>
        <v>-0.73499999999999999</v>
      </c>
      <c r="L172" s="17">
        <f>'Fiscal Forecasts'!L$240</f>
        <v>-0.75900000000000001</v>
      </c>
      <c r="M172" s="17">
        <f>'Fiscal Forecasts'!M$240</f>
        <v>-0.80900000000000005</v>
      </c>
      <c r="N172" s="17">
        <f>'Fiscal Forecasts'!N$240</f>
        <v>-0.91200000000000003</v>
      </c>
      <c r="O172" s="16">
        <f t="shared" ref="O172:X172" si="121">N$172*O$171/N$171</f>
        <v>-0.9782799153996713</v>
      </c>
      <c r="P172" s="16">
        <f t="shared" si="121"/>
        <v>-1.0469076481018011</v>
      </c>
      <c r="Q172" s="16">
        <f t="shared" si="121"/>
        <v>-1.1191099223041057</v>
      </c>
      <c r="R172" s="16">
        <f t="shared" si="121"/>
        <v>-1.1895992453559978</v>
      </c>
      <c r="S172" s="16">
        <f t="shared" si="121"/>
        <v>-1.256202396884478</v>
      </c>
      <c r="T172" s="16">
        <f t="shared" si="121"/>
        <v>-1.3290546742401783</v>
      </c>
      <c r="U172" s="16">
        <f t="shared" si="121"/>
        <v>-1.4153985941304628</v>
      </c>
      <c r="V172" s="16">
        <f t="shared" si="121"/>
        <v>-1.5143899694452383</v>
      </c>
      <c r="W172" s="16">
        <f t="shared" si="121"/>
        <v>-1.6212037569250717</v>
      </c>
      <c r="X172" s="16">
        <f t="shared" si="121"/>
        <v>-1.7325843363932032</v>
      </c>
    </row>
    <row r="173" spans="1:24" x14ac:dyDescent="0.25">
      <c r="A173" s="9" t="s">
        <v>912</v>
      </c>
      <c r="B173" s="9"/>
      <c r="C173" s="13"/>
      <c r="D173" s="65">
        <f t="shared" ref="D173:X173" ca="1" si="122">SUM(D$170:D$172)</f>
        <v>1.07</v>
      </c>
      <c r="E173" s="65">
        <f t="shared" ca="1" si="122"/>
        <v>0.90600000000000014</v>
      </c>
      <c r="F173" s="65">
        <f t="shared" ca="1" si="122"/>
        <v>0.90300000000000014</v>
      </c>
      <c r="G173" s="65">
        <f t="shared" ca="1" si="122"/>
        <v>1.248</v>
      </c>
      <c r="H173" s="65">
        <f t="shared" ca="1" si="122"/>
        <v>1.343</v>
      </c>
      <c r="I173" s="65">
        <f t="shared" ca="1" si="122"/>
        <v>1.4300000000000002</v>
      </c>
      <c r="J173" s="66">
        <f t="shared" ca="1" si="122"/>
        <v>1.5029999999999999</v>
      </c>
      <c r="K173" s="66">
        <f t="shared" ca="1" si="122"/>
        <v>1.3540000000000001</v>
      </c>
      <c r="L173" s="66">
        <f t="shared" ca="1" si="122"/>
        <v>1.3860000000000001</v>
      </c>
      <c r="M173" s="66">
        <f t="shared" ca="1" si="122"/>
        <v>1.444</v>
      </c>
      <c r="N173" s="66">
        <f t="shared" ca="1" si="122"/>
        <v>1.4980000000000002</v>
      </c>
      <c r="O173" s="67">
        <f t="shared" ca="1" si="122"/>
        <v>1.5634865411502599</v>
      </c>
      <c r="P173" s="67">
        <f t="shared" ca="1" si="122"/>
        <v>1.631458910580561</v>
      </c>
      <c r="Q173" s="67">
        <f t="shared" ca="1" si="122"/>
        <v>1.7009516733385095</v>
      </c>
      <c r="R173" s="67">
        <f t="shared" ca="1" si="122"/>
        <v>1.7736139489208387</v>
      </c>
      <c r="S173" s="67">
        <f t="shared" ca="1" si="122"/>
        <v>1.85010071299394</v>
      </c>
      <c r="T173" s="67">
        <f t="shared" ca="1" si="122"/>
        <v>1.9259710996282531</v>
      </c>
      <c r="U173" s="67">
        <f t="shared" ca="1" si="122"/>
        <v>1.9983485191527492</v>
      </c>
      <c r="V173" s="67">
        <f t="shared" ca="1" si="122"/>
        <v>2.0673686062373449</v>
      </c>
      <c r="W173" s="67">
        <f t="shared" ca="1" si="122"/>
        <v>2.1353483418457975</v>
      </c>
      <c r="X173" s="67">
        <f t="shared" ca="1" si="122"/>
        <v>2.2049540596718882</v>
      </c>
    </row>
    <row r="174" spans="1:24" x14ac:dyDescent="0.25">
      <c r="B174" s="9"/>
      <c r="C174" s="13"/>
      <c r="D174" s="40"/>
      <c r="E174" s="40"/>
      <c r="F174" s="40"/>
      <c r="G174" s="40"/>
      <c r="H174" s="40"/>
      <c r="I174" s="40"/>
    </row>
    <row r="175" spans="1:24" x14ac:dyDescent="0.25">
      <c r="A175" s="9" t="s">
        <v>532</v>
      </c>
      <c r="B175" s="9"/>
      <c r="C175" s="13"/>
      <c r="D175" s="40"/>
      <c r="E175" s="40"/>
      <c r="F175" s="40"/>
      <c r="G175" s="40"/>
      <c r="H175" s="40"/>
      <c r="I175" s="40"/>
    </row>
    <row r="176" spans="1:24" x14ac:dyDescent="0.25">
      <c r="A176" s="11" t="s">
        <v>905</v>
      </c>
      <c r="B176" s="9"/>
      <c r="C176" s="13"/>
      <c r="D176" s="35">
        <f t="shared" ref="D176:X176" ca="1" si="123">D$384-SUM(D$158,D$168)</f>
        <v>9.8199999999999399E-3</v>
      </c>
      <c r="E176" s="35">
        <f t="shared" ca="1" si="123"/>
        <v>8.0299999999999816E-3</v>
      </c>
      <c r="F176" s="35">
        <f t="shared" ca="1" si="123"/>
        <v>7.4199999999999822E-3</v>
      </c>
      <c r="G176" s="35">
        <f t="shared" ca="1" si="123"/>
        <v>1.0769999999999946E-2</v>
      </c>
      <c r="H176" s="35">
        <f t="shared" ca="1" si="123"/>
        <v>1.3200000000000101E-2</v>
      </c>
      <c r="I176" s="35">
        <f t="shared" ca="1" si="123"/>
        <v>1.6589999999999883E-2</v>
      </c>
      <c r="J176" s="17">
        <f t="shared" ca="1" si="123"/>
        <v>1.7049999999999788E-2</v>
      </c>
      <c r="K176" s="17">
        <f t="shared" ca="1" si="123"/>
        <v>1.7730000000000024E-2</v>
      </c>
      <c r="L176" s="17">
        <f t="shared" ca="1" si="123"/>
        <v>1.8689999999999873E-2</v>
      </c>
      <c r="M176" s="17">
        <f t="shared" ca="1" si="123"/>
        <v>1.9929999999999781E-2</v>
      </c>
      <c r="N176" s="17">
        <f t="shared" ca="1" si="123"/>
        <v>2.1159999999999624E-2</v>
      </c>
      <c r="O176" s="16">
        <f t="shared" ca="1" si="123"/>
        <v>2.2436275511311443E-2</v>
      </c>
      <c r="P176" s="16">
        <f t="shared" ca="1" si="123"/>
        <v>2.3771937241437335E-2</v>
      </c>
      <c r="Q176" s="16">
        <f t="shared" ca="1" si="123"/>
        <v>2.5157820051435742E-2</v>
      </c>
      <c r="R176" s="16">
        <f t="shared" ca="1" si="123"/>
        <v>2.6586735928595839E-2</v>
      </c>
      <c r="S176" s="16">
        <f t="shared" ca="1" si="123"/>
        <v>2.8051359573916024E-2</v>
      </c>
      <c r="T176" s="16">
        <f t="shared" ca="1" si="123"/>
        <v>2.9550791422774836E-2</v>
      </c>
      <c r="U176" s="16">
        <f t="shared" ca="1" si="123"/>
        <v>3.1083204302524869E-2</v>
      </c>
      <c r="V176" s="16">
        <f t="shared" ca="1" si="123"/>
        <v>3.2646774508055643E-2</v>
      </c>
      <c r="W176" s="16">
        <f t="shared" ca="1" si="123"/>
        <v>3.4252679610365266E-2</v>
      </c>
      <c r="X176" s="16">
        <f t="shared" ca="1" si="123"/>
        <v>3.5919225641077634E-2</v>
      </c>
    </row>
    <row r="177" spans="1:24" x14ac:dyDescent="0.25">
      <c r="A177" s="11" t="s">
        <v>906</v>
      </c>
      <c r="B177" s="10" t="str">
        <f>$B$38</f>
        <v>From Fiscal Forecasts</v>
      </c>
      <c r="C177" s="13"/>
      <c r="D177" s="35">
        <f ca="1">'Fiscal Forecasts'!D$167-SUM(D$170,D$176)</f>
        <v>0.9131800000000001</v>
      </c>
      <c r="E177" s="35">
        <f ca="1">'Fiscal Forecasts'!E$167-SUM(E$170,E$176)</f>
        <v>0.95396999999999998</v>
      </c>
      <c r="F177" s="35">
        <f ca="1">'Fiscal Forecasts'!F$167-SUM(F$170,F$176)</f>
        <v>0.87958000000000003</v>
      </c>
      <c r="G177" s="35">
        <f ca="1">'Fiscal Forecasts'!G$167-SUM(G$170,G$176)</f>
        <v>1.0842300000000002</v>
      </c>
      <c r="H177" s="35">
        <f ca="1">'Fiscal Forecasts'!H$167-SUM(H$170,H$176)</f>
        <v>1.1537999999999995</v>
      </c>
      <c r="I177" s="35">
        <f ca="1">'Fiscal Forecasts'!I$167-SUM(I$170,I$176)</f>
        <v>1.1014100000000002</v>
      </c>
      <c r="J177" s="17">
        <f ca="1">'Fiscal Forecasts'!J$167-SUM(J$170,J$176)</f>
        <v>1.15395</v>
      </c>
      <c r="K177" s="17">
        <f ca="1">'Fiscal Forecasts'!K$167-SUM(K$170,K$176)</f>
        <v>2.5542700000000003</v>
      </c>
      <c r="L177" s="17">
        <f ca="1">'Fiscal Forecasts'!L$167-SUM(L$170,L$176)</f>
        <v>1.1493100000000003</v>
      </c>
      <c r="M177" s="17">
        <f ca="1">'Fiscal Forecasts'!M$167-SUM(M$170,M$176)</f>
        <v>1.1260700000000001</v>
      </c>
      <c r="N177" s="17">
        <f ca="1">'Fiscal Forecasts'!N$167-SUM(N$170,N$176)</f>
        <v>1.1098400000000006</v>
      </c>
      <c r="O177" s="16">
        <f t="shared" ref="O177:X177" ca="1" si="124">N$177*(1+O$19)*(1+O$29)</f>
        <v>1.1460604036987607</v>
      </c>
      <c r="P177" s="16">
        <f t="shared" ca="1" si="124"/>
        <v>1.1826234556558142</v>
      </c>
      <c r="Q177" s="16">
        <f t="shared" ca="1" si="124"/>
        <v>1.2196260618143671</v>
      </c>
      <c r="R177" s="16">
        <f t="shared" ca="1" si="124"/>
        <v>1.2567362224192073</v>
      </c>
      <c r="S177" s="16">
        <f t="shared" ca="1" si="124"/>
        <v>1.2941509094767074</v>
      </c>
      <c r="T177" s="16">
        <f t="shared" ca="1" si="124"/>
        <v>1.3317824381693193</v>
      </c>
      <c r="U177" s="16">
        <f t="shared" ca="1" si="124"/>
        <v>1.3701227941627303</v>
      </c>
      <c r="V177" s="16">
        <f t="shared" ca="1" si="124"/>
        <v>1.4089803183937999</v>
      </c>
      <c r="W177" s="16">
        <f t="shared" ca="1" si="124"/>
        <v>1.4478015830492124</v>
      </c>
      <c r="X177" s="16">
        <f t="shared" ca="1" si="124"/>
        <v>1.4869962204760512</v>
      </c>
    </row>
    <row r="178" spans="1:24" x14ac:dyDescent="0.25">
      <c r="A178" s="9" t="s">
        <v>907</v>
      </c>
      <c r="B178" s="9"/>
      <c r="C178" s="13"/>
      <c r="D178" s="65">
        <f t="shared" ref="D178:X178" ca="1" si="125">SUM(D$176:D$177)</f>
        <v>0.92300000000000004</v>
      </c>
      <c r="E178" s="65">
        <f t="shared" ca="1" si="125"/>
        <v>0.96199999999999997</v>
      </c>
      <c r="F178" s="65">
        <f t="shared" ca="1" si="125"/>
        <v>0.88700000000000001</v>
      </c>
      <c r="G178" s="65">
        <f t="shared" ca="1" si="125"/>
        <v>1.0950000000000002</v>
      </c>
      <c r="H178" s="65">
        <f t="shared" ca="1" si="125"/>
        <v>1.1669999999999996</v>
      </c>
      <c r="I178" s="65">
        <f t="shared" ca="1" si="125"/>
        <v>1.1180000000000001</v>
      </c>
      <c r="J178" s="66">
        <f t="shared" ca="1" si="125"/>
        <v>1.1709999999999998</v>
      </c>
      <c r="K178" s="66">
        <f t="shared" ca="1" si="125"/>
        <v>2.5720000000000001</v>
      </c>
      <c r="L178" s="66">
        <f t="shared" ca="1" si="125"/>
        <v>1.1680000000000001</v>
      </c>
      <c r="M178" s="66">
        <f t="shared" ca="1" si="125"/>
        <v>1.1459999999999999</v>
      </c>
      <c r="N178" s="66">
        <f t="shared" ca="1" si="125"/>
        <v>1.1310000000000002</v>
      </c>
      <c r="O178" s="67">
        <f t="shared" ca="1" si="125"/>
        <v>1.1684966792100722</v>
      </c>
      <c r="P178" s="67">
        <f t="shared" ca="1" si="125"/>
        <v>1.2063953928972515</v>
      </c>
      <c r="Q178" s="67">
        <f t="shared" ca="1" si="125"/>
        <v>1.2447838818658028</v>
      </c>
      <c r="R178" s="67">
        <f t="shared" ca="1" si="125"/>
        <v>1.2833229583478032</v>
      </c>
      <c r="S178" s="67">
        <f t="shared" ca="1" si="125"/>
        <v>1.3222022690506234</v>
      </c>
      <c r="T178" s="67">
        <f t="shared" ca="1" si="125"/>
        <v>1.3613332295920941</v>
      </c>
      <c r="U178" s="67">
        <f t="shared" ca="1" si="125"/>
        <v>1.4012059984652552</v>
      </c>
      <c r="V178" s="67">
        <f t="shared" ca="1" si="125"/>
        <v>1.4416270929018555</v>
      </c>
      <c r="W178" s="67">
        <f t="shared" ca="1" si="125"/>
        <v>1.4820542626595776</v>
      </c>
      <c r="X178" s="67">
        <f t="shared" ca="1" si="125"/>
        <v>1.5229154461171288</v>
      </c>
    </row>
    <row r="179" spans="1:24" x14ac:dyDescent="0.25">
      <c r="A179" s="9" t="s">
        <v>913</v>
      </c>
      <c r="B179" s="10" t="str">
        <f>$B$38</f>
        <v>From Fiscal Forecasts</v>
      </c>
      <c r="C179" s="13"/>
      <c r="D179" s="68">
        <f ca="1">'Fiscal Forecasts'!D$13-D$173</f>
        <v>3.8789999999999996</v>
      </c>
      <c r="E179" s="68">
        <f ca="1">'Fiscal Forecasts'!E$13-E$173</f>
        <v>3.57</v>
      </c>
      <c r="F179" s="68">
        <f ca="1">'Fiscal Forecasts'!F$13-F$173</f>
        <v>3.589</v>
      </c>
      <c r="G179" s="68">
        <f ca="1">'Fiscal Forecasts'!G$13-G$173</f>
        <v>3.8780000000000001</v>
      </c>
      <c r="H179" s="68">
        <f ca="1">'Fiscal Forecasts'!H$13-H$173</f>
        <v>4.5830000000000002</v>
      </c>
      <c r="I179" s="68">
        <f ca="1">'Fiscal Forecasts'!I$13-I$173</f>
        <v>4.3360000000000003</v>
      </c>
      <c r="J179" s="69">
        <f ca="1">'Fiscal Forecasts'!J$13-J$173</f>
        <v>4.3</v>
      </c>
      <c r="K179" s="69">
        <f ca="1">'Fiscal Forecasts'!K$13-K$173</f>
        <v>5.3319999999999999</v>
      </c>
      <c r="L179" s="69">
        <f ca="1">'Fiscal Forecasts'!L$13-L$173</f>
        <v>4.0069999999999997</v>
      </c>
      <c r="M179" s="69">
        <f ca="1">'Fiscal Forecasts'!M$13-M$173</f>
        <v>4.0670000000000002</v>
      </c>
      <c r="N179" s="69">
        <f ca="1">'Fiscal Forecasts'!N$13-N$173</f>
        <v>4.2549999999999999</v>
      </c>
      <c r="O179" s="47">
        <f t="shared" ref="O179:X179" ca="1" si="126">O$178+(N$179-N$178)*(1+O$19)*(1+O$29)</f>
        <v>4.3944506015366471</v>
      </c>
      <c r="P179" s="47">
        <f t="shared" ca="1" si="126"/>
        <v>4.5352677307736666</v>
      </c>
      <c r="Q179" s="47">
        <f t="shared" ca="1" si="126"/>
        <v>4.6778119013173276</v>
      </c>
      <c r="R179" s="47">
        <f t="shared" ca="1" si="126"/>
        <v>4.8208094057975277</v>
      </c>
      <c r="S179" s="47">
        <f t="shared" ca="1" si="126"/>
        <v>4.9650043316949981</v>
      </c>
      <c r="T179" s="47">
        <f t="shared" ca="1" si="126"/>
        <v>5.1100612776359133</v>
      </c>
      <c r="U179" s="47">
        <f t="shared" ca="1" si="126"/>
        <v>5.2578552532806953</v>
      </c>
      <c r="V179" s="47">
        <f t="shared" ca="1" si="126"/>
        <v>5.4076532900674188</v>
      </c>
      <c r="W179" s="47">
        <f t="shared" ca="1" si="126"/>
        <v>5.55735533799092</v>
      </c>
      <c r="X179" s="47">
        <f t="shared" ca="1" si="126"/>
        <v>5.708542376816311</v>
      </c>
    </row>
    <row r="180" spans="1:24" x14ac:dyDescent="0.25">
      <c r="A180" s="9"/>
      <c r="B180" s="9"/>
      <c r="C180" s="13"/>
      <c r="D180" s="40"/>
      <c r="E180" s="40"/>
      <c r="F180" s="40"/>
      <c r="G180" s="40"/>
      <c r="H180" s="40"/>
      <c r="I180" s="40"/>
    </row>
    <row r="181" spans="1:24" x14ac:dyDescent="0.25">
      <c r="A181" s="9" t="s">
        <v>534</v>
      </c>
      <c r="B181" s="9"/>
      <c r="C181" s="13"/>
    </row>
    <row r="182" spans="1:24" x14ac:dyDescent="0.25">
      <c r="A182" s="11" t="s">
        <v>158</v>
      </c>
      <c r="B182" s="10" t="str">
        <f>$B$38</f>
        <v>From Fiscal Forecasts</v>
      </c>
      <c r="C182" s="13"/>
      <c r="D182" s="35">
        <f>'Fiscal Forecasts'!D$243</f>
        <v>14.561999999999999</v>
      </c>
      <c r="E182" s="35">
        <f>'Fiscal Forecasts'!E$243</f>
        <v>15.521000000000001</v>
      </c>
      <c r="F182" s="35">
        <f>'Fiscal Forecasts'!F$243</f>
        <v>16.568999999999999</v>
      </c>
      <c r="G182" s="35">
        <f>'Fiscal Forecasts'!G$243</f>
        <v>17.763999999999999</v>
      </c>
      <c r="H182" s="35">
        <f>'Fiscal Forecasts'!H$243</f>
        <v>19.516999999999999</v>
      </c>
      <c r="I182" s="35">
        <f>'Fiscal Forecasts'!I$243</f>
        <v>21.574000000000002</v>
      </c>
      <c r="J182" s="17">
        <f>'Fiscal Forecasts'!J$243</f>
        <v>23.18</v>
      </c>
      <c r="K182" s="17">
        <f>'Fiscal Forecasts'!K$243</f>
        <v>24.690999999999999</v>
      </c>
      <c r="L182" s="17">
        <f>'Fiscal Forecasts'!L$243</f>
        <v>26.116</v>
      </c>
      <c r="M182" s="17">
        <f>'Fiscal Forecasts'!M$243</f>
        <v>27.605</v>
      </c>
      <c r="N182" s="17">
        <f>'Fiscal Forecasts'!N$243</f>
        <v>28.957000000000001</v>
      </c>
      <c r="O182" s="16">
        <f ca="1">N$182*(1+'Population Treasury'!Z$305)*O$204/N$204</f>
        <v>30.37041879496639</v>
      </c>
      <c r="P182" s="16">
        <f ca="1">O$182*(1+'Population Treasury'!AA$305)*P$204/O$204</f>
        <v>31.999756351441523</v>
      </c>
      <c r="Q182" s="16">
        <f ca="1">P$182*(1+'Population Treasury'!AB$305)*Q$204/P$204</f>
        <v>33.696220128329777</v>
      </c>
      <c r="R182" s="16">
        <f ca="1">Q$182*(1+'Population Treasury'!AC$305)*R$204/Q$204</f>
        <v>35.480996174658827</v>
      </c>
      <c r="S182" s="16">
        <f ca="1">R$182*(1+'Population Treasury'!AD$305)*S$204/R$204</f>
        <v>37.354790331355304</v>
      </c>
      <c r="T182" s="16">
        <f ca="1">S$182*(1+'Population Treasury'!AE$305)*T$204/S$204</f>
        <v>39.268426072255281</v>
      </c>
      <c r="U182" s="16">
        <f ca="1">T$182*(1+'Population Treasury'!AF$305)*U$204/T$204</f>
        <v>41.282924805544866</v>
      </c>
      <c r="V182" s="16">
        <f ca="1">U$182*(1+'Population Treasury'!AG$305)*V$204/U$204</f>
        <v>43.317411388539483</v>
      </c>
      <c r="W182" s="16">
        <f ca="1">V$182*(1+'Population Treasury'!AH$305)*W$204/V$204</f>
        <v>45.312617527876625</v>
      </c>
      <c r="X182" s="16">
        <f ca="1">W$182*(1+'Population Treasury'!AI$305)*X$204/W$204</f>
        <v>47.272576696491754</v>
      </c>
    </row>
    <row r="183" spans="1:24" x14ac:dyDescent="0.25">
      <c r="A183" s="11" t="s">
        <v>923</v>
      </c>
      <c r="B183" s="10" t="str">
        <f>$B$38</f>
        <v>From Fiscal Forecasts</v>
      </c>
      <c r="C183" s="13"/>
      <c r="D183" s="35">
        <f>'Fiscal Forecasts'!D$244</f>
        <v>1.8540000000000001</v>
      </c>
      <c r="E183" s="35">
        <f>'Fiscal Forecasts'!E$244</f>
        <v>2.2850000000000001</v>
      </c>
      <c r="F183" s="35">
        <f>'Fiscal Forecasts'!F$244</f>
        <v>3.2240000000000002</v>
      </c>
      <c r="G183" s="35">
        <f>'Fiscal Forecasts'!G$244</f>
        <v>3.33</v>
      </c>
      <c r="H183" s="35">
        <f>'Fiscal Forecasts'!H$244</f>
        <v>3.4729999999999999</v>
      </c>
      <c r="I183" s="35">
        <f>'Fiscal Forecasts'!I$244</f>
        <v>4.0620000000000003</v>
      </c>
      <c r="J183" s="17">
        <f>'Fiscal Forecasts'!J$244</f>
        <v>4.6440000000000001</v>
      </c>
      <c r="K183" s="17">
        <f>'Fiscal Forecasts'!K$244</f>
        <v>4.8390000000000004</v>
      </c>
      <c r="L183" s="17">
        <f>'Fiscal Forecasts'!L$244</f>
        <v>4.7149999999999999</v>
      </c>
      <c r="M183" s="17">
        <f>'Fiscal Forecasts'!M$244</f>
        <v>4.4969999999999999</v>
      </c>
      <c r="N183" s="17">
        <f>'Fiscal Forecasts'!N$244</f>
        <v>4.42</v>
      </c>
      <c r="O183" s="16">
        <f ca="1">N$183*AVERAGE(1+SUMPRODUCT(Exogenous!$B$42:$B$52,'Population Treasury'!Z$242:Z$252)+SUMPRODUCT(Exogenous!$C$42:$C$52,'Population Treasury'!Z$287:Z$297),O$16*O$23/(N$16*N$23))*(1+O$29)</f>
        <v>4.517458326425472</v>
      </c>
      <c r="P183" s="16">
        <f ca="1">O$183*AVERAGE(1+SUMPRODUCT(Exogenous!$B$42:$B$52,'Population Treasury'!AA$242:AA$252)+SUMPRODUCT(Exogenous!$C$42:$C$52,'Population Treasury'!AA$287:AA$297),P$16*P$23/(O$16*O$23))*(1+P$29)</f>
        <v>4.6197764915196027</v>
      </c>
      <c r="Q183" s="16">
        <f ca="1">P$183*AVERAGE(1+SUMPRODUCT(Exogenous!$B$42:$B$52,'Population Treasury'!AB$242:AB$252)+SUMPRODUCT(Exogenous!$C$42:$C$52,'Population Treasury'!AB$287:AB$297),Q$16*Q$23/(P$16*P$23))*(1+Q$29)</f>
        <v>4.7543055181087901</v>
      </c>
      <c r="R183" s="16">
        <f ca="1">Q$183*AVERAGE(1+SUMPRODUCT(Exogenous!$B$42:$B$52,'Population Treasury'!AC$242:AC$252)+SUMPRODUCT(Exogenous!$C$42:$C$52,'Population Treasury'!AC$287:AC$297),R$16*R$23/(Q$16*Q$23))*(1+R$29)</f>
        <v>4.8890717460427382</v>
      </c>
      <c r="S183" s="16">
        <f ca="1">R$183*AVERAGE(1+SUMPRODUCT(Exogenous!$B$42:$B$52,'Population Treasury'!AD$242:AD$252)+SUMPRODUCT(Exogenous!$C$42:$C$52,'Population Treasury'!AD$287:AD$297),S$16*S$23/(R$16*R$23))*(1+S$29)</f>
        <v>5.0229020741017569</v>
      </c>
      <c r="T183" s="16">
        <f ca="1">S$183*AVERAGE(1+SUMPRODUCT(Exogenous!$B$42:$B$52,'Population Treasury'!AE$242:AE$252)+SUMPRODUCT(Exogenous!$C$42:$C$52,'Population Treasury'!AE$287:AE$297),T$16*T$23/(S$16*S$23))*(1+T$29)</f>
        <v>5.1571371934521171</v>
      </c>
      <c r="U183" s="16">
        <f ca="1">T$183*AVERAGE(1+SUMPRODUCT(Exogenous!$B$42:$B$52,'Population Treasury'!AF$242:AF$252)+SUMPRODUCT(Exogenous!$C$42:$C$52,'Population Treasury'!AF$287:AF$297),U$16*U$23/(T$16*T$23))*(1+U$29)</f>
        <v>5.290256742117438</v>
      </c>
      <c r="V183" s="16">
        <f ca="1">U$183*AVERAGE(1+SUMPRODUCT(Exogenous!$B$42:$B$52,'Population Treasury'!AG$242:AG$252)+SUMPRODUCT(Exogenous!$C$42:$C$52,'Population Treasury'!AG$287:AG$297),V$16*V$23/(U$16*U$23))*(1+V$29)</f>
        <v>5.4260694271538501</v>
      </c>
      <c r="W183" s="16">
        <f ca="1">V$183*AVERAGE(1+SUMPRODUCT(Exogenous!$B$42:$B$52,'Population Treasury'!AH$242:AH$252)+SUMPRODUCT(Exogenous!$C$42:$C$52,'Population Treasury'!AH$287:AH$297),W$16*W$23/(V$16*V$23))*(1+W$29)</f>
        <v>5.5647889941677873</v>
      </c>
      <c r="X183" s="16">
        <f ca="1">W$183*AVERAGE(1+SUMPRODUCT(Exogenous!$B$42:$B$52,'Population Treasury'!AI$242:AI$252)+SUMPRODUCT(Exogenous!$C$42:$C$52,'Population Treasury'!AI$287:AI$297),X$16*X$23/(W$16*W$23))*(1+X$29)</f>
        <v>5.7064120365369799</v>
      </c>
    </row>
    <row r="184" spans="1:24" x14ac:dyDescent="0.25">
      <c r="A184" s="11" t="s">
        <v>716</v>
      </c>
      <c r="B184" s="10" t="str">
        <f t="shared" ref="B184:B196" si="127">$B$38</f>
        <v>From Fiscal Forecasts</v>
      </c>
      <c r="C184" s="13"/>
      <c r="D184" s="35">
        <f>'Fiscal Forecasts'!D$245</f>
        <v>1.556</v>
      </c>
      <c r="E184" s="35">
        <f>'Fiscal Forecasts'!E$245</f>
        <v>1.65</v>
      </c>
      <c r="F184" s="35">
        <f>'Fiscal Forecasts'!F$245</f>
        <v>1.8260000000000001</v>
      </c>
      <c r="G184" s="35">
        <f>'Fiscal Forecasts'!G$245</f>
        <v>2.0470000000000002</v>
      </c>
      <c r="H184" s="35">
        <f>'Fiscal Forecasts'!H$245</f>
        <v>2.3109999999999999</v>
      </c>
      <c r="I184" s="35">
        <f>'Fiscal Forecasts'!I$245</f>
        <v>2.5299999999999998</v>
      </c>
      <c r="J184" s="17">
        <f>'Fiscal Forecasts'!J$245</f>
        <v>2.669</v>
      </c>
      <c r="K184" s="17">
        <f>'Fiscal Forecasts'!K$245</f>
        <v>2.782</v>
      </c>
      <c r="L184" s="17">
        <f>'Fiscal Forecasts'!L$245</f>
        <v>2.8809999999999998</v>
      </c>
      <c r="M184" s="17">
        <f>'Fiscal Forecasts'!M$245</f>
        <v>2.9750000000000001</v>
      </c>
      <c r="N184" s="17">
        <f>'Fiscal Forecasts'!N$245</f>
        <v>3.0230000000000001</v>
      </c>
      <c r="O184" s="16">
        <f ca="1">N$184*(1+SUMPRODUCT(Exogenous!$I$42:$I$52,'Population Treasury'!Z$242:Z$252)+SUMPRODUCT(Exogenous!$J$42:$J$52,'Population Treasury'!Z$287:Z$297))*(1+O$29)</f>
        <v>3.1043958345517408</v>
      </c>
      <c r="P184" s="16">
        <f ca="1">O$184*(1+SUMPRODUCT(Exogenous!$I$42:$I$52,'Population Treasury'!AA$242:AA$252)+SUMPRODUCT(Exogenous!$J$42:$J$52,'Population Treasury'!AA$287:AA$297))*(1+P$29)</f>
        <v>3.1904398795185078</v>
      </c>
      <c r="Q184" s="16">
        <f ca="1">P$184*(1+SUMPRODUCT(Exogenous!$I$42:$I$52,'Population Treasury'!AB$242:AB$252)+SUMPRODUCT(Exogenous!$J$42:$J$52,'Population Treasury'!AB$287:AB$297))*(1+Q$29)</f>
        <v>3.2770124490467345</v>
      </c>
      <c r="R184" s="16">
        <f ca="1">Q$184*(1+SUMPRODUCT(Exogenous!$I$42:$I$52,'Population Treasury'!AC$242:AC$252)+SUMPRODUCT(Exogenous!$J$42:$J$52,'Population Treasury'!AC$287:AC$297))*(1+R$29)</f>
        <v>3.3622673797612532</v>
      </c>
      <c r="S184" s="16">
        <f ca="1">R$184*(1+SUMPRODUCT(Exogenous!$I$42:$I$52,'Population Treasury'!AD$242:AD$252)+SUMPRODUCT(Exogenous!$J$42:$J$52,'Population Treasury'!AD$287:AD$297))*(1+S$29)</f>
        <v>3.4455498357148011</v>
      </c>
      <c r="T184" s="16">
        <f ca="1">S$184*(1+SUMPRODUCT(Exogenous!$I$42:$I$52,'Population Treasury'!AE$242:AE$252)+SUMPRODUCT(Exogenous!$J$42:$J$52,'Population Treasury'!AE$287:AE$297))*(1+T$29)</f>
        <v>3.5308588251900002</v>
      </c>
      <c r="U184" s="16">
        <f ca="1">T$184*(1+SUMPRODUCT(Exogenous!$I$42:$I$52,'Population Treasury'!AF$242:AF$252)+SUMPRODUCT(Exogenous!$J$42:$J$52,'Population Treasury'!AF$287:AF$297))*(1+U$29)</f>
        <v>3.612351609496407</v>
      </c>
      <c r="V184" s="16">
        <f ca="1">U$184*(1+SUMPRODUCT(Exogenous!$I$42:$I$52,'Population Treasury'!AG$242:AG$252)+SUMPRODUCT(Exogenous!$J$42:$J$52,'Population Treasury'!AG$287:AG$297))*(1+V$29)</f>
        <v>3.6984365486116544</v>
      </c>
      <c r="W184" s="16">
        <f ca="1">V$184*(1+SUMPRODUCT(Exogenous!$I$42:$I$52,'Population Treasury'!AH$242:AH$252)+SUMPRODUCT(Exogenous!$J$42:$J$52,'Population Treasury'!AH$287:AH$297))*(1+W$29)</f>
        <v>3.7926119873713398</v>
      </c>
      <c r="X184" s="16">
        <f ca="1">W$184*(1+SUMPRODUCT(Exogenous!$I$42:$I$52,'Population Treasury'!AI$242:AI$252)+SUMPRODUCT(Exogenous!$J$42:$J$52,'Population Treasury'!AI$287:AI$297))*(1+X$29)</f>
        <v>3.8944781235817163</v>
      </c>
    </row>
    <row r="185" spans="1:24" x14ac:dyDescent="0.25">
      <c r="A185" s="11" t="s">
        <v>717</v>
      </c>
      <c r="B185" s="10" t="str">
        <f t="shared" si="127"/>
        <v>From Fiscal Forecasts</v>
      </c>
      <c r="C185" s="13"/>
      <c r="D185" s="35">
        <f>'Fiscal Forecasts'!D$246</f>
        <v>1.115</v>
      </c>
      <c r="E185" s="35">
        <f>'Fiscal Forecasts'!E$246</f>
        <v>1.2310000000000001</v>
      </c>
      <c r="F185" s="35">
        <f>'Fiscal Forecasts'!F$246</f>
        <v>1.4550000000000001</v>
      </c>
      <c r="G185" s="35">
        <f>'Fiscal Forecasts'!G$246</f>
        <v>1.704</v>
      </c>
      <c r="H185" s="35">
        <f>'Fiscal Forecasts'!H$246</f>
        <v>1.917</v>
      </c>
      <c r="I185" s="35">
        <f>'Fiscal Forecasts'!I$246</f>
        <v>2.097</v>
      </c>
      <c r="J185" s="17">
        <f>'Fiscal Forecasts'!J$246</f>
        <v>2.2570000000000001</v>
      </c>
      <c r="K185" s="17">
        <f>'Fiscal Forecasts'!K$246</f>
        <v>2.331</v>
      </c>
      <c r="L185" s="17">
        <f>'Fiscal Forecasts'!L$246</f>
        <v>2.3029999999999999</v>
      </c>
      <c r="M185" s="17">
        <f>'Fiscal Forecasts'!M$246</f>
        <v>2.27</v>
      </c>
      <c r="N185" s="17">
        <f>'Fiscal Forecasts'!N$246</f>
        <v>2.169</v>
      </c>
      <c r="O185" s="16">
        <f ca="1">N$185*(1+SUMPRODUCT(Exogenous!$P$42:$P$52,'Population Treasury'!Z$242:Z$252)+SUMPRODUCT(Exogenous!$Q$42:$Q$52,'Population Treasury'!Z$287:Z$297))*(1+O$29)</f>
        <v>2.2342412185630129</v>
      </c>
      <c r="P185" s="16">
        <f ca="1">O$185*(1+SUMPRODUCT(Exogenous!$P$42:$P$52,'Population Treasury'!AA$242:AA$252)+SUMPRODUCT(Exogenous!$Q$42:$Q$52,'Population Treasury'!AA$287:AA$297))*(1+P$29)</f>
        <v>2.3001843848237082</v>
      </c>
      <c r="Q185" s="16">
        <f ca="1">P$185*(1+SUMPRODUCT(Exogenous!$P$42:$P$52,'Population Treasury'!AB$242:AB$252)+SUMPRODUCT(Exogenous!$Q$42:$Q$52,'Population Treasury'!AB$287:AB$297))*(1+Q$29)</f>
        <v>2.367548588826268</v>
      </c>
      <c r="R185" s="16">
        <f ca="1">Q$185*(1+SUMPRODUCT(Exogenous!$P$42:$P$52,'Population Treasury'!AC$242:AC$252)+SUMPRODUCT(Exogenous!$Q$42:$Q$52,'Population Treasury'!AC$287:AC$297))*(1+R$29)</f>
        <v>2.4358445983825128</v>
      </c>
      <c r="S185" s="16">
        <f ca="1">R$185*(1+SUMPRODUCT(Exogenous!$P$42:$P$52,'Population Treasury'!AD$242:AD$252)+SUMPRODUCT(Exogenous!$Q$42:$Q$52,'Population Treasury'!AD$287:AD$297))*(1+S$29)</f>
        <v>2.5027452563444292</v>
      </c>
      <c r="T185" s="16">
        <f ca="1">S$185*(1+SUMPRODUCT(Exogenous!$P$42:$P$52,'Population Treasury'!AE$242:AE$252)+SUMPRODUCT(Exogenous!$Q$42:$Q$52,'Population Treasury'!AE$287:AE$297))*(1+T$29)</f>
        <v>2.5691662890347424</v>
      </c>
      <c r="U185" s="16">
        <f ca="1">T$185*(1+SUMPRODUCT(Exogenous!$P$42:$P$52,'Population Treasury'!AF$242:AF$252)+SUMPRODUCT(Exogenous!$Q$42:$Q$52,'Population Treasury'!AF$287:AF$297))*(1+U$29)</f>
        <v>2.6345615238006572</v>
      </c>
      <c r="V185" s="16">
        <f ca="1">U$185*(1+SUMPRODUCT(Exogenous!$P$42:$P$52,'Population Treasury'!AG$242:AG$252)+SUMPRODUCT(Exogenous!$Q$42:$Q$52,'Population Treasury'!AG$287:AG$297))*(1+V$29)</f>
        <v>2.7015501793468539</v>
      </c>
      <c r="W185" s="16">
        <f ca="1">V$185*(1+SUMPRODUCT(Exogenous!$P$42:$P$52,'Population Treasury'!AH$242:AH$252)+SUMPRODUCT(Exogenous!$Q$42:$Q$52,'Population Treasury'!AH$287:AH$297))*(1+W$29)</f>
        <v>2.7669100585309674</v>
      </c>
      <c r="X185" s="16">
        <f ca="1">W$185*(1+SUMPRODUCT(Exogenous!$P$42:$P$52,'Population Treasury'!AI$242:AI$252)+SUMPRODUCT(Exogenous!$Q$42:$Q$52,'Population Treasury'!AI$287:AI$297))*(1+X$29)</f>
        <v>2.8307312888794827</v>
      </c>
    </row>
    <row r="186" spans="1:24" x14ac:dyDescent="0.25">
      <c r="A186" s="11" t="s">
        <v>718</v>
      </c>
      <c r="B186" s="10" t="str">
        <f t="shared" si="127"/>
        <v>From Fiscal Forecasts</v>
      </c>
      <c r="D186" s="35">
        <f>'Fiscal Forecasts'!D$247</f>
        <v>2.766</v>
      </c>
      <c r="E186" s="35">
        <f>'Fiscal Forecasts'!E$247</f>
        <v>2.83</v>
      </c>
      <c r="F186" s="35">
        <f>'Fiscal Forecasts'!F$247</f>
        <v>2.6880000000000002</v>
      </c>
      <c r="G186" s="35">
        <f>'Fiscal Forecasts'!G$247</f>
        <v>2.536</v>
      </c>
      <c r="H186" s="35">
        <f>'Fiscal Forecasts'!H$247</f>
        <v>2.6269999999999998</v>
      </c>
      <c r="I186" s="35">
        <f>'Fiscal Forecasts'!I$247</f>
        <v>2.7450000000000001</v>
      </c>
      <c r="J186" s="17">
        <f>'Fiscal Forecasts'!J$247</f>
        <v>2.9990000000000001</v>
      </c>
      <c r="K186" s="17">
        <f>'Fiscal Forecasts'!K$247</f>
        <v>2.97</v>
      </c>
      <c r="L186" s="17">
        <f>'Fiscal Forecasts'!L$247</f>
        <v>3.05</v>
      </c>
      <c r="M186" s="17">
        <f>'Fiscal Forecasts'!M$247</f>
        <v>3.2229999999999999</v>
      </c>
      <c r="N186" s="17">
        <f>'Fiscal Forecasts'!N$247</f>
        <v>3.141</v>
      </c>
      <c r="O186" s="16">
        <f ca="1">N$186*(1+O$19)*(1+O$29)</f>
        <v>3.2435087292022318</v>
      </c>
      <c r="P186" s="16">
        <f t="shared" ref="P186:X186" ca="1" si="128">O$186*(1+P$19)*(1+P$29)</f>
        <v>3.3469872001503909</v>
      </c>
      <c r="Q186" s="16">
        <f t="shared" ca="1" si="128"/>
        <v>3.4517096700055183</v>
      </c>
      <c r="R186" s="16">
        <f t="shared" ca="1" si="128"/>
        <v>3.5567365337514669</v>
      </c>
      <c r="S186" s="16">
        <f t="shared" ca="1" si="128"/>
        <v>3.6626252492848841</v>
      </c>
      <c r="T186" s="16">
        <f t="shared" ca="1" si="128"/>
        <v>3.7691276564998821</v>
      </c>
      <c r="U186" s="16">
        <f t="shared" ca="1" si="128"/>
        <v>3.8776361425657146</v>
      </c>
      <c r="V186" s="16">
        <f t="shared" ca="1" si="128"/>
        <v>3.9876082859465529</v>
      </c>
      <c r="W186" s="16">
        <f t="shared" ca="1" si="128"/>
        <v>4.0974778097361542</v>
      </c>
      <c r="X186" s="16">
        <f t="shared" ca="1" si="128"/>
        <v>4.2084040298739227</v>
      </c>
    </row>
    <row r="187" spans="1:24" x14ac:dyDescent="0.25">
      <c r="A187" s="11" t="s">
        <v>719</v>
      </c>
      <c r="B187" s="10" t="str">
        <f t="shared" si="127"/>
        <v>From Fiscal Forecasts</v>
      </c>
      <c r="D187" s="35">
        <f>'Fiscal Forecasts'!D$248</f>
        <v>1.64</v>
      </c>
      <c r="E187" s="35">
        <f>'Fiscal Forecasts'!E$248</f>
        <v>1.923</v>
      </c>
      <c r="F187" s="35">
        <f>'Fiscal Forecasts'!F$248</f>
        <v>2.302</v>
      </c>
      <c r="G187" s="35">
        <f>'Fiscal Forecasts'!G$248</f>
        <v>2.3860000000000001</v>
      </c>
      <c r="H187" s="35">
        <f>'Fiscal Forecasts'!H$248</f>
        <v>2.3490000000000002</v>
      </c>
      <c r="I187" s="35">
        <f>'Fiscal Forecasts'!I$248</f>
        <v>2.411</v>
      </c>
      <c r="J187" s="17">
        <f>'Fiscal Forecasts'!J$248</f>
        <v>2.3039999999999998</v>
      </c>
      <c r="K187" s="17">
        <f>'Fiscal Forecasts'!K$248</f>
        <v>2.35</v>
      </c>
      <c r="L187" s="17">
        <f>'Fiscal Forecasts'!L$248</f>
        <v>2.3180000000000001</v>
      </c>
      <c r="M187" s="17">
        <f>'Fiscal Forecasts'!M$248</f>
        <v>2.3109999999999999</v>
      </c>
      <c r="N187" s="17">
        <f>'Fiscal Forecasts'!N$248</f>
        <v>2.1859999999999999</v>
      </c>
      <c r="O187" s="16">
        <f ca="1">N$187*(1+O$19)*(1+O$29)</f>
        <v>2.2573416370697479</v>
      </c>
      <c r="P187" s="16">
        <f t="shared" ref="P187:X187" ca="1" si="129">O$187*(1+P$19)*(1+P$29)</f>
        <v>2.3293581724064798</v>
      </c>
      <c r="Q187" s="16">
        <f t="shared" ca="1" si="129"/>
        <v>2.4022404771194084</v>
      </c>
      <c r="R187" s="16">
        <f t="shared" ca="1" si="129"/>
        <v>2.4753346268006067</v>
      </c>
      <c r="S187" s="16">
        <f t="shared" ca="1" si="129"/>
        <v>2.5490285880091546</v>
      </c>
      <c r="T187" s="16">
        <f t="shared" ca="1" si="129"/>
        <v>2.6231496520562692</v>
      </c>
      <c r="U187" s="16">
        <f t="shared" ca="1" si="129"/>
        <v>2.6986668601237347</v>
      </c>
      <c r="V187" s="16">
        <f t="shared" ca="1" si="129"/>
        <v>2.7752027103085521</v>
      </c>
      <c r="W187" s="16">
        <f t="shared" ca="1" si="129"/>
        <v>2.8516671417011241</v>
      </c>
      <c r="X187" s="16">
        <f t="shared" ca="1" si="129"/>
        <v>2.9288669879988514</v>
      </c>
    </row>
    <row r="188" spans="1:24" x14ac:dyDescent="0.25">
      <c r="A188" s="11" t="s">
        <v>720</v>
      </c>
      <c r="B188" s="10" t="str">
        <f t="shared" si="127"/>
        <v>From Fiscal Forecasts</v>
      </c>
      <c r="C188" s="13"/>
      <c r="D188" s="35">
        <f>'Fiscal Forecasts'!D$249</f>
        <v>2.351</v>
      </c>
      <c r="E188" s="35">
        <f>'Fiscal Forecasts'!E$249</f>
        <v>14.971</v>
      </c>
      <c r="F188" s="35">
        <f>'Fiscal Forecasts'!F$249</f>
        <v>5.0529999999999999</v>
      </c>
      <c r="G188" s="35">
        <f>'Fiscal Forecasts'!G$249</f>
        <v>11.973000000000001</v>
      </c>
      <c r="H188" s="35">
        <f>'Fiscal Forecasts'!H$249</f>
        <v>4.1159999999999997</v>
      </c>
      <c r="I188" s="35">
        <f>'Fiscal Forecasts'!I$249</f>
        <v>3.7759999999999998</v>
      </c>
      <c r="J188" s="17">
        <f>'Fiscal Forecasts'!J$249</f>
        <v>4.0570000000000004</v>
      </c>
      <c r="K188" s="17">
        <f>'Fiscal Forecasts'!K$249</f>
        <v>4.3849999999999998</v>
      </c>
      <c r="L188" s="17">
        <f>'Fiscal Forecasts'!L$249</f>
        <v>4.4329999999999998</v>
      </c>
      <c r="M188" s="17">
        <f>'Fiscal Forecasts'!M$249</f>
        <v>4.5750000000000002</v>
      </c>
      <c r="N188" s="17">
        <f>'Fiscal Forecasts'!N$249</f>
        <v>4.6130000000000004</v>
      </c>
      <c r="O188" s="16">
        <f ca="1">N$188*(1+O$19)*(1+O$29)</f>
        <v>4.7635484774943953</v>
      </c>
      <c r="P188" s="16">
        <f t="shared" ref="P188:X188" ca="1" si="130">O$188*(1+P$19)*(1+P$29)</f>
        <v>4.9155211570499056</v>
      </c>
      <c r="Q188" s="16">
        <f t="shared" ca="1" si="130"/>
        <v>5.0693208238571978</v>
      </c>
      <c r="R188" s="16">
        <f t="shared" ca="1" si="130"/>
        <v>5.2235675358788667</v>
      </c>
      <c r="S188" s="16">
        <f t="shared" ca="1" si="130"/>
        <v>5.379079998392605</v>
      </c>
      <c r="T188" s="16">
        <f t="shared" ca="1" si="130"/>
        <v>5.5354937534014512</v>
      </c>
      <c r="U188" s="16">
        <f t="shared" ca="1" si="130"/>
        <v>5.694853717177855</v>
      </c>
      <c r="V188" s="16">
        <f t="shared" ca="1" si="130"/>
        <v>5.856363267453502</v>
      </c>
      <c r="W188" s="16">
        <f t="shared" ca="1" si="130"/>
        <v>6.0177221064351736</v>
      </c>
      <c r="X188" s="16">
        <f t="shared" ca="1" si="130"/>
        <v>6.1806328525337175</v>
      </c>
    </row>
    <row r="189" spans="1:24" x14ac:dyDescent="0.25">
      <c r="A189" s="9" t="s">
        <v>950</v>
      </c>
      <c r="B189" s="10"/>
      <c r="C189" s="13"/>
      <c r="D189" s="65">
        <f t="shared" ref="D189:O189" si="131">SUM(D$182:D$188)</f>
        <v>25.844000000000001</v>
      </c>
      <c r="E189" s="65">
        <f t="shared" si="131"/>
        <v>40.411000000000001</v>
      </c>
      <c r="F189" s="65">
        <f t="shared" si="131"/>
        <v>33.116999999999997</v>
      </c>
      <c r="G189" s="65">
        <f t="shared" si="131"/>
        <v>41.74</v>
      </c>
      <c r="H189" s="65">
        <f t="shared" si="131"/>
        <v>36.31</v>
      </c>
      <c r="I189" s="65">
        <f t="shared" si="131"/>
        <v>39.195000000000007</v>
      </c>
      <c r="J189" s="66">
        <f t="shared" si="131"/>
        <v>42.110000000000007</v>
      </c>
      <c r="K189" s="66">
        <f t="shared" si="131"/>
        <v>44.347999999999999</v>
      </c>
      <c r="L189" s="66">
        <f t="shared" si="131"/>
        <v>45.815999999999988</v>
      </c>
      <c r="M189" s="66">
        <f t="shared" si="131"/>
        <v>47.45600000000001</v>
      </c>
      <c r="N189" s="66">
        <f t="shared" si="131"/>
        <v>48.509</v>
      </c>
      <c r="O189" s="67">
        <f t="shared" ca="1" si="131"/>
        <v>50.490913018272991</v>
      </c>
      <c r="P189" s="67">
        <f t="shared" ref="P189:X189" ca="1" si="132">SUM(P$182:P$188)</f>
        <v>52.702023636910113</v>
      </c>
      <c r="Q189" s="67">
        <f t="shared" ca="1" si="132"/>
        <v>55.018357655293691</v>
      </c>
      <c r="R189" s="67">
        <f t="shared" ca="1" si="132"/>
        <v>57.423818595276281</v>
      </c>
      <c r="S189" s="67">
        <f t="shared" ca="1" si="132"/>
        <v>59.916721333202943</v>
      </c>
      <c r="T189" s="67">
        <f t="shared" ca="1" si="132"/>
        <v>62.453359441889745</v>
      </c>
      <c r="U189" s="67">
        <f t="shared" ca="1" si="132"/>
        <v>65.091251400826664</v>
      </c>
      <c r="V189" s="67">
        <f t="shared" ca="1" si="132"/>
        <v>67.762641807360438</v>
      </c>
      <c r="W189" s="67">
        <f t="shared" ca="1" si="132"/>
        <v>70.403795625819171</v>
      </c>
      <c r="X189" s="67">
        <f t="shared" ca="1" si="132"/>
        <v>73.022102015896422</v>
      </c>
    </row>
    <row r="190" spans="1:24" x14ac:dyDescent="0.25">
      <c r="A190" s="11" t="s">
        <v>721</v>
      </c>
      <c r="B190" s="10" t="str">
        <f t="shared" si="127"/>
        <v>From Fiscal Forecasts</v>
      </c>
      <c r="C190" s="13"/>
      <c r="D190" s="35">
        <f>'Fiscal Forecasts'!D$250</f>
        <v>0.58299999999999996</v>
      </c>
      <c r="E190" s="35">
        <f>'Fiscal Forecasts'!E$250</f>
        <v>0.56699999999999995</v>
      </c>
      <c r="F190" s="35">
        <f>'Fiscal Forecasts'!F$250</f>
        <v>0.59</v>
      </c>
      <c r="G190" s="35">
        <f>'Fiscal Forecasts'!G$250</f>
        <v>0.55600000000000005</v>
      </c>
      <c r="H190" s="35">
        <f>'Fiscal Forecasts'!H$250</f>
        <v>0.52500000000000002</v>
      </c>
      <c r="I190" s="35">
        <f>'Fiscal Forecasts'!I$250</f>
        <v>0.52600000000000002</v>
      </c>
      <c r="J190" s="17">
        <f>'Fiscal Forecasts'!J$250</f>
        <v>0.57799999999999996</v>
      </c>
      <c r="K190" s="17">
        <f>'Fiscal Forecasts'!K$250</f>
        <v>0.63500000000000001</v>
      </c>
      <c r="L190" s="17">
        <f>'Fiscal Forecasts'!L$250</f>
        <v>0.64</v>
      </c>
      <c r="M190" s="17">
        <f>'Fiscal Forecasts'!M$250</f>
        <v>0.63700000000000001</v>
      </c>
      <c r="N190" s="17">
        <f>'Fiscal Forecasts'!N$250</f>
        <v>0.628</v>
      </c>
      <c r="O190" s="16">
        <f ca="1">N$190*(1+'Population Treasury'!Z$304)*(1+O$29)</f>
        <v>0.64562485974176986</v>
      </c>
      <c r="P190" s="16">
        <f ca="1">O$190*(1+'Population Treasury'!AA$304)*(1+P$29)</f>
        <v>0.66194568964686296</v>
      </c>
      <c r="Q190" s="16">
        <f ca="1">P$190*(1+'Population Treasury'!AB$304)*(1+Q$29)</f>
        <v>0.67712377808722313</v>
      </c>
      <c r="R190" s="16">
        <f ca="1">Q$190*(1+'Population Treasury'!AC$304)*(1+R$29)</f>
        <v>0.69245219913184963</v>
      </c>
      <c r="S190" s="16">
        <f ca="1">R$190*(1+'Population Treasury'!AD$304)*(1+S$29)</f>
        <v>0.70825442012990725</v>
      </c>
      <c r="T190" s="16">
        <f ca="1">S$190*(1+'Population Treasury'!AE$304)*(1+T$29)</f>
        <v>0.72507180469317367</v>
      </c>
      <c r="U190" s="16">
        <f ca="1">T$190*(1+'Population Treasury'!AF$304)*(1+U$29)</f>
        <v>0.74154264390725988</v>
      </c>
      <c r="V190" s="16">
        <f ca="1">U$190*(1+'Population Treasury'!AG$304)*(1+V$29)</f>
        <v>0.75822655773090308</v>
      </c>
      <c r="W190" s="16">
        <f ca="1">V$190*(1+'Population Treasury'!AH$304)*(1+W$29)</f>
        <v>0.77527296537521928</v>
      </c>
      <c r="X190" s="16">
        <f ca="1">W$190*(1+'Population Treasury'!AI$304)*(1+X$29)</f>
        <v>0.79306000206523053</v>
      </c>
    </row>
    <row r="191" spans="1:24" x14ac:dyDescent="0.25">
      <c r="A191" s="9" t="s">
        <v>951</v>
      </c>
      <c r="B191" s="10"/>
      <c r="C191" s="13"/>
      <c r="D191" s="65">
        <f t="shared" ref="D191:O191" si="133">SUM(D$189:D$190)</f>
        <v>26.427</v>
      </c>
      <c r="E191" s="65">
        <f t="shared" si="133"/>
        <v>40.978000000000002</v>
      </c>
      <c r="F191" s="65">
        <f t="shared" si="133"/>
        <v>33.707000000000001</v>
      </c>
      <c r="G191" s="65">
        <f t="shared" si="133"/>
        <v>42.295999999999999</v>
      </c>
      <c r="H191" s="65">
        <f t="shared" si="133"/>
        <v>36.835000000000001</v>
      </c>
      <c r="I191" s="65">
        <f t="shared" si="133"/>
        <v>39.721000000000011</v>
      </c>
      <c r="J191" s="66">
        <f t="shared" si="133"/>
        <v>42.688000000000009</v>
      </c>
      <c r="K191" s="66">
        <f t="shared" si="133"/>
        <v>44.982999999999997</v>
      </c>
      <c r="L191" s="66">
        <f t="shared" si="133"/>
        <v>46.455999999999989</v>
      </c>
      <c r="M191" s="66">
        <f t="shared" si="133"/>
        <v>48.093000000000011</v>
      </c>
      <c r="N191" s="66">
        <f t="shared" si="133"/>
        <v>49.137</v>
      </c>
      <c r="O191" s="67">
        <f t="shared" ca="1" si="133"/>
        <v>51.136537878014764</v>
      </c>
      <c r="P191" s="67">
        <f t="shared" ref="P191:X191" ca="1" si="134">SUM(P$189:P$190)</f>
        <v>53.363969326556976</v>
      </c>
      <c r="Q191" s="67">
        <f t="shared" ca="1" si="134"/>
        <v>55.695481433380913</v>
      </c>
      <c r="R191" s="67">
        <f t="shared" ca="1" si="134"/>
        <v>58.11627079440813</v>
      </c>
      <c r="S191" s="67">
        <f t="shared" ca="1" si="134"/>
        <v>60.624975753332848</v>
      </c>
      <c r="T191" s="67">
        <f t="shared" ca="1" si="134"/>
        <v>63.178431246582917</v>
      </c>
      <c r="U191" s="67">
        <f t="shared" ca="1" si="134"/>
        <v>65.83279404473393</v>
      </c>
      <c r="V191" s="67">
        <f t="shared" ca="1" si="134"/>
        <v>68.520868365091346</v>
      </c>
      <c r="W191" s="67">
        <f t="shared" ca="1" si="134"/>
        <v>71.179068591194394</v>
      </c>
      <c r="X191" s="67">
        <f t="shared" ca="1" si="134"/>
        <v>73.815162017961654</v>
      </c>
    </row>
    <row r="192" spans="1:24" x14ac:dyDescent="0.25">
      <c r="A192" s="11" t="s">
        <v>952</v>
      </c>
      <c r="B192" s="10" t="str">
        <f t="shared" si="127"/>
        <v>From Fiscal Forecasts</v>
      </c>
      <c r="C192" s="13"/>
      <c r="D192" s="35">
        <f>'Fiscal Forecasts'!D$251</f>
        <v>0.95099999999999996</v>
      </c>
      <c r="E192" s="35">
        <f>'Fiscal Forecasts'!E$251</f>
        <v>0.89300000000000002</v>
      </c>
      <c r="F192" s="35">
        <f>'Fiscal Forecasts'!F$251</f>
        <v>0.91600000000000004</v>
      </c>
      <c r="G192" s="35">
        <f>'Fiscal Forecasts'!G$251</f>
        <v>0.96399999999999997</v>
      </c>
      <c r="H192" s="35">
        <f>'Fiscal Forecasts'!H$251</f>
        <v>0.997</v>
      </c>
      <c r="I192" s="35">
        <f>'Fiscal Forecasts'!I$251</f>
        <v>1.014</v>
      </c>
      <c r="J192" s="17">
        <f>'Fiscal Forecasts'!J$251</f>
        <v>1.06</v>
      </c>
      <c r="K192" s="17">
        <f>'Fiscal Forecasts'!K$251</f>
        <v>0.54500000000000004</v>
      </c>
      <c r="L192" s="17">
        <f>'Fiscal Forecasts'!L$251</f>
        <v>0.56499999999999995</v>
      </c>
      <c r="M192" s="17">
        <f>'Fiscal Forecasts'!M$251</f>
        <v>0.58799999999999997</v>
      </c>
      <c r="N192" s="17">
        <f>'Fiscal Forecasts'!N$251</f>
        <v>0.61299999999999999</v>
      </c>
      <c r="O192" s="16">
        <f>IF(ISBLANK(Exogenous!Z$37),N$192*(1+O$14),Exogenous!Z$37)</f>
        <v>0.63900000000000001</v>
      </c>
      <c r="P192" s="16">
        <f>IF(ISBLANK(Exogenous!AA$37),O$192*(1+P$14),Exogenous!AA$37)</f>
        <v>0.67</v>
      </c>
      <c r="Q192" s="16">
        <f>IF(ISBLANK(Exogenous!AB$37),P$192*(1+Q$14),Exogenous!AB$37)</f>
        <v>0.7</v>
      </c>
      <c r="R192" s="16">
        <f ca="1">IF(ISBLANK(Exogenous!AC$37),Q$192*(1+R$14),Exogenous!AC$37)</f>
        <v>0.72756355019879493</v>
      </c>
      <c r="S192" s="16">
        <f ca="1">IF(ISBLANK(Exogenous!AD$37),R$192*(1+S$14),Exogenous!AD$37)</f>
        <v>0.75573486733594508</v>
      </c>
      <c r="T192" s="16">
        <f ca="1">IF(ISBLANK(Exogenous!AE$37),S$192*(1+T$14),Exogenous!AE$37)</f>
        <v>0.78447095946271272</v>
      </c>
      <c r="U192" s="16">
        <f ca="1">IF(ISBLANK(Exogenous!AF$37),T$192*(1+U$14),Exogenous!AF$37)</f>
        <v>0.81359019140303346</v>
      </c>
      <c r="V192" s="16">
        <f ca="1">IF(ISBLANK(Exogenous!AG$37),U$192*(1+V$14),Exogenous!AG$37)</f>
        <v>0.84314722537661679</v>
      </c>
      <c r="W192" s="16">
        <f ca="1">IF(ISBLANK(Exogenous!AH$37),V$192*(1+W$14),Exogenous!AH$37)</f>
        <v>0.87314096019223619</v>
      </c>
      <c r="X192" s="16">
        <f ca="1">IF(ISBLANK(Exogenous!AI$37),W$192*(1+X$14),Exogenous!AI$37)</f>
        <v>0.90379741452028528</v>
      </c>
    </row>
    <row r="193" spans="1:24" x14ac:dyDescent="0.25">
      <c r="A193" s="11" t="s">
        <v>723</v>
      </c>
      <c r="B193" s="10" t="str">
        <f t="shared" si="127"/>
        <v>From Fiscal Forecasts</v>
      </c>
      <c r="C193" s="13"/>
      <c r="D193" s="35">
        <f>'Fiscal Forecasts'!D$252</f>
        <v>0.70799999999999996</v>
      </c>
      <c r="E193" s="35">
        <f>'Fiscal Forecasts'!E$252</f>
        <v>0.73599999999999999</v>
      </c>
      <c r="F193" s="35">
        <f>'Fiscal Forecasts'!F$252</f>
        <v>0.80400000000000005</v>
      </c>
      <c r="G193" s="35">
        <f>'Fiscal Forecasts'!G$252</f>
        <v>0.82699999999999996</v>
      </c>
      <c r="H193" s="35">
        <f>'Fiscal Forecasts'!H$252</f>
        <v>0.97099999999999997</v>
      </c>
      <c r="I193" s="35">
        <f>'Fiscal Forecasts'!I$252</f>
        <v>1.202</v>
      </c>
      <c r="J193" s="17">
        <f>'Fiscal Forecasts'!J$252</f>
        <v>1.1160000000000001</v>
      </c>
      <c r="K193" s="17">
        <f>'Fiscal Forecasts'!K$252</f>
        <v>0.995</v>
      </c>
      <c r="L193" s="17">
        <f>'Fiscal Forecasts'!L$252</f>
        <v>0.94099999999999995</v>
      </c>
      <c r="M193" s="17">
        <f>'Fiscal Forecasts'!M$252</f>
        <v>0.94099999999999995</v>
      </c>
      <c r="N193" s="17">
        <f>'Fiscal Forecasts'!N$252</f>
        <v>0.94099999999999995</v>
      </c>
      <c r="O193" s="16">
        <f t="shared" ref="O193:X193" si="135">N$193</f>
        <v>0.94099999999999995</v>
      </c>
      <c r="P193" s="16">
        <f t="shared" si="135"/>
        <v>0.94099999999999995</v>
      </c>
      <c r="Q193" s="16">
        <f t="shared" si="135"/>
        <v>0.94099999999999995</v>
      </c>
      <c r="R193" s="16">
        <f t="shared" si="135"/>
        <v>0.94099999999999995</v>
      </c>
      <c r="S193" s="16">
        <f t="shared" si="135"/>
        <v>0.94099999999999995</v>
      </c>
      <c r="T193" s="16">
        <f t="shared" si="135"/>
        <v>0.94099999999999995</v>
      </c>
      <c r="U193" s="16">
        <f t="shared" si="135"/>
        <v>0.94099999999999995</v>
      </c>
      <c r="V193" s="16">
        <f t="shared" si="135"/>
        <v>0.94099999999999995</v>
      </c>
      <c r="W193" s="16">
        <f t="shared" si="135"/>
        <v>0.94099999999999995</v>
      </c>
      <c r="X193" s="16">
        <f t="shared" si="135"/>
        <v>0.94099999999999995</v>
      </c>
    </row>
    <row r="194" spans="1:24" x14ac:dyDescent="0.25">
      <c r="A194" s="9" t="s">
        <v>957</v>
      </c>
      <c r="B194" s="10"/>
      <c r="C194" s="13"/>
      <c r="D194" s="65">
        <f t="shared" ref="D194:X194" si="136">SUM(D$191:D$193)</f>
        <v>28.085999999999999</v>
      </c>
      <c r="E194" s="65">
        <f t="shared" si="136"/>
        <v>42.606999999999999</v>
      </c>
      <c r="F194" s="65">
        <f t="shared" si="136"/>
        <v>35.427</v>
      </c>
      <c r="G194" s="65">
        <f t="shared" si="136"/>
        <v>44.086999999999996</v>
      </c>
      <c r="H194" s="65">
        <f t="shared" si="136"/>
        <v>38.802999999999997</v>
      </c>
      <c r="I194" s="65">
        <f t="shared" si="136"/>
        <v>41.937000000000012</v>
      </c>
      <c r="J194" s="66">
        <f t="shared" si="136"/>
        <v>44.864000000000011</v>
      </c>
      <c r="K194" s="66">
        <f t="shared" si="136"/>
        <v>46.522999999999996</v>
      </c>
      <c r="L194" s="66">
        <f t="shared" si="136"/>
        <v>47.961999999999989</v>
      </c>
      <c r="M194" s="66">
        <f t="shared" si="136"/>
        <v>49.622000000000014</v>
      </c>
      <c r="N194" s="66">
        <f t="shared" si="136"/>
        <v>50.691000000000003</v>
      </c>
      <c r="O194" s="67">
        <f t="shared" ca="1" si="136"/>
        <v>52.716537878014769</v>
      </c>
      <c r="P194" s="67">
        <f t="shared" ca="1" si="136"/>
        <v>54.97496932655698</v>
      </c>
      <c r="Q194" s="67">
        <f t="shared" ca="1" si="136"/>
        <v>57.336481433380918</v>
      </c>
      <c r="R194" s="67">
        <f t="shared" ca="1" si="136"/>
        <v>59.784834344606928</v>
      </c>
      <c r="S194" s="67">
        <f t="shared" ca="1" si="136"/>
        <v>62.321710620668796</v>
      </c>
      <c r="T194" s="67">
        <f t="shared" ca="1" si="136"/>
        <v>64.903902206045629</v>
      </c>
      <c r="U194" s="67">
        <f t="shared" ca="1" si="136"/>
        <v>67.58738423613697</v>
      </c>
      <c r="V194" s="67">
        <f t="shared" ca="1" si="136"/>
        <v>70.30501559046796</v>
      </c>
      <c r="W194" s="67">
        <f t="shared" ca="1" si="136"/>
        <v>72.993209551386627</v>
      </c>
      <c r="X194" s="67">
        <f t="shared" ca="1" si="136"/>
        <v>75.659959432481941</v>
      </c>
    </row>
    <row r="195" spans="1:24" x14ac:dyDescent="0.25">
      <c r="A195" s="9" t="s">
        <v>1098</v>
      </c>
      <c r="B195" s="10" t="str">
        <f t="shared" si="127"/>
        <v>From Fiscal Forecasts</v>
      </c>
      <c r="C195" s="13"/>
      <c r="D195" s="42">
        <f>'Fiscal Forecasts'!D$170</f>
        <v>29.015000000000001</v>
      </c>
      <c r="E195" s="42">
        <f>'Fiscal Forecasts'!E$170</f>
        <v>43.616</v>
      </c>
      <c r="F195" s="42">
        <f>'Fiscal Forecasts'!F$170</f>
        <v>36.521000000000001</v>
      </c>
      <c r="G195" s="42">
        <f>'Fiscal Forecasts'!G$170</f>
        <v>45.265999999999998</v>
      </c>
      <c r="H195" s="42">
        <f>'Fiscal Forecasts'!H$170</f>
        <v>40.003</v>
      </c>
      <c r="I195" s="42">
        <f>'Fiscal Forecasts'!I$170</f>
        <v>43.265000000000001</v>
      </c>
      <c r="J195" s="43">
        <f>'Fiscal Forecasts'!J$170</f>
        <v>46.338000000000001</v>
      </c>
      <c r="K195" s="43">
        <f>'Fiscal Forecasts'!K$170</f>
        <v>48.189</v>
      </c>
      <c r="L195" s="43">
        <f>'Fiscal Forecasts'!L$170</f>
        <v>49.661999999999999</v>
      </c>
      <c r="M195" s="43">
        <f>'Fiscal Forecasts'!M$170</f>
        <v>51.345999999999997</v>
      </c>
      <c r="N195" s="43">
        <f>'Fiscal Forecasts'!N$170</f>
        <v>52.415999999999997</v>
      </c>
      <c r="O195" s="47">
        <f t="shared" ref="O195:X195" ca="1" si="137">O$194</f>
        <v>52.716537878014769</v>
      </c>
      <c r="P195" s="47">
        <f t="shared" ca="1" si="137"/>
        <v>54.97496932655698</v>
      </c>
      <c r="Q195" s="47">
        <f t="shared" ca="1" si="137"/>
        <v>57.336481433380918</v>
      </c>
      <c r="R195" s="47">
        <f t="shared" ca="1" si="137"/>
        <v>59.784834344606928</v>
      </c>
      <c r="S195" s="47">
        <f t="shared" ca="1" si="137"/>
        <v>62.321710620668796</v>
      </c>
      <c r="T195" s="47">
        <f t="shared" ca="1" si="137"/>
        <v>64.903902206045629</v>
      </c>
      <c r="U195" s="47">
        <f t="shared" ca="1" si="137"/>
        <v>67.58738423613697</v>
      </c>
      <c r="V195" s="47">
        <f t="shared" ca="1" si="137"/>
        <v>70.30501559046796</v>
      </c>
      <c r="W195" s="47">
        <f t="shared" ca="1" si="137"/>
        <v>72.993209551386627</v>
      </c>
      <c r="X195" s="47">
        <f t="shared" ca="1" si="137"/>
        <v>75.659959432481941</v>
      </c>
    </row>
    <row r="196" spans="1:24" x14ac:dyDescent="0.25">
      <c r="A196" s="11" t="s">
        <v>953</v>
      </c>
      <c r="B196" s="10" t="str">
        <f t="shared" si="127"/>
        <v>From Fiscal Forecasts</v>
      </c>
      <c r="C196" s="64" cm="1">
        <f t="array" aca="1" ref="C196" ca="1">SUMPRODUCT(OFFSET($N$196,0,0,1,-OFFSET(Assumptions!$B$59,0,$C$1))/OFFSET($N$13,0,0,1,-OFFSET(Assumptions!$B$59,0,$C$1)))/OFFSET(Assumptions!$B$59,0,$C$1)</f>
        <v>1.1282140096802045E-2</v>
      </c>
      <c r="D196" s="35">
        <f>'Fiscal Forecasts'!D$57-D$189</f>
        <v>2.8959999999999972</v>
      </c>
      <c r="E196" s="35">
        <f>'Fiscal Forecasts'!E$57-E$189</f>
        <v>3.6169999999999973</v>
      </c>
      <c r="F196" s="35">
        <f>'Fiscal Forecasts'!F$57-F$189</f>
        <v>3.642000000000003</v>
      </c>
      <c r="G196" s="35">
        <f>'Fiscal Forecasts'!G$57-G$189</f>
        <v>1.1199999999999974</v>
      </c>
      <c r="H196" s="35">
        <f>'Fiscal Forecasts'!H$57-H$189</f>
        <v>5.2040000000000006</v>
      </c>
      <c r="I196" s="35">
        <f>'Fiscal Forecasts'!I$57-I$189</f>
        <v>5.3939999999999912</v>
      </c>
      <c r="J196" s="17">
        <f ca="1">'Fiscal Forecasts'!J$57-J$189+IF(OFFSET(Assumptions!$B$56,0,$C$1)="Yes",Allocation!C$14,0)</f>
        <v>5.4269999999999907</v>
      </c>
      <c r="K196" s="17">
        <f ca="1">'Fiscal Forecasts'!K$57-K$189+IF(OFFSET(Assumptions!$B$56,0,$C$1)="Yes",Allocation!D$14,0)</f>
        <v>5.8540000000000028</v>
      </c>
      <c r="L196" s="17">
        <f ca="1">'Fiscal Forecasts'!L$57-L$189+IF(OFFSET(Assumptions!$B$56,0,$C$1)="Yes",Allocation!E$14,0)</f>
        <v>6.0310000000000139</v>
      </c>
      <c r="M196" s="17">
        <f ca="1">'Fiscal Forecasts'!M$57-M$189+IF(OFFSET(Assumptions!$B$56,0,$C$1)="Yes",Allocation!F$14,0)</f>
        <v>6.0859999999999896</v>
      </c>
      <c r="N196" s="17">
        <f ca="1">'Fiscal Forecasts'!N$57-N$189+IF(OFFSET(Assumptions!$B$56,0,$C$1)="Yes",Allocation!G$14,0)</f>
        <v>6.2429999999999977</v>
      </c>
      <c r="O196" s="16">
        <f ca="1">IF(OFFSET(Assumptions!$B$57,0,$C$1)="Yes",$N$196+Allocation!$B$14*SUM($O$247:O$247),IF(OFFSET(Assumptions!$B$58,0,$C$1)="Yes",(N$196/N$13+MIN(ABS($C$196-N$196/N$13),OFFSET(Assumptions!$B$60,0,$C$1))*SIGN($C$196-N$196/N$13))*O$13,$N$196))</f>
        <v>6.2390018272215935</v>
      </c>
      <c r="P196" s="16">
        <f ca="1">IF(OFFSET(Assumptions!$B$57,0,$C$1)="Yes",$N$196+Allocation!$B$14*SUM($O$247:P$247),IF(OFFSET(Assumptions!$B$58,0,$C$1)="Yes",(O$196/O$13+MIN(ABS($C$196-O$196/O$13),OFFSET(Assumptions!$B$60,0,$C$1))*SIGN($C$196-O$196/O$13))*P$13,$N$196))</f>
        <v>6.431440131465572</v>
      </c>
      <c r="Q196" s="16">
        <f ca="1">IF(OFFSET(Assumptions!$B$57,0,$C$1)="Yes",$N$196+Allocation!$B$14*SUM($O$247:Q$247),IF(OFFSET(Assumptions!$B$58,0,$C$1)="Yes",(P$196/P$13+MIN(ABS($C$196-P$196/P$13),OFFSET(Assumptions!$B$60,0,$C$1))*SIGN($C$196-P$196/P$13))*Q$13,$N$196))</f>
        <v>6.6950928277190922</v>
      </c>
      <c r="R196" s="16">
        <f ca="1">IF(OFFSET(Assumptions!$B$57,0,$C$1)="Yes",$N$196+Allocation!$B$14*SUM($O$247:R$247),IF(OFFSET(Assumptions!$B$58,0,$C$1)="Yes",(Q$196/Q$13+MIN(ABS($C$196-Q$196/Q$13),OFFSET(Assumptions!$B$60,0,$C$1))*SIGN($C$196-Q$196/Q$13))*R$13,$N$196))</f>
        <v>6.9587221523511307</v>
      </c>
      <c r="S196" s="16">
        <f ca="1">IF(OFFSET(Assumptions!$B$57,0,$C$1)="Yes",$N$196+Allocation!$B$14*SUM($O$247:S$247),IF(OFFSET(Assumptions!$B$58,0,$C$1)="Yes",(R$196/R$13+MIN(ABS($C$196-R$196/R$13),OFFSET(Assumptions!$B$60,0,$C$1))*SIGN($C$196-R$196/R$13))*S$13,$N$196))</f>
        <v>7.2281644142258941</v>
      </c>
      <c r="T196" s="16">
        <f ca="1">IF(OFFSET(Assumptions!$B$57,0,$C$1)="Yes",$N$196+Allocation!$B$14*SUM($O$247:T$247),IF(OFFSET(Assumptions!$B$58,0,$C$1)="Yes",(S$196/S$13+MIN(ABS($C$196-S$196/S$13),OFFSET(Assumptions!$B$60,0,$C$1))*SIGN($C$196-S$196/S$13))*T$13,$N$196))</f>
        <v>7.5030084203610334</v>
      </c>
      <c r="U196" s="16">
        <f ca="1">IF(OFFSET(Assumptions!$B$57,0,$C$1)="Yes",$N$196+Allocation!$B$14*SUM($O$247:U$247),IF(OFFSET(Assumptions!$B$58,0,$C$1)="Yes",(T$196/T$13+MIN(ABS($C$196-T$196/T$13),OFFSET(Assumptions!$B$60,0,$C$1))*SIGN($C$196-T$196/T$13))*U$13,$N$196))</f>
        <v>7.7815169359500755</v>
      </c>
      <c r="V196" s="16">
        <f ca="1">IF(OFFSET(Assumptions!$B$57,0,$C$1)="Yes",$N$196+Allocation!$B$14*SUM($O$247:V$247),IF(OFFSET(Assumptions!$B$58,0,$C$1)="Yes",(U$196/U$13+MIN(ABS($C$196-U$196/U$13),OFFSET(Assumptions!$B$60,0,$C$1))*SIGN($C$196-U$196/U$13))*V$13,$N$196))</f>
        <v>8.0642127733289151</v>
      </c>
      <c r="W196" s="16">
        <f ca="1">IF(OFFSET(Assumptions!$B$57,0,$C$1)="Yes",$N$196+Allocation!$B$14*SUM($O$247:W$247),IF(OFFSET(Assumptions!$B$58,0,$C$1)="Yes",(V$196/V$13+MIN(ABS($C$196-V$196/V$13),OFFSET(Assumptions!$B$60,0,$C$1))*SIGN($C$196-V$196/V$13))*W$13,$N$196))</f>
        <v>8.3510854002440027</v>
      </c>
      <c r="X196" s="16">
        <f ca="1">IF(OFFSET(Assumptions!$B$57,0,$C$1)="Yes",$N$196+Allocation!$B$14*SUM($O$247:X$247),IF(OFFSET(Assumptions!$B$58,0,$C$1)="Yes",(W$196/W$13+MIN(ABS($C$196-W$196/W$13),OFFSET(Assumptions!$B$60,0,$C$1))*SIGN($C$196-W$196/W$13))*X$13,$N$196))</f>
        <v>8.6442965538083172</v>
      </c>
    </row>
    <row r="197" spans="1:24" x14ac:dyDescent="0.25">
      <c r="A197" s="9" t="s">
        <v>954</v>
      </c>
      <c r="B197" s="10"/>
      <c r="C197" s="13"/>
      <c r="D197" s="42">
        <f t="shared" ref="D197:X197" si="138">SUM(D$189,D$196)</f>
        <v>28.74</v>
      </c>
      <c r="E197" s="42">
        <f t="shared" si="138"/>
        <v>44.027999999999999</v>
      </c>
      <c r="F197" s="42">
        <f t="shared" si="138"/>
        <v>36.759</v>
      </c>
      <c r="G197" s="42">
        <f t="shared" si="138"/>
        <v>42.86</v>
      </c>
      <c r="H197" s="42">
        <f t="shared" si="138"/>
        <v>41.514000000000003</v>
      </c>
      <c r="I197" s="42">
        <f t="shared" si="138"/>
        <v>44.588999999999999</v>
      </c>
      <c r="J197" s="43">
        <f t="shared" ca="1" si="138"/>
        <v>47.536999999999999</v>
      </c>
      <c r="K197" s="43">
        <f t="shared" ca="1" si="138"/>
        <v>50.201999999999998</v>
      </c>
      <c r="L197" s="43">
        <f t="shared" ca="1" si="138"/>
        <v>51.847000000000001</v>
      </c>
      <c r="M197" s="43">
        <f t="shared" ca="1" si="138"/>
        <v>53.542000000000002</v>
      </c>
      <c r="N197" s="43">
        <f t="shared" ca="1" si="138"/>
        <v>54.751999999999995</v>
      </c>
      <c r="O197" s="47">
        <f t="shared" ca="1" si="138"/>
        <v>56.729914845494584</v>
      </c>
      <c r="P197" s="47">
        <f t="shared" ca="1" si="138"/>
        <v>59.133463768375684</v>
      </c>
      <c r="Q197" s="47">
        <f t="shared" ca="1" si="138"/>
        <v>61.713450483012785</v>
      </c>
      <c r="R197" s="47">
        <f t="shared" ca="1" si="138"/>
        <v>64.382540747627417</v>
      </c>
      <c r="S197" s="47">
        <f t="shared" ca="1" si="138"/>
        <v>67.144885747428845</v>
      </c>
      <c r="T197" s="47">
        <f t="shared" ca="1" si="138"/>
        <v>69.956367862250772</v>
      </c>
      <c r="U197" s="47">
        <f t="shared" ca="1" si="138"/>
        <v>72.872768336776744</v>
      </c>
      <c r="V197" s="47">
        <f t="shared" ca="1" si="138"/>
        <v>75.826854580689357</v>
      </c>
      <c r="W197" s="47">
        <f t="shared" ca="1" si="138"/>
        <v>78.754881026063174</v>
      </c>
      <c r="X197" s="47">
        <f t="shared" ca="1" si="138"/>
        <v>81.666398569704739</v>
      </c>
    </row>
    <row r="198" spans="1:24" x14ac:dyDescent="0.25">
      <c r="A198" s="11" t="s">
        <v>955</v>
      </c>
      <c r="B198" s="10" t="str">
        <f t="shared" ref="B198:B199" si="139">$B$38</f>
        <v>From Fiscal Forecasts</v>
      </c>
      <c r="C198" s="13"/>
      <c r="D198" s="35">
        <f>'Fiscal Forecasts'!D$206</f>
        <v>6.6790000000000003</v>
      </c>
      <c r="E198" s="35">
        <f>'Fiscal Forecasts'!E$206</f>
        <v>7.6630000000000003</v>
      </c>
      <c r="F198" s="35">
        <f>'Fiscal Forecasts'!F$206</f>
        <v>7.968</v>
      </c>
      <c r="G198" s="35">
        <f>'Fiscal Forecasts'!G$206</f>
        <v>7.3879999999999999</v>
      </c>
      <c r="H198" s="35">
        <f>'Fiscal Forecasts'!H$206</f>
        <v>9.3290000000000006</v>
      </c>
      <c r="I198" s="35">
        <f>'Fiscal Forecasts'!I$206</f>
        <v>11.634</v>
      </c>
      <c r="J198" s="17">
        <f>'Fiscal Forecasts'!J$206</f>
        <v>12.664999999999999</v>
      </c>
      <c r="K198" s="17">
        <f>'Fiscal Forecasts'!K$206</f>
        <v>12.111000000000001</v>
      </c>
      <c r="L198" s="17">
        <f>'Fiscal Forecasts'!L$206</f>
        <v>12.856</v>
      </c>
      <c r="M198" s="17">
        <f>'Fiscal Forecasts'!M$206</f>
        <v>13.465</v>
      </c>
      <c r="N198" s="17">
        <f>'Fiscal Forecasts'!N$206</f>
        <v>13.920999999999999</v>
      </c>
      <c r="O198" s="16">
        <f>N$198*Exogenous!Z$28/Exogenous!Y$28</f>
        <v>14.741060183307349</v>
      </c>
      <c r="P198" s="16">
        <f>O$198*Exogenous!AA$28/Exogenous!Z$28</f>
        <v>15.609291136995271</v>
      </c>
      <c r="Q198" s="16">
        <f>P$198*Exogenous!AB$28/Exogenous!AA$28</f>
        <v>16.498221635934527</v>
      </c>
      <c r="R198" s="16">
        <f>Q$198*Exogenous!AC$28/Exogenous!AB$28</f>
        <v>17.390181269487861</v>
      </c>
      <c r="S198" s="16">
        <f>R$198*Exogenous!AD$28/Exogenous!AC$28</f>
        <v>18.295203937066184</v>
      </c>
      <c r="T198" s="16">
        <f>S$198*Exogenous!AE$28/Exogenous!AD$28</f>
        <v>19.182051122296574</v>
      </c>
      <c r="U198" s="16">
        <f>T$198*Exogenous!AF$28/Exogenous!AE$28</f>
        <v>20.126712029200899</v>
      </c>
      <c r="V198" s="16">
        <f>U$198*Exogenous!AG$28/Exogenous!AF$28</f>
        <v>21.078560641678465</v>
      </c>
      <c r="W198" s="16">
        <f>V$198*Exogenous!AH$28/Exogenous!AG$28</f>
        <v>22.065449450621678</v>
      </c>
      <c r="X198" s="16">
        <f>W$198*Exogenous!AI$28/Exogenous!AH$28</f>
        <v>23.098985950547377</v>
      </c>
    </row>
    <row r="199" spans="1:24" x14ac:dyDescent="0.25">
      <c r="A199" s="11" t="s">
        <v>956</v>
      </c>
      <c r="B199" s="10" t="str">
        <f t="shared" si="139"/>
        <v>From Fiscal Forecasts</v>
      </c>
      <c r="C199" s="13"/>
      <c r="D199" s="35">
        <f>'Fiscal Forecasts'!D$40-SUM(D$197:D$198)</f>
        <v>-1.5169999999999959</v>
      </c>
      <c r="E199" s="35">
        <f>'Fiscal Forecasts'!E$40-SUM(E$197:E$198)</f>
        <v>-1.7910000000000039</v>
      </c>
      <c r="F199" s="35">
        <f>'Fiscal Forecasts'!F$40-SUM(F$197:F$198)</f>
        <v>-1.8350000000000009</v>
      </c>
      <c r="G199" s="35">
        <f>'Fiscal Forecasts'!G$40-SUM(G$197:G$198)</f>
        <v>-1.9450000000000003</v>
      </c>
      <c r="H199" s="35">
        <f>'Fiscal Forecasts'!H$40-SUM(H$197:H$198)</f>
        <v>-1.9980000000000047</v>
      </c>
      <c r="I199" s="35">
        <f>'Fiscal Forecasts'!I$40-SUM(I$197:I$198)</f>
        <v>-2.2269999999999968</v>
      </c>
      <c r="J199" s="17">
        <f ca="1">'Fiscal Forecasts'!J$40-SUM(J$197:J$198)+IF(OFFSET(Assumptions!$B$56,0,$C$1)="Yes",Allocation!C$14,0)</f>
        <v>-2.4979999999999993</v>
      </c>
      <c r="K199" s="17">
        <f ca="1">'Fiscal Forecasts'!K$40-SUM(K$197:K$198)+IF(OFFSET(Assumptions!$B$56,0,$C$1)="Yes",Allocation!D$14,0)</f>
        <v>-2.797000000000001</v>
      </c>
      <c r="L199" s="17">
        <f ca="1">'Fiscal Forecasts'!L$40-SUM(L$197:L$198)+IF(OFFSET(Assumptions!$B$56,0,$C$1)="Yes",Allocation!E$14,0)</f>
        <v>-2.9380000000000019</v>
      </c>
      <c r="M199" s="17">
        <f ca="1">'Fiscal Forecasts'!M$40-SUM(M$197:M$198)+IF(OFFSET(Assumptions!$B$56,0,$C$1)="Yes",Allocation!F$14,0)</f>
        <v>-3.0270000000000032</v>
      </c>
      <c r="N199" s="17">
        <f ca="1">'Fiscal Forecasts'!N$40-SUM(N$197:N$198)+IF(OFFSET(Assumptions!$B$56,0,$C$1)="Yes",Allocation!G$14,0)</f>
        <v>-3.0949999999999962</v>
      </c>
      <c r="O199" s="16">
        <f ca="1">N$199*Exogenous!Z$27/Exogenous!Y$27</f>
        <v>-3.3271249999999952</v>
      </c>
      <c r="P199" s="16">
        <f ca="1">O$199*Exogenous!AA$27/Exogenous!Z$27</f>
        <v>-3.5766593749999944</v>
      </c>
      <c r="Q199" s="16">
        <f ca="1">P$199*Exogenous!AB$27/Exogenous!AA$27</f>
        <v>-3.8449088281249941</v>
      </c>
      <c r="R199" s="16">
        <f ca="1">Q$199*Exogenous!AC$27/Exogenous!AB$27</f>
        <v>-4.1332769902343687</v>
      </c>
      <c r="S199" s="16">
        <f ca="1">R$199*Exogenous!AD$27/Exogenous!AC$27</f>
        <v>-4.4432727645019465</v>
      </c>
      <c r="T199" s="16">
        <f ca="1">S$199*Exogenous!AE$27/Exogenous!AD$27</f>
        <v>-4.7765182218395914</v>
      </c>
      <c r="U199" s="16">
        <f ca="1">T$199*Exogenous!AF$27/Exogenous!AE$27</f>
        <v>-5.1347570884775626</v>
      </c>
      <c r="V199" s="16">
        <f ca="1">U$199*Exogenous!AG$27/Exogenous!AF$27</f>
        <v>-5.3396158360369972</v>
      </c>
      <c r="W199" s="16">
        <f ca="1">V$199*Exogenous!AH$27/Exogenous!AG$27</f>
        <v>-5.4869186271160162</v>
      </c>
      <c r="X199" s="16">
        <f ca="1">W$199*Exogenous!AI$27/Exogenous!AH$27</f>
        <v>-5.6476138435834677</v>
      </c>
    </row>
    <row r="200" spans="1:24" x14ac:dyDescent="0.25">
      <c r="A200" s="9" t="s">
        <v>958</v>
      </c>
      <c r="C200" s="13"/>
      <c r="D200" s="65">
        <f t="shared" ref="D200:I200" si="140">SUM(D$197:D$199)</f>
        <v>33.902000000000001</v>
      </c>
      <c r="E200" s="65">
        <f t="shared" si="140"/>
        <v>49.9</v>
      </c>
      <c r="F200" s="65">
        <f t="shared" si="140"/>
        <v>42.892000000000003</v>
      </c>
      <c r="G200" s="65">
        <f t="shared" si="140"/>
        <v>48.302999999999997</v>
      </c>
      <c r="H200" s="65">
        <f t="shared" si="140"/>
        <v>48.844999999999999</v>
      </c>
      <c r="I200" s="65">
        <f t="shared" si="140"/>
        <v>53.996000000000002</v>
      </c>
      <c r="J200" s="66">
        <f t="shared" ref="J200:X200" ca="1" si="141">SUM(J$197:J$199)</f>
        <v>57.704000000000001</v>
      </c>
      <c r="K200" s="66">
        <f t="shared" ca="1" si="141"/>
        <v>59.515999999999998</v>
      </c>
      <c r="L200" s="66">
        <f t="shared" ca="1" si="141"/>
        <v>61.765000000000001</v>
      </c>
      <c r="M200" s="66">
        <f t="shared" ca="1" si="141"/>
        <v>63.980000000000004</v>
      </c>
      <c r="N200" s="66">
        <f t="shared" ca="1" si="141"/>
        <v>65.578000000000003</v>
      </c>
      <c r="O200" s="67">
        <f t="shared" ca="1" si="141"/>
        <v>68.143850028801936</v>
      </c>
      <c r="P200" s="67">
        <f t="shared" ca="1" si="141"/>
        <v>71.166095530370967</v>
      </c>
      <c r="Q200" s="67">
        <f t="shared" ca="1" si="141"/>
        <v>74.36676329082232</v>
      </c>
      <c r="R200" s="67">
        <f t="shared" ca="1" si="141"/>
        <v>77.639445026880921</v>
      </c>
      <c r="S200" s="67">
        <f t="shared" ca="1" si="141"/>
        <v>80.996816919993094</v>
      </c>
      <c r="T200" s="67">
        <f t="shared" ca="1" si="141"/>
        <v>84.361900762707748</v>
      </c>
      <c r="U200" s="67">
        <f t="shared" ca="1" si="141"/>
        <v>87.86472327750009</v>
      </c>
      <c r="V200" s="67">
        <f t="shared" ca="1" si="141"/>
        <v>91.565799386330823</v>
      </c>
      <c r="W200" s="67">
        <f t="shared" ca="1" si="141"/>
        <v>95.333411849568847</v>
      </c>
      <c r="X200" s="67">
        <f t="shared" ca="1" si="141"/>
        <v>99.117770676668641</v>
      </c>
    </row>
    <row r="201" spans="1:24" x14ac:dyDescent="0.25">
      <c r="A201" s="12" t="s">
        <v>159</v>
      </c>
      <c r="C201" s="13"/>
      <c r="D201" s="11"/>
      <c r="E201" s="11"/>
      <c r="F201" s="11"/>
      <c r="G201" s="11"/>
      <c r="H201" s="11"/>
      <c r="I201" s="11"/>
      <c r="J201" s="11"/>
      <c r="K201" s="11"/>
      <c r="L201" s="11"/>
      <c r="M201" s="11"/>
    </row>
    <row r="202" spans="1:24" x14ac:dyDescent="0.25">
      <c r="A202" s="11" t="s">
        <v>160</v>
      </c>
      <c r="C202" s="13"/>
      <c r="D202" s="39">
        <f>'Economic Forecasts'!Q$18</f>
        <v>1205.79</v>
      </c>
      <c r="E202" s="39">
        <f>'Economic Forecasts'!R$18</f>
        <v>1241.4100000000001</v>
      </c>
      <c r="F202" s="39">
        <f>'Economic Forecasts'!S$18</f>
        <v>1287.81</v>
      </c>
      <c r="G202" s="39">
        <f>'Economic Forecasts'!T$18</f>
        <v>1360.1</v>
      </c>
      <c r="H202" s="39">
        <f>'Economic Forecasts'!U$18</f>
        <v>1462.81</v>
      </c>
      <c r="I202" s="39">
        <f>'Economic Forecasts'!V$18</f>
        <v>1556.16</v>
      </c>
      <c r="J202" s="27">
        <f>'Economic Forecasts'!W$18</f>
        <v>1622.73</v>
      </c>
      <c r="K202" s="27">
        <f>'Economic Forecasts'!X$18</f>
        <v>1651.37</v>
      </c>
      <c r="L202" s="27">
        <f>'Economic Forecasts'!Y$18</f>
        <v>1688.46</v>
      </c>
      <c r="M202" s="27">
        <f>'Economic Forecasts'!Z$18</f>
        <v>1731.59</v>
      </c>
      <c r="N202" s="27">
        <f>'Economic Forecasts'!AA$18</f>
        <v>1778.16</v>
      </c>
      <c r="O202" s="26">
        <f t="shared" ref="O202:X202" ca="1" si="142">N$202*(1+O$26)</f>
        <v>1830.0467088</v>
      </c>
      <c r="P202" s="26">
        <f t="shared" ca="1" si="142"/>
        <v>1884.007466055677</v>
      </c>
      <c r="Q202" s="26">
        <f t="shared" ca="1" si="142"/>
        <v>1940.1358164844078</v>
      </c>
      <c r="R202" s="26">
        <f t="shared" ca="1" si="142"/>
        <v>1998.5300242889555</v>
      </c>
      <c r="S202" s="26">
        <f t="shared" ca="1" si="142"/>
        <v>2058.8856310224819</v>
      </c>
      <c r="T202" s="26">
        <f t="shared" ca="1" si="142"/>
        <v>2121.0639770793609</v>
      </c>
      <c r="U202" s="26">
        <f t="shared" ca="1" si="142"/>
        <v>2184.4710636101713</v>
      </c>
      <c r="V202" s="26">
        <f t="shared" ca="1" si="142"/>
        <v>2249.1051934402694</v>
      </c>
      <c r="W202" s="26">
        <f t="shared" ca="1" si="142"/>
        <v>2314.9634917145877</v>
      </c>
      <c r="X202" s="26">
        <f t="shared" ca="1" si="142"/>
        <v>2382.5141264028193</v>
      </c>
    </row>
    <row r="203" spans="1:24" x14ac:dyDescent="0.25">
      <c r="A203" s="11" t="s">
        <v>75</v>
      </c>
      <c r="C203" s="13"/>
      <c r="D203" s="39">
        <f>'Economic Forecasts'!Q$19</f>
        <v>958.37</v>
      </c>
      <c r="E203" s="39">
        <f>'Economic Forecasts'!R$19</f>
        <v>987.95</v>
      </c>
      <c r="F203" s="39">
        <f>'Economic Forecasts'!S$19</f>
        <v>1018.53</v>
      </c>
      <c r="G203" s="39">
        <f>'Economic Forecasts'!T$19</f>
        <v>1066.06</v>
      </c>
      <c r="H203" s="39">
        <f>'Economic Forecasts'!U$19</f>
        <v>1132.5999999999999</v>
      </c>
      <c r="I203" s="39">
        <f>'Economic Forecasts'!V$19</f>
        <v>1192.4000000000001</v>
      </c>
      <c r="J203" s="27">
        <f>'Economic Forecasts'!W$19</f>
        <v>1255.05</v>
      </c>
      <c r="K203" s="27">
        <f>'Economic Forecasts'!X$19</f>
        <v>1272.31</v>
      </c>
      <c r="L203" s="27">
        <f>'Economic Forecasts'!Y$19</f>
        <v>1295.19</v>
      </c>
      <c r="M203" s="27">
        <f>'Economic Forecasts'!Z$19</f>
        <v>1323.35</v>
      </c>
      <c r="N203" s="27">
        <f>'Economic Forecasts'!AA$19</f>
        <v>1353.55</v>
      </c>
      <c r="O203" s="26">
        <f ca="1">IF(O$6&lt;OFFSET(Assumptions!$B$8,0,$C$1)+OFFSET(Assumptions!$B$36,0,$C$1),O$202-ROUND(IF(ROUNDDOWN(52*O$202,0)&gt;Exogenous!$C$59,(ROUNDDOWN(52*O$202,0)-Exogenous!$C$59)*Exogenous!$B$60+Exogenous!$E$59,IF(ROUNDDOWN(52*O$202,0)&gt;Exogenous!$C$58,(ROUNDDOWN(52*O$202,0)-Exogenous!$C$58)*Exogenous!$B$59+Exogenous!$E$58,IF(ROUNDDOWN(52*O$202,0)&gt;Exogenous!$C$57,(ROUNDDOWN(52*O$202,0)-Exogenous!$C$57)*Exogenous!$B$58+Exogenous!$E$57,IF(ROUNDDOWN(52*O$202,0)&gt;Exogenous!$C$56,(ROUNDDOWN(52*O$202,0)-Exogenous!$C$56)*Exogenous!$B$57+Exogenous!$E$56,ROUNDDOWN(52*O$202,0)*Exogenous!$B$56))))/52+O$202*Exogenous!$B$61,2),ROUND(N$203*(1+O$26),2))</f>
        <v>1393.05</v>
      </c>
      <c r="P203" s="26">
        <f ca="1">IF(P$6&lt;OFFSET(Assumptions!$B$8,0,$C$1)+OFFSET(Assumptions!$B$36,0,$C$1),P$202-ROUND(IF(ROUNDDOWN(52*P$202,0)&gt;Exogenous!$C$59,(ROUNDDOWN(52*P$202,0)-Exogenous!$C$59)*Exogenous!$B$60+Exogenous!$E$59,IF(ROUNDDOWN(52*P$202,0)&gt;Exogenous!$C$58,(ROUNDDOWN(52*P$202,0)-Exogenous!$C$58)*Exogenous!$B$59+Exogenous!$E$58,IF(ROUNDDOWN(52*P$202,0)&gt;Exogenous!$C$57,(ROUNDDOWN(52*P$202,0)-Exogenous!$C$57)*Exogenous!$B$58+Exogenous!$E$57,IF(ROUNDDOWN(52*P$202,0)&gt;Exogenous!$C$56,(ROUNDDOWN(52*P$202,0)-Exogenous!$C$56)*Exogenous!$B$57+Exogenous!$E$56,ROUNDDOWN(52*P$202,0)*Exogenous!$B$56))))/52+P$202*Exogenous!$B$61,2),ROUND(O$203*(1+P$26),2))</f>
        <v>1434.13</v>
      </c>
      <c r="Q203" s="26">
        <f ca="1">IF(Q$6&lt;OFFSET(Assumptions!$B$8,0,$C$1)+OFFSET(Assumptions!$B$36,0,$C$1),Q$202-ROUND(IF(ROUNDDOWN(52*Q$202,0)&gt;Exogenous!$C$59,(ROUNDDOWN(52*Q$202,0)-Exogenous!$C$59)*Exogenous!$B$60+Exogenous!$E$59,IF(ROUNDDOWN(52*Q$202,0)&gt;Exogenous!$C$58,(ROUNDDOWN(52*Q$202,0)-Exogenous!$C$58)*Exogenous!$B$59+Exogenous!$E$58,IF(ROUNDDOWN(52*Q$202,0)&gt;Exogenous!$C$57,(ROUNDDOWN(52*Q$202,0)-Exogenous!$C$57)*Exogenous!$B$58+Exogenous!$E$57,IF(ROUNDDOWN(52*Q$202,0)&gt;Exogenous!$C$56,(ROUNDDOWN(52*Q$202,0)-Exogenous!$C$56)*Exogenous!$B$57+Exogenous!$E$56,ROUNDDOWN(52*Q$202,0)*Exogenous!$B$56))))/52+Q$202*Exogenous!$B$61,2),ROUND(P$203*(1+Q$26),2))</f>
        <v>1476.86</v>
      </c>
      <c r="R203" s="26">
        <f ca="1">IF(R$6&lt;OFFSET(Assumptions!$B$8,0,$C$1)+OFFSET(Assumptions!$B$36,0,$C$1),R$202-ROUND(IF(ROUNDDOWN(52*R$202,0)&gt;Exogenous!$C$59,(ROUNDDOWN(52*R$202,0)-Exogenous!$C$59)*Exogenous!$B$60+Exogenous!$E$59,IF(ROUNDDOWN(52*R$202,0)&gt;Exogenous!$C$58,(ROUNDDOWN(52*R$202,0)-Exogenous!$C$58)*Exogenous!$B$59+Exogenous!$E$58,IF(ROUNDDOWN(52*R$202,0)&gt;Exogenous!$C$57,(ROUNDDOWN(52*R$202,0)-Exogenous!$C$57)*Exogenous!$B$58+Exogenous!$E$57,IF(ROUNDDOWN(52*R$202,0)&gt;Exogenous!$C$56,(ROUNDDOWN(52*R$202,0)-Exogenous!$C$56)*Exogenous!$B$57+Exogenous!$E$56,ROUNDDOWN(52*R$202,0)*Exogenous!$B$56))))/52+R$202*Exogenous!$B$61,2),ROUND(Q$203*(1+R$26),2))</f>
        <v>1521.31</v>
      </c>
      <c r="S203" s="26">
        <f ca="1">IF(S$6&lt;OFFSET(Assumptions!$B$8,0,$C$1)+OFFSET(Assumptions!$B$36,0,$C$1),S$202-ROUND(IF(ROUNDDOWN(52*S$202,0)&gt;Exogenous!$C$59,(ROUNDDOWN(52*S$202,0)-Exogenous!$C$59)*Exogenous!$B$60+Exogenous!$E$59,IF(ROUNDDOWN(52*S$202,0)&gt;Exogenous!$C$58,(ROUNDDOWN(52*S$202,0)-Exogenous!$C$58)*Exogenous!$B$59+Exogenous!$E$58,IF(ROUNDDOWN(52*S$202,0)&gt;Exogenous!$C$57,(ROUNDDOWN(52*S$202,0)-Exogenous!$C$57)*Exogenous!$B$58+Exogenous!$E$57,IF(ROUNDDOWN(52*S$202,0)&gt;Exogenous!$C$56,(ROUNDDOWN(52*S$202,0)-Exogenous!$C$56)*Exogenous!$B$57+Exogenous!$E$56,ROUNDDOWN(52*S$202,0)*Exogenous!$B$56))))/52+S$202*Exogenous!$B$61,2),ROUND(R$203*(1+S$26),2))</f>
        <v>1567.25</v>
      </c>
      <c r="T203" s="26">
        <f ca="1">IF(T$6&lt;OFFSET(Assumptions!$B$8,0,$C$1)+OFFSET(Assumptions!$B$36,0,$C$1),T$202-ROUND(IF(ROUNDDOWN(52*T$202,0)&gt;Exogenous!$C$59,(ROUNDDOWN(52*T$202,0)-Exogenous!$C$59)*Exogenous!$B$60+Exogenous!$E$59,IF(ROUNDDOWN(52*T$202,0)&gt;Exogenous!$C$58,(ROUNDDOWN(52*T$202,0)-Exogenous!$C$58)*Exogenous!$B$59+Exogenous!$E$58,IF(ROUNDDOWN(52*T$202,0)&gt;Exogenous!$C$57,(ROUNDDOWN(52*T$202,0)-Exogenous!$C$57)*Exogenous!$B$58+Exogenous!$E$57,IF(ROUNDDOWN(52*T$202,0)&gt;Exogenous!$C$56,(ROUNDDOWN(52*T$202,0)-Exogenous!$C$56)*Exogenous!$B$57+Exogenous!$E$56,ROUNDDOWN(52*T$202,0)*Exogenous!$B$56))))/52+T$202*Exogenous!$B$61,2),ROUND(S$203*(1+T$26),2))</f>
        <v>1614.58</v>
      </c>
      <c r="U203" s="26">
        <f ca="1">IF(U$6&lt;OFFSET(Assumptions!$B$8,0,$C$1)+OFFSET(Assumptions!$B$36,0,$C$1),U$202-ROUND(IF(ROUNDDOWN(52*U$202,0)&gt;Exogenous!$C$59,(ROUNDDOWN(52*U$202,0)-Exogenous!$C$59)*Exogenous!$B$60+Exogenous!$E$59,IF(ROUNDDOWN(52*U$202,0)&gt;Exogenous!$C$58,(ROUNDDOWN(52*U$202,0)-Exogenous!$C$58)*Exogenous!$B$59+Exogenous!$E$58,IF(ROUNDDOWN(52*U$202,0)&gt;Exogenous!$C$57,(ROUNDDOWN(52*U$202,0)-Exogenous!$C$57)*Exogenous!$B$58+Exogenous!$E$57,IF(ROUNDDOWN(52*U$202,0)&gt;Exogenous!$C$56,(ROUNDDOWN(52*U$202,0)-Exogenous!$C$56)*Exogenous!$B$57+Exogenous!$E$56,ROUNDDOWN(52*U$202,0)*Exogenous!$B$56))))/52+U$202*Exogenous!$B$61,2),ROUND(T$203*(1+U$26),2))</f>
        <v>1662.85</v>
      </c>
      <c r="V203" s="26">
        <f ca="1">IF(V$6&lt;OFFSET(Assumptions!$B$8,0,$C$1)+OFFSET(Assumptions!$B$36,0,$C$1),V$202-ROUND(IF(ROUNDDOWN(52*V$202,0)&gt;Exogenous!$C$59,(ROUNDDOWN(52*V$202,0)-Exogenous!$C$59)*Exogenous!$B$60+Exogenous!$E$59,IF(ROUNDDOWN(52*V$202,0)&gt;Exogenous!$C$58,(ROUNDDOWN(52*V$202,0)-Exogenous!$C$58)*Exogenous!$B$59+Exogenous!$E$58,IF(ROUNDDOWN(52*V$202,0)&gt;Exogenous!$C$57,(ROUNDDOWN(52*V$202,0)-Exogenous!$C$57)*Exogenous!$B$58+Exogenous!$E$57,IF(ROUNDDOWN(52*V$202,0)&gt;Exogenous!$C$56,(ROUNDDOWN(52*V$202,0)-Exogenous!$C$56)*Exogenous!$B$57+Exogenous!$E$56,ROUNDDOWN(52*V$202,0)*Exogenous!$B$56))))/52+V$202*Exogenous!$B$61,2),ROUND(U$203*(1+V$26),2))</f>
        <v>1712.05</v>
      </c>
      <c r="W203" s="26">
        <f ca="1">IF(W$6&lt;OFFSET(Assumptions!$B$8,0,$C$1)+OFFSET(Assumptions!$B$36,0,$C$1),W$202-ROUND(IF(ROUNDDOWN(52*W$202,0)&gt;Exogenous!$C$59,(ROUNDDOWN(52*W$202,0)-Exogenous!$C$59)*Exogenous!$B$60+Exogenous!$E$59,IF(ROUNDDOWN(52*W$202,0)&gt;Exogenous!$C$58,(ROUNDDOWN(52*W$202,0)-Exogenous!$C$58)*Exogenous!$B$59+Exogenous!$E$58,IF(ROUNDDOWN(52*W$202,0)&gt;Exogenous!$C$57,(ROUNDDOWN(52*W$202,0)-Exogenous!$C$57)*Exogenous!$B$58+Exogenous!$E$57,IF(ROUNDDOWN(52*W$202,0)&gt;Exogenous!$C$56,(ROUNDDOWN(52*W$202,0)-Exogenous!$C$56)*Exogenous!$B$57+Exogenous!$E$56,ROUNDDOWN(52*W$202,0)*Exogenous!$B$56))))/52+W$202*Exogenous!$B$61,2),ROUND(V$203*(1+W$26),2))</f>
        <v>1762.18</v>
      </c>
      <c r="X203" s="26">
        <f ca="1">IF(X$6&lt;OFFSET(Assumptions!$B$8,0,$C$1)+OFFSET(Assumptions!$B$36,0,$C$1),X$202-ROUND(IF(ROUNDDOWN(52*X$202,0)&gt;Exogenous!$C$59,(ROUNDDOWN(52*X$202,0)-Exogenous!$C$59)*Exogenous!$B$60+Exogenous!$E$59,IF(ROUNDDOWN(52*X$202,0)&gt;Exogenous!$C$58,(ROUNDDOWN(52*X$202,0)-Exogenous!$C$58)*Exogenous!$B$59+Exogenous!$E$58,IF(ROUNDDOWN(52*X$202,0)&gt;Exogenous!$C$57,(ROUNDDOWN(52*X$202,0)-Exogenous!$C$57)*Exogenous!$B$58+Exogenous!$E$57,IF(ROUNDDOWN(52*X$202,0)&gt;Exogenous!$C$56,(ROUNDDOWN(52*X$202,0)-Exogenous!$C$56)*Exogenous!$B$57+Exogenous!$E$56,ROUNDDOWN(52*X$202,0)*Exogenous!$B$56))))/52+X$202*Exogenous!$B$61,2),ROUND(W$203*(1+X$26),2))</f>
        <v>1813.6</v>
      </c>
    </row>
    <row r="204" spans="1:24" x14ac:dyDescent="0.25">
      <c r="A204" s="11" t="s">
        <v>74</v>
      </c>
      <c r="C204" s="13"/>
      <c r="D204" s="39">
        <f>'Economic Forecasts'!Q$20</f>
        <v>360.42</v>
      </c>
      <c r="E204" s="39">
        <f>'Economic Forecasts'!R$20</f>
        <v>372.27</v>
      </c>
      <c r="F204" s="39">
        <f>'Economic Forecasts'!S$20</f>
        <v>384.46</v>
      </c>
      <c r="G204" s="39">
        <f>'Economic Forecasts'!T$20</f>
        <v>408.66</v>
      </c>
      <c r="H204" s="39">
        <f>'Economic Forecasts'!U$20</f>
        <v>439.79</v>
      </c>
      <c r="I204" s="39">
        <f>'Economic Forecasts'!V$20</f>
        <v>461.41</v>
      </c>
      <c r="J204" s="27">
        <f>'Economic Forecasts'!W$20</f>
        <v>476.47</v>
      </c>
      <c r="K204" s="27">
        <f>'Economic Forecasts'!X$20</f>
        <v>488.1</v>
      </c>
      <c r="L204" s="27">
        <f>'Economic Forecasts'!Y$20</f>
        <v>498.32</v>
      </c>
      <c r="M204" s="27">
        <f>'Economic Forecasts'!Z$20</f>
        <v>508.71</v>
      </c>
      <c r="N204" s="27">
        <f>'Economic Forecasts'!AA$20</f>
        <v>519.45000000000005</v>
      </c>
      <c r="O204" s="26">
        <f ca="1">IF(O$6&lt;OFFSET(Assumptions!$B$8,0,$C$1)+OFFSET(Assumptions!$B$36,0,$C$1),IF(52*O$205&gt;Exogenous!$D$59,(52*O$205-Exogenous!$C$59*Exogenous!$B$60+Exogenous!$E$59)/(1-Exogenous!$B$60),IF(52*O$205&gt;Exogenous!$D$58,(52*O$205-Exogenous!$C$58*Exogenous!$B$59+Exogenous!$E$58)/(1-Exogenous!$B$59),IF(52*O$205&gt;Exogenous!$D$57,(52*O$205-Exogenous!$C$57*Exogenous!$B$58+Exogenous!$E$57)/(1-Exogenous!$B$58),IF(52*O$205&gt;Exogenous!$D$56,(52*O$205-Exogenous!$C$56*Exogenous!$B$57+Exogenous!$E$56)/(1-Exogenous!$B$57),52*O$205/(1-Exogenous!$B$56)))))/52,N$204*O$205/N$205)</f>
        <v>531.09121149611906</v>
      </c>
      <c r="P204" s="26">
        <f ca="1">IF(P$6&lt;OFFSET(Assumptions!$B$8,0,$C$1)+OFFSET(Assumptions!$B$36,0,$C$1),IF(52*P$205&gt;Exogenous!$D$59,(52*P$205-Exogenous!$C$59*Exogenous!$B$60+Exogenous!$E$59)/(1-Exogenous!$B$60),IF(52*P$205&gt;Exogenous!$D$58,(52*P$205-Exogenous!$C$58*Exogenous!$B$59+Exogenous!$E$58)/(1-Exogenous!$B$59),IF(52*P$205&gt;Exogenous!$D$57,(52*P$205-Exogenous!$C$57*Exogenous!$B$58+Exogenous!$E$57)/(1-Exogenous!$B$58),IF(52*P$205&gt;Exogenous!$D$56,(52*P$205-Exogenous!$C$56*Exogenous!$B$57+Exogenous!$E$56)/(1-Exogenous!$B$57),52*P$205/(1-Exogenous!$B$56)))))/52,O$204*P$205/O$205)</f>
        <v>546.75269311433851</v>
      </c>
      <c r="Q204" s="26">
        <f ca="1">IF(Q$6&lt;OFFSET(Assumptions!$B$8,0,$C$1)+OFFSET(Assumptions!$B$36,0,$C$1),IF(52*Q$205&gt;Exogenous!$D$59,(52*Q$205-Exogenous!$C$59*Exogenous!$B$60+Exogenous!$E$59)/(1-Exogenous!$B$60),IF(52*Q$205&gt;Exogenous!$D$58,(52*Q$205-Exogenous!$C$58*Exogenous!$B$59+Exogenous!$E$58)/(1-Exogenous!$B$59),IF(52*Q$205&gt;Exogenous!$D$57,(52*Q$205-Exogenous!$C$57*Exogenous!$B$58+Exogenous!$E$57)/(1-Exogenous!$B$58),IF(52*Q$205&gt;Exogenous!$D$56,(52*Q$205-Exogenous!$C$56*Exogenous!$B$57+Exogenous!$E$56)/(1-Exogenous!$B$57),52*Q$205/(1-Exogenous!$B$56)))))/52,P$204*Q$205/P$205)</f>
        <v>563.04322645286118</v>
      </c>
      <c r="R204" s="26">
        <f ca="1">IF(R$6&lt;OFFSET(Assumptions!$B$8,0,$C$1)+OFFSET(Assumptions!$B$36,0,$C$1),IF(52*R$205&gt;Exogenous!$D$59,(52*R$205-Exogenous!$C$59*Exogenous!$B$60+Exogenous!$E$59)/(1-Exogenous!$B$60),IF(52*R$205&gt;Exogenous!$D$58,(52*R$205-Exogenous!$C$58*Exogenous!$B$59+Exogenous!$E$58)/(1-Exogenous!$B$59),IF(52*R$205&gt;Exogenous!$D$57,(52*R$205-Exogenous!$C$57*Exogenous!$B$58+Exogenous!$E$57)/(1-Exogenous!$B$58),IF(52*R$205&gt;Exogenous!$D$56,(52*R$205-Exogenous!$C$56*Exogenous!$B$57+Exogenous!$E$56)/(1-Exogenous!$B$57),52*R$205/(1-Exogenous!$B$56)))))/52,Q$204*R$205/Q$205)</f>
        <v>579.98949855436695</v>
      </c>
      <c r="S204" s="26">
        <f ca="1">IF(S$6&lt;OFFSET(Assumptions!$B$8,0,$C$1)+OFFSET(Assumptions!$B$36,0,$C$1),IF(52*S$205&gt;Exogenous!$D$59,(52*S$205-Exogenous!$C$59*Exogenous!$B$60+Exogenous!$E$59)/(1-Exogenous!$B$60),IF(52*S$205&gt;Exogenous!$D$58,(52*S$205-Exogenous!$C$58*Exogenous!$B$59+Exogenous!$E$58)/(1-Exogenous!$B$59),IF(52*S$205&gt;Exogenous!$D$57,(52*S$205-Exogenous!$C$57*Exogenous!$B$58+Exogenous!$E$57)/(1-Exogenous!$B$58),IF(52*S$205&gt;Exogenous!$D$56,(52*S$205-Exogenous!$C$56*Exogenous!$B$57+Exogenous!$E$56)/(1-Exogenous!$B$57),52*S$205/(1-Exogenous!$B$56)))))/52,R$204*S$205/R$205)</f>
        <v>597.50382342147986</v>
      </c>
      <c r="T204" s="26">
        <f ca="1">IF(T$6&lt;OFFSET(Assumptions!$B$8,0,$C$1)+OFFSET(Assumptions!$B$36,0,$C$1),IF(52*T$205&gt;Exogenous!$D$59,(52*T$205-Exogenous!$C$59*Exogenous!$B$60+Exogenous!$E$59)/(1-Exogenous!$B$60),IF(52*T$205&gt;Exogenous!$D$58,(52*T$205-Exogenous!$C$58*Exogenous!$B$59+Exogenous!$E$58)/(1-Exogenous!$B$59),IF(52*T$205&gt;Exogenous!$D$57,(52*T$205-Exogenous!$C$57*Exogenous!$B$58+Exogenous!$E$57)/(1-Exogenous!$B$58),IF(52*T$205&gt;Exogenous!$D$56,(52*T$205-Exogenous!$C$56*Exogenous!$B$57+Exogenous!$E$56)/(1-Exogenous!$B$57),52*T$205/(1-Exogenous!$B$56)))))/52,S$204*T$205/S$205)</f>
        <v>615.54807670751507</v>
      </c>
      <c r="U204" s="26">
        <f ca="1">IF(U$6&lt;OFFSET(Assumptions!$B$8,0,$C$1)+OFFSET(Assumptions!$B$36,0,$C$1),IF(52*U$205&gt;Exogenous!$D$59,(52*U$205-Exogenous!$C$59*Exogenous!$B$60+Exogenous!$E$59)/(1-Exogenous!$B$60),IF(52*U$205&gt;Exogenous!$D$58,(52*U$205-Exogenous!$C$58*Exogenous!$B$59+Exogenous!$E$58)/(1-Exogenous!$B$59),IF(52*U$205&gt;Exogenous!$D$57,(52*U$205-Exogenous!$C$57*Exogenous!$B$58+Exogenous!$E$57)/(1-Exogenous!$B$58),IF(52*U$205&gt;Exogenous!$D$56,(52*U$205-Exogenous!$C$56*Exogenous!$B$57+Exogenous!$E$56)/(1-Exogenous!$B$57),52*U$205/(1-Exogenous!$B$56)))))/52,T$204*U$205/T$205)</f>
        <v>633.95069885238968</v>
      </c>
      <c r="V204" s="26">
        <f ca="1">IF(V$6&lt;OFFSET(Assumptions!$B$8,0,$C$1)+OFFSET(Assumptions!$B$36,0,$C$1),IF(52*V$205&gt;Exogenous!$D$59,(52*V$205-Exogenous!$C$59*Exogenous!$B$60+Exogenous!$E$59)/(1-Exogenous!$B$60),IF(52*V$205&gt;Exogenous!$D$58,(52*V$205-Exogenous!$C$58*Exogenous!$B$59+Exogenous!$E$58)/(1-Exogenous!$B$59),IF(52*V$205&gt;Exogenous!$D$57,(52*V$205-Exogenous!$C$57*Exogenous!$B$58+Exogenous!$E$57)/(1-Exogenous!$B$58),IF(52*V$205&gt;Exogenous!$D$56,(52*V$205-Exogenous!$C$56*Exogenous!$B$57+Exogenous!$E$56)/(1-Exogenous!$B$57),52*V$205/(1-Exogenous!$B$56)))))/52,U$204*V$205/U$205)</f>
        <v>652.70787742143534</v>
      </c>
      <c r="W204" s="26">
        <f ca="1">IF(W$6&lt;OFFSET(Assumptions!$B$8,0,$C$1)+OFFSET(Assumptions!$B$36,0,$C$1),IF(52*W$205&gt;Exogenous!$D$59,(52*W$205-Exogenous!$C$59*Exogenous!$B$60+Exogenous!$E$59)/(1-Exogenous!$B$60),IF(52*W$205&gt;Exogenous!$D$58,(52*W$205-Exogenous!$C$58*Exogenous!$B$59+Exogenous!$E$58)/(1-Exogenous!$B$59),IF(52*W$205&gt;Exogenous!$D$57,(52*W$205-Exogenous!$C$57*Exogenous!$B$58+Exogenous!$E$57)/(1-Exogenous!$B$58),IF(52*W$205&gt;Exogenous!$D$56,(52*W$205-Exogenous!$C$56*Exogenous!$B$57+Exogenous!$E$56)/(1-Exogenous!$B$57),52*W$205/(1-Exogenous!$B$56)))))/52,V$204*W$205/V$205)</f>
        <v>671.81961241465194</v>
      </c>
      <c r="X204" s="26">
        <f ca="1">IF(X$6&lt;OFFSET(Assumptions!$B$8,0,$C$1)+OFFSET(Assumptions!$B$36,0,$C$1),IF(52*X$205&gt;Exogenous!$D$59,(52*X$205-Exogenous!$C$59*Exogenous!$B$60+Exogenous!$E$59)/(1-Exogenous!$B$60),IF(52*X$205&gt;Exogenous!$D$58,(52*X$205-Exogenous!$C$58*Exogenous!$B$59+Exogenous!$E$58)/(1-Exogenous!$B$59),IF(52*X$205&gt;Exogenous!$D$57,(52*X$205-Exogenous!$C$57*Exogenous!$B$58+Exogenous!$E$57)/(1-Exogenous!$B$58),IF(52*X$205&gt;Exogenous!$D$56,(52*X$205-Exogenous!$C$56*Exogenous!$B$57+Exogenous!$E$56)/(1-Exogenous!$B$57),52*X$205/(1-Exogenous!$B$56)))))/52,W$204*X$205/W$205)</f>
        <v>691.42315148010573</v>
      </c>
    </row>
    <row r="205" spans="1:24" x14ac:dyDescent="0.25">
      <c r="A205" s="11" t="s">
        <v>73</v>
      </c>
      <c r="C205" s="13"/>
      <c r="D205" s="39">
        <f>'Economic Forecasts'!Q$21</f>
        <v>316.27</v>
      </c>
      <c r="E205" s="39">
        <f>'Economic Forecasts'!R$21</f>
        <v>326.02</v>
      </c>
      <c r="F205" s="39">
        <f>'Economic Forecasts'!S$21</f>
        <v>336.11</v>
      </c>
      <c r="G205" s="39">
        <f>'Economic Forecasts'!T$21</f>
        <v>356.11</v>
      </c>
      <c r="H205" s="39">
        <f>'Economic Forecasts'!U$21</f>
        <v>381.82</v>
      </c>
      <c r="I205" s="39">
        <f>'Economic Forecasts'!V$21</f>
        <v>399.59</v>
      </c>
      <c r="J205" s="27">
        <f>'Economic Forecasts'!W$21</f>
        <v>414.17</v>
      </c>
      <c r="K205" s="27">
        <f>'Economic Forecasts'!X$21</f>
        <v>423.7</v>
      </c>
      <c r="L205" s="27">
        <f>'Economic Forecasts'!Y$21</f>
        <v>432.17</v>
      </c>
      <c r="M205" s="27">
        <f>'Economic Forecasts'!Z$21</f>
        <v>440.81</v>
      </c>
      <c r="N205" s="27">
        <f>'Economic Forecasts'!AA$21</f>
        <v>449.63</v>
      </c>
      <c r="O205" s="26">
        <f ca="1">IF(2*N$205*(1+O$29)&gt;OFFSET(Assumptions!$B$38,0,$C$1)*O$203,OFFSET(Assumptions!$B$38,0,$C$1)*O$203,IF(2*N$205*(1+O$29)&lt;OFFSET(Assumptions!$B$37,0,$C$1)*O$203,OFFSET(Assumptions!$B$37,0,$C$1)*O$203,2*N$205*(1+O$29)))/2</f>
        <v>459.70650000000001</v>
      </c>
      <c r="P205" s="26">
        <f ca="1">IF(2*O$205*(1+P$29)&gt;OFFSET(Assumptions!$B$38,0,$C$1)*P$203,OFFSET(Assumptions!$B$38,0,$C$1)*P$203,IF(2*O$205*(1+P$29)&lt;OFFSET(Assumptions!$B$37,0,$C$1)*P$203,OFFSET(Assumptions!$B$37,0,$C$1)*P$203,2*O$205*(1+P$29)))/2</f>
        <v>473.26290000000006</v>
      </c>
      <c r="Q205" s="26">
        <f ca="1">IF(2*P$205*(1+Q$29)&gt;OFFSET(Assumptions!$B$38,0,$C$1)*Q$203,OFFSET(Assumptions!$B$38,0,$C$1)*Q$203,IF(2*P$205*(1+Q$29)&lt;OFFSET(Assumptions!$B$37,0,$C$1)*Q$203,OFFSET(Assumptions!$B$37,0,$C$1)*Q$203,2*P$205*(1+Q$29)))/2</f>
        <v>487.36379999999997</v>
      </c>
      <c r="R205" s="26">
        <f ca="1">IF(2*Q$205*(1+R$29)&gt;OFFSET(Assumptions!$B$38,0,$C$1)*R$203,OFFSET(Assumptions!$B$38,0,$C$1)*R$203,IF(2*Q$205*(1+R$29)&lt;OFFSET(Assumptions!$B$37,0,$C$1)*R$203,OFFSET(Assumptions!$B$37,0,$C$1)*R$203,2*Q$205*(1+R$29)))/2</f>
        <v>502.03230000000002</v>
      </c>
      <c r="S205" s="26">
        <f ca="1">IF(2*R$205*(1+S$29)&gt;OFFSET(Assumptions!$B$38,0,$C$1)*S$203,OFFSET(Assumptions!$B$38,0,$C$1)*S$203,IF(2*R$205*(1+S$29)&lt;OFFSET(Assumptions!$B$37,0,$C$1)*S$203,OFFSET(Assumptions!$B$37,0,$C$1)*S$203,2*R$205*(1+S$29)))/2</f>
        <v>517.1925</v>
      </c>
      <c r="T205" s="26">
        <f ca="1">IF(2*S$205*(1+T$29)&gt;OFFSET(Assumptions!$B$38,0,$C$1)*T$203,OFFSET(Assumptions!$B$38,0,$C$1)*T$203,IF(2*S$205*(1+T$29)&lt;OFFSET(Assumptions!$B$37,0,$C$1)*T$203,OFFSET(Assumptions!$B$37,0,$C$1)*T$203,2*S$205*(1+T$29)))/2</f>
        <v>532.81140000000005</v>
      </c>
      <c r="U205" s="26">
        <f ca="1">IF(2*T$205*(1+U$29)&gt;OFFSET(Assumptions!$B$38,0,$C$1)*U$203,OFFSET(Assumptions!$B$38,0,$C$1)*U$203,IF(2*T$205*(1+U$29)&lt;OFFSET(Assumptions!$B$37,0,$C$1)*U$203,OFFSET(Assumptions!$B$37,0,$C$1)*U$203,2*T$205*(1+U$29)))/2</f>
        <v>548.7405</v>
      </c>
      <c r="V205" s="26">
        <f ca="1">IF(2*U$205*(1+V$29)&gt;OFFSET(Assumptions!$B$38,0,$C$1)*V$203,OFFSET(Assumptions!$B$38,0,$C$1)*V$203,IF(2*U$205*(1+V$29)&lt;OFFSET(Assumptions!$B$37,0,$C$1)*V$203,OFFSET(Assumptions!$B$37,0,$C$1)*V$203,2*U$205*(1+V$29)))/2</f>
        <v>564.97649999999999</v>
      </c>
      <c r="W205" s="26">
        <f ca="1">IF(2*V$205*(1+W$29)&gt;OFFSET(Assumptions!$B$38,0,$C$1)*W$203,OFFSET(Assumptions!$B$38,0,$C$1)*W$203,IF(2*V$205*(1+W$29)&lt;OFFSET(Assumptions!$B$37,0,$C$1)*W$203,OFFSET(Assumptions!$B$37,0,$C$1)*W$203,2*V$205*(1+W$29)))/2</f>
        <v>581.51940000000002</v>
      </c>
      <c r="X205" s="26">
        <f ca="1">IF(2*W$205*(1+X$29)&gt;OFFSET(Assumptions!$B$38,0,$C$1)*X$203,OFFSET(Assumptions!$B$38,0,$C$1)*X$203,IF(2*W$205*(1+X$29)&lt;OFFSET(Assumptions!$B$37,0,$C$1)*X$203,OFFSET(Assumptions!$B$37,0,$C$1)*X$203,2*W$205*(1+X$29)))/2</f>
        <v>598.48799999999994</v>
      </c>
    </row>
    <row r="207" spans="1:24" x14ac:dyDescent="0.25">
      <c r="A207" s="9" t="s">
        <v>535</v>
      </c>
    </row>
    <row r="208" spans="1:24" x14ac:dyDescent="0.25">
      <c r="A208" s="9" t="s">
        <v>1099</v>
      </c>
      <c r="B208" s="10" t="str">
        <f t="shared" ref="B208:B211" si="143">$B$38</f>
        <v>From Fiscal Forecasts</v>
      </c>
      <c r="C208" s="71"/>
      <c r="D208" s="42">
        <f>'Fiscal Forecasts'!D$171</f>
        <v>7.7939999999999996</v>
      </c>
      <c r="E208" s="42">
        <f>'Fiscal Forecasts'!E$171</f>
        <v>8.48</v>
      </c>
      <c r="F208" s="42">
        <f>'Fiscal Forecasts'!F$171</f>
        <v>9.3580000000000005</v>
      </c>
      <c r="G208" s="42">
        <f>'Fiscal Forecasts'!G$171</f>
        <v>9.9450000000000003</v>
      </c>
      <c r="H208" s="42">
        <f>'Fiscal Forecasts'!H$171</f>
        <v>10.449</v>
      </c>
      <c r="I208" s="42">
        <f>'Fiscal Forecasts'!I$171</f>
        <v>11.26</v>
      </c>
      <c r="J208" s="43">
        <f>'Fiscal Forecasts'!J$171</f>
        <v>11.407</v>
      </c>
      <c r="K208" s="43">
        <f>'Fiscal Forecasts'!K$171</f>
        <v>11.778</v>
      </c>
      <c r="L208" s="43">
        <f>'Fiscal Forecasts'!L$171</f>
        <v>11.878</v>
      </c>
      <c r="M208" s="43">
        <f>'Fiscal Forecasts'!M$171</f>
        <v>11.847</v>
      </c>
      <c r="N208" s="43">
        <f>'Fiscal Forecasts'!N$171</f>
        <v>11.896000000000001</v>
      </c>
      <c r="O208" s="47">
        <f ca="1">SUM(O$251,IF(O$6=OFFSET(Assumptions!$B$8,0,$C$1),AVERAGE((L$208-L$251)/SUM(L$208,L$215,L$222,-L$251,-L$333),(M$208-M$251)/SUM(M$208,M$215,M$222,-M$251,-M$333),(N$208-N$251)/SUM(N$208,N$215,N$222,-N$251,-N$333)),(N$208-N$251)/SUM(N$208,N$215,N$222,-N$251,-N$333))*(O$332-O$261-SUM(O$267:O$270,O$273)))</f>
        <v>13.868731705012102</v>
      </c>
      <c r="P208" s="47">
        <f ca="1">SUM(P$251,IF(P$6=OFFSET(Assumptions!$B$8,0,$C$1),AVERAGE((M$208-M$251)/SUM(M$208,M$215,M$222,-M$251,-M$333),(N$208-N$251)/SUM(N$208,N$215,N$222,-N$251,-N$333),(O$208-O$251)/SUM(O$208,O$215,O$222,-O$251,-O$333)),(O$208-O$251)/SUM(O$208,O$215,O$222,-O$251,-O$333))*(P$332-P$261-SUM(P$267:P$270,P$273)))</f>
        <v>14.71487227223211</v>
      </c>
      <c r="Q208" s="47">
        <f ca="1">SUM(Q$251,IF(Q$6=OFFSET(Assumptions!$B$8,0,$C$1),AVERAGE((N$208-N$251)/SUM(N$208,N$215,N$222,-N$251,-N$333),(O$208-O$251)/SUM(O$208,O$215,O$222,-O$251,-O$333),(P$208-P$251)/SUM(P$208,P$215,P$222,-P$251,-P$333)),(P$208-P$251)/SUM(P$208,P$215,P$222,-P$251,-P$333))*(Q$332-Q$261-SUM(Q$267:Q$270,Q$273)))</f>
        <v>15.53402440002313</v>
      </c>
      <c r="R208" s="47">
        <f ca="1">SUM(R$251,IF(R$6=OFFSET(Assumptions!$B$8,0,$C$1),AVERAGE((O$208-O$251)/SUM(O$208,O$215,O$222,-O$251,-O$333),(P$208-P$251)/SUM(P$208,P$215,P$222,-P$251,-P$333),(Q$208-Q$251)/SUM(Q$208,Q$215,Q$222,-Q$251,-Q$333)),(Q$208-Q$251)/SUM(Q$208,Q$215,Q$222,-Q$251,-Q$333))*(R$332-R$261-SUM(R$267:R$270,R$273)))</f>
        <v>16.329454694024999</v>
      </c>
      <c r="S208" s="47">
        <f ca="1">SUM(S$251,IF(S$6=OFFSET(Assumptions!$B$8,0,$C$1),AVERAGE((P$208-P$251)/SUM(P$208,P$215,P$222,-P$251,-P$333),(Q$208-Q$251)/SUM(Q$208,Q$215,Q$222,-Q$251,-Q$333),(R$208-R$251)/SUM(R$208,R$215,R$222,-R$251,-R$333)),(R$208-R$251)/SUM(R$208,R$215,R$222,-R$251,-R$333))*(S$332-S$261-SUM(S$267:S$270,S$273)))</f>
        <v>17.072065788087592</v>
      </c>
      <c r="T208" s="47">
        <f ca="1">SUM(T$251,IF(T$6=OFFSET(Assumptions!$B$8,0,$C$1),AVERAGE((Q$208-Q$251)/SUM(Q$208,Q$215,Q$222,-Q$251,-Q$333),(R$208-R$251)/SUM(R$208,R$215,R$222,-R$251,-R$333),(S$208-S$251)/SUM(S$208,S$215,S$222,-S$251,-S$333)),(S$208-S$251)/SUM(S$208,S$215,S$222,-S$251,-S$333))*(T$332-T$261-SUM(T$267:T$270,T$273)))</f>
        <v>17.836499651470092</v>
      </c>
      <c r="U208" s="47">
        <f ca="1">SUM(U$251,IF(U$6=OFFSET(Assumptions!$B$8,0,$C$1),AVERAGE((R$208-R$251)/SUM(R$208,R$215,R$222,-R$251,-R$333),(S$208-S$251)/SUM(S$208,S$215,S$222,-S$251,-S$333),(T$208-T$251)/SUM(T$208,T$215,T$222,-T$251,-T$333)),(T$208-T$251)/SUM(T$208,T$215,T$222,-T$251,-T$333))*(U$332-U$261-SUM(U$267:U$270,U$273)))</f>
        <v>18.520499845606039</v>
      </c>
      <c r="V208" s="47">
        <f ca="1">SUM(V$251,IF(V$6=OFFSET(Assumptions!$B$8,0,$C$1),AVERAGE((S$208-S$251)/SUM(S$208,S$215,S$222,-S$251,-S$333),(T$208-T$251)/SUM(T$208,T$215,T$222,-T$251,-T$333),(U$208-U$251)/SUM(U$208,U$215,U$222,-U$251,-U$333)),(U$208-U$251)/SUM(U$208,U$215,U$222,-U$251,-U$333))*(V$332-V$261-SUM(V$267:V$270,V$273)))</f>
        <v>19.179738530387141</v>
      </c>
      <c r="W208" s="47">
        <f ca="1">SUM(W$251,IF(W$6=OFFSET(Assumptions!$B$8,0,$C$1),AVERAGE((T$208-T$251)/SUM(T$208,T$215,T$222,-T$251,-T$333),(U$208-U$251)/SUM(U$208,U$215,U$222,-U$251,-U$333),(V$208-V$251)/SUM(V$208,V$215,V$222,-V$251,-V$333)),(V$208-V$251)/SUM(V$208,V$215,V$222,-V$251,-V$333))*(W$332-W$261-SUM(W$267:W$270,W$273)))</f>
        <v>19.848697868467063</v>
      </c>
      <c r="X208" s="47">
        <f ca="1">SUM(X$251,IF(X$6=OFFSET(Assumptions!$B$8,0,$C$1),AVERAGE((U$208-U$251)/SUM(U$208,U$215,U$222,-U$251,-U$333),(V$208-V$251)/SUM(V$208,V$215,V$222,-V$251,-V$333),(W$208-W$251)/SUM(W$208,W$215,W$222,-W$251,-W$333)),(W$208-W$251)/SUM(W$208,W$215,W$222,-W$251,-W$333))*(X$332-X$261-SUM(X$267:X$270,X$273)))</f>
        <v>20.532453264083443</v>
      </c>
    </row>
    <row r="209" spans="1:24" x14ac:dyDescent="0.25">
      <c r="A209" s="11" t="s">
        <v>707</v>
      </c>
      <c r="B209" s="10" t="str">
        <f t="shared" si="143"/>
        <v>From Fiscal Forecasts</v>
      </c>
      <c r="D209" s="35">
        <f>'Fiscal Forecasts'!D$255</f>
        <v>15.085000000000001</v>
      </c>
      <c r="E209" s="35">
        <f>'Fiscal Forecasts'!E$255</f>
        <v>16.317</v>
      </c>
      <c r="F209" s="35">
        <f>'Fiscal Forecasts'!F$255</f>
        <v>17.928999999999998</v>
      </c>
      <c r="G209" s="35">
        <f>'Fiscal Forecasts'!G$255</f>
        <v>19.896999999999998</v>
      </c>
      <c r="H209" s="35">
        <f>'Fiscal Forecasts'!H$255</f>
        <v>22.326000000000001</v>
      </c>
      <c r="I209" s="35">
        <f>'Fiscal Forecasts'!I$255</f>
        <v>24.337</v>
      </c>
      <c r="J209" s="17">
        <f>'Fiscal Forecasts'!J$255</f>
        <v>24.657</v>
      </c>
      <c r="K209" s="17">
        <f>'Fiscal Forecasts'!K$255</f>
        <v>25.32</v>
      </c>
      <c r="L209" s="17">
        <f>'Fiscal Forecasts'!L$255</f>
        <v>25.808</v>
      </c>
      <c r="M209" s="17">
        <f>'Fiscal Forecasts'!M$255</f>
        <v>26.111999999999998</v>
      </c>
      <c r="N209" s="17">
        <f>'Fiscal Forecasts'!N$255</f>
        <v>26.395</v>
      </c>
      <c r="O209" s="16">
        <f ca="1">SUM(O$252-O$251,IF(O$6=OFFSET(Assumptions!$B$8,0,$C$1),AVERAGE(SUM(L$209,-(L$252-L$251))/SUM(L$209,-(L$252-L$251),L$216,L$223),(M$209-(M$252-M$251))/SUM(M$209,-(M$252-M$251),M$216,M$223),(N$209-(N$252-N$251))/SUM(N$209,-(N$252-N$251),N$216,N$223)),(N$209-(N$252-N$251))/SUM(N$209,-(N$252-N$251),N$216,N$223))*SUM(O$198-O$238,O$262,O$275,O$293,O$335,-(O$252-O$251)))</f>
        <v>27.328924033828866</v>
      </c>
      <c r="P209" s="16">
        <f ca="1">SUM(P$252-P$251,IF(P$6=OFFSET(Assumptions!$B$8,0,$C$1),AVERAGE(SUM(M$209,-(M$252-M$251))/SUM(M$209,-(M$252-M$251),M$216,M$223),(N$209-(N$252-N$251))/SUM(N$209,-(N$252-N$251),N$216,N$223),(O$209-(O$252-O$251))/SUM(O$209,-(O$252-O$251),O$216,O$223)),(O$209-(O$252-O$251))/SUM(O$209,-(O$252-O$251),O$216,O$223))*SUM(P$198-P$238,P$262,P$275,P$293,P$335,-(P$252-P$251)))</f>
        <v>28.601518626831282</v>
      </c>
      <c r="Q209" s="16">
        <f ca="1">SUM(Q$252-Q$251,IF(Q$6=OFFSET(Assumptions!$B$8,0,$C$1),AVERAGE(SUM(N$209,-(N$252-N$251))/SUM(N$209,-(N$252-N$251),N$216,N$223),(O$209-(O$252-O$251))/SUM(O$209,-(O$252-O$251),O$216,O$223),(P$209-(P$252-P$251))/SUM(P$209,-(P$252-P$251),P$216,P$223)),(P$209-(P$252-P$251))/SUM(P$209,-(P$252-P$251),P$216,P$223))*SUM(Q$198-Q$238,Q$262,Q$275,Q$293,Q$335,-(Q$252-Q$251)))</f>
        <v>30.011246364746764</v>
      </c>
      <c r="R209" s="16">
        <f ca="1">SUM(R$252-R$251,IF(R$6=OFFSET(Assumptions!$B$8,0,$C$1),AVERAGE(SUM(O$209,-(O$252-O$251))/SUM(O$209,-(O$252-O$251),O$216,O$223),(P$209-(P$252-P$251))/SUM(P$209,-(P$252-P$251),P$216,P$223),(Q$209-(Q$252-Q$251))/SUM(Q$209,-(Q$252-Q$251),Q$216,Q$223)),(Q$209-(Q$252-Q$251))/SUM(Q$209,-(Q$252-Q$251),Q$216,Q$223))*SUM(R$198-R$238,R$262,R$275,R$293,R$335,-(R$252-R$251)))</f>
        <v>31.470457949643098</v>
      </c>
      <c r="S209" s="16">
        <f ca="1">SUM(S$252-S$251,IF(S$6=OFFSET(Assumptions!$B$8,0,$C$1),AVERAGE(SUM(P$209,-(P$252-P$251))/SUM(P$209,-(P$252-P$251),P$216,P$223),(Q$209-(Q$252-Q$251))/SUM(Q$209,-(Q$252-Q$251),Q$216,Q$223),(R$209-(R$252-R$251))/SUM(R$209,-(R$252-R$251),R$216,R$223)),(R$209-(R$252-R$251))/SUM(R$209,-(R$252-R$251),R$216,R$223))*SUM(S$198-S$238,S$262,S$275,S$293,S$335,-(S$252-S$251)))</f>
        <v>32.977844362348783</v>
      </c>
      <c r="T209" s="16">
        <f ca="1">SUM(T$252-T$251,IF(T$6=OFFSET(Assumptions!$B$8,0,$C$1),AVERAGE(SUM(Q$209,-(Q$252-Q$251))/SUM(Q$209,-(Q$252-Q$251),Q$216,Q$223),(R$209-(R$252-R$251))/SUM(R$209,-(R$252-R$251),R$216,R$223),(S$209-(S$252-S$251))/SUM(S$209,-(S$252-S$251),S$216,S$223)),(S$209-(S$252-S$251))/SUM(S$209,-(S$252-S$251),S$216,S$223))*SUM(T$198-T$238,T$262,T$275,T$293,T$335,-(T$252-T$251)))</f>
        <v>34.530555443595233</v>
      </c>
      <c r="U209" s="16">
        <f ca="1">SUM(U$252-U$251,IF(U$6=OFFSET(Assumptions!$B$8,0,$C$1),AVERAGE(SUM(R$209,-(R$252-R$251))/SUM(R$209,-(R$252-R$251),R$216,R$223),(S$209-(S$252-S$251))/SUM(S$209,-(S$252-S$251),S$216,S$223),(T$209-(T$252-T$251))/SUM(T$209,-(T$252-T$251),T$216,T$223)),(T$209-(T$252-T$251))/SUM(T$209,-(T$252-T$251),T$216,T$223))*SUM(U$198-U$238,U$262,U$275,U$293,U$335,-(U$252-U$251)))</f>
        <v>36.131465085171818</v>
      </c>
      <c r="V209" s="16">
        <f ca="1">SUM(V$252-V$251,IF(V$6=OFFSET(Assumptions!$B$8,0,$C$1),AVERAGE(SUM(S$209,-(S$252-S$251))/SUM(S$209,-(S$252-S$251),S$216,S$223),(T$209-(T$252-T$251))/SUM(T$209,-(T$252-T$251),T$216,T$223),(U$209-(U$252-U$251))/SUM(U$209,-(U$252-U$251),U$216,U$223)),(U$209-(U$252-U$251))/SUM(U$209,-(U$252-U$251),U$216,U$223))*SUM(V$198-V$238,V$262,V$275,V$293,V$335,-(V$252-V$251)))</f>
        <v>37.781187461017545</v>
      </c>
      <c r="W209" s="16">
        <f ca="1">SUM(W$252-W$251,IF(W$6=OFFSET(Assumptions!$B$8,0,$C$1),AVERAGE(SUM(T$209,-(T$252-T$251))/SUM(T$209,-(T$252-T$251),T$216,T$223),(U$209-(U$252-U$251))/SUM(U$209,-(U$252-U$251),U$216,U$223),(V$209-(V$252-V$251))/SUM(V$209,-(V$252-V$251),V$216,V$223)),(V$209-(V$252-V$251))/SUM(V$209,-(V$252-V$251),V$216,V$223))*SUM(W$198-W$238,W$262,W$275,W$293,W$335,-(W$252-W$251)))</f>
        <v>39.46854114673387</v>
      </c>
      <c r="X209" s="16">
        <f ca="1">SUM(X$252-X$251,IF(X$6=OFFSET(Assumptions!$B$8,0,$C$1),AVERAGE(SUM(U$209,-(U$252-U$251))/SUM(U$209,-(U$252-U$251),U$216,U$223),(V$209-(V$252-V$251))/SUM(V$209,-(V$252-V$251),V$216,V$223),(W$209-(W$252-W$251))/SUM(W$209,-(W$252-W$251),W$216,W$223)),(W$209-(W$252-W$251))/SUM(W$209,-(W$252-W$251),W$216,W$223))*SUM(X$198-X$238,X$262,X$275,X$293,X$335,-(X$252-X$251)))</f>
        <v>41.20271185442467</v>
      </c>
    </row>
    <row r="210" spans="1:24" x14ac:dyDescent="0.25">
      <c r="A210" s="11" t="s">
        <v>904</v>
      </c>
      <c r="B210" s="10" t="str">
        <f t="shared" si="143"/>
        <v>From Fiscal Forecasts</v>
      </c>
      <c r="D210" s="35">
        <f>'Fiscal Forecasts'!D$256</f>
        <v>3.0960000000000001</v>
      </c>
      <c r="E210" s="35">
        <f>'Fiscal Forecasts'!E$256</f>
        <v>3.0230000000000001</v>
      </c>
      <c r="F210" s="35">
        <f>'Fiscal Forecasts'!F$256</f>
        <v>2.5819999999999999</v>
      </c>
      <c r="G210" s="35">
        <f>'Fiscal Forecasts'!G$256</f>
        <v>2.8610000000000002</v>
      </c>
      <c r="H210" s="35">
        <f>'Fiscal Forecasts'!H$256</f>
        <v>3.33</v>
      </c>
      <c r="I210" s="35">
        <f>'Fiscal Forecasts'!I$256</f>
        <v>3.5459999999999998</v>
      </c>
      <c r="J210" s="17">
        <f>'Fiscal Forecasts'!J$256</f>
        <v>3.6120000000000001</v>
      </c>
      <c r="K210" s="17">
        <f>'Fiscal Forecasts'!K$256</f>
        <v>3.7280000000000002</v>
      </c>
      <c r="L210" s="17">
        <f>'Fiscal Forecasts'!L$256</f>
        <v>3.8580000000000001</v>
      </c>
      <c r="M210" s="17">
        <f>'Fiscal Forecasts'!M$256</f>
        <v>3.9929999999999999</v>
      </c>
      <c r="N210" s="17">
        <f>'Fiscal Forecasts'!N$256</f>
        <v>4.09</v>
      </c>
      <c r="O210" s="16">
        <f ca="1">IF(O$6=OFFSET(Assumptions!$B$8,0,$C$1),AVERAGE(L$210/SUM(L$210,L$217,L$224),M$210/SUM(M$210,M$217,M$224),N$210/SUM(N$210,N$217,N$224)),N$210/SUM(N$210,N$217,N$224))*SUM(O$294,O$336-O$239)</f>
        <v>4.1976490813182057</v>
      </c>
      <c r="P210" s="16">
        <f ca="1">IF(P$6=OFFSET(Assumptions!$B$8,0,$C$1),AVERAGE(M$210/SUM(M$210,M$217,M$224),N$210/SUM(N$210,N$217,N$224),O$210/SUM(O$210,O$217,O$224)),O$210/SUM(O$210,O$217,O$224))*SUM(P$294,P$336-P$239)</f>
        <v>4.3047935229228322</v>
      </c>
      <c r="Q210" s="16">
        <f ca="1">IF(Q$6=OFFSET(Assumptions!$B$8,0,$C$1),AVERAGE(N$210/SUM(N$210,N$217,N$224),O$210/SUM(O$210,O$217,O$224),P$210/SUM(P$210,P$217,P$224)),P$210/SUM(P$210,P$217,P$224))*SUM(Q$294,Q$336-Q$239)</f>
        <v>4.4135818586776328</v>
      </c>
      <c r="R210" s="16">
        <f ca="1">IF(R$6=OFFSET(Assumptions!$B$8,0,$C$1),AVERAGE(O$210/SUM(O$210,O$217,O$224),P$210/SUM(P$210,P$217,P$224),Q$210/SUM(Q$210,Q$217,Q$224)),Q$210/SUM(Q$210,Q$217,Q$224))*SUM(R$294,R$336-R$239)</f>
        <v>4.5234682697409783</v>
      </c>
      <c r="S210" s="16">
        <f ca="1">IF(S$6=OFFSET(Assumptions!$B$8,0,$C$1),AVERAGE(P$210/SUM(P$210,P$217,P$224),Q$210/SUM(Q$210,Q$217,Q$224),R$210/SUM(R$210,R$217,R$224)),R$210/SUM(R$210,R$217,R$224))*SUM(S$294,S$336-S$239)</f>
        <v>4.6348054209035707</v>
      </c>
      <c r="T210" s="16">
        <f ca="1">IF(T$6=OFFSET(Assumptions!$B$8,0,$C$1),AVERAGE(Q$210/SUM(Q$210,Q$217,Q$224),R$210/SUM(R$210,R$217,R$224),S$210/SUM(S$210,S$217,S$224)),S$210/SUM(S$210,S$217,S$224))*SUM(T$294,T$336-T$239)</f>
        <v>4.7474684514724323</v>
      </c>
      <c r="U210" s="16">
        <f ca="1">IF(U$6=OFFSET(Assumptions!$B$8,0,$C$1),AVERAGE(R$210/SUM(R$210,R$217,R$224),S$210/SUM(S$210,S$217,S$224),T$210/SUM(T$210,T$217,T$224)),T$210/SUM(T$210,T$217,T$224))*SUM(U$294,U$336-U$239)</f>
        <v>4.8623018677780117</v>
      </c>
      <c r="V210" s="16">
        <f ca="1">IF(V$6=OFFSET(Assumptions!$B$8,0,$C$1),AVERAGE(S$210/SUM(S$210,S$217,S$224),T$210/SUM(T$210,T$217,T$224),U$210/SUM(U$210,U$217,U$224)),U$210/SUM(U$210,U$217,U$224))*SUM(V$294,V$336-V$239)</f>
        <v>4.9790077631443079</v>
      </c>
      <c r="W210" s="16">
        <f ca="1">IF(W$6=OFFSET(Assumptions!$B$8,0,$C$1),AVERAGE(T$210/SUM(T$210,T$217,T$224),U$210/SUM(U$210,U$217,U$224),V$210/SUM(V$210,V$217,V$224)),V$210/SUM(V$210,V$217,V$224))*SUM(W$294,W$336-W$239)</f>
        <v>5.0966545884082448</v>
      </c>
      <c r="X210" s="16">
        <f ca="1">IF(X$6=OFFSET(Assumptions!$B$8,0,$C$1),AVERAGE(U$210/SUM(U$210,U$217,U$224),V$210/SUM(V$210,V$217,V$224),W$210/SUM(W$210,W$217,W$224)),W$210/SUM(W$210,W$217,W$224))*SUM(X$294,X$336-X$239)</f>
        <v>5.2159601350605564</v>
      </c>
    </row>
    <row r="211" spans="1:24" x14ac:dyDescent="0.25">
      <c r="A211" s="11" t="s">
        <v>866</v>
      </c>
      <c r="B211" s="10" t="str">
        <f t="shared" si="143"/>
        <v>From Fiscal Forecasts</v>
      </c>
      <c r="D211" s="35">
        <f>'Fiscal Forecasts'!D$257</f>
        <v>-4.2000000000000003E-2</v>
      </c>
      <c r="E211" s="35">
        <f>'Fiscal Forecasts'!E$257</f>
        <v>-4.4999999999999998E-2</v>
      </c>
      <c r="F211" s="35">
        <f>'Fiscal Forecasts'!F$257</f>
        <v>-5.1999999999999998E-2</v>
      </c>
      <c r="G211" s="35">
        <f>'Fiscal Forecasts'!G$257</f>
        <v>-5.5E-2</v>
      </c>
      <c r="H211" s="35">
        <f>'Fiscal Forecasts'!H$257</f>
        <v>-5.2999999999999999E-2</v>
      </c>
      <c r="I211" s="35">
        <f>'Fiscal Forecasts'!I$257</f>
        <v>-0.06</v>
      </c>
      <c r="J211" s="17">
        <f>'Fiscal Forecasts'!J$257</f>
        <v>-6.6000000000000003E-2</v>
      </c>
      <c r="K211" s="17">
        <f>'Fiscal Forecasts'!K$257</f>
        <v>-6.8000000000000005E-2</v>
      </c>
      <c r="L211" s="17">
        <f>'Fiscal Forecasts'!L$257</f>
        <v>-6.9000000000000006E-2</v>
      </c>
      <c r="M211" s="17">
        <f>'Fiscal Forecasts'!M$257</f>
        <v>-6.8000000000000005E-2</v>
      </c>
      <c r="N211" s="17">
        <f>'Fiscal Forecasts'!N$257</f>
        <v>-7.0000000000000007E-2</v>
      </c>
      <c r="O211" s="16">
        <f ca="1">IF(O$6=OFFSET(Assumptions!$B$8,0,$C$1),AVERAGE(L$211/SUM(L$211,L$225),M$211/SUM(M$211,M$225),N$211/SUM(N$211,N$225)),N$211/SUM(N$211,N$225))*SUM(O$199,O$263,O$276,O$295,O$337)</f>
        <v>-7.5340287491748426E-2</v>
      </c>
      <c r="P211" s="16">
        <f ca="1">IF(P$6=OFFSET(Assumptions!$B$8,0,$C$1),AVERAGE(M$211/SUM(M$211,M$225),N$211/SUM(N$211,N$225),O$211/SUM(O$211,O$225)),O$211/SUM(O$211,O$225))*SUM(P$199,P$263,P$276,P$295,P$337)</f>
        <v>-7.9111531482846498E-2</v>
      </c>
      <c r="Q211" s="16">
        <f ca="1">IF(Q$6=OFFSET(Assumptions!$B$8,0,$C$1),AVERAGE(N$211/SUM(N$211,N$225),O$211/SUM(O$211,O$225),P$211/SUM(P$211,P$225)),P$211/SUM(P$211,P$225))*SUM(Q$199,Q$263,Q$276,Q$295,Q$337)</f>
        <v>-8.3304817197475081E-2</v>
      </c>
      <c r="R211" s="16">
        <f ca="1">IF(R$6=OFFSET(Assumptions!$B$8,0,$C$1),AVERAGE(O$211/SUM(O$211,O$225),P$211/SUM(P$211,P$225),Q$211/SUM(Q$211,Q$225)),Q$211/SUM(Q$211,Q$225))*SUM(R$199,R$263,R$276,R$295,R$337)</f>
        <v>-8.7665316906674715E-2</v>
      </c>
      <c r="S211" s="16">
        <f ca="1">IF(S$6=OFFSET(Assumptions!$B$8,0,$C$1),AVERAGE(P$211/SUM(P$211,P$225),Q$211/SUM(Q$211,Q$225),R$211/SUM(R$211,R$225)),R$211/SUM(R$211,R$225))*SUM(S$199,S$263,S$276,S$295,S$337)</f>
        <v>-9.21895318390131E-2</v>
      </c>
      <c r="T211" s="16">
        <f ca="1">IF(T$6=OFFSET(Assumptions!$B$8,0,$C$1),AVERAGE(Q$211/SUM(Q$211,Q$225),R$211/SUM(R$211,R$225),S$211/SUM(S$211,S$225)),S$211/SUM(S$211,S$225))*SUM(T$199,T$263,T$276,T$295,T$337)</f>
        <v>-9.6877824955654238E-2</v>
      </c>
      <c r="U211" s="16">
        <f ca="1">IF(U$6=OFFSET(Assumptions!$B$8,0,$C$1),AVERAGE(R$211/SUM(R$211,R$225),S$211/SUM(S$211,S$225),T$211/SUM(T$211,T$225)),T$211/SUM(T$211,T$225))*SUM(U$199,U$263,U$276,U$295,U$337)</f>
        <v>-0.10172336653560526</v>
      </c>
      <c r="V211" s="16">
        <f ca="1">IF(V$6=OFFSET(Assumptions!$B$8,0,$C$1),AVERAGE(S$211/SUM(S$211,S$225),T$211/SUM(T$211,T$225),U$211/SUM(U$211,U$225)),U$211/SUM(U$211,U$225))*SUM(V$199,V$263,V$276,V$295,V$337)</f>
        <v>-0.10652419726494142</v>
      </c>
      <c r="W211" s="16">
        <f ca="1">IF(W$6=OFFSET(Assumptions!$B$8,0,$C$1),AVERAGE(T$211/SUM(T$211,T$225),U$211/SUM(U$211,U$225),V$211/SUM(V$211,V$225)),V$211/SUM(V$211,V$225))*SUM(W$199,W$263,W$276,W$295,W$337)</f>
        <v>-0.11135698396937969</v>
      </c>
      <c r="X211" s="16">
        <f ca="1">IF(X$6=OFFSET(Assumptions!$B$8,0,$C$1),AVERAGE(U$211/SUM(U$211,U$225),V$211/SUM(V$211,V$225),W$211/SUM(W$211,W$225)),W$211/SUM(W$211,W$225))*SUM(X$199,X$263,X$276,X$295,X$337)</f>
        <v>-0.11633203625528271</v>
      </c>
    </row>
    <row r="212" spans="1:24" x14ac:dyDescent="0.25">
      <c r="A212" s="9" t="s">
        <v>959</v>
      </c>
      <c r="D212" s="65">
        <f t="shared" ref="D212:X212" si="144">SUM(D$208:D$211)</f>
        <v>25.933</v>
      </c>
      <c r="E212" s="65">
        <f t="shared" si="144"/>
        <v>27.774999999999999</v>
      </c>
      <c r="F212" s="65">
        <f t="shared" si="144"/>
        <v>29.817</v>
      </c>
      <c r="G212" s="65">
        <f t="shared" si="144"/>
        <v>32.647999999999996</v>
      </c>
      <c r="H212" s="65">
        <f t="shared" si="144"/>
        <v>36.052</v>
      </c>
      <c r="I212" s="65">
        <f t="shared" si="144"/>
        <v>39.082999999999998</v>
      </c>
      <c r="J212" s="66">
        <f t="shared" si="144"/>
        <v>39.61</v>
      </c>
      <c r="K212" s="66">
        <f t="shared" si="144"/>
        <v>40.758000000000003</v>
      </c>
      <c r="L212" s="66">
        <f t="shared" si="144"/>
        <v>41.474999999999994</v>
      </c>
      <c r="M212" s="66">
        <f t="shared" si="144"/>
        <v>41.884</v>
      </c>
      <c r="N212" s="66">
        <f t="shared" si="144"/>
        <v>42.311</v>
      </c>
      <c r="O212" s="67">
        <f t="shared" ca="1" si="144"/>
        <v>45.31996453266742</v>
      </c>
      <c r="P212" s="67">
        <f t="shared" ca="1" si="144"/>
        <v>47.542072890503384</v>
      </c>
      <c r="Q212" s="67">
        <f t="shared" ca="1" si="144"/>
        <v>49.875547806250054</v>
      </c>
      <c r="R212" s="67">
        <f t="shared" ca="1" si="144"/>
        <v>52.235715596502402</v>
      </c>
      <c r="S212" s="67">
        <f t="shared" ca="1" si="144"/>
        <v>54.592526039500932</v>
      </c>
      <c r="T212" s="67">
        <f t="shared" ca="1" si="144"/>
        <v>57.017645721582099</v>
      </c>
      <c r="U212" s="67">
        <f t="shared" ca="1" si="144"/>
        <v>59.412543432020257</v>
      </c>
      <c r="V212" s="67">
        <f t="shared" ca="1" si="144"/>
        <v>61.833409557284057</v>
      </c>
      <c r="W212" s="67">
        <f t="shared" ca="1" si="144"/>
        <v>64.302536619639795</v>
      </c>
      <c r="X212" s="67">
        <f t="shared" ca="1" si="144"/>
        <v>66.83479321731339</v>
      </c>
    </row>
    <row r="214" spans="1:24" x14ac:dyDescent="0.25">
      <c r="A214" s="9" t="s">
        <v>536</v>
      </c>
    </row>
    <row r="215" spans="1:24" x14ac:dyDescent="0.25">
      <c r="A215" s="9" t="s">
        <v>1100</v>
      </c>
      <c r="B215" s="10" t="str">
        <f t="shared" ref="B215:B219" si="145">$B$38</f>
        <v>From Fiscal Forecasts</v>
      </c>
      <c r="D215" s="42">
        <f>'Fiscal Forecasts'!D$260</f>
        <v>1.5009999999999999</v>
      </c>
      <c r="E215" s="42">
        <f>'Fiscal Forecasts'!E$260</f>
        <v>1.675</v>
      </c>
      <c r="F215" s="42">
        <f>'Fiscal Forecasts'!F$260</f>
        <v>1.883</v>
      </c>
      <c r="G215" s="42">
        <f>'Fiscal Forecasts'!G$260</f>
        <v>2.0019999999999998</v>
      </c>
      <c r="H215" s="42">
        <f>'Fiscal Forecasts'!H$260</f>
        <v>2.4</v>
      </c>
      <c r="I215" s="42">
        <f>'Fiscal Forecasts'!I$260</f>
        <v>2.81</v>
      </c>
      <c r="J215" s="43">
        <f>'Fiscal Forecasts'!J$260</f>
        <v>2.7429999999999999</v>
      </c>
      <c r="K215" s="43">
        <f>'Fiscal Forecasts'!K$260</f>
        <v>2.9079999999999999</v>
      </c>
      <c r="L215" s="43">
        <f>'Fiscal Forecasts'!L$260</f>
        <v>2.9940000000000002</v>
      </c>
      <c r="M215" s="43">
        <f>'Fiscal Forecasts'!M$260</f>
        <v>3.069</v>
      </c>
      <c r="N215" s="43">
        <f>'Fiscal Forecasts'!N$260</f>
        <v>3.073</v>
      </c>
      <c r="O215" s="47">
        <f t="shared" ref="O215:X215" si="146">O$431</f>
        <v>3.073</v>
      </c>
      <c r="P215" s="47">
        <f t="shared" si="146"/>
        <v>3.073</v>
      </c>
      <c r="Q215" s="47">
        <f t="shared" si="146"/>
        <v>3.073</v>
      </c>
      <c r="R215" s="47">
        <f t="shared" si="146"/>
        <v>3.073</v>
      </c>
      <c r="S215" s="47">
        <f t="shared" si="146"/>
        <v>3.073</v>
      </c>
      <c r="T215" s="47">
        <f t="shared" si="146"/>
        <v>3.073</v>
      </c>
      <c r="U215" s="47">
        <f t="shared" si="146"/>
        <v>3.073</v>
      </c>
      <c r="V215" s="47">
        <f t="shared" si="146"/>
        <v>3.073</v>
      </c>
      <c r="W215" s="47">
        <f t="shared" si="146"/>
        <v>3.073</v>
      </c>
      <c r="X215" s="47">
        <f t="shared" si="146"/>
        <v>3.073</v>
      </c>
    </row>
    <row r="216" spans="1:24" x14ac:dyDescent="0.25">
      <c r="A216" s="11" t="s">
        <v>707</v>
      </c>
      <c r="B216" s="10" t="str">
        <f t="shared" si="145"/>
        <v>From Fiscal Forecasts</v>
      </c>
      <c r="D216" s="35">
        <f>'Fiscal Forecasts'!D$261</f>
        <v>1.587</v>
      </c>
      <c r="E216" s="35">
        <f>'Fiscal Forecasts'!E$261</f>
        <v>1.776</v>
      </c>
      <c r="F216" s="35">
        <f>'Fiscal Forecasts'!F$261</f>
        <v>1.9530000000000001</v>
      </c>
      <c r="G216" s="35">
        <f>'Fiscal Forecasts'!G$261</f>
        <v>2.2509999999999999</v>
      </c>
      <c r="H216" s="35">
        <f>'Fiscal Forecasts'!H$261</f>
        <v>2.5110000000000001</v>
      </c>
      <c r="I216" s="35">
        <f>'Fiscal Forecasts'!I$261</f>
        <v>2.9</v>
      </c>
      <c r="J216" s="17">
        <f>'Fiscal Forecasts'!J$261</f>
        <v>3.012</v>
      </c>
      <c r="K216" s="17">
        <f>'Fiscal Forecasts'!K$261</f>
        <v>3.129</v>
      </c>
      <c r="L216" s="17">
        <f>'Fiscal Forecasts'!L$261</f>
        <v>3.177</v>
      </c>
      <c r="M216" s="17">
        <f>'Fiscal Forecasts'!M$261</f>
        <v>3.226</v>
      </c>
      <c r="N216" s="17">
        <f>'Fiscal Forecasts'!N$261</f>
        <v>3.274</v>
      </c>
      <c r="O216" s="16">
        <f t="shared" ref="O216:X216" si="147">N$216</f>
        <v>3.274</v>
      </c>
      <c r="P216" s="16">
        <f t="shared" si="147"/>
        <v>3.274</v>
      </c>
      <c r="Q216" s="16">
        <f t="shared" si="147"/>
        <v>3.274</v>
      </c>
      <c r="R216" s="16">
        <f t="shared" si="147"/>
        <v>3.274</v>
      </c>
      <c r="S216" s="16">
        <f t="shared" si="147"/>
        <v>3.274</v>
      </c>
      <c r="T216" s="16">
        <f t="shared" si="147"/>
        <v>3.274</v>
      </c>
      <c r="U216" s="16">
        <f t="shared" si="147"/>
        <v>3.274</v>
      </c>
      <c r="V216" s="16">
        <f t="shared" si="147"/>
        <v>3.274</v>
      </c>
      <c r="W216" s="16">
        <f t="shared" si="147"/>
        <v>3.274</v>
      </c>
      <c r="X216" s="16">
        <f t="shared" si="147"/>
        <v>3.274</v>
      </c>
    </row>
    <row r="217" spans="1:24" x14ac:dyDescent="0.25">
      <c r="A217" s="11" t="s">
        <v>904</v>
      </c>
      <c r="B217" s="10" t="str">
        <f t="shared" si="145"/>
        <v>From Fiscal Forecasts</v>
      </c>
      <c r="D217" s="35">
        <f>'Fiscal Forecasts'!D$262</f>
        <v>1.466</v>
      </c>
      <c r="E217" s="35">
        <f>'Fiscal Forecasts'!E$262</f>
        <v>1.843</v>
      </c>
      <c r="F217" s="35">
        <f>'Fiscal Forecasts'!F$262</f>
        <v>1.73</v>
      </c>
      <c r="G217" s="35">
        <f>'Fiscal Forecasts'!G$262</f>
        <v>1.899</v>
      </c>
      <c r="H217" s="35">
        <f>'Fiscal Forecasts'!H$262</f>
        <v>1.69</v>
      </c>
      <c r="I217" s="35">
        <f>'Fiscal Forecasts'!I$262</f>
        <v>1.911</v>
      </c>
      <c r="J217" s="17">
        <f>'Fiscal Forecasts'!J$262</f>
        <v>2.3050000000000002</v>
      </c>
      <c r="K217" s="17">
        <f>'Fiscal Forecasts'!K$262</f>
        <v>2.387</v>
      </c>
      <c r="L217" s="17">
        <f>'Fiscal Forecasts'!L$262</f>
        <v>2.5459999999999998</v>
      </c>
      <c r="M217" s="17">
        <f>'Fiscal Forecasts'!M$262</f>
        <v>2.7690000000000001</v>
      </c>
      <c r="N217" s="17">
        <f>'Fiscal Forecasts'!N$262</f>
        <v>2.8580000000000001</v>
      </c>
      <c r="O217" s="16">
        <f t="shared" ref="O217:X217" ca="1" si="148">N$217*O$428/N$428</f>
        <v>2.8867767255345771</v>
      </c>
      <c r="P217" s="16">
        <f t="shared" ca="1" si="148"/>
        <v>2.9155053385363265</v>
      </c>
      <c r="Q217" s="16">
        <f t="shared" ca="1" si="148"/>
        <v>2.9446104230131529</v>
      </c>
      <c r="R217" s="16">
        <f t="shared" ca="1" si="148"/>
        <v>2.9741784522143893</v>
      </c>
      <c r="S217" s="16">
        <f t="shared" ca="1" si="148"/>
        <v>3.0042196339142793</v>
      </c>
      <c r="T217" s="16">
        <f t="shared" ca="1" si="148"/>
        <v>3.0347434538140505</v>
      </c>
      <c r="U217" s="16">
        <f t="shared" ca="1" si="148"/>
        <v>3.0657563469539673</v>
      </c>
      <c r="V217" s="16">
        <f t="shared" ca="1" si="148"/>
        <v>3.0972656664558227</v>
      </c>
      <c r="W217" s="16">
        <f t="shared" ca="1" si="148"/>
        <v>3.1292787469463068</v>
      </c>
      <c r="X217" s="16">
        <f t="shared" ca="1" si="148"/>
        <v>3.1618067191578474</v>
      </c>
    </row>
    <row r="218" spans="1:24" x14ac:dyDescent="0.25">
      <c r="A218" s="9" t="s">
        <v>964</v>
      </c>
      <c r="D218" s="65">
        <f t="shared" ref="D218:X218" si="149">SUM(D$215:D$217)</f>
        <v>4.5540000000000003</v>
      </c>
      <c r="E218" s="65">
        <f t="shared" si="149"/>
        <v>5.2940000000000005</v>
      </c>
      <c r="F218" s="65">
        <f t="shared" si="149"/>
        <v>5.5660000000000007</v>
      </c>
      <c r="G218" s="65">
        <f t="shared" si="149"/>
        <v>6.1520000000000001</v>
      </c>
      <c r="H218" s="65">
        <f t="shared" si="149"/>
        <v>6.6009999999999991</v>
      </c>
      <c r="I218" s="65">
        <f t="shared" si="149"/>
        <v>7.6210000000000004</v>
      </c>
      <c r="J218" s="66">
        <f t="shared" si="149"/>
        <v>8.06</v>
      </c>
      <c r="K218" s="66">
        <f t="shared" si="149"/>
        <v>8.4239999999999995</v>
      </c>
      <c r="L218" s="66">
        <f t="shared" si="149"/>
        <v>8.7170000000000005</v>
      </c>
      <c r="M218" s="66">
        <f t="shared" si="149"/>
        <v>9.0640000000000001</v>
      </c>
      <c r="N218" s="66">
        <f t="shared" si="149"/>
        <v>9.2050000000000001</v>
      </c>
      <c r="O218" s="67">
        <f t="shared" ca="1" si="149"/>
        <v>9.2337767255345771</v>
      </c>
      <c r="P218" s="67">
        <f t="shared" ca="1" si="149"/>
        <v>9.2625053385363252</v>
      </c>
      <c r="Q218" s="67">
        <f t="shared" ca="1" si="149"/>
        <v>9.291610423013152</v>
      </c>
      <c r="R218" s="67">
        <f t="shared" ca="1" si="149"/>
        <v>9.3211784522143883</v>
      </c>
      <c r="S218" s="67">
        <f t="shared" ca="1" si="149"/>
        <v>9.3512196339142797</v>
      </c>
      <c r="T218" s="67">
        <f t="shared" ca="1" si="149"/>
        <v>9.3817434538140496</v>
      </c>
      <c r="U218" s="67">
        <f t="shared" ca="1" si="149"/>
        <v>9.4127563469539659</v>
      </c>
      <c r="V218" s="67">
        <f t="shared" ca="1" si="149"/>
        <v>9.4442656664558218</v>
      </c>
      <c r="W218" s="67">
        <f t="shared" ca="1" si="149"/>
        <v>9.4762787469463063</v>
      </c>
      <c r="X218" s="67">
        <f t="shared" ca="1" si="149"/>
        <v>9.508806719157846</v>
      </c>
    </row>
    <row r="219" spans="1:24" x14ac:dyDescent="0.25">
      <c r="A219" s="9" t="s">
        <v>960</v>
      </c>
      <c r="B219" s="10" t="str">
        <f t="shared" si="145"/>
        <v>From Fiscal Forecasts</v>
      </c>
      <c r="D219" s="42">
        <f>'Fiscal Forecasts'!D$265</f>
        <v>0.29399999999999998</v>
      </c>
      <c r="E219" s="42">
        <f>'Fiscal Forecasts'!E$265</f>
        <v>0.57399999999999995</v>
      </c>
      <c r="F219" s="42">
        <f>'Fiscal Forecasts'!F$265</f>
        <v>0.37</v>
      </c>
      <c r="G219" s="42">
        <f>'Fiscal Forecasts'!G$265</f>
        <v>0.316</v>
      </c>
      <c r="H219" s="42">
        <f>'Fiscal Forecasts'!H$265</f>
        <v>0.29399999999999998</v>
      </c>
      <c r="I219" s="42">
        <f>'Fiscal Forecasts'!I$265</f>
        <v>0.33</v>
      </c>
      <c r="J219" s="43">
        <f>'Fiscal Forecasts'!J$265</f>
        <v>0.33600000000000002</v>
      </c>
      <c r="K219" s="43">
        <f>'Fiscal Forecasts'!K$265</f>
        <v>0.34399999999999997</v>
      </c>
      <c r="L219" s="43">
        <f>'Fiscal Forecasts'!L$265</f>
        <v>0.34300000000000003</v>
      </c>
      <c r="M219" s="43">
        <f>'Fiscal Forecasts'!M$265</f>
        <v>0.34200000000000003</v>
      </c>
      <c r="N219" s="43">
        <f>'Fiscal Forecasts'!N$265</f>
        <v>0.34200000000000003</v>
      </c>
      <c r="O219" s="47">
        <f ca="1">IF(O$6=OFFSET(Assumptions!$B$8,0,$C$1),AVERAGE(L$219/L$441,M$219/M$441,N$219/N$441),N$219/N$441)*O$441</f>
        <v>0.33085072805363508</v>
      </c>
      <c r="P219" s="47">
        <f ca="1">IF(P$6=OFFSET(Assumptions!$B$8,0,$C$1),AVERAGE(M$219/M$441,N$219/N$441,O$219/O$441),O$219/O$441)*P$441</f>
        <v>0.33085072805363508</v>
      </c>
      <c r="Q219" s="47">
        <f ca="1">IF(Q$6=OFFSET(Assumptions!$B$8,0,$C$1),AVERAGE(N$219/N$441,O$219/O$441,P$219/P$441),P$219/P$441)*Q$441</f>
        <v>0.33085072805363508</v>
      </c>
      <c r="R219" s="47">
        <f ca="1">IF(R$6=OFFSET(Assumptions!$B$8,0,$C$1),AVERAGE(O$219/O$441,P$219/P$441,Q$219/Q$441),Q$219/Q$441)*R$441</f>
        <v>0.33085072805363508</v>
      </c>
      <c r="S219" s="47">
        <f ca="1">IF(S$6=OFFSET(Assumptions!$B$8,0,$C$1),AVERAGE(P$219/P$441,Q$219/Q$441,R$219/R$441),R$219/R$441)*S$441</f>
        <v>0.33085072805363508</v>
      </c>
      <c r="T219" s="47">
        <f ca="1">IF(T$6=OFFSET(Assumptions!$B$8,0,$C$1),AVERAGE(Q$219/Q$441,R$219/R$441,S$219/S$441),S$219/S$441)*T$441</f>
        <v>0.33085072805363508</v>
      </c>
      <c r="U219" s="47">
        <f ca="1">IF(U$6=OFFSET(Assumptions!$B$8,0,$C$1),AVERAGE(R$219/R$441,S$219/S$441,T$219/T$441),T$219/T$441)*U$441</f>
        <v>0.33085072805363508</v>
      </c>
      <c r="V219" s="47">
        <f ca="1">IF(V$6=OFFSET(Assumptions!$B$8,0,$C$1),AVERAGE(S$219/S$441,T$219/T$441,U$219/U$441),U$219/U$441)*V$441</f>
        <v>0.33085072805363508</v>
      </c>
      <c r="W219" s="47">
        <f ca="1">IF(W$6=OFFSET(Assumptions!$B$8,0,$C$1),AVERAGE(T$219/T$441,U$219/U$441,V$219/V$441),V$219/V$441)*W$441</f>
        <v>0.33085072805363508</v>
      </c>
      <c r="X219" s="47">
        <f ca="1">IF(X$6=OFFSET(Assumptions!$B$8,0,$C$1),AVERAGE(U$219/U$441,V$219/V$441,W$219/W$441),W$219/W$441)*X$441</f>
        <v>0.33085072805363508</v>
      </c>
    </row>
    <row r="220" spans="1:24" x14ac:dyDescent="0.25">
      <c r="A220" s="9"/>
    </row>
    <row r="221" spans="1:24" x14ac:dyDescent="0.25">
      <c r="A221" s="9" t="s">
        <v>537</v>
      </c>
    </row>
    <row r="222" spans="1:24" x14ac:dyDescent="0.25">
      <c r="A222" s="9" t="s">
        <v>1101</v>
      </c>
      <c r="B222" s="10" t="str">
        <f t="shared" ref="B222:B225" si="150">$B$38</f>
        <v>From Fiscal Forecasts</v>
      </c>
      <c r="D222" s="42">
        <f>'Fiscal Forecasts'!D$270</f>
        <v>44.959000000000003</v>
      </c>
      <c r="E222" s="42">
        <f>'Fiscal Forecasts'!E$270</f>
        <v>51.832999999999998</v>
      </c>
      <c r="F222" s="42">
        <f>'Fiscal Forecasts'!F$270</f>
        <v>58.084000000000003</v>
      </c>
      <c r="G222" s="42">
        <f>'Fiscal Forecasts'!G$270</f>
        <v>65.543000000000006</v>
      </c>
      <c r="H222" s="42">
        <f>'Fiscal Forecasts'!H$270</f>
        <v>68.150000000000006</v>
      </c>
      <c r="I222" s="42">
        <f>'Fiscal Forecasts'!I$270</f>
        <v>72.72</v>
      </c>
      <c r="J222" s="43">
        <f ca="1">'Fiscal Forecasts'!J$270+IF(OFFSET(Assumptions!$B$56,0,$C$1)="Yes",SUM(Allocation!C$14:C$24),0)</f>
        <v>72.878</v>
      </c>
      <c r="K222" s="43">
        <f ca="1">'Fiscal Forecasts'!K$270+IF(OFFSET(Assumptions!$B$56,0,$C$1)="Yes",SUM(Allocation!D$14:D$24),0)</f>
        <v>77.957999999999998</v>
      </c>
      <c r="L222" s="43">
        <f ca="1">'Fiscal Forecasts'!L$270+IF(OFFSET(Assumptions!$B$56,0,$C$1)="Yes",SUM(Allocation!E$14:E$24),0)</f>
        <v>78.046000000000006</v>
      </c>
      <c r="M222" s="43">
        <f ca="1">'Fiscal Forecasts'!M$270+IF(OFFSET(Assumptions!$B$56,0,$C$1)="Yes",SUM(Allocation!F$14:F$24),0)</f>
        <v>78.794000000000011</v>
      </c>
      <c r="N222" s="43">
        <f ca="1">'Fiscal Forecasts'!N$270+IF(OFFSET(Assumptions!$B$56,0,$C$1)="Yes",SUM(Allocation!G$14:G$24),0)</f>
        <v>81.896999999999991</v>
      </c>
      <c r="O222" s="47">
        <f ca="1">SUM(-O$215,O$333,IF(O$6=OFFSET(Assumptions!$B$8,0,$C$1),AVERAGE((L$222+L$215-L$333)/SUM(L$208,L$215,L$222,-L$251,-L$333),(M$222+M$215-M$333)/SUM(M$208,M$215,M$222,-M$251,-M$333),(N$222+N$215-N$333)/SUM(N$208,N$215,N$222,-N$251,-N$333)),(N$222+N$215-N$333)/SUM(N$208,N$215,N$222,-N$251,-N$333))*(O$332-O$261-SUM(O$267:O$270,O$273)))</f>
        <v>87.091870606471602</v>
      </c>
      <c r="P222" s="47">
        <f ca="1">SUM(-P$215,P$333,IF(P$6=OFFSET(Assumptions!$B$8,0,$C$1),AVERAGE((M$222+M$215-M$333)/SUM(M$208,M$215,M$222,-M$251,-M$333),(N$222+N$215-N$333)/SUM(N$208,N$215,N$222,-N$251,-N$333),(O$222+O$215-O$333)/SUM(O$208,O$215,O$222,-O$251,-O$333)),(O$222+O$215-O$333)/SUM(O$208,O$215,O$222,-O$251,-O$333))*(P$332-P$261-SUM(P$267:P$270,P$273)))</f>
        <v>91.29879309667831</v>
      </c>
      <c r="Q222" s="47">
        <f ca="1">SUM(-Q$215,Q$333,IF(Q$6=OFFSET(Assumptions!$B$8,0,$C$1),AVERAGE((N$222+N$215-N$333)/SUM(N$208,N$215,N$222,-N$251,-N$333),(O$222+O$215-O$333)/SUM(O$208,O$215,O$222,-O$251,-O$333),(P$222+P$215-P$333)/SUM(P$208,P$215,P$222,-P$251,-P$333)),(P$222+P$215-P$333)/SUM(P$208,P$215,P$222,-P$251,-P$333))*(Q$332-Q$261-SUM(Q$267:Q$270,Q$273)))</f>
        <v>95.796520558878655</v>
      </c>
      <c r="R222" s="47">
        <f ca="1">SUM(-R$215,R$333,IF(R$6=OFFSET(Assumptions!$B$8,0,$C$1),AVERAGE((O$222+O$215-O$333)/SUM(O$208,O$215,O$222,-O$251,-O$333),(P$222+P$215-P$333)/SUM(P$208,P$215,P$222,-P$251,-P$333),(Q$222+Q$215-Q$333)/SUM(Q$208,Q$215,Q$222,-Q$251,-Q$333)),(Q$222+Q$215-Q$333)/SUM(Q$208,Q$215,Q$222,-Q$251,-Q$333))*(R$332-R$261-SUM(R$267:R$270,R$273)))</f>
        <v>100.37390373407328</v>
      </c>
      <c r="S222" s="47">
        <f ca="1">SUM(-S$215,S$333,IF(S$6=OFFSET(Assumptions!$B$8,0,$C$1),AVERAGE((P$222+P$215-P$333)/SUM(P$208,P$215,P$222,-P$251,-P$333),(Q$222+Q$215-Q$333)/SUM(Q$208,Q$215,Q$222,-Q$251,-Q$333),(R$222+R$215-R$333)/SUM(R$208,R$215,R$222,-R$251,-R$333)),(R$222+R$215-R$333)/SUM(R$208,R$215,R$222,-R$251,-R$333))*(S$332-S$261-SUM(S$267:S$270,S$273)))</f>
        <v>104.9810451186695</v>
      </c>
      <c r="T222" s="47">
        <f ca="1">SUM(-T$215,T$333,IF(T$6=OFFSET(Assumptions!$B$8,0,$C$1),AVERAGE((Q$222+Q$215-Q$333)/SUM(Q$208,Q$215,Q$222,-Q$251,-Q$333),(R$222+R$215-R$333)/SUM(R$208,R$215,R$222,-R$251,-R$333),(S$222+S$215-S$333)/SUM(S$208,S$215,S$222,-S$251,-S$333)),(S$222+S$215-S$333)/SUM(S$208,S$215,S$222,-S$251,-S$333))*(T$332-T$261-SUM(T$267:T$270,T$273)))</f>
        <v>109.73406603455354</v>
      </c>
      <c r="U222" s="47">
        <f ca="1">SUM(-U$215,U$333,IF(U$6=OFFSET(Assumptions!$B$8,0,$C$1),AVERAGE((R$222+R$215-R$333)/SUM(R$208,R$215,R$222,-R$251,-R$333),(S$222+S$215-S$333)/SUM(S$208,S$215,S$222,-S$251,-S$333),(T$222+T$215-T$333)/SUM(T$208,T$215,T$222,-T$251,-T$333)),(T$222+T$215-T$333)/SUM(T$208,T$215,T$222,-T$251,-T$333))*(U$332-U$261-SUM(U$267:U$270,U$273)))</f>
        <v>114.46505032541722</v>
      </c>
      <c r="V222" s="47">
        <f ca="1">SUM(-V$215,V$333,IF(V$6=OFFSET(Assumptions!$B$8,0,$C$1),AVERAGE((S$222+S$215-S$333)/SUM(S$208,S$215,S$222,-S$251,-S$333),(T$222+T$215-T$333)/SUM(T$208,T$215,T$222,-T$251,-T$333),(U$222+U$215-U$333)/SUM(U$208,U$215,U$222,-U$251,-U$333)),(U$222+U$215-U$333)/SUM(U$208,U$215,U$222,-U$251,-U$333))*(V$332-V$261-SUM(V$267:V$270,V$273)))</f>
        <v>119.27226986246517</v>
      </c>
      <c r="W222" s="47">
        <f ca="1">SUM(-W$215,W$333,IF(W$6=OFFSET(Assumptions!$B$8,0,$C$1),AVERAGE((T$222+T$215-T$333)/SUM(T$208,T$215,T$222,-T$251,-T$333),(U$222+U$215-U$333)/SUM(U$208,U$215,U$222,-U$251,-U$333),(V$222+V$215-V$333)/SUM(V$208,V$215,V$222,-V$251,-V$333)),(V$222+V$215-V$333)/SUM(V$208,V$215,V$222,-V$251,-V$333))*(W$332-W$261-SUM(W$267:W$270,W$273)))</f>
        <v>124.17957493946048</v>
      </c>
      <c r="X222" s="47">
        <f ca="1">SUM(-X$215,X$333,IF(X$6=OFFSET(Assumptions!$B$8,0,$C$1),AVERAGE((U$222+U$215-U$333)/SUM(U$208,U$215,U$222,-U$251,-U$333),(V$222+V$215-V$333)/SUM(V$208,V$215,V$222,-V$251,-V$333),(W$222+W$215-W$333)/SUM(W$208,W$215,W$222,-W$251,-W$333)),(W$222+W$215-W$333)/SUM(W$208,W$215,W$222,-W$251,-W$333))*(X$332-X$261-SUM(X$267:X$270,X$273)))</f>
        <v>129.21485522036522</v>
      </c>
    </row>
    <row r="223" spans="1:24" x14ac:dyDescent="0.25">
      <c r="A223" s="11" t="s">
        <v>707</v>
      </c>
      <c r="B223" s="10" t="str">
        <f t="shared" si="150"/>
        <v>From Fiscal Forecasts</v>
      </c>
      <c r="D223" s="35">
        <f>'Fiscal Forecasts'!D$271</f>
        <v>22.132999999999999</v>
      </c>
      <c r="E223" s="35">
        <f>'Fiscal Forecasts'!E$271</f>
        <v>25.504999999999999</v>
      </c>
      <c r="F223" s="35">
        <f>'Fiscal Forecasts'!F$271</f>
        <v>25.257000000000001</v>
      </c>
      <c r="G223" s="35">
        <f>'Fiscal Forecasts'!G$271</f>
        <v>27.652000000000001</v>
      </c>
      <c r="H223" s="35">
        <f>'Fiscal Forecasts'!H$271</f>
        <v>33.918999999999997</v>
      </c>
      <c r="I223" s="35">
        <f>'Fiscal Forecasts'!I$271</f>
        <v>34.594999999999999</v>
      </c>
      <c r="J223" s="17">
        <f>'Fiscal Forecasts'!J$271</f>
        <v>35.579000000000001</v>
      </c>
      <c r="K223" s="17">
        <f>'Fiscal Forecasts'!K$271</f>
        <v>34.938000000000002</v>
      </c>
      <c r="L223" s="17">
        <f>'Fiscal Forecasts'!L$271</f>
        <v>36.030999999999999</v>
      </c>
      <c r="M223" s="17">
        <f>'Fiscal Forecasts'!M$271</f>
        <v>34.314</v>
      </c>
      <c r="N223" s="17">
        <f>'Fiscal Forecasts'!N$271</f>
        <v>34.192999999999998</v>
      </c>
      <c r="O223" s="16">
        <f ca="1">SUM(-O$216,IF(O$6=OFFSET(Assumptions!$B$8,0,$C$1),AVERAGE(SUM(L$216,L$223)/SUM(L$209,-(L$252-L$251),L$216,L$223),SUM(M$216,M$223)/SUM(M$209,-(M$252-M$251),M$216,M$223),SUM(N$216,N$223)/SUM(N$209,-(N$252-N$251),N$216,N$223)),SUM(N$216,N$223)/SUM(N$209,-(N$252-N$251),N$216,N$223))*SUM(O$198-O$238,O$262,O$275,O$293,O$335,-(O$252-O$251)))</f>
        <v>36.576447233809915</v>
      </c>
      <c r="P223" s="16">
        <f ca="1">SUM(-P$216,IF(P$6=OFFSET(Assumptions!$B$8,0,$C$1),AVERAGE(SUM(M$216,M$223)/SUM(M$209,-(M$252-M$251),M$216,M$223),SUM(N$216,N$223)/SUM(N$209,-(N$252-N$251),N$216,N$223),SUM(O$216,O$223)/SUM(O$209,-(O$252-O$251),O$216,O$223)),SUM(O$216,O$223)/SUM(O$209,-(O$252-O$251),O$216,O$223))*SUM(P$198-P$238,P$262,P$275,P$293,P$335,-(P$252-P$251)))</f>
        <v>38.437002409837952</v>
      </c>
      <c r="Q223" s="16">
        <f ca="1">SUM(-Q$216,IF(Q$6=OFFSET(Assumptions!$B$8,0,$C$1),AVERAGE(SUM(N$216,N$223)/SUM(N$209,-(N$252-N$251),N$216,N$223),SUM(O$216,O$223)/SUM(O$209,-(O$252-O$251),O$216,O$223),SUM(P$216,P$223)/SUM(P$209,-(P$252-P$251),P$216,P$223)),SUM(P$216,P$223)/SUM(P$209,-(P$252-P$251),P$216,P$223))*SUM(Q$198-Q$238,Q$262,Q$275,Q$293,Q$335,-(Q$252-Q$251)))</f>
        <v>40.497789968441658</v>
      </c>
      <c r="R223" s="16">
        <f ca="1">SUM(-R$216,IF(R$6=OFFSET(Assumptions!$B$8,0,$C$1),AVERAGE(SUM(O$216,O$223)/SUM(O$209,-(O$252-O$251),O$216,O$223),SUM(P$216,P$223)/SUM(P$209,-(P$252-P$251),P$216,P$223),SUM(Q$216,Q$223)/SUM(Q$209,-(Q$252-Q$251),Q$216,Q$223)),SUM(Q$216,Q$223)/SUM(Q$209,-(Q$252-Q$251),Q$216,Q$223))*SUM(R$198-R$238,R$262,R$275,R$293,R$335,-(R$252-R$251)))</f>
        <v>42.630830435605638</v>
      </c>
      <c r="S223" s="16">
        <f ca="1">SUM(-S$216,IF(S$6=OFFSET(Assumptions!$B$8,0,$C$1),AVERAGE(SUM(P$216,P$223)/SUM(P$209,-(P$252-P$251),P$216,P$223),SUM(Q$216,Q$223)/SUM(Q$209,-(Q$252-Q$251),Q$216,Q$223),SUM(R$216,R$223)/SUM(R$209,-(R$252-R$251),R$216,R$223)),SUM(R$216,R$223)/SUM(R$209,-(R$252-R$251),R$216,R$223))*SUM(S$198-S$238,S$262,S$275,S$293,S$335,-(S$252-S$251)))</f>
        <v>44.834212471604445</v>
      </c>
      <c r="T223" s="16">
        <f ca="1">SUM(-T$216,IF(T$6=OFFSET(Assumptions!$B$8,0,$C$1),AVERAGE(SUM(Q$216,Q$223)/SUM(Q$209,-(Q$252-Q$251),Q$216,Q$223),SUM(R$216,R$223)/SUM(R$209,-(R$252-R$251),R$216,R$223),SUM(S$216,S$223)/SUM(S$209,-(S$252-S$251),S$216,S$223)),SUM(S$216,S$223)/SUM(S$209,-(S$252-S$251),S$216,S$223))*SUM(T$198-T$238,T$262,T$275,T$293,T$335,-(T$252-T$251)))</f>
        <v>47.103915653151915</v>
      </c>
      <c r="U223" s="16">
        <f ca="1">SUM(-U$216,IF(U$6=OFFSET(Assumptions!$B$8,0,$C$1),AVERAGE(SUM(R$216,R$223)/SUM(R$209,-(R$252-R$251),R$216,R$223),SUM(S$216,S$223)/SUM(S$209,-(S$252-S$251),S$216,S$223),SUM(T$216,T$223)/SUM(T$209,-(T$252-T$251),T$216,T$223)),SUM(T$216,T$223)/SUM(T$209,-(T$252-T$251),T$216,T$223))*SUM(U$198-U$238,U$262,U$275,U$293,U$335,-(U$252-U$251)))</f>
        <v>49.443712689790395</v>
      </c>
      <c r="V223" s="16">
        <f ca="1">SUM(-V$216,IF(V$6=OFFSET(Assumptions!$B$8,0,$C$1),AVERAGE(SUM(S$216,S$223)/SUM(S$209,-(S$252-S$251),S$216,S$223),SUM(T$216,T$223)/SUM(T$209,-(T$252-T$251),T$216,T$223),SUM(U$216,U$223)/SUM(U$209,-(U$252-U$251),U$216,U$223)),SUM(U$216,U$223)/SUM(U$209,-(U$252-U$251),U$216,U$223))*SUM(V$198-V$238,V$262,V$275,V$293,V$335,-(V$252-V$251)))</f>
        <v>51.8547827223843</v>
      </c>
      <c r="W223" s="16">
        <f ca="1">SUM(-W$216,IF(W$6=OFFSET(Assumptions!$B$8,0,$C$1),AVERAGE(SUM(T$216,T$223)/SUM(T$209,-(T$252-T$251),T$216,T$223),SUM(U$216,U$223)/SUM(U$209,-(U$252-U$251),U$216,U$223),SUM(V$216,V$223)/SUM(V$209,-(V$252-V$251),V$216,V$223)),SUM(V$216,V$223)/SUM(V$209,-(V$252-V$251),V$216,V$223))*SUM(W$198-W$238,W$262,W$275,W$293,W$335,-(W$252-W$251)))</f>
        <v>54.32094058754835</v>
      </c>
      <c r="X223" s="16">
        <f ca="1">SUM(-X$216,IF(X$6=OFFSET(Assumptions!$B$8,0,$C$1),AVERAGE(SUM(U$216,U$223)/SUM(U$209,-(U$252-U$251),U$216,U$223),SUM(V$216,V$223)/SUM(V$209,-(V$252-V$251),V$216,V$223),SUM(W$216,W$223)/SUM(W$209,-(W$252-W$251),W$216,W$223)),SUM(W$216,W$223)/SUM(W$209,-(W$252-W$251),W$216,W$223))*SUM(X$198-X$238,X$262,X$275,X$293,X$335,-(X$252-X$251)))</f>
        <v>56.855457446892757</v>
      </c>
    </row>
    <row r="224" spans="1:24" x14ac:dyDescent="0.25">
      <c r="A224" s="11" t="s">
        <v>904</v>
      </c>
      <c r="B224" s="10" t="str">
        <f t="shared" si="150"/>
        <v>From Fiscal Forecasts</v>
      </c>
      <c r="D224" s="35">
        <f>'Fiscal Forecasts'!D$272</f>
        <v>9.4740000000000002</v>
      </c>
      <c r="E224" s="35">
        <f>'Fiscal Forecasts'!E$272</f>
        <v>12.164999999999999</v>
      </c>
      <c r="F224" s="35">
        <f>'Fiscal Forecasts'!F$272</f>
        <v>11.702999999999999</v>
      </c>
      <c r="G224" s="35">
        <f>'Fiscal Forecasts'!G$272</f>
        <v>9.8040000000000003</v>
      </c>
      <c r="H224" s="35">
        <f>'Fiscal Forecasts'!H$272</f>
        <v>12.132</v>
      </c>
      <c r="I224" s="35">
        <f>'Fiscal Forecasts'!I$272</f>
        <v>16.550999999999998</v>
      </c>
      <c r="J224" s="17">
        <f>'Fiscal Forecasts'!J$272</f>
        <v>16.504000000000001</v>
      </c>
      <c r="K224" s="17">
        <f>'Fiscal Forecasts'!K$272</f>
        <v>16.885999999999999</v>
      </c>
      <c r="L224" s="17">
        <f>'Fiscal Forecasts'!L$272</f>
        <v>16.931999999999999</v>
      </c>
      <c r="M224" s="17">
        <f>'Fiscal Forecasts'!M$272</f>
        <v>17.684000000000001</v>
      </c>
      <c r="N224" s="17">
        <f>'Fiscal Forecasts'!N$272</f>
        <v>17.927</v>
      </c>
      <c r="O224" s="16">
        <f ca="1">SUM(-O$217,IF(O$6=OFFSET(Assumptions!$B$8,0,$C$1),AVERAGE(SUM(L$217,L$224)/SUM(L$210,L$217,L$224),SUM(M$217,M$224)/SUM(M$210,M$217,M$224),SUM(N$217,N$224)/SUM(N$210,N$217,N$224)),SUM(N$217,N$224)/SUM(N$210,N$217,N$224))*SUM(O$294,O$336-O$239))</f>
        <v>18.454639259170392</v>
      </c>
      <c r="P224" s="16">
        <f ca="1">SUM(-P$217,IF(P$6=OFFSET(Assumptions!$B$8,0,$C$1),AVERAGE(SUM(M$217,M$224)/SUM(M$210,M$217,M$224),SUM(N$217,N$224)/SUM(N$210,N$217,N$224),SUM(O$217,O$224)/SUM(O$210,O$217,O$224)),SUM(O$217,O$224)/SUM(O$210,O$217,O$224))*SUM(P$294,P$336-P$239))</f>
        <v>18.970647486823076</v>
      </c>
      <c r="Q224" s="16">
        <f ca="1">SUM(-Q$217,IF(Q$6=OFFSET(Assumptions!$B$8,0,$C$1),AVERAGE(SUM(N$217,N$224)/SUM(N$210,N$217,N$224),SUM(O$217,O$224)/SUM(O$210,O$217,O$224),SUM(P$217,P$224)/SUM(P$210,P$217,P$224)),SUM(P$217,P$224)/SUM(P$210,P$217,P$224))*SUM(Q$294,Q$336-Q$239))</f>
        <v>19.494637023323445</v>
      </c>
      <c r="R224" s="16">
        <f ca="1">SUM(-R$217,IF(R$6=OFFSET(Assumptions!$B$8,0,$C$1),AVERAGE(SUM(O$217,O$224)/SUM(O$210,O$217,O$224),SUM(P$217,P$224)/SUM(P$210,P$217,P$224),SUM(Q$217,Q$224)/SUM(Q$210,Q$217,Q$224)),SUM(Q$217,Q$224)/SUM(Q$210,Q$217,Q$224))*SUM(R$294,R$336-R$239))</f>
        <v>20.023746378567289</v>
      </c>
      <c r="S224" s="16">
        <f ca="1">SUM(-S$217,IF(S$6=OFFSET(Assumptions!$B$8,0,$C$1),AVERAGE(SUM(P$217,P$224)/SUM(P$210,P$217,P$224),SUM(Q$217,Q$224)/SUM(Q$210,Q$217,Q$224),SUM(R$217,R$224)/SUM(R$210,R$217,R$224)),SUM(R$217,R$224)/SUM(R$210,R$217,R$224))*SUM(S$294,S$336-S$239))</f>
        <v>20.559758340301361</v>
      </c>
      <c r="T224" s="16">
        <f ca="1">SUM(-T$217,IF(T$6=OFFSET(Assumptions!$B$8,0,$C$1),AVERAGE(SUM(Q$217,Q$224)/SUM(Q$210,Q$217,Q$224),SUM(R$217,R$224)/SUM(R$210,R$217,R$224),SUM(S$217,S$224)/SUM(S$210,S$217,S$224)),SUM(S$217,S$224)/SUM(S$210,S$217,S$224))*SUM(T$294,T$336-T$239))</f>
        <v>21.102028614164315</v>
      </c>
      <c r="U224" s="16">
        <f ca="1">SUM(-U$217,IF(U$6=OFFSET(Assumptions!$B$8,0,$C$1),AVERAGE(SUM(R$217,R$224)/SUM(R$210,R$217,R$224),SUM(S$217,S$224)/SUM(S$210,S$217,S$224),SUM(T$217,T$224)/SUM(T$210,T$217,T$224)),SUM(T$217,T$224)/SUM(T$210,T$217,T$224))*SUM(U$294,U$336-U$239))</f>
        <v>21.654844349584405</v>
      </c>
      <c r="V224" s="16">
        <f ca="1">SUM(-V$217,IF(V$6=OFFSET(Assumptions!$B$8,0,$C$1),AVERAGE(SUM(S$217,S$224)/SUM(S$210,S$217,S$224),SUM(T$217,T$224)/SUM(T$210,T$217,T$224),SUM(U$217,U$224)/SUM(U$210,U$217,U$224)),SUM(U$217,U$224)/SUM(U$210,U$217,U$224))*SUM(V$294,V$336-V$239))</f>
        <v>22.216683595584225</v>
      </c>
      <c r="W224" s="16">
        <f ca="1">SUM(-W$217,IF(W$6=OFFSET(Assumptions!$B$8,0,$C$1),AVERAGE(SUM(T$217,T$224)/SUM(T$210,T$217,T$224),SUM(U$217,U$224)/SUM(U$210,U$217,U$224),SUM(V$217,V$224)/SUM(V$210,V$217,V$224)),SUM(V$217,V$224)/SUM(V$210,V$217,V$224))*SUM(W$294,W$336-W$239))</f>
        <v>22.782802895528249</v>
      </c>
      <c r="X224" s="16">
        <f ca="1">SUM(-X$217,IF(X$6=OFFSET(Assumptions!$B$8,0,$C$1),AVERAGE(SUM(U$217,U$224)/SUM(U$210,U$217,U$224),SUM(V$217,V$224)/SUM(V$210,V$217,V$224),SUM(W$217,W$224)/SUM(W$210,W$217,W$224)),SUM(W$217,W$224)/SUM(W$210,W$217,W$224))*SUM(X$294,X$336-X$239))</f>
        <v>23.356840467759515</v>
      </c>
    </row>
    <row r="225" spans="1:24" x14ac:dyDescent="0.25">
      <c r="A225" s="11" t="s">
        <v>866</v>
      </c>
      <c r="B225" s="10" t="str">
        <f t="shared" si="150"/>
        <v>From Fiscal Forecasts</v>
      </c>
      <c r="D225" s="35">
        <f>'Fiscal Forecasts'!D$273</f>
        <v>-33.872999999999998</v>
      </c>
      <c r="E225" s="35">
        <f>'Fiscal Forecasts'!E$273</f>
        <v>-36.92</v>
      </c>
      <c r="F225" s="35">
        <f>'Fiscal Forecasts'!F$273</f>
        <v>-41.241999999999997</v>
      </c>
      <c r="G225" s="35">
        <f>'Fiscal Forecasts'!G$273</f>
        <v>-44.725999999999999</v>
      </c>
      <c r="H225" s="35">
        <f>'Fiscal Forecasts'!H$273</f>
        <v>-50.067</v>
      </c>
      <c r="I225" s="35">
        <f>'Fiscal Forecasts'!I$273</f>
        <v>-53.246000000000002</v>
      </c>
      <c r="J225" s="17">
        <f>'Fiscal Forecasts'!J$273</f>
        <v>-54.987000000000002</v>
      </c>
      <c r="K225" s="17">
        <f>'Fiscal Forecasts'!K$273</f>
        <v>-56.061</v>
      </c>
      <c r="L225" s="17">
        <f>'Fiscal Forecasts'!L$273</f>
        <v>-57.274999999999999</v>
      </c>
      <c r="M225" s="17">
        <f>'Fiscal Forecasts'!M$273</f>
        <v>-56.704999999999998</v>
      </c>
      <c r="N225" s="17">
        <f>'Fiscal Forecasts'!N$273</f>
        <v>-57.371000000000002</v>
      </c>
      <c r="O225" s="16">
        <f ca="1">IF(O$6=OFFSET(Assumptions!$B$8,0,$C$1),AVERAGE(L$225/SUM(L$211,L$225),M$225/SUM(M$211,M$225),N$225/SUM(N$211,N$225)),N$225/SUM(N$211,N$225))*SUM(O$199,O$263,O$276,O$295,O$337)</f>
        <v>-62.367249278772206</v>
      </c>
      <c r="P225" s="16">
        <f ca="1">IF(P$6=OFFSET(Assumptions!$B$8,0,$C$1),AVERAGE(M$225/SUM(M$211,M$225),N$225/SUM(N$211,N$225),O$225/SUM(O$211,O$225)),O$225/SUM(O$211,O$225))*SUM(P$199,P$263,P$276,P$295,P$337)</f>
        <v>-65.489113050657153</v>
      </c>
      <c r="Q225" s="16">
        <f ca="1">IF(Q$6=OFFSET(Assumptions!$B$8,0,$C$1),AVERAGE(N$225/SUM(N$211,N$225),O$225/SUM(O$211,O$225),P$225/SUM(P$211,P$225)),P$225/SUM(P$211,P$225))*SUM(Q$199,Q$263,Q$276,Q$295,Q$337)</f>
        <v>-68.960346094332479</v>
      </c>
      <c r="R225" s="16">
        <f ca="1">IF(R$6=OFFSET(Assumptions!$B$8,0,$C$1),AVERAGE(O$225/SUM(O$211,O$225),P$225/SUM(P$211,P$225),Q$225/SUM(Q$211,Q$225)),Q$225/SUM(Q$211,Q$225))*SUM(R$199,R$263,R$276,R$295,R$337)</f>
        <v>-72.570000124036753</v>
      </c>
      <c r="S225" s="16">
        <f ca="1">IF(S$6=OFFSET(Assumptions!$B$8,0,$C$1),AVERAGE(P$225/SUM(P$211,P$225),Q$225/SUM(Q$211,Q$225),R$225/SUM(R$211,R$225)),R$225/SUM(R$211,R$225))*SUM(S$199,S$263,S$276,S$295,S$337)</f>
        <v>-76.315178830804967</v>
      </c>
      <c r="T225" s="16">
        <f ca="1">IF(T$6=OFFSET(Assumptions!$B$8,0,$C$1),AVERAGE(Q$225/SUM(Q$211,Q$225),R$225/SUM(R$211,R$225),S$225/SUM(S$211,S$225)),S$225/SUM(S$211,S$225))*SUM(T$199,T$263,T$276,T$295,T$337)</f>
        <v>-80.196182676583149</v>
      </c>
      <c r="U225" s="16">
        <f ca="1">IF(U$6=OFFSET(Assumptions!$B$8,0,$C$1),AVERAGE(R$225/SUM(R$211,R$225),S$225/SUM(S$211,S$225),T$225/SUM(T$211,T$225)),T$225/SUM(T$211,T$225))*SUM(U$199,U$263,U$276,U$295,U$337)</f>
        <v>-84.207357967632575</v>
      </c>
      <c r="V225" s="16">
        <f ca="1">IF(V$6=OFFSET(Assumptions!$B$8,0,$C$1),AVERAGE(S$225/SUM(S$211,S$225),T$225/SUM(T$211,T$225),U$225/SUM(U$211,U$225)),U$225/SUM(U$211,U$225))*SUM(V$199,V$263,V$276,V$295,V$337)</f>
        <v>-88.181521284629355</v>
      </c>
      <c r="W225" s="16">
        <f ca="1">IF(W$6=OFFSET(Assumptions!$B$8,0,$C$1),AVERAGE(T$225/SUM(T$211,T$225),U$225/SUM(U$211,U$225),V$225/SUM(V$211,V$225)),V$225/SUM(V$211,V$225))*SUM(W$199,W$263,W$276,W$295,W$337)</f>
        <v>-92.182137995042751</v>
      </c>
      <c r="X225" s="16">
        <f ca="1">IF(X$6=OFFSET(Assumptions!$B$8,0,$C$1),AVERAGE(U$225/SUM(U$211,U$225),V$225/SUM(V$211,V$225),W$225/SUM(W$211,W$225)),W$225/SUM(W$211,W$225))*SUM(X$199,X$263,X$276,X$295,X$337)</f>
        <v>-96.300523209909656</v>
      </c>
    </row>
    <row r="226" spans="1:24" x14ac:dyDescent="0.25">
      <c r="A226" s="9" t="s">
        <v>965</v>
      </c>
      <c r="D226" s="65">
        <f t="shared" ref="D226:X226" si="151">SUM(D$222:D$225)</f>
        <v>42.693000000000005</v>
      </c>
      <c r="E226" s="65">
        <f t="shared" si="151"/>
        <v>52.582999999999984</v>
      </c>
      <c r="F226" s="65">
        <f t="shared" si="151"/>
        <v>53.802000000000014</v>
      </c>
      <c r="G226" s="65">
        <f t="shared" si="151"/>
        <v>58.27300000000001</v>
      </c>
      <c r="H226" s="65">
        <f t="shared" si="151"/>
        <v>64.134000000000015</v>
      </c>
      <c r="I226" s="65">
        <f t="shared" si="151"/>
        <v>70.62</v>
      </c>
      <c r="J226" s="66">
        <f t="shared" ca="1" si="151"/>
        <v>69.97399999999999</v>
      </c>
      <c r="K226" s="66">
        <f t="shared" ca="1" si="151"/>
        <v>73.721000000000004</v>
      </c>
      <c r="L226" s="66">
        <f t="shared" ca="1" si="151"/>
        <v>73.73399999999998</v>
      </c>
      <c r="M226" s="66">
        <f t="shared" ca="1" si="151"/>
        <v>74.087000000000003</v>
      </c>
      <c r="N226" s="66">
        <f t="shared" ca="1" si="151"/>
        <v>76.645999999999987</v>
      </c>
      <c r="O226" s="67">
        <f t="shared" ca="1" si="151"/>
        <v>79.755707820679717</v>
      </c>
      <c r="P226" s="67">
        <f t="shared" ca="1" si="151"/>
        <v>83.217329942682198</v>
      </c>
      <c r="Q226" s="67">
        <f t="shared" ca="1" si="151"/>
        <v>86.828601456311262</v>
      </c>
      <c r="R226" s="67">
        <f t="shared" ca="1" si="151"/>
        <v>90.458480424209469</v>
      </c>
      <c r="S226" s="67">
        <f t="shared" ca="1" si="151"/>
        <v>94.059837099770334</v>
      </c>
      <c r="T226" s="67">
        <f t="shared" ca="1" si="151"/>
        <v>97.743827625286613</v>
      </c>
      <c r="U226" s="67">
        <f t="shared" ca="1" si="151"/>
        <v>101.35624939715946</v>
      </c>
      <c r="V226" s="67">
        <f t="shared" ca="1" si="151"/>
        <v>105.16221489580434</v>
      </c>
      <c r="W226" s="67">
        <f t="shared" ca="1" si="151"/>
        <v>109.10118042749431</v>
      </c>
      <c r="X226" s="67">
        <f t="shared" ca="1" si="151"/>
        <v>113.12662992510785</v>
      </c>
    </row>
    <row r="227" spans="1:24" x14ac:dyDescent="0.25">
      <c r="A227" s="9"/>
    </row>
    <row r="228" spans="1:24" x14ac:dyDescent="0.25">
      <c r="A228" s="9" t="s">
        <v>893</v>
      </c>
    </row>
    <row r="229" spans="1:24" x14ac:dyDescent="0.25">
      <c r="A229" s="9" t="s">
        <v>1102</v>
      </c>
      <c r="B229" s="10" t="str">
        <f>$B$38</f>
        <v>From Fiscal Forecasts</v>
      </c>
      <c r="D229" s="42">
        <f>'Fiscal Forecasts'!D$173</f>
        <v>3.69</v>
      </c>
      <c r="E229" s="42">
        <f>'Fiscal Forecasts'!E$173</f>
        <v>3.2280000000000002</v>
      </c>
      <c r="F229" s="42">
        <f>'Fiscal Forecasts'!F$173</f>
        <v>1.9179999999999999</v>
      </c>
      <c r="G229" s="42">
        <f>'Fiscal Forecasts'!G$173</f>
        <v>2.8839999999999999</v>
      </c>
      <c r="H229" s="42">
        <f>'Fiscal Forecasts'!H$173</f>
        <v>6.569</v>
      </c>
      <c r="I229" s="42">
        <f>'Fiscal Forecasts'!I$173</f>
        <v>8.9429999999999996</v>
      </c>
      <c r="J229" s="43">
        <f>'Fiscal Forecasts'!J$173</f>
        <v>8.8390000000000004</v>
      </c>
      <c r="K229" s="43">
        <f>'Fiscal Forecasts'!K$173</f>
        <v>9.5129999999999999</v>
      </c>
      <c r="L229" s="43">
        <f>'Fiscal Forecasts'!L$173</f>
        <v>10.558999999999999</v>
      </c>
      <c r="M229" s="43">
        <f>'Fiscal Forecasts'!M$173</f>
        <v>11.769</v>
      </c>
      <c r="N229" s="43">
        <f>'Fiscal Forecasts'!N$173</f>
        <v>12.673999999999999</v>
      </c>
      <c r="O229" s="47">
        <f t="shared" ref="O229:X229" ca="1" si="152">O$495</f>
        <v>13.111774965059245</v>
      </c>
      <c r="P229" s="47">
        <f t="shared" ca="1" si="152"/>
        <v>13.546456430893876</v>
      </c>
      <c r="Q229" s="47">
        <f t="shared" ca="1" si="152"/>
        <v>14.105694699797938</v>
      </c>
      <c r="R229" s="47">
        <f t="shared" ca="1" si="152"/>
        <v>14.729993688034973</v>
      </c>
      <c r="S229" s="47">
        <f t="shared" ca="1" si="152"/>
        <v>15.42206662881741</v>
      </c>
      <c r="T229" s="47">
        <f t="shared" ca="1" si="152"/>
        <v>16.128125077608392</v>
      </c>
      <c r="U229" s="47">
        <f t="shared" ca="1" si="152"/>
        <v>16.900052122993142</v>
      </c>
      <c r="V229" s="47">
        <f t="shared" ca="1" si="152"/>
        <v>17.737668535879934</v>
      </c>
      <c r="W229" s="47">
        <f t="shared" ca="1" si="152"/>
        <v>18.645256465651677</v>
      </c>
      <c r="X229" s="47">
        <f t="shared" ca="1" si="152"/>
        <v>19.628312419686196</v>
      </c>
    </row>
    <row r="230" spans="1:24" x14ac:dyDescent="0.25">
      <c r="A230" s="11" t="s">
        <v>707</v>
      </c>
      <c r="B230" s="10" t="str">
        <f>$B$38</f>
        <v>From Fiscal Forecasts</v>
      </c>
      <c r="D230" s="35">
        <f>'Fiscal Forecasts'!D$276</f>
        <v>0.11700000000000001</v>
      </c>
      <c r="E230" s="35">
        <f>'Fiscal Forecasts'!E$276</f>
        <v>0.16400000000000001</v>
      </c>
      <c r="F230" s="35">
        <f>'Fiscal Forecasts'!F$276</f>
        <v>0.218</v>
      </c>
      <c r="G230" s="35">
        <f>'Fiscal Forecasts'!G$276</f>
        <v>0.30099999999999999</v>
      </c>
      <c r="H230" s="35">
        <f>'Fiscal Forecasts'!H$276</f>
        <v>0.872</v>
      </c>
      <c r="I230" s="35">
        <f>'Fiscal Forecasts'!I$276</f>
        <v>1.9690000000000001</v>
      </c>
      <c r="J230" s="17">
        <f>'Fiscal Forecasts'!J$276</f>
        <v>2.3170000000000002</v>
      </c>
      <c r="K230" s="17">
        <f>'Fiscal Forecasts'!K$276</f>
        <v>2.4119999999999999</v>
      </c>
      <c r="L230" s="17">
        <f>'Fiscal Forecasts'!L$276</f>
        <v>2.4159999999999999</v>
      </c>
      <c r="M230" s="17">
        <f>'Fiscal Forecasts'!M$276</f>
        <v>2.431</v>
      </c>
      <c r="N230" s="17">
        <f>'Fiscal Forecasts'!N$276</f>
        <v>2.6080000000000001</v>
      </c>
      <c r="O230" s="16">
        <f ca="1">IF(O$6=OFFSET(Assumptions!$B$8,0,$C$1),AVERAGE(L$230/SUM(L$230:L$232),M$230/SUM(M$230:M$232),N$230/SUM(N$230:N$232)),N$230/SUM(N$230:N$232))*(O$96-O$495)</f>
        <v>3.3086925930142201</v>
      </c>
      <c r="P230" s="16">
        <f ca="1">IF(P$6=OFFSET(Assumptions!$B$8,0,$C$1),AVERAGE(M$230/SUM(M$230:M$232),N$230/SUM(N$230:N$232),O$230/SUM(O$230:O$232)),O$230/SUM(O$230:O$232))*(P$96-P$495)</f>
        <v>3.5309038453210273</v>
      </c>
      <c r="Q230" s="16">
        <f ca="1">IF(Q$6=OFFSET(Assumptions!$B$8,0,$C$1),AVERAGE(N$230/SUM(N$230:N$232),O$230/SUM(O$230:O$232),P$230/SUM(P$230:P$232)),P$230/SUM(P$230:P$232))*(Q$96-Q$495)</f>
        <v>3.658891693826503</v>
      </c>
      <c r="R230" s="16">
        <f ca="1">IF(R$6=OFFSET(Assumptions!$B$8,0,$C$1),AVERAGE(O$230/SUM(O$230:O$232),P$230/SUM(P$230:P$232),Q$230/SUM(Q$230:Q$232)),Q$230/SUM(Q$230:Q$232))*(R$96-R$495)</f>
        <v>3.7389403302135533</v>
      </c>
      <c r="S230" s="16">
        <f ca="1">IF(S$6=OFFSET(Assumptions!$B$8,0,$C$1),AVERAGE(P$230/SUM(P$230:P$232),Q$230/SUM(Q$230:Q$232),R$230/SUM(R$230:R$232)),R$230/SUM(R$230:R$232))*(S$96-S$495)</f>
        <v>3.7672148082924584</v>
      </c>
      <c r="T230" s="16">
        <f ca="1">IF(T$6=OFFSET(Assumptions!$B$8,0,$C$1),AVERAGE(Q$230/SUM(Q$230:Q$232),R$230/SUM(R$230:R$232),S$230/SUM(S$230:S$232)),S$230/SUM(S$230:S$232))*(T$96-T$495)</f>
        <v>3.7232924973892878</v>
      </c>
      <c r="U230" s="16">
        <f ca="1">IF(U$6=OFFSET(Assumptions!$B$8,0,$C$1),AVERAGE(R$230/SUM(R$230:R$232),S$230/SUM(S$230:S$232),T$230/SUM(T$230:T$232)),T$230/SUM(T$230:T$232))*(U$96-U$495)</f>
        <v>3.613687727672235</v>
      </c>
      <c r="V230" s="16">
        <f ca="1">IF(V$6=OFFSET(Assumptions!$B$8,0,$C$1),AVERAGE(S$230/SUM(S$230:S$232),T$230/SUM(T$230:T$232),U$230/SUM(U$230:U$232)),U$230/SUM(U$230:U$232))*(V$96-V$495)</f>
        <v>3.4428835247009881</v>
      </c>
      <c r="W230" s="16">
        <f ca="1">IF(W$6=OFFSET(Assumptions!$B$8,0,$C$1),AVERAGE(T$230/SUM(T$230:T$232),U$230/SUM(U$230:U$232),V$230/SUM(V$230:V$232)),V$230/SUM(V$230:V$232))*(W$96-W$495)</f>
        <v>3.2225236816442098</v>
      </c>
      <c r="X230" s="16">
        <f ca="1">IF(X$6=OFFSET(Assumptions!$B$8,0,$C$1),AVERAGE(U$230/SUM(U$230:U$232),V$230/SUM(V$230:V$232),W$230/SUM(W$230:W$232)),W$230/SUM(W$230:W$232))*(X$96-X$495)</f>
        <v>2.9596139972264823</v>
      </c>
    </row>
    <row r="231" spans="1:24" x14ac:dyDescent="0.25">
      <c r="A231" s="11" t="s">
        <v>904</v>
      </c>
      <c r="B231" s="10" t="str">
        <f>$B$38</f>
        <v>From Fiscal Forecasts</v>
      </c>
      <c r="D231" s="35">
        <f>'Fiscal Forecasts'!D$277</f>
        <v>1.0449999999999999</v>
      </c>
      <c r="E231" s="35">
        <f>'Fiscal Forecasts'!E$277</f>
        <v>0.90100000000000002</v>
      </c>
      <c r="F231" s="35">
        <f>'Fiscal Forecasts'!F$277</f>
        <v>0.59199999999999997</v>
      </c>
      <c r="G231" s="35">
        <f>'Fiscal Forecasts'!G$277</f>
        <v>0.66</v>
      </c>
      <c r="H231" s="35">
        <f>'Fiscal Forecasts'!H$277</f>
        <v>0.68200000000000005</v>
      </c>
      <c r="I231" s="35">
        <f>'Fiscal Forecasts'!I$277</f>
        <v>0.57999999999999996</v>
      </c>
      <c r="J231" s="17">
        <f>'Fiscal Forecasts'!J$277</f>
        <v>0.59499999999999997</v>
      </c>
      <c r="K231" s="17">
        <f>'Fiscal Forecasts'!K$277</f>
        <v>0.68700000000000006</v>
      </c>
      <c r="L231" s="17">
        <f>'Fiscal Forecasts'!L$277</f>
        <v>0.78</v>
      </c>
      <c r="M231" s="17">
        <f>'Fiscal Forecasts'!M$277</f>
        <v>0.89900000000000002</v>
      </c>
      <c r="N231" s="17">
        <f>'Fiscal Forecasts'!N$277</f>
        <v>0.99299999999999999</v>
      </c>
      <c r="O231" s="16">
        <f ca="1">IF(O$6=OFFSET(Assumptions!$B$8,0,$C$1),AVERAGE(L$231/SUM(L$230:L$232),M$231/SUM(M$230:M$232),N$231/SUM(N$230:N$232)),N$231/SUM(N$230:N$232))*(O$96-O$495)</f>
        <v>1.1832956045755458</v>
      </c>
      <c r="P231" s="16">
        <f ca="1">IF(P$6=OFFSET(Assumptions!$B$8,0,$C$1),AVERAGE(M$231/SUM(M$230:M$232),N$231/SUM(N$230:N$232),O$231/SUM(O$230:O$232)),O$231/SUM(O$230:O$232))*(P$96-P$495)</f>
        <v>1.2627655434562481</v>
      </c>
      <c r="Q231" s="16">
        <f ca="1">IF(Q$6=OFFSET(Assumptions!$B$8,0,$C$1),AVERAGE(N$231/SUM(N$230:N$232),O$231/SUM(O$230:O$232),P$231/SUM(P$230:P$232)),P$231/SUM(P$230:P$232))*(Q$96-Q$495)</f>
        <v>1.3085381422450773</v>
      </c>
      <c r="R231" s="16">
        <f ca="1">IF(R$6=OFFSET(Assumptions!$B$8,0,$C$1),AVERAGE(O$231/SUM(O$230:O$232),P$231/SUM(P$230:P$232),Q$231/SUM(Q$230:Q$232)),Q$231/SUM(Q$230:Q$232))*(R$96-R$495)</f>
        <v>1.3371661265398562</v>
      </c>
      <c r="S231" s="16">
        <f ca="1">IF(S$6=OFFSET(Assumptions!$B$8,0,$C$1),AVERAGE(P$231/SUM(P$230:P$232),Q$231/SUM(Q$230:Q$232),R$231/SUM(R$230:R$232)),R$231/SUM(R$230:R$232))*(S$96-S$495)</f>
        <v>1.3472779954100784</v>
      </c>
      <c r="T231" s="16">
        <f ca="1">IF(T$6=OFFSET(Assumptions!$B$8,0,$C$1),AVERAGE(Q$231/SUM(Q$230:Q$232),R$231/SUM(R$230:R$232),S$231/SUM(S$230:S$232)),S$231/SUM(S$230:S$232))*(T$96-T$495)</f>
        <v>1.3315699548552518</v>
      </c>
      <c r="U231" s="16">
        <f ca="1">IF(U$6=OFFSET(Assumptions!$B$8,0,$C$1),AVERAGE(R$231/SUM(R$230:R$232),S$231/SUM(S$230:S$232),T$231/SUM(T$230:T$232)),T$231/SUM(T$230:T$232))*(U$96-U$495)</f>
        <v>1.2923717402732948</v>
      </c>
      <c r="V231" s="16">
        <f ca="1">IF(V$6=OFFSET(Assumptions!$B$8,0,$C$1),AVERAGE(S$231/SUM(S$230:S$232),T$231/SUM(T$230:T$232),U$231/SUM(U$230:U$232)),U$231/SUM(U$230:U$232))*(V$96-V$495)</f>
        <v>1.231286626761803</v>
      </c>
      <c r="W231" s="16">
        <f ca="1">IF(W$6=OFFSET(Assumptions!$B$8,0,$C$1),AVERAGE(T$231/SUM(T$230:T$232),U$231/SUM(U$230:U$232),V$231/SUM(V$230:V$232)),V$231/SUM(V$230:V$232))*(W$96-W$495)</f>
        <v>1.152478811776338</v>
      </c>
      <c r="X231" s="16">
        <f ca="1">IF(X$6=OFFSET(Assumptions!$B$8,0,$C$1),AVERAGE(U$231/SUM(U$230:U$232),V$231/SUM(V$230:V$232),W$231/SUM(W$230:W$232)),W$231/SUM(W$230:W$232))*(X$96-X$495)</f>
        <v>1.0584537957840157</v>
      </c>
    </row>
    <row r="232" spans="1:24" x14ac:dyDescent="0.25">
      <c r="A232" s="11" t="s">
        <v>866</v>
      </c>
      <c r="B232" s="10" t="str">
        <f>$B$38</f>
        <v>From Fiscal Forecasts</v>
      </c>
      <c r="D232" s="35">
        <f>'Fiscal Forecasts'!D$278</f>
        <v>-0.55400000000000005</v>
      </c>
      <c r="E232" s="35">
        <f>'Fiscal Forecasts'!E$278</f>
        <v>-0.53900000000000003</v>
      </c>
      <c r="F232" s="35">
        <f>'Fiscal Forecasts'!F$278</f>
        <v>-0.45600000000000002</v>
      </c>
      <c r="G232" s="35">
        <f>'Fiscal Forecasts'!G$278</f>
        <v>-0.496</v>
      </c>
      <c r="H232" s="35">
        <f>'Fiscal Forecasts'!H$278</f>
        <v>-0.67500000000000004</v>
      </c>
      <c r="I232" s="35">
        <f>'Fiscal Forecasts'!I$278</f>
        <v>-1.1179999999999999</v>
      </c>
      <c r="J232" s="17">
        <f>'Fiscal Forecasts'!J$278</f>
        <v>-1.4390000000000001</v>
      </c>
      <c r="K232" s="17">
        <f>'Fiscal Forecasts'!K$278</f>
        <v>-1.5389999999999999</v>
      </c>
      <c r="L232" s="17">
        <f>'Fiscal Forecasts'!L$278</f>
        <v>-1.633</v>
      </c>
      <c r="M232" s="17">
        <f>'Fiscal Forecasts'!M$278</f>
        <v>-1.7569999999999999</v>
      </c>
      <c r="N232" s="17">
        <f>'Fiscal Forecasts'!N$278</f>
        <v>-1.8759999999999999</v>
      </c>
      <c r="O232" s="16">
        <f ca="1">IF(O$6=OFFSET(Assumptions!$B$8,0,$C$1),AVERAGE(L$232/SUM(L$230:L$232),M$232/SUM(M$230:M$232),N$232/SUM(N$230:N$232)),N$232/SUM(N$230:N$232))*(O$96-O$495)</f>
        <v>-2.3355909094431908</v>
      </c>
      <c r="P232" s="16">
        <f ca="1">IF(P$6=OFFSET(Assumptions!$B$8,0,$C$1),AVERAGE(M$232/SUM(M$230:M$232),N$232/SUM(N$230:N$232),O$232/SUM(O$230:O$232)),O$232/SUM(O$230:O$232))*(P$96-P$495)</f>
        <v>-2.4924488121566495</v>
      </c>
      <c r="Q232" s="16">
        <f ca="1">IF(Q$6=OFFSET(Assumptions!$B$8,0,$C$1),AVERAGE(N$232/SUM(N$230:N$232),O$232/SUM(O$230:O$232),P$232/SUM(P$230:P$232)),P$232/SUM(P$230:P$232))*(Q$96-Q$495)</f>
        <v>-2.5827948467564545</v>
      </c>
      <c r="R232" s="16">
        <f ca="1">IF(R$6=OFFSET(Assumptions!$B$8,0,$C$1),AVERAGE(O$232/SUM(O$230:O$232),P$232/SUM(P$230:P$232),Q$232/SUM(Q$230:Q$232)),Q$232/SUM(Q$230:Q$232))*(R$96-R$495)</f>
        <v>-2.6393008116362551</v>
      </c>
      <c r="S232" s="16">
        <f ca="1">IF(S$6=OFFSET(Assumptions!$B$8,0,$C$1),AVERAGE(P$232/SUM(P$230:P$232),Q$232/SUM(Q$230:Q$232),R$232/SUM(R$230:R$232)),R$232/SUM(R$230:R$232))*(S$96-S$495)</f>
        <v>-2.6592596358890033</v>
      </c>
      <c r="T232" s="16">
        <f ca="1">IF(T$6=OFFSET(Assumptions!$B$8,0,$C$1),AVERAGE(Q$232/SUM(Q$230:Q$232),R$232/SUM(R$230:R$232),S$232/SUM(S$230:S$232)),S$232/SUM(S$230:S$232))*(T$96-T$495)</f>
        <v>-2.6282550782931198</v>
      </c>
      <c r="U232" s="16">
        <f ca="1">IF(U$6=OFFSET(Assumptions!$B$8,0,$C$1),AVERAGE(R$232/SUM(R$230:R$232),S$232/SUM(S$230:S$232),T$232/SUM(T$230:T$232)),T$232/SUM(T$230:T$232))*(U$96-U$495)</f>
        <v>-2.5508855746035812</v>
      </c>
      <c r="V232" s="16">
        <f ca="1">IF(V$6=OFFSET(Assumptions!$B$8,0,$C$1),AVERAGE(S$232/SUM(S$230:S$232),T$232/SUM(T$230:T$232),U$232/SUM(U$230:U$232)),U$232/SUM(U$230:U$232))*(V$96-V$495)</f>
        <v>-2.4303156719790198</v>
      </c>
      <c r="W232" s="16">
        <f ca="1">IF(W$6=OFFSET(Assumptions!$B$8,0,$C$1),AVERAGE(T$232/SUM(T$230:T$232),U$232/SUM(U$230:U$232),V$232/SUM(V$230:V$232)),V$232/SUM(V$230:V$232))*(W$96-W$495)</f>
        <v>-2.2747646705543527</v>
      </c>
      <c r="X232" s="16">
        <f ca="1">IF(X$6=OFFSET(Assumptions!$B$8,0,$C$1),AVERAGE(U$232/SUM(U$230:U$232),V$232/SUM(V$230:V$232),W$232/SUM(W$230:W$232)),W$232/SUM(W$230:W$232))*(X$96-X$495)</f>
        <v>-2.0891779314819194</v>
      </c>
    </row>
    <row r="233" spans="1:24" x14ac:dyDescent="0.25">
      <c r="A233" s="9" t="s">
        <v>1103</v>
      </c>
      <c r="D233" s="65">
        <f t="shared" ref="D233:X233" si="153">SUM(D$229:D$232)</f>
        <v>4.298</v>
      </c>
      <c r="E233" s="65">
        <f t="shared" si="153"/>
        <v>3.754</v>
      </c>
      <c r="F233" s="65">
        <f t="shared" si="153"/>
        <v>2.2720000000000002</v>
      </c>
      <c r="G233" s="65">
        <f t="shared" si="153"/>
        <v>3.3490000000000002</v>
      </c>
      <c r="H233" s="65">
        <f t="shared" si="153"/>
        <v>7.4479999999999995</v>
      </c>
      <c r="I233" s="65">
        <f t="shared" si="153"/>
        <v>10.373999999999999</v>
      </c>
      <c r="J233" s="66">
        <f t="shared" si="153"/>
        <v>10.312000000000001</v>
      </c>
      <c r="K233" s="66">
        <f t="shared" si="153"/>
        <v>11.073</v>
      </c>
      <c r="L233" s="66">
        <f t="shared" si="153"/>
        <v>12.122</v>
      </c>
      <c r="M233" s="66">
        <f t="shared" si="153"/>
        <v>13.342000000000001</v>
      </c>
      <c r="N233" s="66">
        <f t="shared" si="153"/>
        <v>14.398999999999999</v>
      </c>
      <c r="O233" s="67">
        <f t="shared" ca="1" si="153"/>
        <v>15.268172253205819</v>
      </c>
      <c r="P233" s="67">
        <f t="shared" ca="1" si="153"/>
        <v>15.847677007514502</v>
      </c>
      <c r="Q233" s="67">
        <f t="shared" ca="1" si="153"/>
        <v>16.490329689113064</v>
      </c>
      <c r="R233" s="67">
        <f t="shared" ca="1" si="153"/>
        <v>17.166799333152127</v>
      </c>
      <c r="S233" s="67">
        <f t="shared" ca="1" si="153"/>
        <v>17.877299796630943</v>
      </c>
      <c r="T233" s="67">
        <f t="shared" ca="1" si="153"/>
        <v>18.554732451559811</v>
      </c>
      <c r="U233" s="67">
        <f t="shared" ca="1" si="153"/>
        <v>19.255226016335094</v>
      </c>
      <c r="V233" s="67">
        <f t="shared" ca="1" si="153"/>
        <v>19.981523015363706</v>
      </c>
      <c r="W233" s="67">
        <f t="shared" ca="1" si="153"/>
        <v>20.745494288517868</v>
      </c>
      <c r="X233" s="67">
        <f t="shared" ca="1" si="153"/>
        <v>21.557202281214774</v>
      </c>
    </row>
    <row r="234" spans="1:24" x14ac:dyDescent="0.25">
      <c r="A234" s="10" t="s">
        <v>892</v>
      </c>
      <c r="E234" s="36">
        <f t="shared" ref="E234:N234" si="154">E$229/AVERAGE(D$71,E$71)</f>
        <v>2.9634933968629935E-2</v>
      </c>
      <c r="F234" s="36">
        <f t="shared" si="154"/>
        <v>1.4817447196427743E-2</v>
      </c>
      <c r="G234" s="36">
        <f t="shared" si="154"/>
        <v>1.9129171655131016E-2</v>
      </c>
      <c r="H234" s="36">
        <f t="shared" si="154"/>
        <v>3.6492923905948361E-2</v>
      </c>
      <c r="I234" s="36">
        <f t="shared" si="154"/>
        <v>4.3905169154937182E-2</v>
      </c>
      <c r="J234" s="19">
        <f t="shared" si="154"/>
        <v>3.8343495075296663E-2</v>
      </c>
      <c r="K234" s="19">
        <f t="shared" si="154"/>
        <v>3.7205209433298136E-2</v>
      </c>
      <c r="L234" s="19">
        <f t="shared" si="154"/>
        <v>3.8369992986638277E-2</v>
      </c>
      <c r="M234" s="19">
        <f t="shared" si="154"/>
        <v>4.062969292113304E-2</v>
      </c>
      <c r="N234" s="19">
        <f t="shared" si="154"/>
        <v>4.2253286348194551E-2</v>
      </c>
      <c r="O234" s="78">
        <f ca="1">IF(O$6&lt;OFFSET(Assumptions!$B$8,0,$C$1)+OFFSET(Assumptions!$B$23,0,$C$1),N$234+(OFFSET(N$30,0,OFFSET(Assumptions!$B$8,0,$C$1)+OFFSET(Assumptions!$B$23,0,$C$1)-O$6)-N$234)/(OFFSET(Assumptions!$B$8,0,$C$1)+OFFSET(Assumptions!$B$23,0,$C$1)-O$6),O$30)</f>
        <v>4.2402629078555638E-2</v>
      </c>
      <c r="P234" s="78">
        <f ca="1">IF(P$6&lt;OFFSET(Assumptions!$B$8,0,$C$1)+OFFSET(Assumptions!$B$23,0,$C$1),O$234+(OFFSET(O$30,0,OFFSET(Assumptions!$B$8,0,$C$1)+OFFSET(Assumptions!$B$23,0,$C$1)-P$6)-O$234)/(OFFSET(Assumptions!$B$8,0,$C$1)+OFFSET(Assumptions!$B$23,0,$C$1)-P$6),P$30)</f>
        <v>4.2551971808916726E-2</v>
      </c>
      <c r="Q234" s="78">
        <f ca="1">IF(Q$6&lt;OFFSET(Assumptions!$B$8,0,$C$1)+OFFSET(Assumptions!$B$23,0,$C$1),P$234+(OFFSET(P$30,0,OFFSET(Assumptions!$B$8,0,$C$1)+OFFSET(Assumptions!$B$23,0,$C$1)-Q$6)-P$234)/(OFFSET(Assumptions!$B$8,0,$C$1)+OFFSET(Assumptions!$B$23,0,$C$1)-Q$6),Q$30)</f>
        <v>4.2701314539277814E-2</v>
      </c>
      <c r="R234" s="78">
        <f ca="1">IF(R$6&lt;OFFSET(Assumptions!$B$8,0,$C$1)+OFFSET(Assumptions!$B$23,0,$C$1),Q$234+(OFFSET(Q$30,0,OFFSET(Assumptions!$B$8,0,$C$1)+OFFSET(Assumptions!$B$23,0,$C$1)-R$6)-Q$234)/(OFFSET(Assumptions!$B$8,0,$C$1)+OFFSET(Assumptions!$B$23,0,$C$1)-R$6),R$30)</f>
        <v>4.2850657269638909E-2</v>
      </c>
      <c r="S234" s="78">
        <f ca="1">IF(S$6&lt;OFFSET(Assumptions!$B$8,0,$C$1)+OFFSET(Assumptions!$B$23,0,$C$1),R$234+(OFFSET(R$30,0,OFFSET(Assumptions!$B$8,0,$C$1)+OFFSET(Assumptions!$B$23,0,$C$1)-S$6)-R$234)/(OFFSET(Assumptions!$B$8,0,$C$1)+OFFSET(Assumptions!$B$23,0,$C$1)-S$6),S$30)</f>
        <v>4.2999999999999997E-2</v>
      </c>
      <c r="T234" s="78">
        <f ca="1">IF(T$6&lt;OFFSET(Assumptions!$B$8,0,$C$1)+OFFSET(Assumptions!$B$23,0,$C$1),S$234+(OFFSET(S$30,0,OFFSET(Assumptions!$B$8,0,$C$1)+OFFSET(Assumptions!$B$23,0,$C$1)-T$6)-S$234)/(OFFSET(Assumptions!$B$8,0,$C$1)+OFFSET(Assumptions!$B$23,0,$C$1)-T$6),T$30)</f>
        <v>4.2999999999999997E-2</v>
      </c>
      <c r="U234" s="78">
        <f ca="1">IF(U$6&lt;OFFSET(Assumptions!$B$8,0,$C$1)+OFFSET(Assumptions!$B$23,0,$C$1),T$234+(OFFSET(T$30,0,OFFSET(Assumptions!$B$8,0,$C$1)+OFFSET(Assumptions!$B$23,0,$C$1)-U$6)-T$234)/(OFFSET(Assumptions!$B$8,0,$C$1)+OFFSET(Assumptions!$B$23,0,$C$1)-U$6),U$30)</f>
        <v>4.2999999999999997E-2</v>
      </c>
      <c r="V234" s="78">
        <f ca="1">IF(V$6&lt;OFFSET(Assumptions!$B$8,0,$C$1)+OFFSET(Assumptions!$B$23,0,$C$1),U$234+(OFFSET(U$30,0,OFFSET(Assumptions!$B$8,0,$C$1)+OFFSET(Assumptions!$B$23,0,$C$1)-V$6)-U$234)/(OFFSET(Assumptions!$B$8,0,$C$1)+OFFSET(Assumptions!$B$23,0,$C$1)-V$6),V$30)</f>
        <v>4.2999999999999997E-2</v>
      </c>
      <c r="W234" s="78">
        <f ca="1">IF(W$6&lt;OFFSET(Assumptions!$B$8,0,$C$1)+OFFSET(Assumptions!$B$23,0,$C$1),V$234+(OFFSET(V$30,0,OFFSET(Assumptions!$B$8,0,$C$1)+OFFSET(Assumptions!$B$23,0,$C$1)-W$6)-V$234)/(OFFSET(Assumptions!$B$8,0,$C$1)+OFFSET(Assumptions!$B$23,0,$C$1)-W$6),W$30)</f>
        <v>4.2999999999999997E-2</v>
      </c>
      <c r="X234" s="78">
        <f ca="1">IF(X$6&lt;OFFSET(Assumptions!$B$8,0,$C$1)+OFFSET(Assumptions!$B$23,0,$C$1),W$234+(OFFSET(W$30,0,OFFSET(Assumptions!$B$8,0,$C$1)+OFFSET(Assumptions!$B$23,0,$C$1)-X$6)-W$234)/(OFFSET(Assumptions!$B$8,0,$C$1)+OFFSET(Assumptions!$B$23,0,$C$1)-X$6),X$30)</f>
        <v>4.2999999999999997E-2</v>
      </c>
    </row>
    <row r="235" spans="1:24" x14ac:dyDescent="0.25">
      <c r="A235" s="10"/>
    </row>
    <row r="236" spans="1:24" x14ac:dyDescent="0.25">
      <c r="A236" s="9" t="s">
        <v>539</v>
      </c>
    </row>
    <row r="237" spans="1:24" x14ac:dyDescent="0.25">
      <c r="A237" s="9" t="s">
        <v>996</v>
      </c>
      <c r="B237" s="10" t="str">
        <f>$B$38</f>
        <v>From Fiscal Forecasts</v>
      </c>
      <c r="D237" s="42">
        <f>'Fiscal Forecasts'!D$174</f>
        <v>0</v>
      </c>
      <c r="E237" s="42">
        <f>'Fiscal Forecasts'!E$174</f>
        <v>0</v>
      </c>
      <c r="F237" s="42">
        <f>'Fiscal Forecasts'!F$174</f>
        <v>1E-3</v>
      </c>
      <c r="G237" s="42">
        <f>'Fiscal Forecasts'!G$174</f>
        <v>1E-3</v>
      </c>
      <c r="H237" s="42">
        <f>'Fiscal Forecasts'!H$174</f>
        <v>3.0000000000000001E-3</v>
      </c>
      <c r="I237" s="42">
        <f>'Fiscal Forecasts'!I$174</f>
        <v>2E-3</v>
      </c>
      <c r="J237" s="43">
        <f>'Fiscal Forecasts'!J$174</f>
        <v>3.0000000000000001E-3</v>
      </c>
      <c r="K237" s="43">
        <f>'Fiscal Forecasts'!K$174</f>
        <v>3.0000000000000001E-3</v>
      </c>
      <c r="L237" s="43">
        <f>'Fiscal Forecasts'!L$174</f>
        <v>3.0000000000000001E-3</v>
      </c>
      <c r="M237" s="43">
        <f>'Fiscal Forecasts'!M$174</f>
        <v>2E-3</v>
      </c>
      <c r="N237" s="43">
        <f>'Fiscal Forecasts'!N$174</f>
        <v>3.0000000000000001E-3</v>
      </c>
      <c r="O237" s="47">
        <f ca="1">IF(O$6=OFFSET(Assumptions!$B$8,0,$C$1),OFFSET(Assumptions!$B$9,0,$C$1),N$237)</f>
        <v>0</v>
      </c>
      <c r="P237" s="47">
        <f ca="1">IF(P$6=OFFSET(Assumptions!$B$8,0,$C$1),OFFSET(Assumptions!$B$9,0,$C$1),O$237)</f>
        <v>0</v>
      </c>
      <c r="Q237" s="47">
        <f ca="1">IF(Q$6=OFFSET(Assumptions!$B$8,0,$C$1),OFFSET(Assumptions!$B$9,0,$C$1),P$237)</f>
        <v>0</v>
      </c>
      <c r="R237" s="47">
        <f ca="1">IF(R$6=OFFSET(Assumptions!$B$8,0,$C$1),OFFSET(Assumptions!$B$9,0,$C$1),Q$237)</f>
        <v>0</v>
      </c>
      <c r="S237" s="47">
        <f ca="1">IF(S$6=OFFSET(Assumptions!$B$8,0,$C$1),OFFSET(Assumptions!$B$9,0,$C$1),R$237)</f>
        <v>0</v>
      </c>
      <c r="T237" s="47">
        <f ca="1">IF(T$6=OFFSET(Assumptions!$B$8,0,$C$1),OFFSET(Assumptions!$B$9,0,$C$1),S$237)</f>
        <v>0</v>
      </c>
      <c r="U237" s="47">
        <f ca="1">IF(U$6=OFFSET(Assumptions!$B$8,0,$C$1),OFFSET(Assumptions!$B$9,0,$C$1),T$237)</f>
        <v>0</v>
      </c>
      <c r="V237" s="47">
        <f ca="1">IF(V$6=OFFSET(Assumptions!$B$8,0,$C$1),OFFSET(Assumptions!$B$9,0,$C$1),U$237)</f>
        <v>0</v>
      </c>
      <c r="W237" s="47">
        <f ca="1">IF(W$6=OFFSET(Assumptions!$B$8,0,$C$1),OFFSET(Assumptions!$B$9,0,$C$1),V$237)</f>
        <v>0</v>
      </c>
      <c r="X237" s="47">
        <f ca="1">IF(X$6=OFFSET(Assumptions!$B$8,0,$C$1),OFFSET(Assumptions!$B$9,0,$C$1),W$237)</f>
        <v>0</v>
      </c>
    </row>
    <row r="238" spans="1:24" x14ac:dyDescent="0.25">
      <c r="A238" s="11" t="s">
        <v>707</v>
      </c>
      <c r="B238" s="10" t="str">
        <f>$B$38</f>
        <v>From Fiscal Forecasts</v>
      </c>
      <c r="D238" s="35">
        <f>'Fiscal Forecasts'!D$203</f>
        <v>5.8070000000000004</v>
      </c>
      <c r="E238" s="35">
        <f>'Fiscal Forecasts'!E$203</f>
        <v>6.8959999999999999</v>
      </c>
      <c r="F238" s="35">
        <f>'Fiscal Forecasts'!F$203</f>
        <v>6.8310000000000004</v>
      </c>
      <c r="G238" s="35">
        <f>'Fiscal Forecasts'!G$203</f>
        <v>6.44</v>
      </c>
      <c r="H238" s="35">
        <f>'Fiscal Forecasts'!H$203</f>
        <v>8.7729999999999997</v>
      </c>
      <c r="I238" s="35">
        <f>'Fiscal Forecasts'!I$203</f>
        <v>10.413</v>
      </c>
      <c r="J238" s="17">
        <f>'Fiscal Forecasts'!J$203</f>
        <v>11.276999999999999</v>
      </c>
      <c r="K238" s="17">
        <f>'Fiscal Forecasts'!K$203</f>
        <v>10.643000000000001</v>
      </c>
      <c r="L238" s="17">
        <f>'Fiscal Forecasts'!L$203</f>
        <v>11.305999999999999</v>
      </c>
      <c r="M238" s="17">
        <f>'Fiscal Forecasts'!M$203</f>
        <v>11.878</v>
      </c>
      <c r="N238" s="17">
        <f>'Fiscal Forecasts'!N$203</f>
        <v>12.304</v>
      </c>
      <c r="O238" s="16">
        <f ca="1">IF(O$6=OFFSET(Assumptions!$B$8,0,$C$1),AVERAGE(L$238/SUM(L$241:L$242),M$238/SUM(M$241:M$242),N$238/SUM(N$241:N$242)),N$238/SUM(N$241:N$242))*SUM(O$241:O$242)</f>
        <v>13.015937854480983</v>
      </c>
      <c r="P238" s="16">
        <f ca="1">IF(P$6=OFFSET(Assumptions!$B$8,0,$C$1),AVERAGE(M$238/SUM(M$241:M$242),N$238/SUM(N$241:N$242),O$238/SUM(O$241:O$242)),O$238/SUM(O$241:O$242))*SUM(P$241:P$242)</f>
        <v>13.76800610063982</v>
      </c>
      <c r="Q238" s="16">
        <f ca="1">IF(Q$6=OFFSET(Assumptions!$B$8,0,$C$1),AVERAGE(N$238/SUM(N$241:N$242),O$238/SUM(O$241:O$242),P$238/SUM(P$241:P$242)),P$238/SUM(P$241:P$242))*SUM(Q$241:Q$242)</f>
        <v>14.537176562214606</v>
      </c>
      <c r="R238" s="16">
        <f ca="1">IF(R$6=OFFSET(Assumptions!$B$8,0,$C$1),AVERAGE(O$238/SUM(O$241:O$242),P$238/SUM(P$241:P$242),Q$238/SUM(Q$241:Q$242)),Q$238/SUM(Q$241:Q$242))*SUM(R$241:R$242)</f>
        <v>15.308834198354187</v>
      </c>
      <c r="S238" s="16">
        <f ca="1">IF(S$6=OFFSET(Assumptions!$B$8,0,$C$1),AVERAGE(P$238/SUM(P$241:P$242),Q$238/SUM(Q$241:Q$242),R$238/SUM(R$241:R$242)),R$238/SUM(R$241:R$242))*SUM(S$241:S$242)</f>
        <v>16.092076477099056</v>
      </c>
      <c r="T238" s="16">
        <f ca="1">IF(T$6=OFFSET(Assumptions!$B$8,0,$C$1),AVERAGE(Q$238/SUM(Q$241:Q$242),R$238/SUM(R$241:R$242),S$238/SUM(S$241:S$242)),S$238/SUM(S$241:S$242))*SUM(T$241:T$242)</f>
        <v>16.861159231263176</v>
      </c>
      <c r="U238" s="16">
        <f ca="1">IF(U$6=OFFSET(Assumptions!$B$8,0,$C$1),AVERAGE(R$238/SUM(R$241:R$242),S$238/SUM(S$241:S$242),T$238/SUM(T$241:T$242)),T$238/SUM(T$241:T$242))*SUM(U$241:U$242)</f>
        <v>17.678308857086208</v>
      </c>
      <c r="V238" s="16">
        <f ca="1">IF(V$6=OFFSET(Assumptions!$B$8,0,$C$1),AVERAGE(S$238/SUM(S$241:S$242),T$238/SUM(T$241:T$242),U$238/SUM(U$241:U$242)),U$238/SUM(U$241:U$242))*SUM(V$241:V$242)</f>
        <v>18.501976331093335</v>
      </c>
      <c r="W238" s="16">
        <f ca="1">IF(W$6=OFFSET(Assumptions!$B$8,0,$C$1),AVERAGE(T$238/SUM(T$241:T$242),U$238/SUM(U$241:U$242),V$238/SUM(V$241:V$242)),V$238/SUM(V$241:V$242))*SUM(W$241:W$242)</f>
        <v>19.355060571574853</v>
      </c>
      <c r="X238" s="16">
        <f ca="1">IF(X$6=OFFSET(Assumptions!$B$8,0,$C$1),AVERAGE(U$238/SUM(U$241:U$242),V$238/SUM(V$241:V$242),W$238/SUM(W$241:W$242)),W$238/SUM(W$241:W$242))*SUM(X$241:X$242)</f>
        <v>20.247419242224677</v>
      </c>
    </row>
    <row r="239" spans="1:24" x14ac:dyDescent="0.25">
      <c r="A239" s="11" t="s">
        <v>1076</v>
      </c>
      <c r="B239" s="10" t="str">
        <f>$B$38</f>
        <v>From Fiscal Forecasts</v>
      </c>
      <c r="D239" s="35">
        <f>'Fiscal Forecasts'!D$204</f>
        <v>5.0000000000000001E-3</v>
      </c>
      <c r="E239" s="35">
        <f>'Fiscal Forecasts'!E$204</f>
        <v>7.0000000000000001E-3</v>
      </c>
      <c r="F239" s="35">
        <f>'Fiscal Forecasts'!F$204</f>
        <v>6.0000000000000001E-3</v>
      </c>
      <c r="G239" s="35">
        <f>'Fiscal Forecasts'!G$204</f>
        <v>6.0000000000000001E-3</v>
      </c>
      <c r="H239" s="35">
        <f>'Fiscal Forecasts'!H$204</f>
        <v>8.0000000000000002E-3</v>
      </c>
      <c r="I239" s="35">
        <f>'Fiscal Forecasts'!I$204</f>
        <v>1.0999999999999999E-2</v>
      </c>
      <c r="J239" s="17">
        <f>'Fiscal Forecasts'!J$204</f>
        <v>1.2E-2</v>
      </c>
      <c r="K239" s="17">
        <f>'Fiscal Forecasts'!K$204</f>
        <v>1.2999999999999999E-2</v>
      </c>
      <c r="L239" s="17">
        <f>'Fiscal Forecasts'!L$204</f>
        <v>1.4E-2</v>
      </c>
      <c r="M239" s="17">
        <f>'Fiscal Forecasts'!M$204</f>
        <v>1.4999999999999999E-2</v>
      </c>
      <c r="N239" s="17">
        <f>'Fiscal Forecasts'!N$204</f>
        <v>1.6E-2</v>
      </c>
      <c r="O239" s="16">
        <f t="shared" ref="O239:X239" ca="1" si="155">SUM(O$241:O$242,-O$238)</f>
        <v>1.9433014277430161E-2</v>
      </c>
      <c r="P239" s="16">
        <f t="shared" ca="1" si="155"/>
        <v>2.0555864826395265E-2</v>
      </c>
      <c r="Q239" s="16">
        <f t="shared" ca="1" si="155"/>
        <v>2.1704249270811715E-2</v>
      </c>
      <c r="R239" s="16">
        <f t="shared" ca="1" si="155"/>
        <v>2.2856347108710651E-2</v>
      </c>
      <c r="S239" s="16">
        <f t="shared" ca="1" si="155"/>
        <v>2.4025741012991375E-2</v>
      </c>
      <c r="T239" s="16">
        <f t="shared" ca="1" si="155"/>
        <v>2.5173994508765674E-2</v>
      </c>
      <c r="U239" s="16">
        <f t="shared" ca="1" si="155"/>
        <v>2.6394012652900756E-2</v>
      </c>
      <c r="V239" s="16">
        <f t="shared" ca="1" si="155"/>
        <v>2.7623762054073353E-2</v>
      </c>
      <c r="W239" s="16">
        <f t="shared" ca="1" si="155"/>
        <v>2.8897431182681288E-2</v>
      </c>
      <c r="X239" s="16">
        <f t="shared" ca="1" si="155"/>
        <v>3.0229737696526371E-2</v>
      </c>
    </row>
    <row r="240" spans="1:24" x14ac:dyDescent="0.25">
      <c r="A240" s="9" t="s">
        <v>1104</v>
      </c>
      <c r="D240" s="65">
        <f t="shared" ref="D240:X240" si="156">SUM(D$237:D$239)</f>
        <v>5.8120000000000003</v>
      </c>
      <c r="E240" s="65">
        <f t="shared" si="156"/>
        <v>6.9029999999999996</v>
      </c>
      <c r="F240" s="65">
        <f t="shared" si="156"/>
        <v>6.838000000000001</v>
      </c>
      <c r="G240" s="65">
        <f t="shared" si="156"/>
        <v>6.447000000000001</v>
      </c>
      <c r="H240" s="65">
        <f t="shared" si="156"/>
        <v>8.7839999999999989</v>
      </c>
      <c r="I240" s="65">
        <f t="shared" si="156"/>
        <v>10.426</v>
      </c>
      <c r="J240" s="66">
        <f t="shared" si="156"/>
        <v>11.292</v>
      </c>
      <c r="K240" s="66">
        <f t="shared" si="156"/>
        <v>10.659000000000001</v>
      </c>
      <c r="L240" s="66">
        <f t="shared" si="156"/>
        <v>11.322999999999999</v>
      </c>
      <c r="M240" s="66">
        <f t="shared" si="156"/>
        <v>11.895000000000001</v>
      </c>
      <c r="N240" s="66">
        <f t="shared" si="156"/>
        <v>12.323</v>
      </c>
      <c r="O240" s="67">
        <f t="shared" ca="1" si="156"/>
        <v>13.035370868758413</v>
      </c>
      <c r="P240" s="67">
        <f t="shared" ca="1" si="156"/>
        <v>13.788561965466215</v>
      </c>
      <c r="Q240" s="67">
        <f t="shared" ca="1" si="156"/>
        <v>14.558880811485418</v>
      </c>
      <c r="R240" s="67">
        <f t="shared" ca="1" si="156"/>
        <v>15.331690545462898</v>
      </c>
      <c r="S240" s="67">
        <f t="shared" ca="1" si="156"/>
        <v>16.116102218112047</v>
      </c>
      <c r="T240" s="67">
        <f t="shared" ca="1" si="156"/>
        <v>16.886333225771942</v>
      </c>
      <c r="U240" s="67">
        <f t="shared" ca="1" si="156"/>
        <v>17.704702869739108</v>
      </c>
      <c r="V240" s="67">
        <f t="shared" ca="1" si="156"/>
        <v>18.529600093147408</v>
      </c>
      <c r="W240" s="67">
        <f t="shared" ca="1" si="156"/>
        <v>19.383958002757534</v>
      </c>
      <c r="X240" s="67">
        <f t="shared" ca="1" si="156"/>
        <v>20.277648979921203</v>
      </c>
    </row>
    <row r="241" spans="1:24" x14ac:dyDescent="0.25">
      <c r="A241" s="11" t="s">
        <v>961</v>
      </c>
      <c r="B241" s="10" t="str">
        <f>$B$38</f>
        <v>From Fiscal Forecasts</v>
      </c>
      <c r="D241" s="35">
        <f>'Fiscal Forecasts'!D$281</f>
        <v>5.3620000000000001</v>
      </c>
      <c r="E241" s="35">
        <f>'Fiscal Forecasts'!E$281</f>
        <v>6.2460000000000004</v>
      </c>
      <c r="F241" s="35">
        <f>'Fiscal Forecasts'!F$281</f>
        <v>6.5389999999999997</v>
      </c>
      <c r="G241" s="35">
        <f>'Fiscal Forecasts'!G$281</f>
        <v>5.8330000000000002</v>
      </c>
      <c r="H241" s="35">
        <f>'Fiscal Forecasts'!H$281</f>
        <v>7.6189999999999998</v>
      </c>
      <c r="I241" s="35">
        <f>'Fiscal Forecasts'!I$281</f>
        <v>9.7720000000000002</v>
      </c>
      <c r="J241" s="17">
        <f>'Fiscal Forecasts'!J$281</f>
        <v>10.670999999999999</v>
      </c>
      <c r="K241" s="17">
        <f>'Fiscal Forecasts'!K$281</f>
        <v>9.9830000000000005</v>
      </c>
      <c r="L241" s="17">
        <f>'Fiscal Forecasts'!L$281</f>
        <v>10.589</v>
      </c>
      <c r="M241" s="17">
        <f>'Fiscal Forecasts'!M$281</f>
        <v>11.101000000000001</v>
      </c>
      <c r="N241" s="17">
        <f>'Fiscal Forecasts'!N$281</f>
        <v>11.462999999999999</v>
      </c>
      <c r="O241" s="16">
        <f>N$241*Exogenous!Z$28/Exogenous!Y$28</f>
        <v>12.138263981125791</v>
      </c>
      <c r="P241" s="16">
        <f>O$241*Exogenous!AA$28/Exogenous!Z$28</f>
        <v>12.8531933268714</v>
      </c>
      <c r="Q241" s="16">
        <f>P$241*Exogenous!AB$28/Exogenous!AA$28</f>
        <v>13.585167345213522</v>
      </c>
      <c r="R241" s="16">
        <f>Q$241*Exogenous!AC$28/Exogenous!AB$28</f>
        <v>14.31963565060982</v>
      </c>
      <c r="S241" s="16">
        <f>R$241*Exogenous!AD$28/Exogenous!AC$28</f>
        <v>15.0648604791746</v>
      </c>
      <c r="T241" s="16">
        <f>S$241*Exogenous!AE$28/Exogenous!AD$28</f>
        <v>15.795119029874687</v>
      </c>
      <c r="U241" s="16">
        <f>T$241*Exogenous!AF$28/Exogenous!AE$28</f>
        <v>16.572983262030732</v>
      </c>
      <c r="V241" s="16">
        <f>U$241*Exogenous!AG$28/Exogenous!AF$28</f>
        <v>17.356766082577412</v>
      </c>
      <c r="W241" s="16">
        <f>V$241*Exogenous!AH$28/Exogenous!AG$28</f>
        <v>18.169402130053601</v>
      </c>
      <c r="X241" s="16">
        <f>W$241*Exogenous!AI$28/Exogenous!AH$28</f>
        <v>19.020449389492455</v>
      </c>
    </row>
    <row r="242" spans="1:24" x14ac:dyDescent="0.25">
      <c r="A242" s="11" t="s">
        <v>966</v>
      </c>
      <c r="B242" s="10" t="str">
        <f>$B$38</f>
        <v>From Fiscal Forecasts</v>
      </c>
      <c r="D242" s="35">
        <f>SUM('Fiscal Forecasts'!D$282:D$283)</f>
        <v>0.44999999999999996</v>
      </c>
      <c r="E242" s="35">
        <f>SUM('Fiscal Forecasts'!E$282:E$283)</f>
        <v>0.65700000000000003</v>
      </c>
      <c r="F242" s="35">
        <f>SUM('Fiscal Forecasts'!F$282:F$283)</f>
        <v>0.29900000000000004</v>
      </c>
      <c r="G242" s="35">
        <f>SUM('Fiscal Forecasts'!G$282:G$283)</f>
        <v>0.61399999999999999</v>
      </c>
      <c r="H242" s="35">
        <f>SUM('Fiscal Forecasts'!H$282:H$283)</f>
        <v>1.1649999999999998</v>
      </c>
      <c r="I242" s="35">
        <f>SUM('Fiscal Forecasts'!I$282:I$283)</f>
        <v>0.65399999999999991</v>
      </c>
      <c r="J242" s="17">
        <f>SUM('Fiscal Forecasts'!J$282:J$283)</f>
        <v>0.621</v>
      </c>
      <c r="K242" s="17">
        <f>SUM('Fiscal Forecasts'!K$282:K$283)</f>
        <v>0.67599999999999993</v>
      </c>
      <c r="L242" s="17">
        <f>SUM('Fiscal Forecasts'!L$282:L$283)</f>
        <v>0.73399999999999999</v>
      </c>
      <c r="M242" s="17">
        <f>SUM('Fiscal Forecasts'!M$282:M$283)</f>
        <v>0.79400000000000004</v>
      </c>
      <c r="N242" s="17">
        <f>SUM('Fiscal Forecasts'!N$282:N$283)</f>
        <v>0.86</v>
      </c>
      <c r="O242" s="16">
        <f t="shared" ref="O242:X242" ca="1" si="157">N$242*(1+O$14)</f>
        <v>0.89710688763262303</v>
      </c>
      <c r="P242" s="16">
        <f t="shared" ca="1" si="157"/>
        <v>0.93536863859481512</v>
      </c>
      <c r="Q242" s="16">
        <f t="shared" ca="1" si="157"/>
        <v>0.97371346627189559</v>
      </c>
      <c r="R242" s="16">
        <f t="shared" ca="1" si="157"/>
        <v>1.0120548948530785</v>
      </c>
      <c r="S242" s="16">
        <f t="shared" ca="1" si="157"/>
        <v>1.0512417389374489</v>
      </c>
      <c r="T242" s="16">
        <f t="shared" ca="1" si="157"/>
        <v>1.0912141958972539</v>
      </c>
      <c r="U242" s="16">
        <f t="shared" ca="1" si="157"/>
        <v>1.1317196077083753</v>
      </c>
      <c r="V242" s="16">
        <f t="shared" ca="1" si="157"/>
        <v>1.1728340105699953</v>
      </c>
      <c r="W242" s="16">
        <f t="shared" ca="1" si="157"/>
        <v>1.2145558727039336</v>
      </c>
      <c r="X242" s="16">
        <f t="shared" ca="1" si="157"/>
        <v>1.257199590428749</v>
      </c>
    </row>
    <row r="243" spans="1:24" x14ac:dyDescent="0.25">
      <c r="A243" s="11"/>
    </row>
    <row r="244" spans="1:24" x14ac:dyDescent="0.25">
      <c r="A244" s="9" t="s">
        <v>962</v>
      </c>
    </row>
    <row r="245" spans="1:24" x14ac:dyDescent="0.25">
      <c r="A245" s="9" t="s">
        <v>963</v>
      </c>
      <c r="D245" s="42">
        <f>SUM($D$246:D$247)</f>
        <v>0</v>
      </c>
      <c r="E245" s="42">
        <f>SUM($D$246:E$247)</f>
        <v>0</v>
      </c>
      <c r="F245" s="42">
        <f>SUM($D$246:F$247)</f>
        <v>0</v>
      </c>
      <c r="G245" s="42">
        <f>SUM($D$246:G$247)</f>
        <v>0</v>
      </c>
      <c r="H245" s="42">
        <f>SUM($D$246:H$247)</f>
        <v>0</v>
      </c>
      <c r="I245" s="42">
        <f>SUM($D$246:I$247)</f>
        <v>0</v>
      </c>
      <c r="J245" s="43">
        <f ca="1">IF(OFFSET(Assumptions!$B$56,0,$C$1)="Yes",0,SUM($D$246:J$247))</f>
        <v>0</v>
      </c>
      <c r="K245" s="43">
        <f ca="1">IF(OFFSET(Assumptions!$B$56,0,$C$1)="Yes",0,SUM($D$246:K$247))</f>
        <v>0</v>
      </c>
      <c r="L245" s="43">
        <f ca="1">IF(OFFSET(Assumptions!$B$56,0,$C$1)="Yes",0,SUM($D$246:L$247))</f>
        <v>0</v>
      </c>
      <c r="M245" s="43">
        <f ca="1">IF(OFFSET(Assumptions!$B$56,0,$C$1)="Yes",0,SUM($D$246:M$247))</f>
        <v>0</v>
      </c>
      <c r="N245" s="43">
        <f ca="1">IF(OFFSET(Assumptions!$B$56,0,$C$1)="Yes",0,SUM($D$246:N$247))</f>
        <v>0</v>
      </c>
      <c r="O245" s="47">
        <f ca="1">IF(OFFSET(Assumptions!$B$56,0,$C$1)="Yes",0,SUM($D$246:O$247))</f>
        <v>0</v>
      </c>
      <c r="P245" s="47">
        <f ca="1">IF(OFFSET(Assumptions!$B$56,0,$C$1)="Yes",0,SUM($D$246:P$247))</f>
        <v>0</v>
      </c>
      <c r="Q245" s="47">
        <f ca="1">IF(OFFSET(Assumptions!$B$56,0,$C$1)="Yes",0,SUM($D$246:Q$247))</f>
        <v>0</v>
      </c>
      <c r="R245" s="47">
        <f ca="1">IF(OFFSET(Assumptions!$B$56,0,$C$1)="Yes",0,SUM($D$246:R$247))</f>
        <v>0</v>
      </c>
      <c r="S245" s="47">
        <f ca="1">IF(OFFSET(Assumptions!$B$56,0,$C$1)="Yes",0,SUM($D$246:S$247))</f>
        <v>0</v>
      </c>
      <c r="T245" s="47">
        <f ca="1">IF(OFFSET(Assumptions!$B$56,0,$C$1)="Yes",0,SUM($D$246:T$247))</f>
        <v>0</v>
      </c>
      <c r="U245" s="47">
        <f ca="1">IF(OFFSET(Assumptions!$B$56,0,$C$1)="Yes",0,SUM($D$246:U$247))</f>
        <v>0</v>
      </c>
      <c r="V245" s="47">
        <f ca="1">IF(OFFSET(Assumptions!$B$56,0,$C$1)="Yes",0,SUM($D$246:V$247))</f>
        <v>0</v>
      </c>
      <c r="W245" s="47">
        <f ca="1">IF(OFFSET(Assumptions!$B$56,0,$C$1)="Yes",0,SUM($D$246:W$247))</f>
        <v>0</v>
      </c>
      <c r="X245" s="47">
        <f ca="1">IF(OFFSET(Assumptions!$B$56,0,$C$1)="Yes",0,SUM($D$246:X$247))</f>
        <v>0</v>
      </c>
    </row>
    <row r="246" spans="1:24" x14ac:dyDescent="0.25">
      <c r="A246" s="11" t="s">
        <v>742</v>
      </c>
      <c r="B246" s="10" t="str">
        <f>$B$38</f>
        <v>From Fiscal Forecasts</v>
      </c>
      <c r="D246" s="35">
        <f>'Fiscal Forecasts'!D$286-'Fiscal Forecasts'!C$286</f>
        <v>0</v>
      </c>
      <c r="E246" s="35">
        <f>'Fiscal Forecasts'!E$286-'Fiscal Forecasts'!D$286</f>
        <v>0</v>
      </c>
      <c r="F246" s="35">
        <f>'Fiscal Forecasts'!F$286-'Fiscal Forecasts'!E$286</f>
        <v>0</v>
      </c>
      <c r="G246" s="35">
        <f>'Fiscal Forecasts'!G$286-'Fiscal Forecasts'!F$286</f>
        <v>0</v>
      </c>
      <c r="H246" s="35">
        <f>'Fiscal Forecasts'!H$286-'Fiscal Forecasts'!G$286</f>
        <v>0</v>
      </c>
      <c r="I246" s="35">
        <f>'Fiscal Forecasts'!I$286-'Fiscal Forecasts'!H$286</f>
        <v>0</v>
      </c>
      <c r="J246" s="17">
        <f>'Fiscal Forecasts'!J$286-'Fiscal Forecasts'!I$286</f>
        <v>0</v>
      </c>
      <c r="K246" s="17">
        <f>'Fiscal Forecasts'!K$286-'Fiscal Forecasts'!J$286</f>
        <v>1.72</v>
      </c>
      <c r="L246" s="17">
        <f>'Fiscal Forecasts'!L$286-'Fiscal Forecasts'!K$286</f>
        <v>-2.6999999999999913E-2</v>
      </c>
      <c r="M246" s="17">
        <f>'Fiscal Forecasts'!M$286-'Fiscal Forecasts'!L$286</f>
        <v>0.26400000000000001</v>
      </c>
      <c r="N246" s="17">
        <f>'Fiscal Forecasts'!N$286-'Fiscal Forecasts'!M$286</f>
        <v>0.14399999999999991</v>
      </c>
      <c r="O246" s="16">
        <f ca="1">IF(O$6=OFFSET(Assumptions!$B$8,0,$C$1),OFFSET(Assumptions!$B$9,0,$C$1),N$246)</f>
        <v>0</v>
      </c>
      <c r="P246" s="16">
        <f ca="1">IF(P$6=OFFSET(Assumptions!$B$8,0,$C$1),OFFSET(Assumptions!$B$9,0,$C$1),O$246)</f>
        <v>0</v>
      </c>
      <c r="Q246" s="16">
        <f ca="1">IF(Q$6=OFFSET(Assumptions!$B$8,0,$C$1),OFFSET(Assumptions!$B$9,0,$C$1),P$246)</f>
        <v>0</v>
      </c>
      <c r="R246" s="16">
        <f ca="1">IF(R$6=OFFSET(Assumptions!$B$8,0,$C$1),OFFSET(Assumptions!$B$9,0,$C$1),Q$246)</f>
        <v>0</v>
      </c>
      <c r="S246" s="16">
        <f ca="1">IF(S$6=OFFSET(Assumptions!$B$8,0,$C$1),OFFSET(Assumptions!$B$9,0,$C$1),R$246)</f>
        <v>0</v>
      </c>
      <c r="T246" s="16">
        <f ca="1">IF(T$6=OFFSET(Assumptions!$B$8,0,$C$1),OFFSET(Assumptions!$B$9,0,$C$1),S$246)</f>
        <v>0</v>
      </c>
      <c r="U246" s="16">
        <f ca="1">IF(U$6=OFFSET(Assumptions!$B$8,0,$C$1),OFFSET(Assumptions!$B$9,0,$C$1),T$246)</f>
        <v>0</v>
      </c>
      <c r="V246" s="16">
        <f ca="1">IF(V$6=OFFSET(Assumptions!$B$8,0,$C$1),OFFSET(Assumptions!$B$9,0,$C$1),U$246)</f>
        <v>0</v>
      </c>
      <c r="W246" s="16">
        <f ca="1">IF(W$6=OFFSET(Assumptions!$B$8,0,$C$1),OFFSET(Assumptions!$B$9,0,$C$1),V$246)</f>
        <v>0</v>
      </c>
      <c r="X246" s="16">
        <f ca="1">IF(X$6=OFFSET(Assumptions!$B$8,0,$C$1),OFFSET(Assumptions!$B$9,0,$C$1),W$246)</f>
        <v>0</v>
      </c>
    </row>
    <row r="247" spans="1:24" x14ac:dyDescent="0.25">
      <c r="A247" s="11" t="s">
        <v>967</v>
      </c>
      <c r="B247" s="10" t="str">
        <f>$B$38</f>
        <v>From Fiscal Forecasts</v>
      </c>
      <c r="D247" s="35">
        <f>SUM('Fiscal Forecasts'!D$287:D$290)-SUM('Fiscal Forecasts'!C$287:C$290)</f>
        <v>0</v>
      </c>
      <c r="E247" s="35">
        <f>SUM('Fiscal Forecasts'!E$287:E$290)-SUM('Fiscal Forecasts'!D$287:D$290)</f>
        <v>0</v>
      </c>
      <c r="F247" s="35">
        <f>SUM('Fiscal Forecasts'!F$287:F$290)-SUM('Fiscal Forecasts'!E$287:E$290)</f>
        <v>0</v>
      </c>
      <c r="G247" s="35">
        <f>SUM('Fiscal Forecasts'!G$287:G$290)-SUM('Fiscal Forecasts'!F$287:F$290)</f>
        <v>0</v>
      </c>
      <c r="H247" s="35">
        <f>SUM('Fiscal Forecasts'!H$287:H$290)-SUM('Fiscal Forecasts'!G$287:G$290)</f>
        <v>0</v>
      </c>
      <c r="I247" s="35">
        <f>SUM('Fiscal Forecasts'!I$287:I$290)-SUM('Fiscal Forecasts'!H$287:H$290)</f>
        <v>0</v>
      </c>
      <c r="J247" s="17">
        <f>SUM('Fiscal Forecasts'!J$287:J$290)-SUM('Fiscal Forecasts'!I$287:I$290)</f>
        <v>0</v>
      </c>
      <c r="K247" s="17">
        <f>SUM('Fiscal Forecasts'!K$287:K$290)-SUM('Fiscal Forecasts'!J$287:J$290)</f>
        <v>0</v>
      </c>
      <c r="L247" s="17">
        <f>SUM('Fiscal Forecasts'!L$287:L$290)-SUM('Fiscal Forecasts'!K$287:K$290)</f>
        <v>1.026</v>
      </c>
      <c r="M247" s="17">
        <f>SUM('Fiscal Forecasts'!M$287:M$290)-SUM('Fiscal Forecasts'!L$287:L$290)</f>
        <v>2.3860000000000001</v>
      </c>
      <c r="N247" s="17">
        <f>SUM('Fiscal Forecasts'!N$287:N$290)-SUM('Fiscal Forecasts'!M$287:M$290)</f>
        <v>2.3899999999999997</v>
      </c>
      <c r="O247" s="16">
        <f ca="1">IF(O$6=OFFSET(Assumptions!$B$8,0,$C$1),OFFSET(Assumptions!$B$41,0,$C$1)-IF(OFFSET(Assumptions!$B$57,0,$C$1)="Yes",Allocation!$G$7,0),(N$247+IF(AND(N$6=OFFSET(Assumptions!$B$8,0,$C$1),OFFSET(Assumptions!$B$57,0,$C$1)="Yes"),Allocation!$G$7,0))*(1+OFFSET(Assumptions!$B$42,0,$C$1)))</f>
        <v>2.4</v>
      </c>
      <c r="P247" s="16">
        <f ca="1">IF(P$6=OFFSET(Assumptions!$B$8,0,$C$1),OFFSET(Assumptions!$B$41,0,$C$1)-IF(OFFSET(Assumptions!$B$57,0,$C$1)="Yes",Allocation!$G$7,0),(O$247+IF(AND(O$6=OFFSET(Assumptions!$B$8,0,$C$1),OFFSET(Assumptions!$B$57,0,$C$1)="Yes"),Allocation!$G$7,0))*(1+OFFSET(Assumptions!$B$42,0,$C$1)))</f>
        <v>2.472</v>
      </c>
      <c r="Q247" s="16">
        <f ca="1">IF(Q$6=OFFSET(Assumptions!$B$8,0,$C$1),OFFSET(Assumptions!$B$41,0,$C$1)-IF(OFFSET(Assumptions!$B$57,0,$C$1)="Yes",Allocation!$G$7,0),(P$247+IF(AND(P$6=OFFSET(Assumptions!$B$8,0,$C$1),OFFSET(Assumptions!$B$57,0,$C$1)="Yes"),Allocation!$G$7,0))*(1+OFFSET(Assumptions!$B$42,0,$C$1)))</f>
        <v>2.54616</v>
      </c>
      <c r="R247" s="16">
        <f ca="1">IF(R$6=OFFSET(Assumptions!$B$8,0,$C$1),OFFSET(Assumptions!$B$41,0,$C$1)-IF(OFFSET(Assumptions!$B$57,0,$C$1)="Yes",Allocation!$G$7,0),(Q$247+IF(AND(Q$6=OFFSET(Assumptions!$B$8,0,$C$1),OFFSET(Assumptions!$B$57,0,$C$1)="Yes"),Allocation!$G$7,0))*(1+OFFSET(Assumptions!$B$42,0,$C$1)))</f>
        <v>2.6225448</v>
      </c>
      <c r="S247" s="16">
        <f ca="1">IF(S$6=OFFSET(Assumptions!$B$8,0,$C$1),OFFSET(Assumptions!$B$41,0,$C$1)-IF(OFFSET(Assumptions!$B$57,0,$C$1)="Yes",Allocation!$G$7,0),(R$247+IF(AND(R$6=OFFSET(Assumptions!$B$8,0,$C$1),OFFSET(Assumptions!$B$57,0,$C$1)="Yes"),Allocation!$G$7,0))*(1+OFFSET(Assumptions!$B$42,0,$C$1)))</f>
        <v>2.7012211440000002</v>
      </c>
      <c r="T247" s="16">
        <f ca="1">IF(T$6=OFFSET(Assumptions!$B$8,0,$C$1),OFFSET(Assumptions!$B$41,0,$C$1)-IF(OFFSET(Assumptions!$B$57,0,$C$1)="Yes",Allocation!$G$7,0),(S$247+IF(AND(S$6=OFFSET(Assumptions!$B$8,0,$C$1),OFFSET(Assumptions!$B$57,0,$C$1)="Yes"),Allocation!$G$7,0))*(1+OFFSET(Assumptions!$B$42,0,$C$1)))</f>
        <v>2.7822577783200004</v>
      </c>
      <c r="U247" s="16">
        <f ca="1">IF(U$6=OFFSET(Assumptions!$B$8,0,$C$1),OFFSET(Assumptions!$B$41,0,$C$1)-IF(OFFSET(Assumptions!$B$57,0,$C$1)="Yes",Allocation!$G$7,0),(T$247+IF(AND(T$6=OFFSET(Assumptions!$B$8,0,$C$1),OFFSET(Assumptions!$B$57,0,$C$1)="Yes"),Allocation!$G$7,0))*(1+OFFSET(Assumptions!$B$42,0,$C$1)))</f>
        <v>2.8657255116696003</v>
      </c>
      <c r="V247" s="16">
        <f ca="1">IF(V$6=OFFSET(Assumptions!$B$8,0,$C$1),OFFSET(Assumptions!$B$41,0,$C$1)-IF(OFFSET(Assumptions!$B$57,0,$C$1)="Yes",Allocation!$G$7,0),(U$247+IF(AND(U$6=OFFSET(Assumptions!$B$8,0,$C$1),OFFSET(Assumptions!$B$57,0,$C$1)="Yes"),Allocation!$G$7,0))*(1+OFFSET(Assumptions!$B$42,0,$C$1)))</f>
        <v>2.9516972770196883</v>
      </c>
      <c r="W247" s="16">
        <f ca="1">IF(W$6=OFFSET(Assumptions!$B$8,0,$C$1),OFFSET(Assumptions!$B$41,0,$C$1)-IF(OFFSET(Assumptions!$B$57,0,$C$1)="Yes",Allocation!$G$7,0),(V$247+IF(AND(V$6=OFFSET(Assumptions!$B$8,0,$C$1),OFFSET(Assumptions!$B$57,0,$C$1)="Yes"),Allocation!$G$7,0))*(1+OFFSET(Assumptions!$B$42,0,$C$1)))</f>
        <v>3.0402481953302791</v>
      </c>
      <c r="X247" s="16">
        <f ca="1">IF(X$6=OFFSET(Assumptions!$B$8,0,$C$1),OFFSET(Assumptions!$B$41,0,$C$1)-IF(OFFSET(Assumptions!$B$57,0,$C$1)="Yes",Allocation!$G$7,0),(W$247+IF(AND(W$6=OFFSET(Assumptions!$B$8,0,$C$1),OFFSET(Assumptions!$B$57,0,$C$1)="Yes"),Allocation!$G$7,0))*(1+OFFSET(Assumptions!$B$42,0,$C$1)))</f>
        <v>3.1314556411901875</v>
      </c>
    </row>
    <row r="248" spans="1:24" x14ac:dyDescent="0.25">
      <c r="A248" s="9" t="s">
        <v>541</v>
      </c>
      <c r="B248" s="10" t="str">
        <f>$B$38</f>
        <v>From Fiscal Forecasts</v>
      </c>
      <c r="D248" s="42">
        <f>'Fiscal Forecasts'!D$22</f>
        <v>0</v>
      </c>
      <c r="E248" s="42">
        <f>'Fiscal Forecasts'!E$22</f>
        <v>0</v>
      </c>
      <c r="F248" s="42">
        <f>'Fiscal Forecasts'!F$22</f>
        <v>0</v>
      </c>
      <c r="G248" s="42">
        <f>'Fiscal Forecasts'!G$22</f>
        <v>0</v>
      </c>
      <c r="H248" s="42">
        <f>'Fiscal Forecasts'!H$22</f>
        <v>0</v>
      </c>
      <c r="I248" s="42">
        <f>'Fiscal Forecasts'!I$22</f>
        <v>0</v>
      </c>
      <c r="J248" s="43">
        <f ca="1">IF(OFFSET(Assumptions!$B$56,0,$C$1)="Yes",0,'Fiscal Forecasts'!J$22)</f>
        <v>0</v>
      </c>
      <c r="K248" s="43">
        <f ca="1">IF(OFFSET(Assumptions!$B$56,0,$C$1)="Yes",0,'Fiscal Forecasts'!K$22)</f>
        <v>0</v>
      </c>
      <c r="L248" s="43">
        <f ca="1">IF(OFFSET(Assumptions!$B$56,0,$C$1)="Yes",0,'Fiscal Forecasts'!L$22)</f>
        <v>0</v>
      </c>
      <c r="M248" s="43">
        <f ca="1">IF(OFFSET(Assumptions!$B$56,0,$C$1)="Yes",0,'Fiscal Forecasts'!M$22)</f>
        <v>0</v>
      </c>
      <c r="N248" s="43">
        <f ca="1">IF(OFFSET(Assumptions!$B$56,0,$C$1)="Yes",0,'Fiscal Forecasts'!N$22)</f>
        <v>0</v>
      </c>
      <c r="O248" s="47">
        <f ca="1">IF(O$6=OFFSET(Assumptions!$B$8,0,$C$1),OFFSET(Assumptions!$B$9,0,$C$1),N$248)</f>
        <v>0</v>
      </c>
      <c r="P248" s="47">
        <f ca="1">IF(P$6=OFFSET(Assumptions!$B$8,0,$C$1),OFFSET(Assumptions!$B$9,0,$C$1),O$248)</f>
        <v>0</v>
      </c>
      <c r="Q248" s="47">
        <f ca="1">IF(Q$6=OFFSET(Assumptions!$B$8,0,$C$1),OFFSET(Assumptions!$B$9,0,$C$1),P$248)</f>
        <v>0</v>
      </c>
      <c r="R248" s="47">
        <f ca="1">IF(R$6=OFFSET(Assumptions!$B$8,0,$C$1),OFFSET(Assumptions!$B$9,0,$C$1),Q$248)</f>
        <v>0</v>
      </c>
      <c r="S248" s="47">
        <f ca="1">IF(S$6=OFFSET(Assumptions!$B$8,0,$C$1),OFFSET(Assumptions!$B$9,0,$C$1),R$248)</f>
        <v>0</v>
      </c>
      <c r="T248" s="47">
        <f ca="1">IF(T$6=OFFSET(Assumptions!$B$8,0,$C$1),OFFSET(Assumptions!$B$9,0,$C$1),S$248)</f>
        <v>0</v>
      </c>
      <c r="U248" s="47">
        <f ca="1">IF(U$6=OFFSET(Assumptions!$B$8,0,$C$1),OFFSET(Assumptions!$B$9,0,$C$1),T$248)</f>
        <v>0</v>
      </c>
      <c r="V248" s="47">
        <f ca="1">IF(V$6=OFFSET(Assumptions!$B$8,0,$C$1),OFFSET(Assumptions!$B$9,0,$C$1),U$248)</f>
        <v>0</v>
      </c>
      <c r="W248" s="47">
        <f ca="1">IF(W$6=OFFSET(Assumptions!$B$8,0,$C$1),OFFSET(Assumptions!$B$9,0,$C$1),V$248)</f>
        <v>0</v>
      </c>
      <c r="X248" s="47">
        <f ca="1">IF(X$6=OFFSET(Assumptions!$B$8,0,$C$1),OFFSET(Assumptions!$B$9,0,$C$1),W$248)</f>
        <v>0</v>
      </c>
    </row>
    <row r="250" spans="1:24" x14ac:dyDescent="0.25">
      <c r="A250" s="9" t="s">
        <v>974</v>
      </c>
    </row>
    <row r="251" spans="1:24" x14ac:dyDescent="0.25">
      <c r="A251" s="9" t="s">
        <v>975</v>
      </c>
      <c r="B251" s="10" t="str">
        <f>$B$38</f>
        <v>From Fiscal Forecasts</v>
      </c>
      <c r="D251" s="42">
        <f>'Fiscal Forecasts'!D$69</f>
        <v>6.6000000000000003E-2</v>
      </c>
      <c r="E251" s="42">
        <f>'Fiscal Forecasts'!E$69</f>
        <v>7.2999999999999995E-2</v>
      </c>
      <c r="F251" s="42">
        <f>'Fiscal Forecasts'!F$69</f>
        <v>9.9000000000000005E-2</v>
      </c>
      <c r="G251" s="42">
        <f>'Fiscal Forecasts'!G$69</f>
        <v>9.4E-2</v>
      </c>
      <c r="H251" s="42">
        <f>'Fiscal Forecasts'!H$69</f>
        <v>6.0999999999999999E-2</v>
      </c>
      <c r="I251" s="42">
        <f>'Fiscal Forecasts'!I$69</f>
        <v>6.9000000000000006E-2</v>
      </c>
      <c r="J251" s="43">
        <f>'Fiscal Forecasts'!J$69</f>
        <v>0.05</v>
      </c>
      <c r="K251" s="43">
        <f>'Fiscal Forecasts'!K$69</f>
        <v>4.9000000000000002E-2</v>
      </c>
      <c r="L251" s="43">
        <f>'Fiscal Forecasts'!L$69</f>
        <v>4.8000000000000001E-2</v>
      </c>
      <c r="M251" s="43">
        <f>'Fiscal Forecasts'!M$69</f>
        <v>4.5999999999999999E-2</v>
      </c>
      <c r="N251" s="43">
        <f>'Fiscal Forecasts'!N$69</f>
        <v>4.4999999999999998E-2</v>
      </c>
      <c r="O251" s="47">
        <f>N$251*Exogenous!Z$34/Exogenous!Y$34</f>
        <v>4.32824427480916E-2</v>
      </c>
      <c r="P251" s="47">
        <f>O$251*Exogenous!AA$34/Exogenous!Z$34</f>
        <v>4.1335877862595419E-2</v>
      </c>
      <c r="Q251" s="47">
        <f>P$251*Exogenous!AB$34/Exogenous!AA$34</f>
        <v>3.9389312977099238E-2</v>
      </c>
      <c r="R251" s="47">
        <f>Q$251*Exogenous!AC$34/Exogenous!AB$34</f>
        <v>3.7442748091603063E-2</v>
      </c>
      <c r="S251" s="47">
        <f>R$251*Exogenous!AD$34/Exogenous!AC$34</f>
        <v>3.5496183206106882E-2</v>
      </c>
      <c r="T251" s="47">
        <f>S$251*Exogenous!AE$34/Exogenous!AD$34</f>
        <v>3.3435114503816803E-2</v>
      </c>
      <c r="U251" s="47">
        <f>T$251*Exogenous!AF$34/Exogenous!AE$34</f>
        <v>3.1603053435114513E-2</v>
      </c>
      <c r="V251" s="47">
        <f>U$251*Exogenous!AG$34/Exogenous!AF$34</f>
        <v>2.977099236641222E-2</v>
      </c>
      <c r="W251" s="47">
        <f>V$251*Exogenous!AH$34/Exogenous!AG$34</f>
        <v>2.7824427480916035E-2</v>
      </c>
      <c r="X251" s="47">
        <f>W$251*Exogenous!AI$34/Exogenous!AH$34</f>
        <v>2.5877862595419854E-2</v>
      </c>
    </row>
    <row r="252" spans="1:24" x14ac:dyDescent="0.25">
      <c r="A252" s="9" t="s">
        <v>976</v>
      </c>
      <c r="B252" s="10" t="str">
        <f>$B$38</f>
        <v>From Fiscal Forecasts</v>
      </c>
      <c r="D252" s="42">
        <f>'Fiscal Forecasts'!D$52</f>
        <v>0.08</v>
      </c>
      <c r="E252" s="42">
        <f>'Fiscal Forecasts'!E$52</f>
        <v>8.6999999999999994E-2</v>
      </c>
      <c r="F252" s="42">
        <f>'Fiscal Forecasts'!F$52</f>
        <v>0.114</v>
      </c>
      <c r="G252" s="42">
        <f>'Fiscal Forecasts'!G$52</f>
        <v>0.11</v>
      </c>
      <c r="H252" s="42">
        <f>'Fiscal Forecasts'!H$52</f>
        <v>7.8E-2</v>
      </c>
      <c r="I252" s="42">
        <f>'Fiscal Forecasts'!I$52</f>
        <v>9.4E-2</v>
      </c>
      <c r="J252" s="43">
        <f>'Fiscal Forecasts'!J$52</f>
        <v>8.5999999999999993E-2</v>
      </c>
      <c r="K252" s="43">
        <f>'Fiscal Forecasts'!K$52</f>
        <v>8.5999999999999993E-2</v>
      </c>
      <c r="L252" s="43">
        <f>'Fiscal Forecasts'!L$52</f>
        <v>8.5000000000000006E-2</v>
      </c>
      <c r="M252" s="43">
        <f>'Fiscal Forecasts'!M$52</f>
        <v>8.4000000000000005E-2</v>
      </c>
      <c r="N252" s="43">
        <f>'Fiscal Forecasts'!N$52</f>
        <v>8.3000000000000004E-2</v>
      </c>
      <c r="O252" s="47">
        <f>N$252*Exogenous!Z$34/Exogenous!Y$34</f>
        <v>7.983206106870229E-2</v>
      </c>
      <c r="P252" s="47">
        <f>O$252*Exogenous!AA$34/Exogenous!Z$34</f>
        <v>7.6241730279898209E-2</v>
      </c>
      <c r="Q252" s="47">
        <f>P$252*Exogenous!AB$34/Exogenous!AA$34</f>
        <v>7.2651399491094129E-2</v>
      </c>
      <c r="R252" s="47">
        <f>Q$252*Exogenous!AC$34/Exogenous!AB$34</f>
        <v>6.9061068702290063E-2</v>
      </c>
      <c r="S252" s="47">
        <f>R$252*Exogenous!AD$34/Exogenous!AC$34</f>
        <v>6.5470737913485982E-2</v>
      </c>
      <c r="T252" s="47">
        <f>S$252*Exogenous!AE$34/Exogenous!AD$34</f>
        <v>6.1669211195928726E-2</v>
      </c>
      <c r="U252" s="47">
        <f>T$252*Exogenous!AF$34/Exogenous!AE$34</f>
        <v>5.8290076335877843E-2</v>
      </c>
      <c r="V252" s="47">
        <f>U$252*Exogenous!AG$34/Exogenous!AF$34</f>
        <v>5.4910941475826952E-2</v>
      </c>
      <c r="W252" s="47">
        <f>V$252*Exogenous!AH$34/Exogenous!AG$34</f>
        <v>5.1320610687022879E-2</v>
      </c>
      <c r="X252" s="47">
        <f>W$252*Exogenous!AI$34/Exogenous!AH$34</f>
        <v>4.7730279898218805E-2</v>
      </c>
    </row>
    <row r="254" spans="1:24" x14ac:dyDescent="0.25">
      <c r="A254" s="9" t="s">
        <v>977</v>
      </c>
      <c r="D254" s="2"/>
      <c r="E254" s="2"/>
      <c r="F254" s="2"/>
      <c r="G254" s="2"/>
      <c r="H254" s="2"/>
      <c r="I254" s="2"/>
      <c r="J254" s="2"/>
      <c r="K254" s="2"/>
      <c r="L254" s="2"/>
    </row>
    <row r="255" spans="1:24" x14ac:dyDescent="0.25">
      <c r="A255" s="11" t="s">
        <v>1389</v>
      </c>
      <c r="B255" s="10" t="str">
        <f>$B$38</f>
        <v>From Fiscal Forecasts</v>
      </c>
      <c r="D255" s="35">
        <f>Exogenous!$B$79*'Fiscal Forecasts'!D$58</f>
        <v>3.7266719999999998</v>
      </c>
      <c r="E255" s="35">
        <f>Exogenous!$B$79*'Fiscal Forecasts'!E$58</f>
        <v>4.0577639999999997</v>
      </c>
      <c r="F255" s="35">
        <f>Exogenous!$B$79*'Fiscal Forecasts'!F$58</f>
        <v>4.6479359999999996</v>
      </c>
      <c r="G255" s="35">
        <f>Exogenous!$B$79*'Fiscal Forecasts'!G$58</f>
        <v>5.6673239999999998</v>
      </c>
      <c r="H255" s="35">
        <f>Exogenous!$B$79*'Fiscal Forecasts'!H$58</f>
        <v>5.8117559999999999</v>
      </c>
      <c r="I255" s="35">
        <f>Exogenous!$B$79*'Fiscal Forecasts'!I$58</f>
        <v>6.1197959999999991</v>
      </c>
      <c r="J255" s="17">
        <f ca="1">Exogenous!$B$79*('Fiscal Forecasts'!J$58+IF(OFFSET(Assumptions!$B$56,0,$C$1)="Yes",Allocation!C$15,0))</f>
        <v>6.1128599999999995</v>
      </c>
      <c r="K255" s="17">
        <f ca="1">Exogenous!$B$79*('Fiscal Forecasts'!K$58+IF(OFFSET(Assumptions!$B$56,0,$C$1)="Yes",Allocation!D$15,0))</f>
        <v>6.7330199999999998</v>
      </c>
      <c r="L255" s="17">
        <f ca="1">Exogenous!$B$79*('Fiscal Forecasts'!L$58+IF(OFFSET(Assumptions!$B$56,0,$C$1)="Yes",Allocation!E$15,0))</f>
        <v>6.9239639999999998</v>
      </c>
      <c r="M255" s="17">
        <f ca="1">Exogenous!$B$79*('Fiscal Forecasts'!M$58+IF(OFFSET(Assumptions!$B$56,0,$C$1)="Yes",Allocation!F$15,0))</f>
        <v>7.1467320000000001</v>
      </c>
      <c r="N255" s="17">
        <f ca="1">Exogenous!$B$79*('Fiscal Forecasts'!N$58+IF(OFFSET(Assumptions!$B$56,0,$C$1)="Yes",Allocation!G$15,0))</f>
        <v>7.3629720000000001</v>
      </c>
      <c r="O255" s="16">
        <f ca="1">N$255+IF(OFFSET(Assumptions!$B$57,0,$C$1)="Yes",Exogenous!$B$79*Allocation!$B$15*O$247,IF(OFFSET(Assumptions!$B$58,0,$C$1)="Yes",N$255*(1+(SUMPRODUCT(Exogenous!$B$82:$B$85,'Population Treasury'!Z$238:Z$241)+SUMPRODUCT(Exogenous!$B$86:$B$94,'Population Treasury'!Z$243:Z$251)+SUMPRODUCT(Exogenous!$B$95:$B$100,'Population Treasury'!Z$253:Z$258))/('Population Treasury'!Z$307/'Population Treasury'!Y$307)+(SUMPRODUCT(Exogenous!$C$82:$C$85,'Population Treasury'!Z$283:Z$286)+SUMPRODUCT(Exogenous!$C$86:$C$94,'Population Treasury'!Z$288:Z$296)+SUMPRODUCT(Exogenous!$C$95:$C$100,'Population Treasury'!Z$298:Z$303))/('Population Treasury'!Z$309/'Population Treasury'!Y$309))*(1+O$25)*(1+O$29)*(1+OFFSET(Assumptions!$B$63,0,$C$1))/(1+OFFSET(Assumptions!$B$64,0,$C$1))-N$255,0))</f>
        <v>7.7166271511113482</v>
      </c>
      <c r="P255" s="16">
        <f ca="1">O$255+IF(OFFSET(Assumptions!$B$57,0,$C$1)="Yes",Exogenous!$B$79*Allocation!$B$15*P$247,IF(OFFSET(Assumptions!$B$58,0,$C$1)="Yes",O$255*(1+(SUMPRODUCT(Exogenous!$B$82:$B$85,'Population Treasury'!AA$238:AA$241)+SUMPRODUCT(Exogenous!$B$86:$B$94,'Population Treasury'!AA$243:AA$251)+SUMPRODUCT(Exogenous!$B$95:$B$100,'Population Treasury'!AA$253:AA$258))/('Population Treasury'!AA$307/'Population Treasury'!Z$307)+(SUMPRODUCT(Exogenous!$C$82:$C$85,'Population Treasury'!AA$283:AA$286)+SUMPRODUCT(Exogenous!$C$86:$C$94,'Population Treasury'!AA$288:AA$296)+SUMPRODUCT(Exogenous!$C$95:$C$100,'Population Treasury'!AA$298:AA$303))/('Population Treasury'!AA$309/'Population Treasury'!Z$309))*(1+P$25)*(1+P$29)*(1+OFFSET(Assumptions!$B$63,0,$C$1))/(1+OFFSET(Assumptions!$B$64,0,$C$1))-O$255,0))</f>
        <v>8.0843131538724524</v>
      </c>
      <c r="Q255" s="16">
        <f ca="1">P$255+IF(OFFSET(Assumptions!$B$57,0,$C$1)="Yes",Exogenous!$B$79*Allocation!$B$15*Q$247,IF(OFFSET(Assumptions!$B$58,0,$C$1)="Yes",P$255*(1+(SUMPRODUCT(Exogenous!$B$82:$B$85,'Population Treasury'!AB$238:AB$241)+SUMPRODUCT(Exogenous!$B$86:$B$94,'Population Treasury'!AB$243:AB$251)+SUMPRODUCT(Exogenous!$B$95:$B$100,'Population Treasury'!AB$253:AB$258))/('Population Treasury'!AB$307/'Population Treasury'!AA$307)+(SUMPRODUCT(Exogenous!$C$82:$C$85,'Population Treasury'!AB$283:AB$286)+SUMPRODUCT(Exogenous!$C$86:$C$94,'Population Treasury'!AB$288:AB$296)+SUMPRODUCT(Exogenous!$C$95:$C$100,'Population Treasury'!AB$298:AB$303))/('Population Treasury'!AB$309/'Population Treasury'!AA$309))*(1+Q$25)*(1+Q$29)*(1+OFFSET(Assumptions!$B$63,0,$C$1))/(1+OFFSET(Assumptions!$B$64,0,$C$1))-P$255,0))</f>
        <v>8.4670311439566266</v>
      </c>
      <c r="R255" s="16">
        <f ca="1">Q$255+IF(OFFSET(Assumptions!$B$57,0,$C$1)="Yes",Exogenous!$B$79*Allocation!$B$15*R$247,IF(OFFSET(Assumptions!$B$58,0,$C$1)="Yes",Q$255*(1+(SUMPRODUCT(Exogenous!$B$82:$B$85,'Population Treasury'!AC$238:AC$241)+SUMPRODUCT(Exogenous!$B$86:$B$94,'Population Treasury'!AC$243:AC$251)+SUMPRODUCT(Exogenous!$B$95:$B$100,'Population Treasury'!AC$253:AC$258))/('Population Treasury'!AC$307/'Population Treasury'!AB$307)+(SUMPRODUCT(Exogenous!$C$82:$C$85,'Population Treasury'!AC$283:AC$286)+SUMPRODUCT(Exogenous!$C$86:$C$94,'Population Treasury'!AC$288:AC$296)+SUMPRODUCT(Exogenous!$C$95:$C$100,'Population Treasury'!AC$298:AC$303))/('Population Treasury'!AC$309/'Population Treasury'!AB$309))*(1+R$25)*(1+R$29)*(1+OFFSET(Assumptions!$B$63,0,$C$1))/(1+OFFSET(Assumptions!$B$64,0,$C$1))-Q$255,0))</f>
        <v>8.8647142295984249</v>
      </c>
      <c r="S255" s="16">
        <f ca="1">R$255+IF(OFFSET(Assumptions!$B$57,0,$C$1)="Yes",Exogenous!$B$79*Allocation!$B$15*S$247,IF(OFFSET(Assumptions!$B$58,0,$C$1)="Yes",R$255*(1+(SUMPRODUCT(Exogenous!$B$82:$B$85,'Population Treasury'!AD$238:AD$241)+SUMPRODUCT(Exogenous!$B$86:$B$94,'Population Treasury'!AD$243:AD$251)+SUMPRODUCT(Exogenous!$B$95:$B$100,'Population Treasury'!AD$253:AD$258))/('Population Treasury'!AD$307/'Population Treasury'!AC$307)+(SUMPRODUCT(Exogenous!$C$82:$C$85,'Population Treasury'!AD$283:AD$286)+SUMPRODUCT(Exogenous!$C$86:$C$94,'Population Treasury'!AD$288:AD$296)+SUMPRODUCT(Exogenous!$C$95:$C$100,'Population Treasury'!AD$298:AD$303))/('Population Treasury'!AD$309/'Population Treasury'!AC$309))*(1+S$25)*(1+S$29)*(1+OFFSET(Assumptions!$B$63,0,$C$1))/(1+OFFSET(Assumptions!$B$64,0,$C$1))-R$255,0))</f>
        <v>9.2751509252589823</v>
      </c>
      <c r="T255" s="16">
        <f ca="1">S$255+IF(OFFSET(Assumptions!$B$57,0,$C$1)="Yes",Exogenous!$B$79*Allocation!$B$15*T$247,IF(OFFSET(Assumptions!$B$58,0,$C$1)="Yes",S$255*(1+(SUMPRODUCT(Exogenous!$B$82:$B$85,'Population Treasury'!AE$238:AE$241)+SUMPRODUCT(Exogenous!$B$86:$B$94,'Population Treasury'!AE$243:AE$251)+SUMPRODUCT(Exogenous!$B$95:$B$100,'Population Treasury'!AE$253:AE$258))/('Population Treasury'!AE$307/'Population Treasury'!AD$307)+(SUMPRODUCT(Exogenous!$C$82:$C$85,'Population Treasury'!AE$283:AE$286)+SUMPRODUCT(Exogenous!$C$86:$C$94,'Population Treasury'!AE$288:AE$296)+SUMPRODUCT(Exogenous!$C$95:$C$100,'Population Treasury'!AE$298:AE$303))/('Population Treasury'!AE$309/'Population Treasury'!AD$309))*(1+T$25)*(1+T$29)*(1+OFFSET(Assumptions!$B$63,0,$C$1))/(1+OFFSET(Assumptions!$B$64,0,$C$1))-S$255,0))</f>
        <v>9.7008597227747888</v>
      </c>
      <c r="U255" s="16">
        <f ca="1">T$255+IF(OFFSET(Assumptions!$B$57,0,$C$1)="Yes",Exogenous!$B$79*Allocation!$B$15*U$247,IF(OFFSET(Assumptions!$B$58,0,$C$1)="Yes",T$255*(1+(SUMPRODUCT(Exogenous!$B$82:$B$85,'Population Treasury'!AF$238:AF$241)+SUMPRODUCT(Exogenous!$B$86:$B$94,'Population Treasury'!AF$243:AF$251)+SUMPRODUCT(Exogenous!$B$95:$B$100,'Population Treasury'!AF$253:AF$258))/('Population Treasury'!AF$307/'Population Treasury'!AE$307)+(SUMPRODUCT(Exogenous!$C$82:$C$85,'Population Treasury'!AF$283:AF$286)+SUMPRODUCT(Exogenous!$C$86:$C$94,'Population Treasury'!AF$288:AF$296)+SUMPRODUCT(Exogenous!$C$95:$C$100,'Population Treasury'!AF$298:AF$303))/('Population Treasury'!AF$309/'Population Treasury'!AE$309))*(1+U$25)*(1+U$29)*(1+OFFSET(Assumptions!$B$63,0,$C$1))/(1+OFFSET(Assumptions!$B$64,0,$C$1))-T$255,0))</f>
        <v>10.138848839991814</v>
      </c>
      <c r="V255" s="16">
        <f ca="1">U$255+IF(OFFSET(Assumptions!$B$57,0,$C$1)="Yes",Exogenous!$B$79*Allocation!$B$15*V$247,IF(OFFSET(Assumptions!$B$58,0,$C$1)="Yes",U$255*(1+(SUMPRODUCT(Exogenous!$B$82:$B$85,'Population Treasury'!AG$238:AG$241)+SUMPRODUCT(Exogenous!$B$86:$B$94,'Population Treasury'!AG$243:AG$251)+SUMPRODUCT(Exogenous!$B$95:$B$100,'Population Treasury'!AG$253:AG$258))/('Population Treasury'!AG$307/'Population Treasury'!AF$307)+(SUMPRODUCT(Exogenous!$C$82:$C$85,'Population Treasury'!AG$283:AG$286)+SUMPRODUCT(Exogenous!$C$86:$C$94,'Population Treasury'!AG$288:AG$296)+SUMPRODUCT(Exogenous!$C$95:$C$100,'Population Treasury'!AG$298:AG$303))/('Population Treasury'!AG$309/'Population Treasury'!AF$309))*(1+V$25)*(1+V$29)*(1+OFFSET(Assumptions!$B$63,0,$C$1))/(1+OFFSET(Assumptions!$B$64,0,$C$1))-U$255,0))</f>
        <v>10.587343498539243</v>
      </c>
      <c r="W255" s="16">
        <f ca="1">V$255+IF(OFFSET(Assumptions!$B$57,0,$C$1)="Yes",Exogenous!$B$79*Allocation!$B$15*W$247,IF(OFFSET(Assumptions!$B$58,0,$C$1)="Yes",V$255*(1+(SUMPRODUCT(Exogenous!$B$82:$B$85,'Population Treasury'!AH$238:AH$241)+SUMPRODUCT(Exogenous!$B$86:$B$94,'Population Treasury'!AH$243:AH$251)+SUMPRODUCT(Exogenous!$B$95:$B$100,'Population Treasury'!AH$253:AH$258))/('Population Treasury'!AH$307/'Population Treasury'!AG$307)+(SUMPRODUCT(Exogenous!$C$82:$C$85,'Population Treasury'!AH$283:AH$286)+SUMPRODUCT(Exogenous!$C$86:$C$94,'Population Treasury'!AH$288:AH$296)+SUMPRODUCT(Exogenous!$C$95:$C$100,'Population Treasury'!AH$298:AH$303))/('Population Treasury'!AH$309/'Population Treasury'!AG$309))*(1+W$25)*(1+W$29)*(1+OFFSET(Assumptions!$B$63,0,$C$1))/(1+OFFSET(Assumptions!$B$64,0,$C$1))-V$255,0))</f>
        <v>11.045547758875053</v>
      </c>
      <c r="X255" s="16">
        <f ca="1">W$255+IF(OFFSET(Assumptions!$B$57,0,$C$1)="Yes",Exogenous!$B$79*Allocation!$B$15*X$247,IF(OFFSET(Assumptions!$B$58,0,$C$1)="Yes",W$255*(1+(SUMPRODUCT(Exogenous!$B$82:$B$85,'Population Treasury'!AI$238:AI$241)+SUMPRODUCT(Exogenous!$B$86:$B$94,'Population Treasury'!AI$243:AI$251)+SUMPRODUCT(Exogenous!$B$95:$B$100,'Population Treasury'!AI$253:AI$258))/('Population Treasury'!AI$307/'Population Treasury'!AH$307)+(SUMPRODUCT(Exogenous!$C$82:$C$85,'Population Treasury'!AI$283:AI$286)+SUMPRODUCT(Exogenous!$C$86:$C$94,'Population Treasury'!AI$288:AI$296)+SUMPRODUCT(Exogenous!$C$95:$C$100,'Population Treasury'!AI$298:AI$303))/('Population Treasury'!AI$309/'Population Treasury'!AH$309))*(1+X$25)*(1+X$29)*(1+OFFSET(Assumptions!$B$63,0,$C$1))/(1+OFFSET(Assumptions!$B$64,0,$C$1))-W$255,0))</f>
        <v>11.51513362023573</v>
      </c>
    </row>
    <row r="256" spans="1:24" x14ac:dyDescent="0.25">
      <c r="A256" s="11" t="s">
        <v>1390</v>
      </c>
      <c r="B256" s="10" t="str">
        <f t="shared" ref="B256:B260" si="158">$B$38</f>
        <v>From Fiscal Forecasts</v>
      </c>
      <c r="D256" s="35">
        <f>Exogenous!$E$79*'Fiscal Forecasts'!D$58</f>
        <v>9.882988000000001</v>
      </c>
      <c r="E256" s="35">
        <f>Exogenous!$E$79*'Fiscal Forecasts'!E$58</f>
        <v>10.761030999999999</v>
      </c>
      <c r="F256" s="35">
        <f>Exogenous!$E$79*'Fiscal Forecasts'!F$58</f>
        <v>12.326144000000001</v>
      </c>
      <c r="G256" s="35">
        <f>Exogenous!$E$79*'Fiscal Forecasts'!G$58</f>
        <v>15.029521000000001</v>
      </c>
      <c r="H256" s="35">
        <f>Exogenous!$E$79*'Fiscal Forecasts'!H$58</f>
        <v>15.412549000000002</v>
      </c>
      <c r="I256" s="35">
        <f>Exogenous!$E$79*'Fiscal Forecasts'!I$58</f>
        <v>16.229459000000002</v>
      </c>
      <c r="J256" s="17">
        <f ca="1">Exogenous!$E$79*('Fiscal Forecasts'!J$58+IF(OFFSET(Assumptions!$B$56,0,$C$1)="Yes",Allocation!C$15,0))</f>
        <v>16.211065000000001</v>
      </c>
      <c r="K256" s="17">
        <f ca="1">Exogenous!$E$79*('Fiscal Forecasts'!K$58+IF(OFFSET(Assumptions!$B$56,0,$C$1)="Yes",Allocation!D$15,0))</f>
        <v>17.855705000000004</v>
      </c>
      <c r="L256" s="17">
        <f ca="1">Exogenous!$E$79*('Fiscal Forecasts'!L$58+IF(OFFSET(Assumptions!$B$56,0,$C$1)="Yes",Allocation!E$15,0))</f>
        <v>18.362081000000003</v>
      </c>
      <c r="M256" s="17">
        <f ca="1">Exogenous!$E$79*('Fiscal Forecasts'!M$58+IF(OFFSET(Assumptions!$B$56,0,$C$1)="Yes",Allocation!F$15,0))</f>
        <v>18.952853000000001</v>
      </c>
      <c r="N256" s="17">
        <f ca="1">Exogenous!$E$79*('Fiscal Forecasts'!N$58+IF(OFFSET(Assumptions!$B$56,0,$C$1)="Yes",Allocation!G$15,0))</f>
        <v>19.526313000000002</v>
      </c>
      <c r="O256" s="16">
        <f ca="1">N$256+IF(OFFSET(Assumptions!$B$57,0,$C$1)="Yes",Exogenous!$E$79*Allocation!$B$15*O$247,IF(OFFSET(Assumptions!$B$58,0,$C$1)="Yes",N$256*(1+(SUMPRODUCT(Exogenous!$E$82:$E$85,'Population Treasury'!Z$238:Z$241)+SUMPRODUCT(Exogenous!$E$86:$E$94,'Population Treasury'!Z$243:Z$251)+SUMPRODUCT(Exogenous!$E$95:$E$100,'Population Treasury'!Z$253:Z$258))/('Population Treasury'!Z$307/'Population Treasury'!Y$307)+(SUMPRODUCT(Exogenous!$F$82:$F$85,'Population Treasury'!Z$283:Z$286)+SUMPRODUCT(Exogenous!$F$86:$F$94,'Population Treasury'!Z$288:Z$296)+SUMPRODUCT(Exogenous!$F$95:$F$100,'Population Treasury'!Z$298:Z$303))/('Population Treasury'!Z$309/'Population Treasury'!Y$309))*(1+O$25)*(1+O$29)*(1+OFFSET(Assumptions!$B$63,0,$C$1))/(1+OFFSET(Assumptions!$B$64,0,$C$1))-N$256,0))</f>
        <v>20.477573427170629</v>
      </c>
      <c r="P256" s="16">
        <f ca="1">O$256+IF(OFFSET(Assumptions!$B$57,0,$C$1)="Yes",Exogenous!$E$79*Allocation!$B$15*P$247,IF(OFFSET(Assumptions!$B$58,0,$C$1)="Yes",O$256*(1+(SUMPRODUCT(Exogenous!$E$82:$E$85,'Population Treasury'!AA$238:AA$241)+SUMPRODUCT(Exogenous!$E$86:$E$94,'Population Treasury'!AA$243:AA$251)+SUMPRODUCT(Exogenous!$E$95:$E$100,'Population Treasury'!AA$253:AA$258))/('Population Treasury'!AA$307/'Population Treasury'!Z$307)+(SUMPRODUCT(Exogenous!$F$82:$F$85,'Population Treasury'!AA$283:AA$286)+SUMPRODUCT(Exogenous!$F$86:$F$94,'Population Treasury'!AA$288:AA$296)+SUMPRODUCT(Exogenous!$F$95:$F$100,'Population Treasury'!AA$298:AA$303))/('Population Treasury'!AA$309/'Population Treasury'!Z$309))*(1+P$25)*(1+P$29)*(1+OFFSET(Assumptions!$B$63,0,$C$1))/(1+OFFSET(Assumptions!$B$64,0,$C$1))-O$256,0))</f>
        <v>21.4677224100449</v>
      </c>
      <c r="Q256" s="16">
        <f ca="1">P$256+IF(OFFSET(Assumptions!$B$57,0,$C$1)="Yes",Exogenous!$E$79*Allocation!$B$15*Q$247,IF(OFFSET(Assumptions!$B$58,0,$C$1)="Yes",P$256*(1+(SUMPRODUCT(Exogenous!$E$82:$E$85,'Population Treasury'!AB$238:AB$241)+SUMPRODUCT(Exogenous!$E$86:$E$94,'Population Treasury'!AB$243:AB$251)+SUMPRODUCT(Exogenous!$E$95:$E$100,'Population Treasury'!AB$253:AB$258))/('Population Treasury'!AB$307/'Population Treasury'!AA$307)+(SUMPRODUCT(Exogenous!$F$82:$F$85,'Population Treasury'!AB$283:AB$286)+SUMPRODUCT(Exogenous!$F$86:$F$94,'Population Treasury'!AB$288:AB$296)+SUMPRODUCT(Exogenous!$F$95:$F$100,'Population Treasury'!AB$298:AB$303))/('Population Treasury'!AB$309/'Population Treasury'!AA$309))*(1+Q$25)*(1+Q$29)*(1+OFFSET(Assumptions!$B$63,0,$C$1))/(1+OFFSET(Assumptions!$B$64,0,$C$1))-P$256,0))</f>
        <v>22.50663008847663</v>
      </c>
      <c r="R256" s="16">
        <f ca="1">Q$256+IF(OFFSET(Assumptions!$B$57,0,$C$1)="Yes",Exogenous!$E$79*Allocation!$B$15*R$247,IF(OFFSET(Assumptions!$B$58,0,$C$1)="Yes",Q$256*(1+(SUMPRODUCT(Exogenous!$E$82:$E$85,'Population Treasury'!AC$238:AC$241)+SUMPRODUCT(Exogenous!$E$86:$E$94,'Population Treasury'!AC$243:AC$251)+SUMPRODUCT(Exogenous!$E$95:$E$100,'Population Treasury'!AC$253:AC$258))/('Population Treasury'!AC$307/'Population Treasury'!AB$307)+(SUMPRODUCT(Exogenous!$F$82:$F$85,'Population Treasury'!AC$283:AC$286)+SUMPRODUCT(Exogenous!$F$86:$F$94,'Population Treasury'!AC$288:AC$296)+SUMPRODUCT(Exogenous!$F$95:$F$100,'Population Treasury'!AC$298:AC$303))/('Population Treasury'!AC$309/'Population Treasury'!AB$309))*(1+R$25)*(1+R$29)*(1+OFFSET(Assumptions!$B$63,0,$C$1))/(1+OFFSET(Assumptions!$B$64,0,$C$1))-Q$256,0))</f>
        <v>23.584214308125269</v>
      </c>
      <c r="S256" s="16">
        <f ca="1">R$256+IF(OFFSET(Assumptions!$B$57,0,$C$1)="Yes",Exogenous!$E$79*Allocation!$B$15*S$247,IF(OFFSET(Assumptions!$B$58,0,$C$1)="Yes",R$256*(1+(SUMPRODUCT(Exogenous!$E$82:$E$85,'Population Treasury'!AD$238:AD$241)+SUMPRODUCT(Exogenous!$E$86:$E$94,'Population Treasury'!AD$243:AD$251)+SUMPRODUCT(Exogenous!$E$95:$E$100,'Population Treasury'!AD$253:AD$258))/('Population Treasury'!AD$307/'Population Treasury'!AC$307)+(SUMPRODUCT(Exogenous!$F$82:$F$85,'Population Treasury'!AD$283:AD$286)+SUMPRODUCT(Exogenous!$F$86:$F$94,'Population Treasury'!AD$288:AD$296)+SUMPRODUCT(Exogenous!$F$95:$F$100,'Population Treasury'!AD$298:AD$303))/('Population Treasury'!AD$309/'Population Treasury'!AC$309))*(1+S$25)*(1+S$29)*(1+OFFSET(Assumptions!$B$63,0,$C$1))/(1+OFFSET(Assumptions!$B$64,0,$C$1))-R$256,0))</f>
        <v>24.695191561894784</v>
      </c>
      <c r="T256" s="16">
        <f ca="1">S$256+IF(OFFSET(Assumptions!$B$57,0,$C$1)="Yes",Exogenous!$E$79*Allocation!$B$15*T$247,IF(OFFSET(Assumptions!$B$58,0,$C$1)="Yes",S$256*(1+(SUMPRODUCT(Exogenous!$E$82:$E$85,'Population Treasury'!AE$238:AE$241)+SUMPRODUCT(Exogenous!$E$86:$E$94,'Population Treasury'!AE$243:AE$251)+SUMPRODUCT(Exogenous!$E$95:$E$100,'Population Treasury'!AE$253:AE$258))/('Population Treasury'!AE$307/'Population Treasury'!AD$307)+(SUMPRODUCT(Exogenous!$F$82:$F$85,'Population Treasury'!AE$283:AE$286)+SUMPRODUCT(Exogenous!$F$86:$F$94,'Population Treasury'!AE$288:AE$296)+SUMPRODUCT(Exogenous!$F$95:$F$100,'Population Treasury'!AE$298:AE$303))/('Population Treasury'!AE$309/'Population Treasury'!AD$309))*(1+T$25)*(1+T$29)*(1+OFFSET(Assumptions!$B$63,0,$C$1))/(1+OFFSET(Assumptions!$B$64,0,$C$1))-S$256,0))</f>
        <v>25.842810784888417</v>
      </c>
      <c r="U256" s="16">
        <f ca="1">T$256+IF(OFFSET(Assumptions!$B$57,0,$C$1)="Yes",Exogenous!$E$79*Allocation!$B$15*U$247,IF(OFFSET(Assumptions!$B$58,0,$C$1)="Yes",T$256*(1+(SUMPRODUCT(Exogenous!$E$82:$E$85,'Population Treasury'!AF$238:AF$241)+SUMPRODUCT(Exogenous!$E$86:$E$94,'Population Treasury'!AF$243:AF$251)+SUMPRODUCT(Exogenous!$E$95:$E$100,'Population Treasury'!AF$253:AF$258))/('Population Treasury'!AF$307/'Population Treasury'!AE$307)+(SUMPRODUCT(Exogenous!$F$82:$F$85,'Population Treasury'!AF$283:AF$286)+SUMPRODUCT(Exogenous!$F$86:$F$94,'Population Treasury'!AF$288:AF$296)+SUMPRODUCT(Exogenous!$F$95:$F$100,'Population Treasury'!AF$298:AF$303))/('Population Treasury'!AF$309/'Population Treasury'!AE$309))*(1+U$25)*(1+U$29)*(1+OFFSET(Assumptions!$B$63,0,$C$1))/(1+OFFSET(Assumptions!$B$64,0,$C$1))-T$256,0))</f>
        <v>27.021318153466424</v>
      </c>
      <c r="V256" s="16">
        <f ca="1">U$256+IF(OFFSET(Assumptions!$B$57,0,$C$1)="Yes",Exogenous!$E$79*Allocation!$B$15*V$247,IF(OFFSET(Assumptions!$B$58,0,$C$1)="Yes",U$256*(1+(SUMPRODUCT(Exogenous!$E$82:$E$85,'Population Treasury'!AG$238:AG$241)+SUMPRODUCT(Exogenous!$E$86:$E$94,'Population Treasury'!AG$243:AG$251)+SUMPRODUCT(Exogenous!$E$95:$E$100,'Population Treasury'!AG$253:AG$258))/('Population Treasury'!AG$307/'Population Treasury'!AF$307)+(SUMPRODUCT(Exogenous!$F$82:$F$85,'Population Treasury'!AG$283:AG$286)+SUMPRODUCT(Exogenous!$F$86:$F$94,'Population Treasury'!AG$288:AG$296)+SUMPRODUCT(Exogenous!$F$95:$F$100,'Population Treasury'!AG$298:AG$303))/('Population Treasury'!AG$309/'Population Treasury'!AF$309))*(1+V$25)*(1+V$29)*(1+OFFSET(Assumptions!$B$63,0,$C$1))/(1+OFFSET(Assumptions!$B$64,0,$C$1))-U$256,0))</f>
        <v>28.23111058642812</v>
      </c>
      <c r="W256" s="16">
        <f ca="1">V$256+IF(OFFSET(Assumptions!$B$57,0,$C$1)="Yes",Exogenous!$E$79*Allocation!$B$15*W$247,IF(OFFSET(Assumptions!$B$58,0,$C$1)="Yes",V$256*(1+(SUMPRODUCT(Exogenous!$E$82:$E$85,'Population Treasury'!AH$238:AH$241)+SUMPRODUCT(Exogenous!$E$86:$E$94,'Population Treasury'!AH$243:AH$251)+SUMPRODUCT(Exogenous!$E$95:$E$100,'Population Treasury'!AH$253:AH$258))/('Population Treasury'!AH$307/'Population Treasury'!AG$307)+(SUMPRODUCT(Exogenous!$F$82:$F$85,'Population Treasury'!AH$283:AH$286)+SUMPRODUCT(Exogenous!$F$86:$F$94,'Population Treasury'!AH$288:AH$296)+SUMPRODUCT(Exogenous!$F$95:$F$100,'Population Treasury'!AH$298:AH$303))/('Population Treasury'!AH$309/'Population Treasury'!AG$309))*(1+W$25)*(1+W$29)*(1+OFFSET(Assumptions!$B$63,0,$C$1))/(1+OFFSET(Assumptions!$B$64,0,$C$1))-V$256,0))</f>
        <v>29.468633058238289</v>
      </c>
      <c r="X256" s="16">
        <f ca="1">W$256+IF(OFFSET(Assumptions!$B$57,0,$C$1)="Yes",Exogenous!$E$79*Allocation!$B$15*X$247,IF(OFFSET(Assumptions!$B$58,0,$C$1)="Yes",W$256*(1+(SUMPRODUCT(Exogenous!$E$82:$E$85,'Population Treasury'!AI$238:AI$241)+SUMPRODUCT(Exogenous!$E$86:$E$94,'Population Treasury'!AI$243:AI$251)+SUMPRODUCT(Exogenous!$E$95:$E$100,'Population Treasury'!AI$253:AI$258))/('Population Treasury'!AI$307/'Population Treasury'!AH$307)+(SUMPRODUCT(Exogenous!$F$82:$F$85,'Population Treasury'!AI$283:AI$286)+SUMPRODUCT(Exogenous!$F$86:$F$94,'Population Treasury'!AI$288:AI$296)+SUMPRODUCT(Exogenous!$F$95:$F$100,'Population Treasury'!AI$298:AI$303))/('Population Treasury'!AI$309/'Population Treasury'!AH$309))*(1+X$25)*(1+X$29)*(1+OFFSET(Assumptions!$B$63,0,$C$1))/(1+OFFSET(Assumptions!$B$64,0,$C$1))-W$256,0))</f>
        <v>30.740002714736328</v>
      </c>
    </row>
    <row r="257" spans="1:24" x14ac:dyDescent="0.25">
      <c r="A257" s="11" t="s">
        <v>1391</v>
      </c>
      <c r="B257" s="10" t="str">
        <f t="shared" si="158"/>
        <v>From Fiscal Forecasts</v>
      </c>
      <c r="D257" s="35">
        <f>Exogenous!$H$79*'Fiscal Forecasts'!D$58</f>
        <v>1.91814</v>
      </c>
      <c r="E257" s="35">
        <f>Exogenous!$H$79*'Fiscal Forecasts'!E$58</f>
        <v>2.0885549999999999</v>
      </c>
      <c r="F257" s="35">
        <f>Exogenous!$H$79*'Fiscal Forecasts'!F$58</f>
        <v>2.3923199999999998</v>
      </c>
      <c r="G257" s="35">
        <f>Exogenous!$H$79*'Fiscal Forecasts'!G$58</f>
        <v>2.9170049999999996</v>
      </c>
      <c r="H257" s="35">
        <f>Exogenous!$H$79*'Fiscal Forecasts'!H$58</f>
        <v>2.9913449999999999</v>
      </c>
      <c r="I257" s="35">
        <f>Exogenous!$H$79*'Fiscal Forecasts'!I$58</f>
        <v>3.1498949999999999</v>
      </c>
      <c r="J257" s="17">
        <f ca="1">Exogenous!$H$79*('Fiscal Forecasts'!J$58+IF(OFFSET(Assumptions!$B$56,0,$C$1)="Yes",Allocation!C$15,0))</f>
        <v>3.146325</v>
      </c>
      <c r="K257" s="17">
        <f ca="1">Exogenous!$H$79*('Fiscal Forecasts'!K$58+IF(OFFSET(Assumptions!$B$56,0,$C$1)="Yes",Allocation!D$15,0))</f>
        <v>3.465525</v>
      </c>
      <c r="L257" s="17">
        <f ca="1">Exogenous!$H$79*('Fiscal Forecasts'!L$58+IF(OFFSET(Assumptions!$B$56,0,$C$1)="Yes",Allocation!E$15,0))</f>
        <v>3.5638050000000003</v>
      </c>
      <c r="M257" s="17">
        <f ca="1">Exogenous!$H$79*('Fiscal Forecasts'!M$58+IF(OFFSET(Assumptions!$B$56,0,$C$1)="Yes",Allocation!F$15,0))</f>
        <v>3.6784650000000001</v>
      </c>
      <c r="N257" s="17">
        <f ca="1">Exogenous!$H$79*('Fiscal Forecasts'!N$58+IF(OFFSET(Assumptions!$B$56,0,$C$1)="Yes",Allocation!G$15,0))</f>
        <v>3.7897650000000001</v>
      </c>
      <c r="O257" s="16">
        <f ca="1">N$257+IF(OFFSET(Assumptions!$B$57,0,$C$1)="Yes",Exogenous!$H$79*Allocation!$B$15*O$247,IF(OFFSET(Assumptions!$B$58,0,$C$1)="Yes",N$257*(1+(SUMPRODUCT(Exogenous!$H$82:$H$85,'Population Treasury'!Z$238:Z$241)+SUMPRODUCT(Exogenous!$H$86:$H$94,'Population Treasury'!Z$243:Z$251)+SUMPRODUCT(Exogenous!$H$95:$H$100,'Population Treasury'!Z$253:Z$258))/('Population Treasury'!Z$307/'Population Treasury'!Y$307)+(SUMPRODUCT(Exogenous!$I$82:$I$85,'Population Treasury'!Z$283:Z$286)+SUMPRODUCT(Exogenous!$I$86:$I$94,'Population Treasury'!Z$288:Z$296)+SUMPRODUCT(Exogenous!$I$95:$I$100,'Population Treasury'!Z$298:Z$303))/('Population Treasury'!Z$309/'Population Treasury'!Y$309))*(1+O$25)*(1+O$29)*(1+OFFSET(Assumptions!$B$63,0,$C$1))/(1+OFFSET(Assumptions!$B$64,0,$C$1))-N$257,0))</f>
        <v>3.9602398084477706</v>
      </c>
      <c r="P257" s="16">
        <f ca="1">O$257+IF(OFFSET(Assumptions!$B$57,0,$C$1)="Yes",Exogenous!$H$79*Allocation!$B$15*P$247,IF(OFFSET(Assumptions!$B$58,0,$C$1)="Yes",O$257*(1+(SUMPRODUCT(Exogenous!$H$82:$H$85,'Population Treasury'!AA$238:AA$241)+SUMPRODUCT(Exogenous!$H$86:$H$94,'Population Treasury'!AA$243:AA$251)+SUMPRODUCT(Exogenous!$H$95:$H$100,'Population Treasury'!AA$253:AA$258))/('Population Treasury'!AA$307/'Population Treasury'!Z$307)+(SUMPRODUCT(Exogenous!$I$82:$I$85,'Population Treasury'!AA$283:AA$286)+SUMPRODUCT(Exogenous!$I$86:$I$94,'Population Treasury'!AA$288:AA$296)+SUMPRODUCT(Exogenous!$I$95:$I$100,'Population Treasury'!AA$298:AA$303))/('Population Treasury'!AA$309/'Population Treasury'!Z$309))*(1+P$25)*(1+P$29)*(1+OFFSET(Assumptions!$B$63,0,$C$1))/(1+OFFSET(Assumptions!$B$64,0,$C$1))-O$257,0))</f>
        <v>4.13734070936757</v>
      </c>
      <c r="Q257" s="16">
        <f ca="1">P$257+IF(OFFSET(Assumptions!$B$57,0,$C$1)="Yes",Exogenous!$H$79*Allocation!$B$15*Q$247,IF(OFFSET(Assumptions!$B$58,0,$C$1)="Yes",P$257*(1+(SUMPRODUCT(Exogenous!$H$82:$H$85,'Population Treasury'!AB$238:AB$241)+SUMPRODUCT(Exogenous!$H$86:$H$94,'Population Treasury'!AB$243:AB$251)+SUMPRODUCT(Exogenous!$H$95:$H$100,'Population Treasury'!AB$253:AB$258))/('Population Treasury'!AB$307/'Population Treasury'!AA$307)+(SUMPRODUCT(Exogenous!$I$82:$I$85,'Population Treasury'!AB$283:AB$286)+SUMPRODUCT(Exogenous!$I$86:$I$94,'Population Treasury'!AB$288:AB$296)+SUMPRODUCT(Exogenous!$I$95:$I$100,'Population Treasury'!AB$298:AB$303))/('Population Treasury'!AB$309/'Population Treasury'!AA$309))*(1+Q$25)*(1+Q$29)*(1+OFFSET(Assumptions!$B$63,0,$C$1))/(1+OFFSET(Assumptions!$B$64,0,$C$1))-P$257,0))</f>
        <v>4.3212692891917026</v>
      </c>
      <c r="R257" s="16">
        <f ca="1">Q$257+IF(OFFSET(Assumptions!$B$57,0,$C$1)="Yes",Exogenous!$H$79*Allocation!$B$15*R$247,IF(OFFSET(Assumptions!$B$58,0,$C$1)="Yes",Q$257*(1+(SUMPRODUCT(Exogenous!$H$82:$H$85,'Population Treasury'!AC$238:AC$241)+SUMPRODUCT(Exogenous!$H$86:$H$94,'Population Treasury'!AC$243:AC$251)+SUMPRODUCT(Exogenous!$H$95:$H$100,'Population Treasury'!AC$253:AC$258))/('Population Treasury'!AC$307/'Population Treasury'!AB$307)+(SUMPRODUCT(Exogenous!$I$82:$I$85,'Population Treasury'!AC$283:AC$286)+SUMPRODUCT(Exogenous!$I$86:$I$94,'Population Treasury'!AC$288:AC$296)+SUMPRODUCT(Exogenous!$I$95:$I$100,'Population Treasury'!AC$298:AC$303))/('Population Treasury'!AC$309/'Population Treasury'!AB$309))*(1+R$25)*(1+R$29)*(1+OFFSET(Assumptions!$B$63,0,$C$1))/(1+OFFSET(Assumptions!$B$64,0,$C$1))-Q$257,0))</f>
        <v>4.5111467800830169</v>
      </c>
      <c r="S257" s="16">
        <f ca="1">R$257+IF(OFFSET(Assumptions!$B$57,0,$C$1)="Yes",Exogenous!$H$79*Allocation!$B$15*S$247,IF(OFFSET(Assumptions!$B$58,0,$C$1)="Yes",R$257*(1+(SUMPRODUCT(Exogenous!$H$82:$H$85,'Population Treasury'!AD$238:AD$241)+SUMPRODUCT(Exogenous!$H$86:$H$94,'Population Treasury'!AD$243:AD$251)+SUMPRODUCT(Exogenous!$H$95:$H$100,'Population Treasury'!AD$253:AD$258))/('Population Treasury'!AD$307/'Population Treasury'!AC$307)+(SUMPRODUCT(Exogenous!$I$82:$I$85,'Population Treasury'!AD$283:AD$286)+SUMPRODUCT(Exogenous!$I$86:$I$94,'Population Treasury'!AD$288:AD$296)+SUMPRODUCT(Exogenous!$I$95:$I$100,'Population Treasury'!AD$298:AD$303))/('Population Treasury'!AD$309/'Population Treasury'!AC$309))*(1+S$25)*(1+S$29)*(1+OFFSET(Assumptions!$B$63,0,$C$1))/(1+OFFSET(Assumptions!$B$64,0,$C$1))-R$257,0))</f>
        <v>4.7063124856306526</v>
      </c>
      <c r="T257" s="16">
        <f ca="1">S$257+IF(OFFSET(Assumptions!$B$57,0,$C$1)="Yes",Exogenous!$H$79*Allocation!$B$15*T$247,IF(OFFSET(Assumptions!$B$58,0,$C$1)="Yes",S$257*(1+(SUMPRODUCT(Exogenous!$H$82:$H$85,'Population Treasury'!AE$238:AE$241)+SUMPRODUCT(Exogenous!$H$86:$H$94,'Population Treasury'!AE$243:AE$251)+SUMPRODUCT(Exogenous!$H$95:$H$100,'Population Treasury'!AE$253:AE$258))/('Population Treasury'!AE$307/'Population Treasury'!AD$307)+(SUMPRODUCT(Exogenous!$I$82:$I$85,'Population Treasury'!AE$283:AE$286)+SUMPRODUCT(Exogenous!$I$86:$I$94,'Population Treasury'!AE$288:AE$296)+SUMPRODUCT(Exogenous!$I$95:$I$100,'Population Treasury'!AE$298:AE$303))/('Population Treasury'!AE$309/'Population Treasury'!AD$309))*(1+T$25)*(1+T$29)*(1+OFFSET(Assumptions!$B$63,0,$C$1))/(1+OFFSET(Assumptions!$B$64,0,$C$1))-S$257,0))</f>
        <v>4.9075228380944944</v>
      </c>
      <c r="U257" s="16">
        <f ca="1">T$257+IF(OFFSET(Assumptions!$B$57,0,$C$1)="Yes",Exogenous!$H$79*Allocation!$B$15*U$247,IF(OFFSET(Assumptions!$B$58,0,$C$1)="Yes",T$257*(1+(SUMPRODUCT(Exogenous!$H$82:$H$85,'Population Treasury'!AF$238:AF$241)+SUMPRODUCT(Exogenous!$H$86:$H$94,'Population Treasury'!AF$243:AF$251)+SUMPRODUCT(Exogenous!$H$95:$H$100,'Population Treasury'!AF$253:AF$258))/('Population Treasury'!AF$307/'Population Treasury'!AE$307)+(SUMPRODUCT(Exogenous!$I$82:$I$85,'Population Treasury'!AF$283:AF$286)+SUMPRODUCT(Exogenous!$I$86:$I$94,'Population Treasury'!AF$288:AF$296)+SUMPRODUCT(Exogenous!$I$95:$I$100,'Population Treasury'!AF$298:AF$303))/('Population Treasury'!AF$309/'Population Treasury'!AE$309))*(1+U$25)*(1+U$29)*(1+OFFSET(Assumptions!$B$63,0,$C$1))/(1+OFFSET(Assumptions!$B$64,0,$C$1))-T$257,0))</f>
        <v>5.1134443323085623</v>
      </c>
      <c r="V257" s="16">
        <f ca="1">U$257+IF(OFFSET(Assumptions!$B$57,0,$C$1)="Yes",Exogenous!$H$79*Allocation!$B$15*V$247,IF(OFFSET(Assumptions!$B$58,0,$C$1)="Yes",U$257*(1+(SUMPRODUCT(Exogenous!$H$82:$H$85,'Population Treasury'!AG$238:AG$241)+SUMPRODUCT(Exogenous!$H$86:$H$94,'Population Treasury'!AG$243:AG$251)+SUMPRODUCT(Exogenous!$H$95:$H$100,'Population Treasury'!AG$253:AG$258))/('Population Treasury'!AG$307/'Population Treasury'!AF$307)+(SUMPRODUCT(Exogenous!$I$82:$I$85,'Population Treasury'!AG$283:AG$286)+SUMPRODUCT(Exogenous!$I$86:$I$94,'Population Treasury'!AG$288:AG$296)+SUMPRODUCT(Exogenous!$I$95:$I$100,'Population Treasury'!AG$298:AG$303))/('Population Treasury'!AG$309/'Population Treasury'!AF$309))*(1+V$25)*(1+V$29)*(1+OFFSET(Assumptions!$B$63,0,$C$1))/(1+OFFSET(Assumptions!$B$64,0,$C$1))-U$257,0))</f>
        <v>5.3231225948498011</v>
      </c>
      <c r="W257" s="16">
        <f ca="1">V$257+IF(OFFSET(Assumptions!$B$57,0,$C$1)="Yes",Exogenous!$H$79*Allocation!$B$15*W$247,IF(OFFSET(Assumptions!$B$58,0,$C$1)="Yes",V$257*(1+(SUMPRODUCT(Exogenous!$H$82:$H$85,'Population Treasury'!AH$238:AH$241)+SUMPRODUCT(Exogenous!$H$86:$H$94,'Population Treasury'!AH$243:AH$251)+SUMPRODUCT(Exogenous!$H$95:$H$100,'Population Treasury'!AH$253:AH$258))/('Population Treasury'!AH$307/'Population Treasury'!AG$307)+(SUMPRODUCT(Exogenous!$I$82:$I$85,'Population Treasury'!AH$283:AH$286)+SUMPRODUCT(Exogenous!$I$86:$I$94,'Population Treasury'!AH$288:AH$296)+SUMPRODUCT(Exogenous!$I$95:$I$100,'Population Treasury'!AH$298:AH$303))/('Population Treasury'!AH$309/'Population Treasury'!AG$309))*(1+W$25)*(1+W$29)*(1+OFFSET(Assumptions!$B$63,0,$C$1))/(1+OFFSET(Assumptions!$B$64,0,$C$1))-V$257,0))</f>
        <v>5.5353655476402563</v>
      </c>
      <c r="X257" s="16">
        <f ca="1">W$257+IF(OFFSET(Assumptions!$B$57,0,$C$1)="Yes",Exogenous!$H$79*Allocation!$B$15*X$247,IF(OFFSET(Assumptions!$B$58,0,$C$1)="Yes",W$257*(1+(SUMPRODUCT(Exogenous!$H$82:$H$85,'Population Treasury'!AI$238:AI$241)+SUMPRODUCT(Exogenous!$H$86:$H$94,'Population Treasury'!AI$243:AI$251)+SUMPRODUCT(Exogenous!$H$95:$H$100,'Population Treasury'!AI$253:AI$258))/('Population Treasury'!AI$307/'Population Treasury'!AH$307)+(SUMPRODUCT(Exogenous!$I$82:$I$85,'Population Treasury'!AI$283:AI$286)+SUMPRODUCT(Exogenous!$I$86:$I$94,'Population Treasury'!AI$288:AI$296)+SUMPRODUCT(Exogenous!$I$95:$I$100,'Population Treasury'!AI$298:AI$303))/('Population Treasury'!AI$309/'Population Treasury'!AH$309))*(1+X$25)*(1+X$29)*(1+OFFSET(Assumptions!$B$63,0,$C$1))/(1+OFFSET(Assumptions!$B$64,0,$C$1))-W$257,0))</f>
        <v>5.7522996512188795</v>
      </c>
    </row>
    <row r="258" spans="1:24" x14ac:dyDescent="0.25">
      <c r="A258" s="11" t="s">
        <v>1392</v>
      </c>
      <c r="B258" s="10" t="str">
        <f t="shared" si="158"/>
        <v>From Fiscal Forecasts</v>
      </c>
      <c r="D258" s="35">
        <f>Exogenous!$K$79*'Fiscal Forecasts'!D$58</f>
        <v>1.6258520000000001</v>
      </c>
      <c r="E258" s="35">
        <f>Exogenous!$K$79*'Fiscal Forecasts'!E$58</f>
        <v>1.7702989999999998</v>
      </c>
      <c r="F258" s="35">
        <f>Exogenous!$K$79*'Fiscal Forecasts'!F$58</f>
        <v>2.0277759999999998</v>
      </c>
      <c r="G258" s="35">
        <f>Exogenous!$K$79*'Fiscal Forecasts'!G$58</f>
        <v>2.4725089999999996</v>
      </c>
      <c r="H258" s="35">
        <f>Exogenous!$K$79*'Fiscal Forecasts'!H$58</f>
        <v>2.5355210000000001</v>
      </c>
      <c r="I258" s="35">
        <f>Exogenous!$K$79*'Fiscal Forecasts'!I$58</f>
        <v>2.6699109999999999</v>
      </c>
      <c r="J258" s="17">
        <f ca="1">Exogenous!$K$79*('Fiscal Forecasts'!J$58+IF(OFFSET(Assumptions!$B$56,0,$C$1)="Yes",Allocation!C$15,0))</f>
        <v>2.6668849999999997</v>
      </c>
      <c r="K258" s="17">
        <f ca="1">Exogenous!$K$79*('Fiscal Forecasts'!K$58+IF(OFFSET(Assumptions!$B$56,0,$C$1)="Yes",Allocation!D$15,0))</f>
        <v>2.9374450000000003</v>
      </c>
      <c r="L258" s="17">
        <f ca="1">Exogenous!$K$79*('Fiscal Forecasts'!L$58+IF(OFFSET(Assumptions!$B$56,0,$C$1)="Yes",Allocation!E$15,0))</f>
        <v>3.0207489999999999</v>
      </c>
      <c r="M258" s="17">
        <f ca="1">Exogenous!$K$79*('Fiscal Forecasts'!M$58+IF(OFFSET(Assumptions!$B$56,0,$C$1)="Yes",Allocation!F$15,0))</f>
        <v>3.117937</v>
      </c>
      <c r="N258" s="17">
        <f ca="1">Exogenous!$K$79*('Fiscal Forecasts'!N$58+IF(OFFSET(Assumptions!$B$56,0,$C$1)="Yes",Allocation!G$15,0))</f>
        <v>3.2122770000000003</v>
      </c>
      <c r="O258" s="16">
        <f ca="1">N$258+IF(OFFSET(Assumptions!$B$57,0,$C$1)="Yes",Exogenous!$K$79*Allocation!$B$15*O$247,IF(OFFSET(Assumptions!$B$58,0,$C$1)="Yes",N$258*(1+(SUMPRODUCT(Exogenous!$K$82:$K$85,'Population Treasury'!Z$238:Z$241)+SUMPRODUCT(Exogenous!$K$86:$K$94,'Population Treasury'!Z$243:Z$251)+SUMPRODUCT(Exogenous!$K$95:$K$100,'Population Treasury'!Z$253:Z$258))/('Population Treasury'!Z$308/'Population Treasury'!Y$308)+(SUMPRODUCT(Exogenous!$L$82:$L$85,'Population Treasury'!Z$283:Z$286)+SUMPRODUCT(Exogenous!$L$86:$L$94,'Population Treasury'!Z$288:Z$296)+SUMPRODUCT(Exogenous!$L$95:$L$100,'Population Treasury'!Z$298:Z$303))/('Population Treasury'!Z$310/'Population Treasury'!Y$310))*(1+O$25)*(1+O$29)*(1+OFFSET(Assumptions!$B$63,0,$C$1))/(1+OFFSET(Assumptions!$B$64,0,$C$1))-N$258,0))</f>
        <v>3.4531082575422447</v>
      </c>
      <c r="P258" s="16">
        <f ca="1">O$258+IF(OFFSET(Assumptions!$B$57,0,$C$1)="Yes",Exogenous!$K$79*Allocation!$B$15*P$247,IF(OFFSET(Assumptions!$B$58,0,$C$1)="Yes",O$258*(1+(SUMPRODUCT(Exogenous!$K$82:$K$85,'Population Treasury'!AA$238:AA$241)+SUMPRODUCT(Exogenous!$K$86:$K$94,'Population Treasury'!AA$243:AA$251)+SUMPRODUCT(Exogenous!$K$95:$K$100,'Population Treasury'!AA$253:AA$258))/('Population Treasury'!AA$308/'Population Treasury'!Z$308)+(SUMPRODUCT(Exogenous!$L$82:$L$85,'Population Treasury'!AA$283:AA$286)+SUMPRODUCT(Exogenous!$L$86:$L$94,'Population Treasury'!AA$288:AA$296)+SUMPRODUCT(Exogenous!$L$95:$L$100,'Population Treasury'!AA$298:AA$303))/('Population Treasury'!AA$310/'Population Treasury'!Z$310))*(1+P$25)*(1+P$29)*(1+OFFSET(Assumptions!$B$63,0,$C$1))/(1+OFFSET(Assumptions!$B$64,0,$C$1))-O$258,0))</f>
        <v>3.7167853690816921</v>
      </c>
      <c r="Q258" s="16">
        <f ca="1">P$258+IF(OFFSET(Assumptions!$B$57,0,$C$1)="Yes",Exogenous!$K$79*Allocation!$B$15*Q$247,IF(OFFSET(Assumptions!$B$58,0,$C$1)="Yes",P$258*(1+(SUMPRODUCT(Exogenous!$K$82:$K$85,'Population Treasury'!AB$238:AB$241)+SUMPRODUCT(Exogenous!$K$86:$K$94,'Population Treasury'!AB$243:AB$251)+SUMPRODUCT(Exogenous!$K$95:$K$100,'Population Treasury'!AB$253:AB$258))/('Population Treasury'!AB$308/'Population Treasury'!AA$308)+(SUMPRODUCT(Exogenous!$L$82:$L$85,'Population Treasury'!AB$283:AB$286)+SUMPRODUCT(Exogenous!$L$86:$L$94,'Population Treasury'!AB$288:AB$296)+SUMPRODUCT(Exogenous!$L$95:$L$100,'Population Treasury'!AB$298:AB$303))/('Population Treasury'!AB$310/'Population Treasury'!AA$310))*(1+Q$25)*(1+Q$29)*(1+OFFSET(Assumptions!$B$63,0,$C$1))/(1+OFFSET(Assumptions!$B$64,0,$C$1))-P$258,0))</f>
        <v>4.0162666940752167</v>
      </c>
      <c r="R258" s="16">
        <f ca="1">Q$258+IF(OFFSET(Assumptions!$B$57,0,$C$1)="Yes",Exogenous!$K$79*Allocation!$B$15*R$247,IF(OFFSET(Assumptions!$B$58,0,$C$1)="Yes",Q$258*(1+(SUMPRODUCT(Exogenous!$K$82:$K$85,'Population Treasury'!AC$238:AC$241)+SUMPRODUCT(Exogenous!$K$86:$K$94,'Population Treasury'!AC$243:AC$251)+SUMPRODUCT(Exogenous!$K$95:$K$100,'Population Treasury'!AC$253:AC$258))/('Population Treasury'!AC$308/'Population Treasury'!AB$308)+(SUMPRODUCT(Exogenous!$L$82:$L$85,'Population Treasury'!AC$283:AC$286)+SUMPRODUCT(Exogenous!$L$86:$L$94,'Population Treasury'!AC$288:AC$296)+SUMPRODUCT(Exogenous!$L$95:$L$100,'Population Treasury'!AC$298:AC$303))/('Population Treasury'!AC$310/'Population Treasury'!AB$310))*(1+R$25)*(1+R$29)*(1+OFFSET(Assumptions!$B$63,0,$C$1))/(1+OFFSET(Assumptions!$B$64,0,$C$1))-Q$258,0))</f>
        <v>4.3116143164294956</v>
      </c>
      <c r="S258" s="16">
        <f ca="1">R$258+IF(OFFSET(Assumptions!$B$57,0,$C$1)="Yes",Exogenous!$K$79*Allocation!$B$15*S$247,IF(OFFSET(Assumptions!$B$58,0,$C$1)="Yes",R$258*(1+(SUMPRODUCT(Exogenous!$K$82:$K$85,'Population Treasury'!AD$238:AD$241)+SUMPRODUCT(Exogenous!$K$86:$K$94,'Population Treasury'!AD$243:AD$251)+SUMPRODUCT(Exogenous!$K$95:$K$100,'Population Treasury'!AD$253:AD$258))/('Population Treasury'!AD$308/'Population Treasury'!AC$308)+(SUMPRODUCT(Exogenous!$L$82:$L$85,'Population Treasury'!AD$283:AD$286)+SUMPRODUCT(Exogenous!$L$86:$L$94,'Population Treasury'!AD$288:AD$296)+SUMPRODUCT(Exogenous!$L$95:$L$100,'Population Treasury'!AD$298:AD$303))/('Population Treasury'!AD$310/'Population Treasury'!AC$310))*(1+S$25)*(1+S$29)*(1+OFFSET(Assumptions!$B$63,0,$C$1))/(1+OFFSET(Assumptions!$B$64,0,$C$1))-R$258,0))</f>
        <v>4.6256962562980091</v>
      </c>
      <c r="T258" s="16">
        <f ca="1">S$258+IF(OFFSET(Assumptions!$B$57,0,$C$1)="Yes",Exogenous!$K$79*Allocation!$B$15*T$247,IF(OFFSET(Assumptions!$B$58,0,$C$1)="Yes",S$258*(1+(SUMPRODUCT(Exogenous!$K$82:$K$85,'Population Treasury'!AE$238:AE$241)+SUMPRODUCT(Exogenous!$K$86:$K$94,'Population Treasury'!AE$243:AE$251)+SUMPRODUCT(Exogenous!$K$95:$K$100,'Population Treasury'!AE$253:AE$258))/('Population Treasury'!AE$308/'Population Treasury'!AD$308)+(SUMPRODUCT(Exogenous!$L$82:$L$85,'Population Treasury'!AE$283:AE$286)+SUMPRODUCT(Exogenous!$L$86:$L$94,'Population Treasury'!AE$288:AE$296)+SUMPRODUCT(Exogenous!$L$95:$L$100,'Population Treasury'!AE$298:AE$303))/('Population Treasury'!AE$310/'Population Treasury'!AD$310))*(1+T$25)*(1+T$29)*(1+OFFSET(Assumptions!$B$63,0,$C$1))/(1+OFFSET(Assumptions!$B$64,0,$C$1))-S$258,0))</f>
        <v>4.9571176123840832</v>
      </c>
      <c r="U258" s="16">
        <f ca="1">T$258+IF(OFFSET(Assumptions!$B$57,0,$C$1)="Yes",Exogenous!$K$79*Allocation!$B$15*U$247,IF(OFFSET(Assumptions!$B$58,0,$C$1)="Yes",T$258*(1+(SUMPRODUCT(Exogenous!$K$82:$K$85,'Population Treasury'!AF$238:AF$241)+SUMPRODUCT(Exogenous!$K$86:$K$94,'Population Treasury'!AF$243:AF$251)+SUMPRODUCT(Exogenous!$K$95:$K$100,'Population Treasury'!AF$253:AF$258))/('Population Treasury'!AF$308/'Population Treasury'!AE$308)+(SUMPRODUCT(Exogenous!$L$82:$L$85,'Population Treasury'!AF$283:AF$286)+SUMPRODUCT(Exogenous!$L$86:$L$94,'Population Treasury'!AF$288:AF$296)+SUMPRODUCT(Exogenous!$L$95:$L$100,'Population Treasury'!AF$298:AF$303))/('Population Treasury'!AF$310/'Population Treasury'!AE$310))*(1+U$25)*(1+U$29)*(1+OFFSET(Assumptions!$B$63,0,$C$1))/(1+OFFSET(Assumptions!$B$64,0,$C$1))-T$258,0))</f>
        <v>5.3058854034105831</v>
      </c>
      <c r="V258" s="16">
        <f ca="1">U$258+IF(OFFSET(Assumptions!$B$57,0,$C$1)="Yes",Exogenous!$K$79*Allocation!$B$15*V$247,IF(OFFSET(Assumptions!$B$58,0,$C$1)="Yes",U$258*(1+(SUMPRODUCT(Exogenous!$K$82:$K$85,'Population Treasury'!AG$238:AG$241)+SUMPRODUCT(Exogenous!$K$86:$K$94,'Population Treasury'!AG$243:AG$251)+SUMPRODUCT(Exogenous!$K$95:$K$100,'Population Treasury'!AG$253:AG$258))/('Population Treasury'!AG$308/'Population Treasury'!AF$308)+(SUMPRODUCT(Exogenous!$L$82:$L$85,'Population Treasury'!AG$283:AG$286)+SUMPRODUCT(Exogenous!$L$86:$L$94,'Population Treasury'!AG$288:AG$296)+SUMPRODUCT(Exogenous!$L$95:$L$100,'Population Treasury'!AG$298:AG$303))/('Population Treasury'!AG$310/'Population Treasury'!AF$310))*(1+V$25)*(1+V$29)*(1+OFFSET(Assumptions!$B$63,0,$C$1))/(1+OFFSET(Assumptions!$B$64,0,$C$1))-U$258,0))</f>
        <v>5.6938045871130436</v>
      </c>
      <c r="W258" s="16">
        <f ca="1">V$258+IF(OFFSET(Assumptions!$B$57,0,$C$1)="Yes",Exogenous!$K$79*Allocation!$B$15*W$247,IF(OFFSET(Assumptions!$B$58,0,$C$1)="Yes",V$258*(1+(SUMPRODUCT(Exogenous!$K$82:$K$85,'Population Treasury'!AH$238:AH$241)+SUMPRODUCT(Exogenous!$K$86:$K$94,'Population Treasury'!AH$243:AH$251)+SUMPRODUCT(Exogenous!$K$95:$K$100,'Population Treasury'!AH$253:AH$258))/('Population Treasury'!AH$308/'Population Treasury'!AG$308)+(SUMPRODUCT(Exogenous!$L$82:$L$85,'Population Treasury'!AH$283:AH$286)+SUMPRODUCT(Exogenous!$L$86:$L$94,'Population Treasury'!AH$288:AH$296)+SUMPRODUCT(Exogenous!$L$95:$L$100,'Population Treasury'!AH$298:AH$303))/('Population Treasury'!AH$310/'Population Treasury'!AG$310))*(1+W$25)*(1+W$29)*(1+OFFSET(Assumptions!$B$63,0,$C$1))/(1+OFFSET(Assumptions!$B$64,0,$C$1))-V$258,0))</f>
        <v>6.0899758593478044</v>
      </c>
      <c r="X258" s="16">
        <f ca="1">W$258+IF(OFFSET(Assumptions!$B$57,0,$C$1)="Yes",Exogenous!$K$79*Allocation!$B$15*X$247,IF(OFFSET(Assumptions!$B$58,0,$C$1)="Yes",W$258*(1+(SUMPRODUCT(Exogenous!$K$82:$K$85,'Population Treasury'!AI$238:AI$241)+SUMPRODUCT(Exogenous!$K$86:$K$94,'Population Treasury'!AI$243:AI$251)+SUMPRODUCT(Exogenous!$K$95:$K$100,'Population Treasury'!AI$253:AI$258))/('Population Treasury'!AI$308/'Population Treasury'!AH$308)+(SUMPRODUCT(Exogenous!$L$82:$L$85,'Population Treasury'!AI$283:AI$286)+SUMPRODUCT(Exogenous!$L$86:$L$94,'Population Treasury'!AI$288:AI$296)+SUMPRODUCT(Exogenous!$L$95:$L$100,'Population Treasury'!AI$298:AI$303))/('Population Treasury'!AI$310/'Population Treasury'!AH$310))*(1+X$25)*(1+X$29)*(1+OFFSET(Assumptions!$B$63,0,$C$1))/(1+OFFSET(Assumptions!$B$64,0,$C$1))-W$258,0))</f>
        <v>6.4939622140421855</v>
      </c>
    </row>
    <row r="259" spans="1:24" x14ac:dyDescent="0.25">
      <c r="A259" s="11" t="s">
        <v>1393</v>
      </c>
      <c r="B259" s="10" t="str">
        <f t="shared" si="158"/>
        <v>From Fiscal Forecasts</v>
      </c>
      <c r="D259" s="35">
        <f>Exogenous!$N$79*'Fiscal Forecasts'!D$58</f>
        <v>0.84032799999999996</v>
      </c>
      <c r="E259" s="35">
        <f>Exogenous!$N$79*'Fiscal Forecasts'!E$58</f>
        <v>0.91498599999999985</v>
      </c>
      <c r="F259" s="35">
        <f>Exogenous!$N$79*'Fiscal Forecasts'!F$58</f>
        <v>1.0480639999999999</v>
      </c>
      <c r="G259" s="35">
        <f>Exogenous!$N$79*'Fiscal Forecasts'!G$58</f>
        <v>1.2779259999999999</v>
      </c>
      <c r="H259" s="35">
        <f>Exogenous!$N$79*'Fiscal Forecasts'!H$58</f>
        <v>1.310494</v>
      </c>
      <c r="I259" s="35">
        <f>Exogenous!$N$79*'Fiscal Forecasts'!I$58</f>
        <v>1.3799539999999999</v>
      </c>
      <c r="J259" s="17">
        <f ca="1">Exogenous!$N$79*('Fiscal Forecasts'!J$58+IF(OFFSET(Assumptions!$B$56,0,$C$1)="Yes",Allocation!C$15,0))</f>
        <v>1.37839</v>
      </c>
      <c r="K259" s="17">
        <f ca="1">Exogenous!$N$79*('Fiscal Forecasts'!K$58+IF(OFFSET(Assumptions!$B$56,0,$C$1)="Yes",Allocation!D$15,0))</f>
        <v>1.5182300000000002</v>
      </c>
      <c r="L259" s="17">
        <f ca="1">Exogenous!$N$79*('Fiscal Forecasts'!L$58+IF(OFFSET(Assumptions!$B$56,0,$C$1)="Yes",Allocation!E$15,0))</f>
        <v>1.5612860000000002</v>
      </c>
      <c r="M259" s="17">
        <f ca="1">Exogenous!$N$79*('Fiscal Forecasts'!M$58+IF(OFFSET(Assumptions!$B$56,0,$C$1)="Yes",Allocation!F$15,0))</f>
        <v>1.611518</v>
      </c>
      <c r="N259" s="17">
        <f ca="1">Exogenous!$N$79*('Fiscal Forecasts'!N$58+IF(OFFSET(Assumptions!$B$56,0,$C$1)="Yes",Allocation!G$15,0))</f>
        <v>1.6602780000000001</v>
      </c>
      <c r="O259" s="16">
        <f ca="1">N$259+IF(OFFSET(Assumptions!$B$57,0,$C$1)="Yes",Exogenous!$N$79*Allocation!$B$15*O$247,IF(OFFSET(Assumptions!$B$58,0,$C$1)="Yes",N$259*(1+(SUMPRODUCT(Exogenous!$N$82:$N$85,'Population Treasury'!Z$238:Z$241)+SUMPRODUCT(Exogenous!$N$86:$N$94,'Population Treasury'!Z$243:Z$251)+SUMPRODUCT(Exogenous!$N$95:$N$100,'Population Treasury'!Z$253:Z$258))/('Population Treasury'!Z$308/'Population Treasury'!Y$308)+(SUMPRODUCT(Exogenous!$O$82:$O$85,'Population Treasury'!Z$283:Z$286)+SUMPRODUCT(Exogenous!$O$86:$O$94,'Population Treasury'!Z$288:Z$296)+SUMPRODUCT(Exogenous!$O$95:$O$100,'Population Treasury'!Z$298:Z$303))/('Population Treasury'!Z$310/'Population Treasury'!Y$310))*(1+O$25)*(1+O$29)*(1+OFFSET(Assumptions!$B$63,0,$C$1))/(1+OFFSET(Assumptions!$B$64,0,$C$1))-N$259,0))</f>
        <v>1.7771440103395912</v>
      </c>
      <c r="P259" s="16">
        <f ca="1">O$259+IF(OFFSET(Assumptions!$B$57,0,$C$1)="Yes",Exogenous!$N$79*Allocation!$B$15*P$247,IF(OFFSET(Assumptions!$B$58,0,$C$1)="Yes",O$259*(1+(SUMPRODUCT(Exogenous!$N$82:$N$85,'Population Treasury'!AA$238:AA$241)+SUMPRODUCT(Exogenous!$N$86:$N$94,'Population Treasury'!AA$243:AA$251)+SUMPRODUCT(Exogenous!$N$95:$N$100,'Population Treasury'!AA$253:AA$258))/('Population Treasury'!AA$308/'Population Treasury'!Z$308)+(SUMPRODUCT(Exogenous!$O$82:$O$85,'Population Treasury'!AA$283:AA$286)+SUMPRODUCT(Exogenous!$O$86:$O$94,'Population Treasury'!AA$288:AA$296)+SUMPRODUCT(Exogenous!$O$95:$O$100,'Population Treasury'!AA$298:AA$303))/('Population Treasury'!AA$310/'Population Treasury'!Z$310))*(1+P$25)*(1+P$29)*(1+OFFSET(Assumptions!$B$63,0,$C$1))/(1+OFFSET(Assumptions!$B$64,0,$C$1))-O$259,0))</f>
        <v>1.9020626566332497</v>
      </c>
      <c r="Q259" s="16">
        <f ca="1">P$259+IF(OFFSET(Assumptions!$B$57,0,$C$1)="Yes",Exogenous!$N$79*Allocation!$B$15*Q$247,IF(OFFSET(Assumptions!$B$58,0,$C$1)="Yes",P$259*(1+(SUMPRODUCT(Exogenous!$N$82:$N$85,'Population Treasury'!AB$238:AB$241)+SUMPRODUCT(Exogenous!$N$86:$N$94,'Population Treasury'!AB$243:AB$251)+SUMPRODUCT(Exogenous!$N$95:$N$100,'Population Treasury'!AB$253:AB$258))/('Population Treasury'!AB$308/'Population Treasury'!AA$308)+(SUMPRODUCT(Exogenous!$O$82:$O$85,'Population Treasury'!AB$283:AB$286)+SUMPRODUCT(Exogenous!$O$86:$O$94,'Population Treasury'!AB$288:AB$296)+SUMPRODUCT(Exogenous!$O$95:$O$100,'Population Treasury'!AB$298:AB$303))/('Population Treasury'!AB$310/'Population Treasury'!AA$310))*(1+Q$25)*(1+Q$29)*(1+OFFSET(Assumptions!$B$63,0,$C$1))/(1+OFFSET(Assumptions!$B$64,0,$C$1))-P$259,0))</f>
        <v>2.0446214225918187</v>
      </c>
      <c r="R259" s="16">
        <f ca="1">Q$259+IF(OFFSET(Assumptions!$B$57,0,$C$1)="Yes",Exogenous!$N$79*Allocation!$B$15*R$247,IF(OFFSET(Assumptions!$B$58,0,$C$1)="Yes",Q$259*(1+(SUMPRODUCT(Exogenous!$N$82:$N$85,'Population Treasury'!AC$238:AC$241)+SUMPRODUCT(Exogenous!$N$86:$N$94,'Population Treasury'!AC$243:AC$251)+SUMPRODUCT(Exogenous!$N$95:$N$100,'Population Treasury'!AC$253:AC$258))/('Population Treasury'!AC$308/'Population Treasury'!AB$308)+(SUMPRODUCT(Exogenous!$O$82:$O$85,'Population Treasury'!AC$283:AC$286)+SUMPRODUCT(Exogenous!$O$86:$O$94,'Population Treasury'!AC$288:AC$296)+SUMPRODUCT(Exogenous!$O$95:$O$100,'Population Treasury'!AC$298:AC$303))/('Population Treasury'!AC$310/'Population Treasury'!AB$310))*(1+R$25)*(1+R$29)*(1+OFFSET(Assumptions!$B$63,0,$C$1))/(1+OFFSET(Assumptions!$B$64,0,$C$1))-Q$259,0))</f>
        <v>2.1930175297823293</v>
      </c>
      <c r="S259" s="16">
        <f ca="1">R$259+IF(OFFSET(Assumptions!$B$57,0,$C$1)="Yes",Exogenous!$N$79*Allocation!$B$15*S$247,IF(OFFSET(Assumptions!$B$58,0,$C$1)="Yes",R$259*(1+(SUMPRODUCT(Exogenous!$N$82:$N$85,'Population Treasury'!AD$238:AD$241)+SUMPRODUCT(Exogenous!$N$86:$N$94,'Population Treasury'!AD$243:AD$251)+SUMPRODUCT(Exogenous!$N$95:$N$100,'Population Treasury'!AD$253:AD$258))/('Population Treasury'!AD$308/'Population Treasury'!AC$308)+(SUMPRODUCT(Exogenous!$O$82:$O$85,'Population Treasury'!AD$283:AD$286)+SUMPRODUCT(Exogenous!$O$86:$O$94,'Population Treasury'!AD$288:AD$296)+SUMPRODUCT(Exogenous!$O$95:$O$100,'Population Treasury'!AD$298:AD$303))/('Population Treasury'!AD$310/'Population Treasury'!AC$310))*(1+S$25)*(1+S$29)*(1+OFFSET(Assumptions!$B$63,0,$C$1))/(1+OFFSET(Assumptions!$B$64,0,$C$1))-R$259,0))</f>
        <v>2.3448789420070573</v>
      </c>
      <c r="T259" s="16">
        <f ca="1">S$259+IF(OFFSET(Assumptions!$B$57,0,$C$1)="Yes",Exogenous!$N$79*Allocation!$B$15*T$247,IF(OFFSET(Assumptions!$B$58,0,$C$1)="Yes",S$259*(1+(SUMPRODUCT(Exogenous!$N$82:$N$85,'Population Treasury'!AE$238:AE$241)+SUMPRODUCT(Exogenous!$N$86:$N$94,'Population Treasury'!AE$243:AE$251)+SUMPRODUCT(Exogenous!$N$95:$N$100,'Population Treasury'!AE$253:AE$258))/('Population Treasury'!AE$308/'Population Treasury'!AD$308)+(SUMPRODUCT(Exogenous!$O$82:$O$85,'Population Treasury'!AE$283:AE$286)+SUMPRODUCT(Exogenous!$O$86:$O$94,'Population Treasury'!AE$288:AE$296)+SUMPRODUCT(Exogenous!$O$95:$O$100,'Population Treasury'!AE$298:AE$303))/('Population Treasury'!AE$310/'Population Treasury'!AD$310))*(1+T$25)*(1+T$29)*(1+OFFSET(Assumptions!$B$63,0,$C$1))/(1+OFFSET(Assumptions!$B$64,0,$C$1))-S$259,0))</f>
        <v>2.5023456694032769</v>
      </c>
      <c r="U259" s="16">
        <f ca="1">T$259+IF(OFFSET(Assumptions!$B$57,0,$C$1)="Yes",Exogenous!$N$79*Allocation!$B$15*U$247,IF(OFFSET(Assumptions!$B$58,0,$C$1)="Yes",T$259*(1+(SUMPRODUCT(Exogenous!$N$82:$N$85,'Population Treasury'!AF$238:AF$241)+SUMPRODUCT(Exogenous!$N$86:$N$94,'Population Treasury'!AF$243:AF$251)+SUMPRODUCT(Exogenous!$N$95:$N$100,'Population Treasury'!AF$253:AF$258))/('Population Treasury'!AF$308/'Population Treasury'!AE$308)+(SUMPRODUCT(Exogenous!$O$82:$O$85,'Population Treasury'!AF$283:AF$286)+SUMPRODUCT(Exogenous!$O$86:$O$94,'Population Treasury'!AF$288:AF$296)+SUMPRODUCT(Exogenous!$O$95:$O$100,'Population Treasury'!AF$298:AF$303))/('Population Treasury'!AF$310/'Population Treasury'!AE$310))*(1+U$25)*(1+U$29)*(1+OFFSET(Assumptions!$B$63,0,$C$1))/(1+OFFSET(Assumptions!$B$64,0,$C$1))-T$259,0))</f>
        <v>2.6657483779320161</v>
      </c>
      <c r="V259" s="16">
        <f ca="1">U$259+IF(OFFSET(Assumptions!$B$57,0,$C$1)="Yes",Exogenous!$N$79*Allocation!$B$15*V$247,IF(OFFSET(Assumptions!$B$58,0,$C$1)="Yes",U$259*(1+(SUMPRODUCT(Exogenous!$N$82:$N$85,'Population Treasury'!AG$238:AG$241)+SUMPRODUCT(Exogenous!$N$86:$N$94,'Population Treasury'!AG$243:AG$251)+SUMPRODUCT(Exogenous!$N$95:$N$100,'Population Treasury'!AG$253:AG$258))/('Population Treasury'!AG$308/'Population Treasury'!AF$308)+(SUMPRODUCT(Exogenous!$O$82:$O$85,'Population Treasury'!AG$283:AG$286)+SUMPRODUCT(Exogenous!$O$86:$O$94,'Population Treasury'!AG$288:AG$296)+SUMPRODUCT(Exogenous!$O$95:$O$100,'Population Treasury'!AG$298:AG$303))/('Population Treasury'!AG$310/'Population Treasury'!AF$310))*(1+V$25)*(1+V$29)*(1+OFFSET(Assumptions!$B$63,0,$C$1))/(1+OFFSET(Assumptions!$B$64,0,$C$1))-U$259,0))</f>
        <v>2.8356044266526106</v>
      </c>
      <c r="W259" s="16">
        <f ca="1">V$259+IF(OFFSET(Assumptions!$B$57,0,$C$1)="Yes",Exogenous!$N$79*Allocation!$B$15*W$247,IF(OFFSET(Assumptions!$B$58,0,$C$1)="Yes",V$259*(1+(SUMPRODUCT(Exogenous!$N$82:$N$85,'Population Treasury'!AH$238:AH$241)+SUMPRODUCT(Exogenous!$N$86:$N$94,'Population Treasury'!AH$243:AH$251)+SUMPRODUCT(Exogenous!$N$95:$N$100,'Population Treasury'!AH$253:AH$258))/('Population Treasury'!AH$308/'Population Treasury'!AG$308)+(SUMPRODUCT(Exogenous!$O$82:$O$85,'Population Treasury'!AH$283:AH$286)+SUMPRODUCT(Exogenous!$O$86:$O$94,'Population Treasury'!AH$288:AH$296)+SUMPRODUCT(Exogenous!$O$95:$O$100,'Population Treasury'!AH$298:AH$303))/('Population Treasury'!AH$310/'Population Treasury'!AG$310))*(1+W$25)*(1+W$29)*(1+OFFSET(Assumptions!$B$63,0,$C$1))/(1+OFFSET(Assumptions!$B$64,0,$C$1))-V$259,0))</f>
        <v>3.0105164440182972</v>
      </c>
      <c r="X259" s="16">
        <f ca="1">W$259+IF(OFFSET(Assumptions!$B$57,0,$C$1)="Yes",Exogenous!$N$79*Allocation!$B$15*X$247,IF(OFFSET(Assumptions!$B$58,0,$C$1)="Yes",W$259*(1+(SUMPRODUCT(Exogenous!$N$82:$N$85,'Population Treasury'!AI$238:AI$241)+SUMPRODUCT(Exogenous!$N$86:$N$94,'Population Treasury'!AI$243:AI$251)+SUMPRODUCT(Exogenous!$N$95:$N$100,'Population Treasury'!AI$253:AI$258))/('Population Treasury'!AI$308/'Population Treasury'!AH$308)+(SUMPRODUCT(Exogenous!$O$82:$O$85,'Population Treasury'!AI$283:AI$286)+SUMPRODUCT(Exogenous!$O$86:$O$94,'Population Treasury'!AI$288:AI$296)+SUMPRODUCT(Exogenous!$O$95:$O$100,'Population Treasury'!AI$298:AI$303))/('Population Treasury'!AI$310/'Population Treasury'!AH$310))*(1+X$25)*(1+X$29)*(1+OFFSET(Assumptions!$B$63,0,$C$1))/(1+OFFSET(Assumptions!$B$64,0,$C$1))-W$259,0))</f>
        <v>3.1929357470650022</v>
      </c>
    </row>
    <row r="260" spans="1:24" x14ac:dyDescent="0.25">
      <c r="A260" s="11" t="s">
        <v>1394</v>
      </c>
      <c r="B260" s="10" t="str">
        <f t="shared" si="158"/>
        <v>From Fiscal Forecasts</v>
      </c>
      <c r="D260" s="35">
        <f>Exogenous!$Q$79*'Fiscal Forecasts'!D$58</f>
        <v>0.27401999999999999</v>
      </c>
      <c r="E260" s="35">
        <f>Exogenous!$Q$79*'Fiscal Forecasts'!E$58</f>
        <v>0.29836499999999994</v>
      </c>
      <c r="F260" s="35">
        <f>Exogenous!$Q$79*'Fiscal Forecasts'!F$58</f>
        <v>0.34175999999999995</v>
      </c>
      <c r="G260" s="35">
        <f>Exogenous!$Q$79*'Fiscal Forecasts'!G$58</f>
        <v>0.41671499999999995</v>
      </c>
      <c r="H260" s="35">
        <f>Exogenous!$Q$79*'Fiscal Forecasts'!H$58</f>
        <v>0.42733500000000002</v>
      </c>
      <c r="I260" s="35">
        <f>Exogenous!$Q$79*'Fiscal Forecasts'!I$58</f>
        <v>0.44998499999999997</v>
      </c>
      <c r="J260" s="17">
        <f ca="1">Exogenous!$Q$79*('Fiscal Forecasts'!J$58+IF(OFFSET(Assumptions!$B$56,0,$C$1)="Yes",Allocation!C$15,0))</f>
        <v>0.44947499999999996</v>
      </c>
      <c r="K260" s="17">
        <f ca="1">Exogenous!$Q$79*('Fiscal Forecasts'!K$58+IF(OFFSET(Assumptions!$B$56,0,$C$1)="Yes",Allocation!D$15,0))</f>
        <v>0.49507500000000004</v>
      </c>
      <c r="L260" s="17">
        <f ca="1">Exogenous!$Q$79*('Fiscal Forecasts'!L$58+IF(OFFSET(Assumptions!$B$56,0,$C$1)="Yes",Allocation!E$15,0))</f>
        <v>0.50911499999999998</v>
      </c>
      <c r="M260" s="17">
        <f ca="1">Exogenous!$Q$79*('Fiscal Forecasts'!M$58+IF(OFFSET(Assumptions!$B$56,0,$C$1)="Yes",Allocation!F$15,0))</f>
        <v>0.52549500000000005</v>
      </c>
      <c r="N260" s="17">
        <f ca="1">Exogenous!$Q$79*('Fiscal Forecasts'!N$58+IF(OFFSET(Assumptions!$B$56,0,$C$1)="Yes",Allocation!G$15,0))</f>
        <v>0.54139500000000007</v>
      </c>
      <c r="O260" s="16">
        <f ca="1">N$260+IF(OFFSET(Assumptions!$B$57,0,$C$1)="Yes",Exogenous!$Q$79*Allocation!$B$15*O$247,IF(OFFSET(Assumptions!$B$58,0,$C$1)="Yes",N$260*(1+(SUMPRODUCT(Exogenous!$Q$82:$Q$85,'Population Treasury'!Z$238:Z$241)+SUMPRODUCT(Exogenous!$Q$86:$Q$94,'Population Treasury'!Z$243:Z$251)+SUMPRODUCT(Exogenous!$Q$95:$Q$100,'Population Treasury'!Z$253:Z$258))/('Population Treasury'!Z$307/'Population Treasury'!Y$307)+(SUMPRODUCT(Exogenous!$R$82:$R$85,'Population Treasury'!Z$283:Z$286)+SUMPRODUCT(Exogenous!$R$86:$R$94,'Population Treasury'!Z$288:Z$296)+SUMPRODUCT(Exogenous!$R$95:$R$100,'Population Treasury'!Z$298:Z$303))/('Population Treasury'!Z$309/'Population Treasury'!Y$309))*(1+O$25)*(1+O$29)*(1+OFFSET(Assumptions!$B$63,0,$C$1))/(1+OFFSET(Assumptions!$B$64,0,$C$1))-N$260,0))</f>
        <v>0.5646820393650599</v>
      </c>
      <c r="P260" s="16">
        <f ca="1">O$260+IF(OFFSET(Assumptions!$B$57,0,$C$1)="Yes",Exogenous!$Q$79*Allocation!$B$15*P$247,IF(OFFSET(Assumptions!$B$58,0,$C$1)="Yes",O$260*(1+(SUMPRODUCT(Exogenous!$Q$82:$Q$85,'Population Treasury'!AA$238:AA$241)+SUMPRODUCT(Exogenous!$Q$86:$Q$94,'Population Treasury'!AA$243:AA$251)+SUMPRODUCT(Exogenous!$Q$95:$Q$100,'Population Treasury'!AA$253:AA$258))/('Population Treasury'!AA$307/'Population Treasury'!Z$307)+(SUMPRODUCT(Exogenous!$R$82:$R$85,'Population Treasury'!AA$283:AA$286)+SUMPRODUCT(Exogenous!$R$86:$R$94,'Population Treasury'!AA$288:AA$296)+SUMPRODUCT(Exogenous!$R$95:$R$100,'Population Treasury'!AA$298:AA$303))/('Population Treasury'!AA$309/'Population Treasury'!Z$309))*(1+P$25)*(1+P$29)*(1+OFFSET(Assumptions!$B$63,0,$C$1))/(1+OFFSET(Assumptions!$B$64,0,$C$1))-O$260,0))</f>
        <v>0.58877094492541526</v>
      </c>
      <c r="Q260" s="16">
        <f ca="1">P$260+IF(OFFSET(Assumptions!$B$57,0,$C$1)="Yes",Exogenous!$Q$79*Allocation!$B$15*Q$247,IF(OFFSET(Assumptions!$B$58,0,$C$1)="Yes",P$260*(1+(SUMPRODUCT(Exogenous!$Q$82:$Q$85,'Population Treasury'!AB$238:AB$241)+SUMPRODUCT(Exogenous!$Q$86:$Q$94,'Population Treasury'!AB$243:AB$251)+SUMPRODUCT(Exogenous!$Q$95:$Q$100,'Population Treasury'!AB$253:AB$258))/('Population Treasury'!AB$307/'Population Treasury'!AA$307)+(SUMPRODUCT(Exogenous!$R$82:$R$85,'Population Treasury'!AB$283:AB$286)+SUMPRODUCT(Exogenous!$R$86:$R$94,'Population Treasury'!AB$288:AB$296)+SUMPRODUCT(Exogenous!$R$95:$R$100,'Population Treasury'!AB$298:AB$303))/('Population Treasury'!AB$309/'Population Treasury'!AA$309))*(1+Q$25)*(1+Q$29)*(1+OFFSET(Assumptions!$B$63,0,$C$1))/(1+OFFSET(Assumptions!$B$64,0,$C$1))-P$260,0))</f>
        <v>0.61368010244952698</v>
      </c>
      <c r="R260" s="16">
        <f ca="1">Q$260+IF(OFFSET(Assumptions!$B$57,0,$C$1)="Yes",Exogenous!$Q$79*Allocation!$B$15*R$247,IF(OFFSET(Assumptions!$B$58,0,$C$1)="Yes",Q$260*(1+(SUMPRODUCT(Exogenous!$Q$82:$Q$85,'Population Treasury'!AC$238:AC$241)+SUMPRODUCT(Exogenous!$Q$86:$Q$94,'Population Treasury'!AC$243:AC$251)+SUMPRODUCT(Exogenous!$Q$95:$Q$100,'Population Treasury'!AC$253:AC$258))/('Population Treasury'!AC$307/'Population Treasury'!AB$307)+(SUMPRODUCT(Exogenous!$R$82:$R$85,'Population Treasury'!AC$283:AC$286)+SUMPRODUCT(Exogenous!$R$86:$R$94,'Population Treasury'!AC$288:AC$296)+SUMPRODUCT(Exogenous!$R$95:$R$100,'Population Treasury'!AC$298:AC$303))/('Population Treasury'!AC$309/'Population Treasury'!AB$309))*(1+R$25)*(1+R$29)*(1+OFFSET(Assumptions!$B$63,0,$C$1))/(1+OFFSET(Assumptions!$B$64,0,$C$1))-Q$260,0))</f>
        <v>0.63946730483656566</v>
      </c>
      <c r="S260" s="16">
        <f ca="1">R$260+IF(OFFSET(Assumptions!$B$57,0,$C$1)="Yes",Exogenous!$Q$79*Allocation!$B$15*S$247,IF(OFFSET(Assumptions!$B$58,0,$C$1)="Yes",R$260*(1+(SUMPRODUCT(Exogenous!$Q$82:$Q$85,'Population Treasury'!AD$238:AD$241)+SUMPRODUCT(Exogenous!$Q$86:$Q$94,'Population Treasury'!AD$243:AD$251)+SUMPRODUCT(Exogenous!$Q$95:$Q$100,'Population Treasury'!AD$253:AD$258))/('Population Treasury'!AD$307/'Population Treasury'!AC$307)+(SUMPRODUCT(Exogenous!$R$82:$R$85,'Population Treasury'!AD$283:AD$286)+SUMPRODUCT(Exogenous!$R$86:$R$94,'Population Treasury'!AD$288:AD$296)+SUMPRODUCT(Exogenous!$R$95:$R$100,'Population Treasury'!AD$298:AD$303))/('Population Treasury'!AD$309/'Population Treasury'!AC$309))*(1+S$25)*(1+S$29)*(1+OFFSET(Assumptions!$B$63,0,$C$1))/(1+OFFSET(Assumptions!$B$64,0,$C$1))-R$260,0))</f>
        <v>0.6659990834858881</v>
      </c>
      <c r="T260" s="16">
        <f ca="1">S$260+IF(OFFSET(Assumptions!$B$57,0,$C$1)="Yes",Exogenous!$Q$79*Allocation!$B$15*T$247,IF(OFFSET(Assumptions!$B$58,0,$C$1)="Yes",S$260*(1+(SUMPRODUCT(Exogenous!$Q$82:$Q$85,'Population Treasury'!AE$238:AE$241)+SUMPRODUCT(Exogenous!$Q$86:$Q$94,'Population Treasury'!AE$243:AE$251)+SUMPRODUCT(Exogenous!$Q$95:$Q$100,'Population Treasury'!AE$253:AE$258))/('Population Treasury'!AE$307/'Population Treasury'!AD$307)+(SUMPRODUCT(Exogenous!$R$82:$R$85,'Population Treasury'!AE$283:AE$286)+SUMPRODUCT(Exogenous!$R$86:$R$94,'Population Treasury'!AE$288:AE$296)+SUMPRODUCT(Exogenous!$R$95:$R$100,'Population Treasury'!AE$298:AE$303))/('Population Treasury'!AE$309/'Population Treasury'!AD$309))*(1+T$25)*(1+T$29)*(1+OFFSET(Assumptions!$B$63,0,$C$1))/(1+OFFSET(Assumptions!$B$64,0,$C$1))-S$260,0))</f>
        <v>0.69329795016524276</v>
      </c>
      <c r="U260" s="16">
        <f ca="1">T$260+IF(OFFSET(Assumptions!$B$57,0,$C$1)="Yes",Exogenous!$Q$79*Allocation!$B$15*U$247,IF(OFFSET(Assumptions!$B$58,0,$C$1)="Yes",T$260*(1+(SUMPRODUCT(Exogenous!$Q$82:$Q$85,'Population Treasury'!AF$238:AF$241)+SUMPRODUCT(Exogenous!$Q$86:$Q$94,'Population Treasury'!AF$243:AF$251)+SUMPRODUCT(Exogenous!$Q$95:$Q$100,'Population Treasury'!AF$253:AF$258))/('Population Treasury'!AF$307/'Population Treasury'!AE$307)+(SUMPRODUCT(Exogenous!$R$82:$R$85,'Population Treasury'!AF$283:AF$286)+SUMPRODUCT(Exogenous!$R$86:$R$94,'Population Treasury'!AF$288:AF$296)+SUMPRODUCT(Exogenous!$R$95:$R$100,'Population Treasury'!AF$298:AF$303))/('Population Treasury'!AF$309/'Population Treasury'!AE$309))*(1+U$25)*(1+U$29)*(1+OFFSET(Assumptions!$B$63,0,$C$1))/(1+OFFSET(Assumptions!$B$64,0,$C$1))-T$260,0))</f>
        <v>0.72116645074813357</v>
      </c>
      <c r="V260" s="16">
        <f ca="1">U$260+IF(OFFSET(Assumptions!$B$57,0,$C$1)="Yes",Exogenous!$Q$79*Allocation!$B$15*V$247,IF(OFFSET(Assumptions!$B$58,0,$C$1)="Yes",U$260*(1+(SUMPRODUCT(Exogenous!$Q$82:$Q$85,'Population Treasury'!AG$238:AG$241)+SUMPRODUCT(Exogenous!$Q$86:$Q$94,'Population Treasury'!AG$243:AG$251)+SUMPRODUCT(Exogenous!$Q$95:$Q$100,'Population Treasury'!AG$253:AG$258))/('Population Treasury'!AG$307/'Population Treasury'!AF$307)+(SUMPRODUCT(Exogenous!$R$82:$R$85,'Population Treasury'!AG$283:AG$286)+SUMPRODUCT(Exogenous!$R$86:$R$94,'Population Treasury'!AG$288:AG$296)+SUMPRODUCT(Exogenous!$R$95:$R$100,'Population Treasury'!AG$298:AG$303))/('Population Treasury'!AG$309/'Population Treasury'!AF$309))*(1+V$25)*(1+V$29)*(1+OFFSET(Assumptions!$B$63,0,$C$1))/(1+OFFSET(Assumptions!$B$64,0,$C$1))-U$260,0))</f>
        <v>0.74956306350753776</v>
      </c>
      <c r="W260" s="16">
        <f ca="1">V$260+IF(OFFSET(Assumptions!$B$57,0,$C$1)="Yes",Exogenous!$Q$79*Allocation!$B$15*W$247,IF(OFFSET(Assumptions!$B$58,0,$C$1)="Yes",V$260*(1+(SUMPRODUCT(Exogenous!$Q$82:$Q$85,'Population Treasury'!AH$238:AH$241)+SUMPRODUCT(Exogenous!$Q$86:$Q$94,'Population Treasury'!AH$243:AH$251)+SUMPRODUCT(Exogenous!$Q$95:$Q$100,'Population Treasury'!AH$253:AH$258))/('Population Treasury'!AH$307/'Population Treasury'!AG$307)+(SUMPRODUCT(Exogenous!$R$82:$R$85,'Population Treasury'!AH$283:AH$286)+SUMPRODUCT(Exogenous!$R$86:$R$94,'Population Treasury'!AH$288:AH$296)+SUMPRODUCT(Exogenous!$R$95:$R$100,'Population Treasury'!AH$298:AH$303))/('Population Treasury'!AH$309/'Population Treasury'!AG$309))*(1+W$25)*(1+W$29)*(1+OFFSET(Assumptions!$B$63,0,$C$1))/(1+OFFSET(Assumptions!$B$64,0,$C$1))-V$260,0))</f>
        <v>0.77851043658236141</v>
      </c>
      <c r="X260" s="16">
        <f ca="1">W$260+IF(OFFSET(Assumptions!$B$57,0,$C$1)="Yes",Exogenous!$Q$79*Allocation!$B$15*X$247,IF(OFFSET(Assumptions!$B$58,0,$C$1)="Yes",W$260*(1+(SUMPRODUCT(Exogenous!$Q$82:$Q$85,'Population Treasury'!AI$238:AI$241)+SUMPRODUCT(Exogenous!$Q$86:$Q$94,'Population Treasury'!AI$243:AI$251)+SUMPRODUCT(Exogenous!$Q$95:$Q$100,'Population Treasury'!AI$253:AI$258))/('Population Treasury'!AI$307/'Population Treasury'!AH$307)+(SUMPRODUCT(Exogenous!$R$82:$R$85,'Population Treasury'!AI$283:AI$286)+SUMPRODUCT(Exogenous!$R$86:$R$94,'Population Treasury'!AI$288:AI$296)+SUMPRODUCT(Exogenous!$R$95:$R$100,'Population Treasury'!AI$298:AI$303))/('Population Treasury'!AI$309/'Population Treasury'!AH$309))*(1+X$25)*(1+X$29)*(1+OFFSET(Assumptions!$B$63,0,$C$1))/(1+OFFSET(Assumptions!$B$64,0,$C$1))-W$260,0))</f>
        <v>0.80824323502510187</v>
      </c>
    </row>
    <row r="261" spans="1:24" x14ac:dyDescent="0.25">
      <c r="A261" s="9" t="s">
        <v>1105</v>
      </c>
      <c r="B261" s="10"/>
      <c r="D261" s="65">
        <f>SUM(D$255:D$260)</f>
        <v>18.268000000000001</v>
      </c>
      <c r="E261" s="65">
        <f t="shared" ref="E261:X261" si="159">SUM(E$255:E$260)</f>
        <v>19.890999999999998</v>
      </c>
      <c r="F261" s="65">
        <f t="shared" si="159"/>
        <v>22.783999999999999</v>
      </c>
      <c r="G261" s="65">
        <f t="shared" si="159"/>
        <v>27.780999999999999</v>
      </c>
      <c r="H261" s="65">
        <f t="shared" si="159"/>
        <v>28.488999999999997</v>
      </c>
      <c r="I261" s="65">
        <f t="shared" si="159"/>
        <v>29.999000000000002</v>
      </c>
      <c r="J261" s="66">
        <f t="shared" ca="1" si="159"/>
        <v>29.965000000000003</v>
      </c>
      <c r="K261" s="66">
        <f t="shared" ca="1" si="159"/>
        <v>33.005000000000003</v>
      </c>
      <c r="L261" s="66">
        <f t="shared" ca="1" si="159"/>
        <v>33.941000000000003</v>
      </c>
      <c r="M261" s="66">
        <f t="shared" ca="1" si="159"/>
        <v>35.032999999999994</v>
      </c>
      <c r="N261" s="66">
        <f t="shared" ca="1" si="159"/>
        <v>36.093000000000004</v>
      </c>
      <c r="O261" s="67">
        <f t="shared" ca="1" si="159"/>
        <v>37.949374693976644</v>
      </c>
      <c r="P261" s="67">
        <f t="shared" ca="1" si="159"/>
        <v>39.896995243925275</v>
      </c>
      <c r="Q261" s="67">
        <f t="shared" ca="1" si="159"/>
        <v>41.969498740741521</v>
      </c>
      <c r="R261" s="67">
        <f t="shared" ca="1" si="159"/>
        <v>44.104174468855106</v>
      </c>
      <c r="S261" s="67">
        <f t="shared" ca="1" si="159"/>
        <v>46.313229254575369</v>
      </c>
      <c r="T261" s="67">
        <f t="shared" ca="1" si="159"/>
        <v>48.603954577710304</v>
      </c>
      <c r="U261" s="67">
        <f t="shared" ca="1" si="159"/>
        <v>50.966411557857541</v>
      </c>
      <c r="V261" s="67">
        <f t="shared" ca="1" si="159"/>
        <v>53.420548757090351</v>
      </c>
      <c r="W261" s="67">
        <f t="shared" ca="1" si="159"/>
        <v>55.928549104702057</v>
      </c>
      <c r="X261" s="67">
        <f t="shared" ca="1" si="159"/>
        <v>58.502577182323222</v>
      </c>
    </row>
    <row r="262" spans="1:24" x14ac:dyDescent="0.25">
      <c r="A262" s="11" t="s">
        <v>707</v>
      </c>
      <c r="B262" s="10" t="str">
        <f>$B$38</f>
        <v>From Fiscal Forecasts</v>
      </c>
      <c r="D262" s="35">
        <f>'Fiscal Forecasts'!D$207</f>
        <v>16.579000000000001</v>
      </c>
      <c r="E262" s="35">
        <f>'Fiscal Forecasts'!E$207</f>
        <v>17.788</v>
      </c>
      <c r="F262" s="35">
        <f>'Fiscal Forecasts'!F$207</f>
        <v>18.856000000000002</v>
      </c>
      <c r="G262" s="35">
        <f>'Fiscal Forecasts'!G$207</f>
        <v>22.004999999999999</v>
      </c>
      <c r="H262" s="35">
        <f>'Fiscal Forecasts'!H$207</f>
        <v>27.765999999999998</v>
      </c>
      <c r="I262" s="35">
        <f>'Fiscal Forecasts'!I$207</f>
        <v>27.89</v>
      </c>
      <c r="J262" s="17">
        <f>'Fiscal Forecasts'!J$207</f>
        <v>28.486999999999998</v>
      </c>
      <c r="K262" s="17">
        <f>'Fiscal Forecasts'!K$207</f>
        <v>28.939</v>
      </c>
      <c r="L262" s="17">
        <f>'Fiscal Forecasts'!L$207</f>
        <v>30.300999999999998</v>
      </c>
      <c r="M262" s="17">
        <f>'Fiscal Forecasts'!M$207</f>
        <v>30.123999999999999</v>
      </c>
      <c r="N262" s="17">
        <f>'Fiscal Forecasts'!N$207</f>
        <v>30.146999999999998</v>
      </c>
      <c r="O262" s="16">
        <f ca="1">N$262+O$261-N$261</f>
        <v>32.003374693976639</v>
      </c>
      <c r="P262" s="16">
        <f t="shared" ref="P262:X262" ca="1" si="160">O$262+P$261-O$261</f>
        <v>33.95099524392527</v>
      </c>
      <c r="Q262" s="16">
        <f t="shared" ca="1" si="160"/>
        <v>36.023498740741516</v>
      </c>
      <c r="R262" s="16">
        <f t="shared" ca="1" si="160"/>
        <v>38.158174468855101</v>
      </c>
      <c r="S262" s="16">
        <f t="shared" ca="1" si="160"/>
        <v>40.367229254575363</v>
      </c>
      <c r="T262" s="16">
        <f t="shared" ca="1" si="160"/>
        <v>42.657954577710306</v>
      </c>
      <c r="U262" s="16">
        <f t="shared" ca="1" si="160"/>
        <v>45.020411557857535</v>
      </c>
      <c r="V262" s="16">
        <f t="shared" ca="1" si="160"/>
        <v>47.474548757090346</v>
      </c>
      <c r="W262" s="16">
        <f t="shared" ca="1" si="160"/>
        <v>49.982549104702052</v>
      </c>
      <c r="X262" s="16">
        <f t="shared" ca="1" si="160"/>
        <v>52.556577182323224</v>
      </c>
    </row>
    <row r="263" spans="1:24" x14ac:dyDescent="0.25">
      <c r="A263" s="11" t="s">
        <v>866</v>
      </c>
      <c r="B263" s="10" t="str">
        <f>$B$38</f>
        <v>From Fiscal Forecasts</v>
      </c>
      <c r="D263" s="35">
        <f>'Fiscal Forecasts'!D$41-SUM(D$261:D$262)</f>
        <v>-16.187000000000001</v>
      </c>
      <c r="E263" s="35">
        <f>'Fiscal Forecasts'!E$41-SUM(E$261:E$262)</f>
        <v>-17.21</v>
      </c>
      <c r="F263" s="35">
        <f>'Fiscal Forecasts'!F$41-SUM(F$261:F$262)</f>
        <v>-19.042000000000002</v>
      </c>
      <c r="G263" s="35">
        <f>'Fiscal Forecasts'!G$41-SUM(G$261:G$262)</f>
        <v>-22.128</v>
      </c>
      <c r="H263" s="35">
        <f>'Fiscal Forecasts'!H$41-SUM(H$261:H$262)</f>
        <v>-26.430999999999994</v>
      </c>
      <c r="I263" s="35">
        <f>'Fiscal Forecasts'!I$41-SUM(I$261:I$262)</f>
        <v>-28.049000000000003</v>
      </c>
      <c r="J263" s="17">
        <f ca="1">'Fiscal Forecasts'!J$41-SUM(J$261:J$262)+IF(OFFSET(Assumptions!$B$56,0,$C$1)="Yes",Allocation!C$15,0)</f>
        <v>-28.708999999999996</v>
      </c>
      <c r="K263" s="17">
        <f ca="1">'Fiscal Forecasts'!K$41-SUM(K$261:K$262)+IF(OFFSET(Assumptions!$B$56,0,$C$1)="Yes",Allocation!D$15,0)</f>
        <v>-30.424000000000003</v>
      </c>
      <c r="L263" s="17">
        <f ca="1">'Fiscal Forecasts'!L$41-SUM(L$261:L$262)+IF(OFFSET(Assumptions!$B$56,0,$C$1)="Yes",Allocation!E$15,0)</f>
        <v>-31.831000000000007</v>
      </c>
      <c r="M263" s="17">
        <f ca="1">'Fiscal Forecasts'!M$41-SUM(M$261:M$262)+IF(OFFSET(Assumptions!$B$56,0,$C$1)="Yes",Allocation!F$15,0)</f>
        <v>-32.004999999999995</v>
      </c>
      <c r="N263" s="17">
        <f ca="1">'Fiscal Forecasts'!N$41-SUM(N$261:N$262)+IF(OFFSET(Assumptions!$B$56,0,$C$1)="Yes",Allocation!G$15,0)</f>
        <v>-32.19100000000001</v>
      </c>
      <c r="O263" s="16">
        <f ca="1">N$263-(O$261-N$261)</f>
        <v>-34.04737469397665</v>
      </c>
      <c r="P263" s="16">
        <f t="shared" ref="P263:X263" ca="1" si="161">O$263-(P$261-O$261)</f>
        <v>-35.994995243925281</v>
      </c>
      <c r="Q263" s="16">
        <f t="shared" ca="1" si="161"/>
        <v>-38.067498740741527</v>
      </c>
      <c r="R263" s="16">
        <f t="shared" ca="1" si="161"/>
        <v>-40.202174468855112</v>
      </c>
      <c r="S263" s="16">
        <f t="shared" ca="1" si="161"/>
        <v>-42.411229254575375</v>
      </c>
      <c r="T263" s="16">
        <f t="shared" ca="1" si="161"/>
        <v>-44.70195457771031</v>
      </c>
      <c r="U263" s="16">
        <f t="shared" ca="1" si="161"/>
        <v>-47.064411557857547</v>
      </c>
      <c r="V263" s="16">
        <f t="shared" ca="1" si="161"/>
        <v>-49.518548757090358</v>
      </c>
      <c r="W263" s="16">
        <f t="shared" ca="1" si="161"/>
        <v>-52.026549104702063</v>
      </c>
      <c r="X263" s="16">
        <f t="shared" ca="1" si="161"/>
        <v>-54.600577182323228</v>
      </c>
    </row>
    <row r="264" spans="1:24" x14ac:dyDescent="0.25">
      <c r="A264" s="9" t="s">
        <v>978</v>
      </c>
      <c r="D264" s="65">
        <f t="shared" ref="D264:I264" si="162">SUM(D$261:D$263)</f>
        <v>18.66</v>
      </c>
      <c r="E264" s="65">
        <f t="shared" si="162"/>
        <v>20.469000000000001</v>
      </c>
      <c r="F264" s="65">
        <f t="shared" si="162"/>
        <v>22.597999999999999</v>
      </c>
      <c r="G264" s="65">
        <f t="shared" si="162"/>
        <v>27.658000000000001</v>
      </c>
      <c r="H264" s="65">
        <f t="shared" si="162"/>
        <v>29.824000000000002</v>
      </c>
      <c r="I264" s="65">
        <f t="shared" si="162"/>
        <v>29.84</v>
      </c>
      <c r="J264" s="66">
        <f t="shared" ref="J264:X264" ca="1" si="163">SUM(J$261:J$263)</f>
        <v>29.743000000000002</v>
      </c>
      <c r="K264" s="66">
        <f t="shared" ca="1" si="163"/>
        <v>31.52</v>
      </c>
      <c r="L264" s="66">
        <f t="shared" ca="1" si="163"/>
        <v>32.411000000000001</v>
      </c>
      <c r="M264" s="66">
        <f t="shared" ca="1" si="163"/>
        <v>33.152000000000001</v>
      </c>
      <c r="N264" s="66">
        <f t="shared" ca="1" si="163"/>
        <v>34.048999999999999</v>
      </c>
      <c r="O264" s="67">
        <f t="shared" ca="1" si="163"/>
        <v>35.905374693976626</v>
      </c>
      <c r="P264" s="67">
        <f t="shared" ca="1" si="163"/>
        <v>37.852995243925271</v>
      </c>
      <c r="Q264" s="67">
        <f t="shared" ca="1" si="163"/>
        <v>39.925498740741503</v>
      </c>
      <c r="R264" s="67">
        <f t="shared" ca="1" si="163"/>
        <v>42.060174468855102</v>
      </c>
      <c r="S264" s="67">
        <f t="shared" ca="1" si="163"/>
        <v>44.26922925457535</v>
      </c>
      <c r="T264" s="67">
        <f t="shared" ca="1" si="163"/>
        <v>46.5599545777103</v>
      </c>
      <c r="U264" s="67">
        <f t="shared" ca="1" si="163"/>
        <v>48.922411557857536</v>
      </c>
      <c r="V264" s="67">
        <f t="shared" ca="1" si="163"/>
        <v>51.376548757090333</v>
      </c>
      <c r="W264" s="67">
        <f t="shared" ca="1" si="163"/>
        <v>53.884549104702053</v>
      </c>
      <c r="X264" s="67">
        <f t="shared" ca="1" si="163"/>
        <v>56.458577182323218</v>
      </c>
    </row>
    <row r="265" spans="1:24" x14ac:dyDescent="0.25">
      <c r="D265" s="112"/>
      <c r="E265" s="112"/>
      <c r="F265" s="112"/>
      <c r="G265" s="112"/>
      <c r="H265" s="112"/>
      <c r="I265" s="112"/>
      <c r="J265" s="112"/>
      <c r="K265" s="112"/>
      <c r="L265" s="112"/>
      <c r="M265" s="112"/>
      <c r="N265" s="112"/>
      <c r="O265" s="112"/>
      <c r="P265" s="112"/>
      <c r="Q265" s="112"/>
      <c r="R265" s="112"/>
      <c r="S265" s="112"/>
      <c r="T265" s="112"/>
      <c r="U265" s="112"/>
      <c r="V265" s="112"/>
      <c r="W265" s="112"/>
      <c r="X265" s="112"/>
    </row>
    <row r="266" spans="1:24" x14ac:dyDescent="0.25">
      <c r="A266" s="9" t="s">
        <v>979</v>
      </c>
    </row>
    <row r="267" spans="1:24" x14ac:dyDescent="0.25">
      <c r="A267" s="11" t="s">
        <v>1258</v>
      </c>
      <c r="B267" s="10" t="str">
        <f>$B$38</f>
        <v>From Fiscal Forecasts</v>
      </c>
      <c r="D267" s="35">
        <f>'Fiscal Forecasts'!D$408</f>
        <v>1.8959999999999999</v>
      </c>
      <c r="E267" s="35">
        <f>'Fiscal Forecasts'!E$408</f>
        <v>2.0070000000000001</v>
      </c>
      <c r="F267" s="35">
        <f>'Fiscal Forecasts'!F$408</f>
        <v>2.1320000000000001</v>
      </c>
      <c r="G267" s="35">
        <f>'Fiscal Forecasts'!G$408</f>
        <v>2.2469999999999999</v>
      </c>
      <c r="H267" s="35">
        <f>'Fiscal Forecasts'!H$408</f>
        <v>2.355</v>
      </c>
      <c r="I267" s="35">
        <f>'Fiscal Forecasts'!I$408</f>
        <v>2.71</v>
      </c>
      <c r="J267" s="17">
        <f ca="1">'Fiscal Forecasts'!J$408+IF(OFFSET(Assumptions!$B$56,0,$C$1)="Yes",Allocation!C$28,0)</f>
        <v>2.8679999999999999</v>
      </c>
      <c r="K267" s="17">
        <f ca="1">'Fiscal Forecasts'!K$408+IF(OFFSET(Assumptions!$B$56,0,$C$1)="Yes",Allocation!D$28,0)</f>
        <v>3.0939999999999999</v>
      </c>
      <c r="L267" s="17">
        <f ca="1">'Fiscal Forecasts'!L$408+IF(OFFSET(Assumptions!$B$56,0,$C$1)="Yes",Allocation!E$28,0)</f>
        <v>3.2240000000000002</v>
      </c>
      <c r="M267" s="17">
        <f ca="1">'Fiscal Forecasts'!M$408+IF(OFFSET(Assumptions!$B$56,0,$C$1)="Yes",Allocation!F$28,0)</f>
        <v>3.3620000000000001</v>
      </c>
      <c r="N267" s="17">
        <f ca="1">'Fiscal Forecasts'!N$408+IF(OFFSET(Assumptions!$B$56,0,$C$1)="Yes",Allocation!G$28,0)</f>
        <v>3.4950000000000001</v>
      </c>
      <c r="O267" s="16">
        <f ca="1">N$267+IF(OFFSET(Assumptions!$B$57,0,$C$1)="Yes",Allocation!$B$28*Allocation!$B$16*O$247,IF(OFFSET(Assumptions!$B$58,0,$C$1)="Yes",N$267*(1+SUMPRODUCT(Exogenous!$B$65:$B$70,'Population Treasury'!Z$214:Z$219)+SUMPRODUCT(Exogenous!$C$65:$C$70,'Population Treasury'!Z$259:Z$264))*(1+O$25)*(1+O$29)*(1+OFFSET(Assumptions!$B$61,0,$C$1))/(1+OFFSET(Assumptions!$B$62,0,$C$1))-N$267,0))</f>
        <v>3.6222687495103196</v>
      </c>
      <c r="P267" s="16">
        <f ca="1">O$267+IF(OFFSET(Assumptions!$B$57,0,$C$1)="Yes",Allocation!$B$28*Allocation!$B$16*P$247,IF(OFFSET(Assumptions!$B$58,0,$C$1)="Yes",O$267*(1+SUMPRODUCT(Exogenous!$B$65:$B$70,'Population Treasury'!AA$214:AA$219)+SUMPRODUCT(Exogenous!$C$65:$C$70,'Population Treasury'!AA$259:AA$264))*(1+P$25)*(1+P$29)*(1+OFFSET(Assumptions!$B$61,0,$C$1))/(1+OFFSET(Assumptions!$B$62,0,$C$1))-O$267,0))</f>
        <v>3.7530273349096595</v>
      </c>
      <c r="Q267" s="16">
        <f ca="1">P$267+IF(OFFSET(Assumptions!$B$57,0,$C$1)="Yes",Allocation!$B$28*Allocation!$B$16*Q$247,IF(OFFSET(Assumptions!$B$58,0,$C$1)="Yes",P$267*(1+SUMPRODUCT(Exogenous!$B$65:$B$70,'Population Treasury'!AB$214:AB$219)+SUMPRODUCT(Exogenous!$C$65:$C$70,'Population Treasury'!AB$259:AB$264))*(1+Q$25)*(1+Q$29)*(1+OFFSET(Assumptions!$B$61,0,$C$1))/(1+OFFSET(Assumptions!$B$62,0,$C$1))-P$267,0))</f>
        <v>3.8878228275270046</v>
      </c>
      <c r="R267" s="16">
        <f ca="1">Q$267+IF(OFFSET(Assumptions!$B$57,0,$C$1)="Yes",Allocation!$B$28*Allocation!$B$16*R$247,IF(OFFSET(Assumptions!$B$58,0,$C$1)="Yes",Q$267*(1+SUMPRODUCT(Exogenous!$B$65:$B$70,'Population Treasury'!AC$214:AC$219)+SUMPRODUCT(Exogenous!$C$65:$C$70,'Population Treasury'!AC$259:AC$264))*(1+R$25)*(1+R$29)*(1+OFFSET(Assumptions!$B$61,0,$C$1))/(1+OFFSET(Assumptions!$B$62,0,$C$1))-Q$267,0))</f>
        <v>4.0279414597628787</v>
      </c>
      <c r="S267" s="16">
        <f ca="1">R$267+IF(OFFSET(Assumptions!$B$57,0,$C$1)="Yes",Allocation!$B$28*Allocation!$B$16*S$247,IF(OFFSET(Assumptions!$B$58,0,$C$1)="Yes",R$267*(1+SUMPRODUCT(Exogenous!$B$65:$B$70,'Population Treasury'!AD$214:AD$219)+SUMPRODUCT(Exogenous!$C$65:$C$70,'Population Treasury'!AD$259:AD$264))*(1+S$25)*(1+S$29)*(1+OFFSET(Assumptions!$B$61,0,$C$1))/(1+OFFSET(Assumptions!$B$62,0,$C$1))-R$267,0))</f>
        <v>4.1730081854778405</v>
      </c>
      <c r="T267" s="16">
        <f ca="1">S$267+IF(OFFSET(Assumptions!$B$57,0,$C$1)="Yes",Allocation!$B$28*Allocation!$B$16*T$247,IF(OFFSET(Assumptions!$B$58,0,$C$1)="Yes",S$267*(1+SUMPRODUCT(Exogenous!$B$65:$B$70,'Population Treasury'!AE$214:AE$219)+SUMPRODUCT(Exogenous!$C$65:$C$70,'Population Treasury'!AE$259:AE$264))*(1+T$25)*(1+T$29)*(1+OFFSET(Assumptions!$B$61,0,$C$1))/(1+OFFSET(Assumptions!$B$62,0,$C$1))-S$267,0))</f>
        <v>4.3249528278489722</v>
      </c>
      <c r="U267" s="16">
        <f ca="1">T$267+IF(OFFSET(Assumptions!$B$57,0,$C$1)="Yes",Allocation!$B$28*Allocation!$B$16*U$247,IF(OFFSET(Assumptions!$B$58,0,$C$1)="Yes",T$267*(1+SUMPRODUCT(Exogenous!$B$65:$B$70,'Population Treasury'!AF$214:AF$219)+SUMPRODUCT(Exogenous!$C$65:$C$70,'Population Treasury'!AF$259:AF$264))*(1+U$25)*(1+U$29)*(1+OFFSET(Assumptions!$B$61,0,$C$1))/(1+OFFSET(Assumptions!$B$62,0,$C$1))-T$267,0))</f>
        <v>4.4821436357944249</v>
      </c>
      <c r="V267" s="16">
        <f ca="1">U$267+IF(OFFSET(Assumptions!$B$57,0,$C$1)="Yes",Allocation!$B$28*Allocation!$B$16*V$247,IF(OFFSET(Assumptions!$B$58,0,$C$1)="Yes",U$267*(1+SUMPRODUCT(Exogenous!$B$65:$B$70,'Population Treasury'!AG$214:AG$219)+SUMPRODUCT(Exogenous!$C$65:$C$70,'Population Treasury'!AG$259:AG$264))*(1+V$25)*(1+V$29)*(1+OFFSET(Assumptions!$B$61,0,$C$1))/(1+OFFSET(Assumptions!$B$62,0,$C$1))-U$267,0))</f>
        <v>4.6458357893271423</v>
      </c>
      <c r="W267" s="16">
        <f ca="1">V$267+IF(OFFSET(Assumptions!$B$57,0,$C$1)="Yes",Allocation!$B$28*Allocation!$B$16*W$247,IF(OFFSET(Assumptions!$B$58,0,$C$1)="Yes",V$267*(1+SUMPRODUCT(Exogenous!$B$65:$B$70,'Population Treasury'!AH$214:AH$219)+SUMPRODUCT(Exogenous!$C$65:$C$70,'Population Treasury'!AH$259:AH$264))*(1+W$25)*(1+W$29)*(1+OFFSET(Assumptions!$B$61,0,$C$1))/(1+OFFSET(Assumptions!$B$62,0,$C$1))-V$267,0))</f>
        <v>4.8164949392400986</v>
      </c>
      <c r="X267" s="16">
        <f ca="1">W$267+IF(OFFSET(Assumptions!$B$57,0,$C$1)="Yes",Allocation!$B$28*Allocation!$B$16*X$247,IF(OFFSET(Assumptions!$B$58,0,$C$1)="Yes",W$267*(1+SUMPRODUCT(Exogenous!$B$65:$B$70,'Population Treasury'!AI$214:AI$219)+SUMPRODUCT(Exogenous!$C$65:$C$70,'Population Treasury'!AI$259:AI$264))*(1+X$25)*(1+X$29)*(1+OFFSET(Assumptions!$B$61,0,$C$1))/(1+OFFSET(Assumptions!$B$62,0,$C$1))-W$267,0))</f>
        <v>4.995736185237619</v>
      </c>
    </row>
    <row r="268" spans="1:24" x14ac:dyDescent="0.25">
      <c r="A268" s="11" t="s">
        <v>1285</v>
      </c>
      <c r="B268" s="10" t="str">
        <f t="shared" ref="B268:B270" si="164">$B$38</f>
        <v>From Fiscal Forecasts</v>
      </c>
      <c r="D268" s="35">
        <f>'Fiscal Forecasts'!D$409</f>
        <v>3.835</v>
      </c>
      <c r="E268" s="35">
        <f>'Fiscal Forecasts'!E$409</f>
        <v>4.0129999999999999</v>
      </c>
      <c r="F268" s="35">
        <f>'Fiscal Forecasts'!F$409</f>
        <v>4.6470000000000002</v>
      </c>
      <c r="G268" s="35">
        <f>'Fiscal Forecasts'!G$409</f>
        <v>4.7329999999999997</v>
      </c>
      <c r="H268" s="35">
        <f>'Fiscal Forecasts'!H$409</f>
        <v>4.7789999999999999</v>
      </c>
      <c r="I268" s="35">
        <f>'Fiscal Forecasts'!I$409</f>
        <v>5.39</v>
      </c>
      <c r="J268" s="17">
        <f ca="1">'Fiscal Forecasts'!J$409+IF(OFFSET(Assumptions!$B$56,0,$C$1)="Yes",Allocation!C$29,0)</f>
        <v>5.3480000000000008</v>
      </c>
      <c r="K268" s="17">
        <f ca="1">'Fiscal Forecasts'!K$409+IF(OFFSET(Assumptions!$B$56,0,$C$1)="Yes",Allocation!D$29,0)</f>
        <v>5.7750000000000004</v>
      </c>
      <c r="L268" s="17">
        <f ca="1">'Fiscal Forecasts'!L$409+IF(OFFSET(Assumptions!$B$56,0,$C$1)="Yes",Allocation!E$29,0)</f>
        <v>5.9140000000000006</v>
      </c>
      <c r="M268" s="17">
        <f ca="1">'Fiscal Forecasts'!M$409+IF(OFFSET(Assumptions!$B$56,0,$C$1)="Yes",Allocation!F$29,0)</f>
        <v>5.98</v>
      </c>
      <c r="N268" s="17">
        <f ca="1">'Fiscal Forecasts'!N$409+IF(OFFSET(Assumptions!$B$56,0,$C$1)="Yes",Allocation!G$29,0)</f>
        <v>6.0919999999999996</v>
      </c>
      <c r="O268" s="16">
        <f ca="1">N$268+IF(OFFSET(Assumptions!$B$57,0,$C$1)="Yes",Allocation!$B$29*Allocation!$B$16*O$247,IF(OFFSET(Assumptions!$B$58,0,$C$1)="Yes",N$268*(1+SUMPRODUCT(Exogenous!$G$65:$G$73,'Population Treasury'!Z$219:Z$227)+SUMPRODUCT(Exogenous!$H$65:$H$73,'Population Treasury'!Z$264:Z$272))*(1+O$25)*(1+O$29)*(1+OFFSET(Assumptions!$B$61,0,$C$1))/(1+OFFSET(Assumptions!$B$62,0,$C$1))-N$268,0))</f>
        <v>6.2980518194423771</v>
      </c>
      <c r="P268" s="16">
        <f ca="1">O$268+IF(OFFSET(Assumptions!$B$57,0,$C$1)="Yes",Allocation!$B$29*Allocation!$B$16*P$247,IF(OFFSET(Assumptions!$B$58,0,$C$1)="Yes",O$268*(1+SUMPRODUCT(Exogenous!$G$65:$G$73,'Population Treasury'!AA$219:AA$227)+SUMPRODUCT(Exogenous!$H$65:$H$73,'Population Treasury'!AA$264:AA$272))*(1+P$25)*(1+P$29)*(1+OFFSET(Assumptions!$B$61,0,$C$1))/(1+OFFSET(Assumptions!$B$62,0,$C$1))-O$268,0))</f>
        <v>6.5182502992426716</v>
      </c>
      <c r="Q268" s="16">
        <f ca="1">P$268+IF(OFFSET(Assumptions!$B$57,0,$C$1)="Yes",Allocation!$B$29*Allocation!$B$16*Q$247,IF(OFFSET(Assumptions!$B$58,0,$C$1)="Yes",P$268*(1+SUMPRODUCT(Exogenous!$G$65:$G$73,'Population Treasury'!AB$219:AB$227)+SUMPRODUCT(Exogenous!$H$65:$H$73,'Population Treasury'!AB$264:AB$272))*(1+Q$25)*(1+Q$29)*(1+OFFSET(Assumptions!$B$61,0,$C$1))/(1+OFFSET(Assumptions!$B$62,0,$C$1))-P$268,0))</f>
        <v>6.755691458547461</v>
      </c>
      <c r="R268" s="16">
        <f ca="1">Q$268+IF(OFFSET(Assumptions!$B$57,0,$C$1)="Yes",Allocation!$B$29*Allocation!$B$16*R$247,IF(OFFSET(Assumptions!$B$58,0,$C$1)="Yes",Q$268*(1+SUMPRODUCT(Exogenous!$G$65:$G$73,'Population Treasury'!AC$219:AC$227)+SUMPRODUCT(Exogenous!$H$65:$H$73,'Population Treasury'!AC$264:AC$272))*(1+R$25)*(1+R$29)*(1+OFFSET(Assumptions!$B$61,0,$C$1))/(1+OFFSET(Assumptions!$B$62,0,$C$1))-Q$268,0))</f>
        <v>7.0075383625804557</v>
      </c>
      <c r="S268" s="16">
        <f ca="1">R$268+IF(OFFSET(Assumptions!$B$57,0,$C$1)="Yes",Allocation!$B$29*Allocation!$B$16*S$247,IF(OFFSET(Assumptions!$B$58,0,$C$1)="Yes",R$268*(1+SUMPRODUCT(Exogenous!$G$65:$G$73,'Population Treasury'!AD$219:AD$227)+SUMPRODUCT(Exogenous!$H$65:$H$73,'Population Treasury'!AD$264:AD$272))*(1+S$25)*(1+S$29)*(1+OFFSET(Assumptions!$B$61,0,$C$1))/(1+OFFSET(Assumptions!$B$62,0,$C$1))-R$268,0))</f>
        <v>7.2627102167094879</v>
      </c>
      <c r="T268" s="16">
        <f ca="1">S$268+IF(OFFSET(Assumptions!$B$57,0,$C$1)="Yes",Allocation!$B$29*Allocation!$B$16*T$247,IF(OFFSET(Assumptions!$B$58,0,$C$1)="Yes",S$268*(1+SUMPRODUCT(Exogenous!$G$65:$G$73,'Population Treasury'!AE$219:AE$227)+SUMPRODUCT(Exogenous!$H$65:$H$73,'Population Treasury'!AE$264:AE$272))*(1+T$25)*(1+T$29)*(1+OFFSET(Assumptions!$B$61,0,$C$1))/(1+OFFSET(Assumptions!$B$62,0,$C$1))-S$268,0))</f>
        <v>7.5136772960830784</v>
      </c>
      <c r="U268" s="16">
        <f ca="1">T$268+IF(OFFSET(Assumptions!$B$57,0,$C$1)="Yes",Allocation!$B$29*Allocation!$B$16*U$247,IF(OFFSET(Assumptions!$B$58,0,$C$1)="Yes",T$268*(1+SUMPRODUCT(Exogenous!$G$65:$G$73,'Population Treasury'!AF$219:AF$227)+SUMPRODUCT(Exogenous!$H$65:$H$73,'Population Treasury'!AF$264:AF$272))*(1+U$25)*(1+U$29)*(1+OFFSET(Assumptions!$B$61,0,$C$1))/(1+OFFSET(Assumptions!$B$62,0,$C$1))-T$268,0))</f>
        <v>7.7750349445852365</v>
      </c>
      <c r="V268" s="16">
        <f ca="1">U$268+IF(OFFSET(Assumptions!$B$57,0,$C$1)="Yes",Allocation!$B$29*Allocation!$B$16*V$247,IF(OFFSET(Assumptions!$B$58,0,$C$1)="Yes",U$268*(1+SUMPRODUCT(Exogenous!$G$65:$G$73,'Population Treasury'!AG$219:AG$227)+SUMPRODUCT(Exogenous!$H$65:$H$73,'Population Treasury'!AG$264:AG$272))*(1+V$25)*(1+V$29)*(1+OFFSET(Assumptions!$B$61,0,$C$1))/(1+OFFSET(Assumptions!$B$62,0,$C$1))-U$268,0))</f>
        <v>8.048527068036428</v>
      </c>
      <c r="W268" s="16">
        <f ca="1">V$268+IF(OFFSET(Assumptions!$B$57,0,$C$1)="Yes",Allocation!$B$29*Allocation!$B$16*W$247,IF(OFFSET(Assumptions!$B$58,0,$C$1)="Yes",V$268*(1+SUMPRODUCT(Exogenous!$G$65:$G$73,'Population Treasury'!AH$219:AH$227)+SUMPRODUCT(Exogenous!$H$65:$H$73,'Population Treasury'!AH$264:AH$272))*(1+W$25)*(1+W$29)*(1+OFFSET(Assumptions!$B$61,0,$C$1))/(1+OFFSET(Assumptions!$B$62,0,$C$1))-V$268,0))</f>
        <v>8.3256305022059944</v>
      </c>
      <c r="X268" s="16">
        <f ca="1">W$268+IF(OFFSET(Assumptions!$B$57,0,$C$1)="Yes",Allocation!$B$29*Allocation!$B$16*X$247,IF(OFFSET(Assumptions!$B$58,0,$C$1)="Yes",W$268*(1+SUMPRODUCT(Exogenous!$G$65:$G$73,'Population Treasury'!AI$219:AI$227)+SUMPRODUCT(Exogenous!$H$65:$H$73,'Population Treasury'!AI$264:AI$272))*(1+X$25)*(1+X$29)*(1+OFFSET(Assumptions!$B$61,0,$C$1))/(1+OFFSET(Assumptions!$B$62,0,$C$1))-W$268,0))</f>
        <v>8.6089592262727272</v>
      </c>
    </row>
    <row r="269" spans="1:24" x14ac:dyDescent="0.25">
      <c r="A269" s="11" t="s">
        <v>1286</v>
      </c>
      <c r="B269" s="10" t="str">
        <f t="shared" si="164"/>
        <v>From Fiscal Forecasts</v>
      </c>
      <c r="D269" s="35">
        <f>'Fiscal Forecasts'!D$410</f>
        <v>2.988</v>
      </c>
      <c r="E269" s="35">
        <f>'Fiscal Forecasts'!E$410</f>
        <v>3.0950000000000002</v>
      </c>
      <c r="F269" s="35">
        <f>'Fiscal Forecasts'!F$410</f>
        <v>3.5830000000000002</v>
      </c>
      <c r="G269" s="35">
        <f>'Fiscal Forecasts'!G$410</f>
        <v>3.7450000000000001</v>
      </c>
      <c r="H269" s="35">
        <f>'Fiscal Forecasts'!H$410</f>
        <v>3.8370000000000002</v>
      </c>
      <c r="I269" s="35">
        <f>'Fiscal Forecasts'!I$410</f>
        <v>4.351</v>
      </c>
      <c r="J269" s="17">
        <f ca="1">'Fiscal Forecasts'!J$410+IF(OFFSET(Assumptions!$B$56,0,$C$1)="Yes",Allocation!C$30,0)</f>
        <v>4.3759999999999994</v>
      </c>
      <c r="K269" s="17">
        <f ca="1">'Fiscal Forecasts'!K$410+IF(OFFSET(Assumptions!$B$56,0,$C$1)="Yes",Allocation!D$30,0)</f>
        <v>4.7910000000000004</v>
      </c>
      <c r="L269" s="17">
        <f ca="1">'Fiscal Forecasts'!L$410+IF(OFFSET(Assumptions!$B$56,0,$C$1)="Yes",Allocation!E$30,0)</f>
        <v>4.9049999999999994</v>
      </c>
      <c r="M269" s="17">
        <f ca="1">'Fiscal Forecasts'!M$410+IF(OFFSET(Assumptions!$B$56,0,$C$1)="Yes",Allocation!F$30,0)</f>
        <v>4.97</v>
      </c>
      <c r="N269" s="17">
        <f ca="1">'Fiscal Forecasts'!N$410+IF(OFFSET(Assumptions!$B$56,0,$C$1)="Yes",Allocation!G$30,0)</f>
        <v>5.0890000000000004</v>
      </c>
      <c r="O269" s="16">
        <f ca="1">N$269+IF(OFFSET(Assumptions!$B$57,0,$C$1)="Yes",Allocation!$B$30*Allocation!$B$16*O$247,IF(OFFSET(Assumptions!$B$58,0,$C$1)="Yes",N$269*(1+SUMPRODUCT(Exogenous!$L$65:$L$71,'Population Treasury'!Z$227:Z$233)+SUMPRODUCT(Exogenous!$M$65:$M$71,'Population Treasury'!Z$272:Z$278))*(1+O$25)*(1+O$29)*(1+OFFSET(Assumptions!$B$61,0,$C$1))/(1+OFFSET(Assumptions!$B$62,0,$C$1))-N$269,0))</f>
        <v>5.2433665102793698</v>
      </c>
      <c r="P269" s="16">
        <f ca="1">O$269+IF(OFFSET(Assumptions!$B$57,0,$C$1)="Yes",Allocation!$B$30*Allocation!$B$16*P$247,IF(OFFSET(Assumptions!$B$58,0,$C$1)="Yes",O$269*(1+SUMPRODUCT(Exogenous!$L$65:$L$71,'Population Treasury'!AA$227:AA$233)+SUMPRODUCT(Exogenous!$M$65:$M$71,'Population Treasury'!AA$272:AA$278))*(1+P$25)*(1+P$29)*(1+OFFSET(Assumptions!$B$61,0,$C$1))/(1+OFFSET(Assumptions!$B$62,0,$C$1))-O$269,0))</f>
        <v>5.3983152018111973</v>
      </c>
      <c r="Q269" s="16">
        <f ca="1">P$269+IF(OFFSET(Assumptions!$B$57,0,$C$1)="Yes",Allocation!$B$30*Allocation!$B$16*Q$247,IF(OFFSET(Assumptions!$B$58,0,$C$1)="Yes",P$269*(1+SUMPRODUCT(Exogenous!$L$65:$L$71,'Population Treasury'!AB$227:AB$233)+SUMPRODUCT(Exogenous!$M$65:$M$71,'Population Treasury'!AB$272:AB$278))*(1+Q$25)*(1+Q$29)*(1+OFFSET(Assumptions!$B$61,0,$C$1))/(1+OFFSET(Assumptions!$B$62,0,$C$1))-P$269,0))</f>
        <v>5.5610318132800955</v>
      </c>
      <c r="R269" s="16">
        <f ca="1">Q$269+IF(OFFSET(Assumptions!$B$57,0,$C$1)="Yes",Allocation!$B$30*Allocation!$B$16*R$247,IF(OFFSET(Assumptions!$B$58,0,$C$1)="Yes",Q$269*(1+SUMPRODUCT(Exogenous!$L$65:$L$71,'Population Treasury'!AC$227:AC$233)+SUMPRODUCT(Exogenous!$M$65:$M$71,'Population Treasury'!AC$272:AC$278))*(1+R$25)*(1+R$29)*(1+OFFSET(Assumptions!$B$61,0,$C$1))/(1+OFFSET(Assumptions!$B$62,0,$C$1))-Q$269,0))</f>
        <v>5.7227434313047905</v>
      </c>
      <c r="S269" s="16">
        <f ca="1">R$269+IF(OFFSET(Assumptions!$B$57,0,$C$1)="Yes",Allocation!$B$30*Allocation!$B$16*S$247,IF(OFFSET(Assumptions!$B$58,0,$C$1)="Yes",R$269*(1+SUMPRODUCT(Exogenous!$L$65:$L$71,'Population Treasury'!AD$227:AD$233)+SUMPRODUCT(Exogenous!$M$65:$M$71,'Population Treasury'!AD$272:AD$278))*(1+S$25)*(1+S$29)*(1+OFFSET(Assumptions!$B$61,0,$C$1))/(1+OFFSET(Assumptions!$B$62,0,$C$1))-R$269,0))</f>
        <v>5.9026072008625441</v>
      </c>
      <c r="T269" s="16">
        <f ca="1">S$269+IF(OFFSET(Assumptions!$B$57,0,$C$1)="Yes",Allocation!$B$30*Allocation!$B$16*T$247,IF(OFFSET(Assumptions!$B$58,0,$C$1)="Yes",S$269*(1+SUMPRODUCT(Exogenous!$L$65:$L$71,'Population Treasury'!AE$227:AE$233)+SUMPRODUCT(Exogenous!$M$65:$M$71,'Population Treasury'!AE$272:AE$278))*(1+T$25)*(1+T$29)*(1+OFFSET(Assumptions!$B$61,0,$C$1))/(1+OFFSET(Assumptions!$B$62,0,$C$1))-S$269,0))</f>
        <v>6.1061008660384308</v>
      </c>
      <c r="U269" s="16">
        <f ca="1">T$269+IF(OFFSET(Assumptions!$B$57,0,$C$1)="Yes",Allocation!$B$30*Allocation!$B$16*U$247,IF(OFFSET(Assumptions!$B$58,0,$C$1)="Yes",T$269*(1+SUMPRODUCT(Exogenous!$L$65:$L$71,'Population Treasury'!AF$227:AF$233)+SUMPRODUCT(Exogenous!$M$65:$M$71,'Population Treasury'!AF$272:AF$278))*(1+U$25)*(1+U$29)*(1+OFFSET(Assumptions!$B$61,0,$C$1))/(1+OFFSET(Assumptions!$B$62,0,$C$1))-T$269,0))</f>
        <v>6.3235106016639264</v>
      </c>
      <c r="V269" s="16">
        <f ca="1">U$269+IF(OFFSET(Assumptions!$B$57,0,$C$1)="Yes",Allocation!$B$30*Allocation!$B$16*V$247,IF(OFFSET(Assumptions!$B$58,0,$C$1)="Yes",U$269*(1+SUMPRODUCT(Exogenous!$L$65:$L$71,'Population Treasury'!AG$227:AG$233)+SUMPRODUCT(Exogenous!$M$65:$M$71,'Population Treasury'!AG$272:AG$278))*(1+V$25)*(1+V$29)*(1+OFFSET(Assumptions!$B$61,0,$C$1))/(1+OFFSET(Assumptions!$B$62,0,$C$1))-U$269,0))</f>
        <v>6.5395922206665977</v>
      </c>
      <c r="W269" s="16">
        <f ca="1">V$269+IF(OFFSET(Assumptions!$B$57,0,$C$1)="Yes",Allocation!$B$30*Allocation!$B$16*W$247,IF(OFFSET(Assumptions!$B$58,0,$C$1)="Yes",V$269*(1+SUMPRODUCT(Exogenous!$L$65:$L$71,'Population Treasury'!AH$227:AH$233)+SUMPRODUCT(Exogenous!$M$65:$M$71,'Population Treasury'!AH$272:AH$278))*(1+W$25)*(1+W$29)*(1+OFFSET(Assumptions!$B$61,0,$C$1))/(1+OFFSET(Assumptions!$B$62,0,$C$1))-V$269,0))</f>
        <v>6.7625708317827451</v>
      </c>
      <c r="X269" s="16">
        <f ca="1">W$269+IF(OFFSET(Assumptions!$B$57,0,$C$1)="Yes",Allocation!$B$30*Allocation!$B$16*X$247,IF(OFFSET(Assumptions!$B$58,0,$C$1)="Yes",W$269*(1+SUMPRODUCT(Exogenous!$L$65:$L$71,'Population Treasury'!AI$227:AI$233)+SUMPRODUCT(Exogenous!$M$65:$M$71,'Population Treasury'!AI$272:AI$278))*(1+X$25)*(1+X$29)*(1+OFFSET(Assumptions!$B$61,0,$C$1))/(1+OFFSET(Assumptions!$B$62,0,$C$1))-W$269,0))</f>
        <v>6.9780890771260493</v>
      </c>
    </row>
    <row r="270" spans="1:24" x14ac:dyDescent="0.25">
      <c r="A270" s="11" t="s">
        <v>1288</v>
      </c>
      <c r="B270" s="10" t="str">
        <f t="shared" si="164"/>
        <v>From Fiscal Forecasts</v>
      </c>
      <c r="D270" s="35">
        <f>'Fiscal Forecasts'!D$411</f>
        <v>2.9660000000000002</v>
      </c>
      <c r="E270" s="35">
        <f>'Fiscal Forecasts'!E$411</f>
        <v>4.548</v>
      </c>
      <c r="F270" s="35">
        <f>'Fiscal Forecasts'!F$411</f>
        <v>2.4600000000000004</v>
      </c>
      <c r="G270" s="35">
        <f>'Fiscal Forecasts'!G$411</f>
        <v>3.7590000000000003</v>
      </c>
      <c r="H270" s="35">
        <f>'Fiscal Forecasts'!H$411</f>
        <v>3.5869999999999997</v>
      </c>
      <c r="I270" s="35">
        <f>'Fiscal Forecasts'!I$411</f>
        <v>3.9439999999999995</v>
      </c>
      <c r="J270" s="17">
        <f ca="1">'Fiscal Forecasts'!J$411+IF(OFFSET(Assumptions!$B$56,0,$C$1)="Yes",Allocation!C$31,0)</f>
        <v>3.7979999999999996</v>
      </c>
      <c r="K270" s="17">
        <f ca="1">'Fiscal Forecasts'!K$411+IF(OFFSET(Assumptions!$B$56,0,$C$1)="Yes",Allocation!D$31,0)</f>
        <v>3.9210000000000003</v>
      </c>
      <c r="L270" s="17">
        <f ca="1">'Fiscal Forecasts'!L$411+IF(OFFSET(Assumptions!$B$56,0,$C$1)="Yes",Allocation!E$31,0)</f>
        <v>4.0629999999999997</v>
      </c>
      <c r="M270" s="17">
        <f ca="1">'Fiscal Forecasts'!M$411+IF(OFFSET(Assumptions!$B$56,0,$C$1)="Yes",Allocation!F$31,0)</f>
        <v>4.242</v>
      </c>
      <c r="N270" s="17">
        <f ca="1">'Fiscal Forecasts'!N$411+IF(OFFSET(Assumptions!$B$56,0,$C$1)="Yes",Allocation!G$31,0)</f>
        <v>4.4620000000000006</v>
      </c>
      <c r="O270" s="16">
        <f ca="1">N$270+IF(OFFSET(Assumptions!$B$57,0,$C$1)="Yes",Allocation!$B$31*Allocation!$B$16*O$247,IF(OFFSET(Assumptions!$B$58,0,$C$1)="Yes",N$270*(1+Exogenous!$Q$65*'Population Treasury'!Z$231+SUMPRODUCT(Exogenous!$Q$66:$Q$69,'Population Treasury'!Z$234:Z$237)+Exogenous!$R$65*'Population Treasury'!Z$276+SUMPRODUCT(Exogenous!$R$66:$R$69,'Population Treasury'!Z$279:Z$282))*(1+O$25)*(1+O$29)*(1+OFFSET(Assumptions!$B$61,0,$C$1))/(1+OFFSET(Assumptions!$B$62,0,$C$1))-N$270,0))</f>
        <v>4.6774647010022816</v>
      </c>
      <c r="P270" s="16">
        <f ca="1">O$270+IF(OFFSET(Assumptions!$B$57,0,$C$1)="Yes",Allocation!$B$31*Allocation!$B$16*P$247,IF(OFFSET(Assumptions!$B$58,0,$C$1)="Yes",O$270*(1+Exogenous!$Q$65*'Population Treasury'!AA$231+SUMPRODUCT(Exogenous!$Q$66:$Q$69,'Population Treasury'!AA$234:AA$237)+Exogenous!$R$65*'Population Treasury'!AA$276+SUMPRODUCT(Exogenous!$R$66:$R$69,'Population Treasury'!AA$279:AA$282))*(1+P$25)*(1+P$29)*(1+OFFSET(Assumptions!$B$61,0,$C$1))/(1+OFFSET(Assumptions!$B$62,0,$C$1))-O$270,0))</f>
        <v>4.8913386543899984</v>
      </c>
      <c r="Q270" s="16">
        <f ca="1">P$270+IF(OFFSET(Assumptions!$B$57,0,$C$1)="Yes",Allocation!$B$31*Allocation!$B$16*Q$247,IF(OFFSET(Assumptions!$B$58,0,$C$1)="Yes",P$270*(1+Exogenous!$Q$65*'Population Treasury'!AB$231+SUMPRODUCT(Exogenous!$Q$66:$Q$69,'Population Treasury'!AB$234:AB$237)+Exogenous!$R$65*'Population Treasury'!AB$276+SUMPRODUCT(Exogenous!$R$66:$R$69,'Population Treasury'!AB$279:AB$282))*(1+Q$25)*(1+Q$29)*(1+OFFSET(Assumptions!$B$61,0,$C$1))/(1+OFFSET(Assumptions!$B$62,0,$C$1))-P$270,0))</f>
        <v>5.0909373427358844</v>
      </c>
      <c r="R270" s="16">
        <f ca="1">Q$270+IF(OFFSET(Assumptions!$B$57,0,$C$1)="Yes",Allocation!$B$31*Allocation!$B$16*R$247,IF(OFFSET(Assumptions!$B$58,0,$C$1)="Yes",Q$270*(1+Exogenous!$Q$65*'Population Treasury'!AC$231+SUMPRODUCT(Exogenous!$Q$66:$Q$69,'Population Treasury'!AC$234:AC$237)+Exogenous!$R$65*'Population Treasury'!AC$276+SUMPRODUCT(Exogenous!$R$66:$R$69,'Population Treasury'!AC$279:AC$282))*(1+R$25)*(1+R$29)*(1+OFFSET(Assumptions!$B$61,0,$C$1))/(1+OFFSET(Assumptions!$B$62,0,$C$1))-Q$270,0))</f>
        <v>5.2877800588599815</v>
      </c>
      <c r="S270" s="16">
        <f ca="1">R$270+IF(OFFSET(Assumptions!$B$57,0,$C$1)="Yes",Allocation!$B$31*Allocation!$B$16*S$247,IF(OFFSET(Assumptions!$B$58,0,$C$1)="Yes",R$270*(1+Exogenous!$Q$65*'Population Treasury'!AD$231+SUMPRODUCT(Exogenous!$Q$66:$Q$69,'Population Treasury'!AD$234:AD$237)+Exogenous!$R$65*'Population Treasury'!AD$276+SUMPRODUCT(Exogenous!$R$66:$R$69,'Population Treasury'!AD$279:AD$282))*(1+S$25)*(1+S$29)*(1+OFFSET(Assumptions!$B$61,0,$C$1))/(1+OFFSET(Assumptions!$B$62,0,$C$1))-R$270,0))</f>
        <v>5.4883301006531671</v>
      </c>
      <c r="T270" s="16">
        <f ca="1">S$270+IF(OFFSET(Assumptions!$B$57,0,$C$1)="Yes",Allocation!$B$31*Allocation!$B$16*T$247,IF(OFFSET(Assumptions!$B$58,0,$C$1)="Yes",S$270*(1+Exogenous!$Q$65*'Population Treasury'!AE$231+SUMPRODUCT(Exogenous!$Q$66:$Q$69,'Population Treasury'!AE$234:AE$237)+Exogenous!$R$65*'Population Treasury'!AE$276+SUMPRODUCT(Exogenous!$R$66:$R$69,'Population Treasury'!AE$279:AE$282))*(1+T$25)*(1+T$29)*(1+OFFSET(Assumptions!$B$61,0,$C$1))/(1+OFFSET(Assumptions!$B$62,0,$C$1))-S$270,0))</f>
        <v>5.6846692174021953</v>
      </c>
      <c r="U270" s="16">
        <f ca="1">T$270+IF(OFFSET(Assumptions!$B$57,0,$C$1)="Yes",Allocation!$B$31*Allocation!$B$16*U$247,IF(OFFSET(Assumptions!$B$58,0,$C$1)="Yes",T$270*(1+Exogenous!$Q$65*'Population Treasury'!AF$231+SUMPRODUCT(Exogenous!$Q$66:$Q$69,'Population Treasury'!AF$234:AF$237)+Exogenous!$R$65*'Population Treasury'!AF$276+SUMPRODUCT(Exogenous!$R$66:$R$69,'Population Treasury'!AF$279:AF$282))*(1+U$25)*(1+U$29)*(1+OFFSET(Assumptions!$B$61,0,$C$1))/(1+OFFSET(Assumptions!$B$62,0,$C$1))-T$270,0))</f>
        <v>5.8781752018468776</v>
      </c>
      <c r="V270" s="16">
        <f ca="1">U$270+IF(OFFSET(Assumptions!$B$57,0,$C$1)="Yes",Allocation!$B$31*Allocation!$B$16*V$247,IF(OFFSET(Assumptions!$B$58,0,$C$1)="Yes",U$270*(1+Exogenous!$Q$65*'Population Treasury'!AG$231+SUMPRODUCT(Exogenous!$Q$66:$Q$69,'Population Treasury'!AG$234:AG$237)+Exogenous!$R$65*'Population Treasury'!AG$276+SUMPRODUCT(Exogenous!$R$66:$R$69,'Population Treasury'!AG$279:AG$282))*(1+V$25)*(1+V$29)*(1+OFFSET(Assumptions!$B$61,0,$C$1))/(1+OFFSET(Assumptions!$B$62,0,$C$1))-U$270,0))</f>
        <v>6.0715210931033976</v>
      </c>
      <c r="W270" s="16">
        <f ca="1">V$270+IF(OFFSET(Assumptions!$B$57,0,$C$1)="Yes",Allocation!$B$31*Allocation!$B$16*W$247,IF(OFFSET(Assumptions!$B$58,0,$C$1)="Yes",V$270*(1+Exogenous!$Q$65*'Population Treasury'!AH$231+SUMPRODUCT(Exogenous!$Q$66:$Q$69,'Population Treasury'!AH$234:AH$237)+Exogenous!$R$65*'Population Treasury'!AH$276+SUMPRODUCT(Exogenous!$R$66:$R$69,'Population Treasury'!AH$279:AH$282))*(1+W$25)*(1+W$29)*(1+OFFSET(Assumptions!$B$61,0,$C$1))/(1+OFFSET(Assumptions!$B$62,0,$C$1))-V$270,0))</f>
        <v>6.2701108944402471</v>
      </c>
      <c r="X270" s="16">
        <f ca="1">W$270+IF(OFFSET(Assumptions!$B$57,0,$C$1)="Yes",Allocation!$B$31*Allocation!$B$16*X$247,IF(OFFSET(Assumptions!$B$58,0,$C$1)="Yes",W$270*(1+Exogenous!$Q$65*'Population Treasury'!AI$231+SUMPRODUCT(Exogenous!$Q$66:$Q$69,'Population Treasury'!AI$234:AI$237)+Exogenous!$R$65*'Population Treasury'!AI$276+SUMPRODUCT(Exogenous!$R$66:$R$69,'Population Treasury'!AI$279:AI$282))*(1+X$25)*(1+X$29)*(1+OFFSET(Assumptions!$B$61,0,$C$1))/(1+OFFSET(Assumptions!$B$62,0,$C$1))-W$270,0))</f>
        <v>6.4894069485745227</v>
      </c>
    </row>
    <row r="271" spans="1:24" x14ac:dyDescent="0.25">
      <c r="A271" s="11" t="s">
        <v>721</v>
      </c>
      <c r="D271" s="35">
        <f>D$190</f>
        <v>0.58299999999999996</v>
      </c>
      <c r="E271" s="35">
        <f t="shared" ref="E271:X271" si="165">E$190</f>
        <v>0.56699999999999995</v>
      </c>
      <c r="F271" s="35">
        <f t="shared" si="165"/>
        <v>0.59</v>
      </c>
      <c r="G271" s="35">
        <f t="shared" si="165"/>
        <v>0.55600000000000005</v>
      </c>
      <c r="H271" s="35">
        <f t="shared" si="165"/>
        <v>0.52500000000000002</v>
      </c>
      <c r="I271" s="35">
        <f t="shared" si="165"/>
        <v>0.52600000000000002</v>
      </c>
      <c r="J271" s="17">
        <f t="shared" si="165"/>
        <v>0.57799999999999996</v>
      </c>
      <c r="K271" s="17">
        <f t="shared" si="165"/>
        <v>0.63500000000000001</v>
      </c>
      <c r="L271" s="17">
        <f t="shared" si="165"/>
        <v>0.64</v>
      </c>
      <c r="M271" s="17">
        <f t="shared" si="165"/>
        <v>0.63700000000000001</v>
      </c>
      <c r="N271" s="17">
        <f t="shared" si="165"/>
        <v>0.628</v>
      </c>
      <c r="O271" s="16">
        <f t="shared" ca="1" si="165"/>
        <v>0.64562485974176986</v>
      </c>
      <c r="P271" s="16">
        <f t="shared" ca="1" si="165"/>
        <v>0.66194568964686296</v>
      </c>
      <c r="Q271" s="16">
        <f t="shared" ca="1" si="165"/>
        <v>0.67712377808722313</v>
      </c>
      <c r="R271" s="16">
        <f t="shared" ca="1" si="165"/>
        <v>0.69245219913184963</v>
      </c>
      <c r="S271" s="16">
        <f t="shared" ca="1" si="165"/>
        <v>0.70825442012990725</v>
      </c>
      <c r="T271" s="16">
        <f t="shared" ca="1" si="165"/>
        <v>0.72507180469317367</v>
      </c>
      <c r="U271" s="16">
        <f t="shared" ca="1" si="165"/>
        <v>0.74154264390725988</v>
      </c>
      <c r="V271" s="16">
        <f t="shared" ca="1" si="165"/>
        <v>0.75822655773090308</v>
      </c>
      <c r="W271" s="16">
        <f t="shared" ca="1" si="165"/>
        <v>0.77527296537521928</v>
      </c>
      <c r="X271" s="16">
        <f t="shared" ca="1" si="165"/>
        <v>0.79306000206523053</v>
      </c>
    </row>
    <row r="272" spans="1:24" x14ac:dyDescent="0.25">
      <c r="A272" s="11" t="s">
        <v>980</v>
      </c>
      <c r="D272" s="35">
        <f>D$411</f>
        <v>0.56299999999999994</v>
      </c>
      <c r="E272" s="35">
        <f t="shared" ref="E272:X272" si="166">E$411</f>
        <v>0.50600000000000001</v>
      </c>
      <c r="F272" s="35">
        <f t="shared" si="166"/>
        <v>0.46899999999999997</v>
      </c>
      <c r="G272" s="35">
        <f t="shared" si="166"/>
        <v>0.48899999999999999</v>
      </c>
      <c r="H272" s="35">
        <f t="shared" si="166"/>
        <v>0.55100000000000005</v>
      </c>
      <c r="I272" s="35">
        <f t="shared" si="166"/>
        <v>0.54400000000000004</v>
      </c>
      <c r="J272" s="17">
        <f t="shared" si="166"/>
        <v>0.56000000000000005</v>
      </c>
      <c r="K272" s="17">
        <f t="shared" si="166"/>
        <v>0.63600000000000001</v>
      </c>
      <c r="L272" s="17">
        <f t="shared" si="166"/>
        <v>0.628</v>
      </c>
      <c r="M272" s="17">
        <f t="shared" si="166"/>
        <v>0.627</v>
      </c>
      <c r="N272" s="17">
        <f t="shared" si="166"/>
        <v>0.65300000000000002</v>
      </c>
      <c r="O272" s="16">
        <f t="shared" si="166"/>
        <v>0.65600000000000003</v>
      </c>
      <c r="P272" s="16">
        <f t="shared" si="166"/>
        <v>0.67400000000000004</v>
      </c>
      <c r="Q272" s="16">
        <f t="shared" si="166"/>
        <v>0.69299999999999995</v>
      </c>
      <c r="R272" s="16">
        <f t="shared" si="166"/>
        <v>0.71099999999999997</v>
      </c>
      <c r="S272" s="16">
        <f t="shared" si="166"/>
        <v>0.72699999999999998</v>
      </c>
      <c r="T272" s="16">
        <f t="shared" si="166"/>
        <v>0.74199999999999999</v>
      </c>
      <c r="U272" s="16">
        <f t="shared" si="166"/>
        <v>0.75600000000000001</v>
      </c>
      <c r="V272" s="16">
        <f t="shared" si="166"/>
        <v>0.76900000000000002</v>
      </c>
      <c r="W272" s="16">
        <f t="shared" si="166"/>
        <v>0.78300000000000003</v>
      </c>
      <c r="X272" s="16">
        <f t="shared" si="166"/>
        <v>0.79700000000000004</v>
      </c>
    </row>
    <row r="273" spans="1:24" x14ac:dyDescent="0.25">
      <c r="A273" s="11" t="s">
        <v>1287</v>
      </c>
      <c r="B273" s="10" t="str">
        <f>$B$38</f>
        <v>From Fiscal Forecasts</v>
      </c>
      <c r="C273" s="64" cm="1">
        <f t="array" aca="1" ref="C273" ca="1">SUMPRODUCT(OFFSET($N$273,0,0,1,-OFFSET(Assumptions!$B$59,0,$C$1))/OFFSET($N$13,0,0,1,-OFFSET(Assumptions!$B$59,0,$C$1)))/OFFSET(Assumptions!$B$59,0,$C$1)</f>
        <v>6.1849088482578765E-3</v>
      </c>
      <c r="D273" s="35">
        <f>'Fiscal Forecasts'!D$414</f>
        <v>1.462</v>
      </c>
      <c r="E273" s="35">
        <f>'Fiscal Forecasts'!E$414</f>
        <v>1.5860000000000001</v>
      </c>
      <c r="F273" s="35">
        <f>'Fiscal Forecasts'!F$414</f>
        <v>2.1579999999999999</v>
      </c>
      <c r="G273" s="35">
        <f>'Fiscal Forecasts'!G$414</f>
        <v>2.4940000000000002</v>
      </c>
      <c r="H273" s="35">
        <f>'Fiscal Forecasts'!H$414</f>
        <v>2.7690000000000001</v>
      </c>
      <c r="I273" s="35">
        <f>'Fiscal Forecasts'!I$414</f>
        <v>2.758</v>
      </c>
      <c r="J273" s="17">
        <f ca="1">'Fiscal Forecasts'!J$414+IF(OFFSET(Assumptions!$B$56,0,$C$1)="Yes",Allocation!C$32,0)</f>
        <v>2.6779999999999999</v>
      </c>
      <c r="K273" s="17">
        <f ca="1">'Fiscal Forecasts'!K$414+IF(OFFSET(Assumptions!$B$56,0,$C$1)="Yes",Allocation!D$32,0)</f>
        <v>2.819</v>
      </c>
      <c r="L273" s="17">
        <f ca="1">'Fiscal Forecasts'!L$414+IF(OFFSET(Assumptions!$B$56,0,$C$1)="Yes",Allocation!E$32,0)</f>
        <v>2.931</v>
      </c>
      <c r="M273" s="17">
        <f ca="1">'Fiscal Forecasts'!M$414+IF(OFFSET(Assumptions!$B$56,0,$C$1)="Yes",Allocation!F$32,0)</f>
        <v>2.988</v>
      </c>
      <c r="N273" s="17">
        <f ca="1">'Fiscal Forecasts'!N$414+IF(OFFSET(Assumptions!$B$56,0,$C$1)="Yes",Allocation!G$32,0)</f>
        <v>3.0759999999999996</v>
      </c>
      <c r="O273" s="16">
        <f ca="1">N$273+IF(OFFSET(Assumptions!$B$57,0,$C$1)="Yes",Allocation!$B$32*Allocation!$B$16*O$247,IF(OFFSET(Assumptions!$B$58,0,$C$1)="Yes",(N$273/N$13+MIN(ABS($C$273-N$273/N$13),OFFSET(Assumptions!$B$60,0,$C$1))*SIGN($C$273-N$273/N$13))*O$13-N$273,0))</f>
        <v>3.3815158923204764</v>
      </c>
      <c r="P273" s="16">
        <f ca="1">O$273+IF(OFFSET(Assumptions!$B$57,0,$C$1)="Yes",Allocation!$B$32*Allocation!$B$16*P$247,IF(OFFSET(Assumptions!$B$58,0,$C$1)="Yes",(O$273/O$13+MIN(ABS($C$273-O$273/O$13),OFFSET(Assumptions!$B$60,0,$C$1))*SIGN($C$273-O$273/O$13))*P$13-O$273,0))</f>
        <v>3.5257380811480412</v>
      </c>
      <c r="Q273" s="16">
        <f ca="1">P$273+IF(OFFSET(Assumptions!$B$57,0,$C$1)="Yes",Allocation!$B$32*Allocation!$B$16*Q$247,IF(OFFSET(Assumptions!$B$58,0,$C$1)="Yes",(P$273/P$13+MIN(ABS($C$273-P$273/P$13),OFFSET(Assumptions!$B$60,0,$C$1))*SIGN($C$273-P$273/P$13))*Q$13-P$273,0))</f>
        <v>3.6702734157507075</v>
      </c>
      <c r="R273" s="16">
        <f ca="1">Q$273+IF(OFFSET(Assumptions!$B$57,0,$C$1)="Yes",Allocation!$B$32*Allocation!$B$16*R$247,IF(OFFSET(Assumptions!$B$58,0,$C$1)="Yes",(Q$273/Q$13+MIN(ABS($C$273-Q$273/Q$13),OFFSET(Assumptions!$B$60,0,$C$1))*SIGN($C$273-Q$273/Q$13))*R$13-Q$273,0))</f>
        <v>3.8147959379483463</v>
      </c>
      <c r="S273" s="16">
        <f ca="1">R$273+IF(OFFSET(Assumptions!$B$57,0,$C$1)="Yes",Allocation!$B$32*Allocation!$B$16*S$247,IF(OFFSET(Assumptions!$B$58,0,$C$1)="Yes",(R$273/R$13+MIN(ABS($C$273-R$273/R$13),OFFSET(Assumptions!$B$60,0,$C$1))*SIGN($C$273-R$273/R$13))*S$13-R$273,0))</f>
        <v>3.9625051327700103</v>
      </c>
      <c r="T273" s="16">
        <f ca="1">S$273+IF(OFFSET(Assumptions!$B$57,0,$C$1)="Yes",Allocation!$B$32*Allocation!$B$16*T$247,IF(OFFSET(Assumptions!$B$58,0,$C$1)="Yes",(S$273/S$13+MIN(ABS($C$273-S$273/S$13),OFFSET(Assumptions!$B$60,0,$C$1))*SIGN($C$273-S$273/S$13))*T$13-S$273,0))</f>
        <v>4.1131755827777798</v>
      </c>
      <c r="U273" s="16">
        <f ca="1">T$273+IF(OFFSET(Assumptions!$B$57,0,$C$1)="Yes",Allocation!$B$32*Allocation!$B$16*U$247,IF(OFFSET(Assumptions!$B$58,0,$C$1)="Yes",(T$273/T$13+MIN(ABS($C$273-T$273/T$13),OFFSET(Assumptions!$B$60,0,$C$1))*SIGN($C$273-T$273/T$13))*U$13-T$273,0))</f>
        <v>4.2658549297458341</v>
      </c>
      <c r="V273" s="16">
        <f ca="1">U$273+IF(OFFSET(Assumptions!$B$57,0,$C$1)="Yes",Allocation!$B$32*Allocation!$B$16*V$247,IF(OFFSET(Assumptions!$B$58,0,$C$1)="Yes",(U$273/U$13+MIN(ABS($C$273-U$273/U$13),OFFSET(Assumptions!$B$60,0,$C$1))*SIGN($C$273-U$273/U$13))*V$13-U$273,0))</f>
        <v>4.4208297812339525</v>
      </c>
      <c r="W273" s="16">
        <f ca="1">V$273+IF(OFFSET(Assumptions!$B$57,0,$C$1)="Yes",Allocation!$B$32*Allocation!$B$16*W$247,IF(OFFSET(Assumptions!$B$58,0,$C$1)="Yes",(V$273/V$13+MIN(ABS($C$273-V$273/V$13),OFFSET(Assumptions!$B$60,0,$C$1))*SIGN($C$273-V$273/V$13))*W$13-V$273,0))</f>
        <v>4.5780943634237303</v>
      </c>
      <c r="X273" s="16">
        <f ca="1">W$273+IF(OFFSET(Assumptions!$B$57,0,$C$1)="Yes",Allocation!$B$32*Allocation!$B$16*X$247,IF(OFFSET(Assumptions!$B$58,0,$C$1)="Yes",(W$273/W$13+MIN(ABS($C$273-W$273/W$13),OFFSET(Assumptions!$B$60,0,$C$1))*SIGN($C$273-W$273/W$13))*X$13-W$273,0))</f>
        <v>4.7388337481971794</v>
      </c>
    </row>
    <row r="274" spans="1:24" x14ac:dyDescent="0.25">
      <c r="A274" s="9" t="s">
        <v>981</v>
      </c>
      <c r="D274" s="65">
        <f>SUM(D$267:D$273)</f>
        <v>14.292999999999999</v>
      </c>
      <c r="E274" s="65">
        <f t="shared" ref="E274:X274" si="167">SUM(E$267:E$273)</f>
        <v>16.321999999999999</v>
      </c>
      <c r="F274" s="65">
        <f t="shared" si="167"/>
        <v>16.039000000000001</v>
      </c>
      <c r="G274" s="65">
        <f t="shared" si="167"/>
        <v>18.023</v>
      </c>
      <c r="H274" s="65">
        <f t="shared" si="167"/>
        <v>18.402999999999999</v>
      </c>
      <c r="I274" s="65">
        <f t="shared" si="167"/>
        <v>20.222999999999999</v>
      </c>
      <c r="J274" s="66">
        <f t="shared" ca="1" si="167"/>
        <v>20.206</v>
      </c>
      <c r="K274" s="66">
        <f t="shared" ca="1" si="167"/>
        <v>21.670999999999999</v>
      </c>
      <c r="L274" s="66">
        <f t="shared" ca="1" si="167"/>
        <v>22.305000000000003</v>
      </c>
      <c r="M274" s="66">
        <f t="shared" ca="1" si="167"/>
        <v>22.806000000000001</v>
      </c>
      <c r="N274" s="66">
        <f t="shared" ca="1" si="167"/>
        <v>23.495000000000001</v>
      </c>
      <c r="O274" s="67">
        <f t="shared" ca="1" si="167"/>
        <v>24.524292532296592</v>
      </c>
      <c r="P274" s="67">
        <f t="shared" ca="1" si="167"/>
        <v>25.42261526114843</v>
      </c>
      <c r="Q274" s="67">
        <f t="shared" ca="1" si="167"/>
        <v>26.335880635928376</v>
      </c>
      <c r="R274" s="67">
        <f t="shared" ca="1" si="167"/>
        <v>27.264251449588301</v>
      </c>
      <c r="S274" s="67">
        <f t="shared" ca="1" si="167"/>
        <v>28.22441525660296</v>
      </c>
      <c r="T274" s="67">
        <f t="shared" ca="1" si="167"/>
        <v>29.209647594843631</v>
      </c>
      <c r="U274" s="67">
        <f t="shared" ca="1" si="167"/>
        <v>30.222261957543559</v>
      </c>
      <c r="V274" s="67">
        <f t="shared" ca="1" si="167"/>
        <v>31.253532510098417</v>
      </c>
      <c r="W274" s="67">
        <f t="shared" ca="1" si="167"/>
        <v>32.311174496468041</v>
      </c>
      <c r="X274" s="67">
        <f t="shared" ca="1" si="167"/>
        <v>33.401085187473328</v>
      </c>
    </row>
    <row r="275" spans="1:24" x14ac:dyDescent="0.25">
      <c r="A275" s="11" t="s">
        <v>707</v>
      </c>
      <c r="B275" s="10" t="str">
        <f>$B$38</f>
        <v>From Fiscal Forecasts</v>
      </c>
      <c r="D275" s="35">
        <f>'Fiscal Forecasts'!D$208</f>
        <v>11.428000000000001</v>
      </c>
      <c r="E275" s="35">
        <f>'Fiscal Forecasts'!E$208</f>
        <v>13.705</v>
      </c>
      <c r="F275" s="35">
        <f>'Fiscal Forecasts'!F$208</f>
        <v>12.840999999999999</v>
      </c>
      <c r="G275" s="35">
        <f>'Fiscal Forecasts'!G$208</f>
        <v>13.805</v>
      </c>
      <c r="H275" s="35">
        <f>'Fiscal Forecasts'!H$208</f>
        <v>14.166</v>
      </c>
      <c r="I275" s="35">
        <f>'Fiscal Forecasts'!I$208</f>
        <v>15.346</v>
      </c>
      <c r="J275" s="17">
        <f>'Fiscal Forecasts'!J$208</f>
        <v>16.146999999999998</v>
      </c>
      <c r="K275" s="17">
        <f>'Fiscal Forecasts'!K$208</f>
        <v>16.46</v>
      </c>
      <c r="L275" s="17">
        <f>'Fiscal Forecasts'!L$208</f>
        <v>16.408999999999999</v>
      </c>
      <c r="M275" s="17">
        <f>'Fiscal Forecasts'!M$208</f>
        <v>16.244</v>
      </c>
      <c r="N275" s="17">
        <f>'Fiscal Forecasts'!N$208</f>
        <v>16.202999999999999</v>
      </c>
      <c r="O275" s="16">
        <f ca="1">N$275+SUM(O$267:O$270,O$273)-SUM(N$267:N$270,N$273)</f>
        <v>17.211667672554821</v>
      </c>
      <c r="P275" s="16">
        <f t="shared" ref="P275:X275" ca="1" si="168">O$275+SUM(P$267:P$270,P$273)-SUM(O$267:O$270,O$273)</f>
        <v>18.07566957150156</v>
      </c>
      <c r="Q275" s="16">
        <f t="shared" ca="1" si="168"/>
        <v>18.95475685784114</v>
      </c>
      <c r="R275" s="16">
        <f t="shared" ca="1" si="168"/>
        <v>19.849799250456442</v>
      </c>
      <c r="S275" s="16">
        <f t="shared" ca="1" si="168"/>
        <v>20.778160836473042</v>
      </c>
      <c r="T275" s="16">
        <f t="shared" ca="1" si="168"/>
        <v>21.731575790150444</v>
      </c>
      <c r="U275" s="16">
        <f t="shared" ca="1" si="168"/>
        <v>22.71371931363629</v>
      </c>
      <c r="V275" s="16">
        <f t="shared" ca="1" si="168"/>
        <v>23.715305952367501</v>
      </c>
      <c r="W275" s="16">
        <f t="shared" ca="1" si="168"/>
        <v>24.741901531092804</v>
      </c>
      <c r="X275" s="16">
        <f t="shared" ca="1" si="168"/>
        <v>25.800025185408089</v>
      </c>
    </row>
    <row r="276" spans="1:24" x14ac:dyDescent="0.25">
      <c r="A276" s="11" t="s">
        <v>866</v>
      </c>
      <c r="B276" s="10" t="str">
        <f>$B$38</f>
        <v>From Fiscal Forecasts</v>
      </c>
      <c r="D276" s="35">
        <f>'Fiscal Forecasts'!D$42-SUM(D$274:D$275)</f>
        <v>-10.441000000000001</v>
      </c>
      <c r="E276" s="35">
        <f>'Fiscal Forecasts'!E$42-SUM(E$274:E$275)</f>
        <v>-12.446000000000002</v>
      </c>
      <c r="F276" s="35">
        <f>'Fiscal Forecasts'!F$42-SUM(F$274:F$275)</f>
        <v>-11.496000000000002</v>
      </c>
      <c r="G276" s="35">
        <f>'Fiscal Forecasts'!G$42-SUM(G$274:G$275)</f>
        <v>-12.916999999999998</v>
      </c>
      <c r="H276" s="35">
        <f>'Fiscal Forecasts'!H$42-SUM(H$274:H$275)</f>
        <v>-12.96</v>
      </c>
      <c r="I276" s="35">
        <f>'Fiscal Forecasts'!I$42-SUM(I$274:I$275)</f>
        <v>-14.383000000000003</v>
      </c>
      <c r="J276" s="17">
        <f ca="1">'Fiscal Forecasts'!J$42-SUM(J$274:J$275)+IF(OFFSET(Assumptions!$B$56,0,$C$1)="Yes",Allocation!C$16,0)</f>
        <v>-14.744999999999992</v>
      </c>
      <c r="K276" s="17">
        <f ca="1">'Fiscal Forecasts'!K$42-SUM(K$274:K$275)+IF(OFFSET(Assumptions!$B$56,0,$C$1)="Yes",Allocation!D$16,0)</f>
        <v>-14.964999999999998</v>
      </c>
      <c r="L276" s="17">
        <f ca="1">'Fiscal Forecasts'!L$42-SUM(L$274:L$275)+IF(OFFSET(Assumptions!$B$56,0,$C$1)="Yes",Allocation!E$16,0)</f>
        <v>-14.852999999999998</v>
      </c>
      <c r="M276" s="17">
        <f ca="1">'Fiscal Forecasts'!M$42-SUM(M$274:M$275)+IF(OFFSET(Assumptions!$B$56,0,$C$1)="Yes",Allocation!F$16,0)</f>
        <v>-14.611999999999997</v>
      </c>
      <c r="N276" s="17">
        <f ca="1">'Fiscal Forecasts'!N$42-SUM(N$274:N$275)+IF(OFFSET(Assumptions!$B$56,0,$C$1)="Yes",Allocation!G$16,0)</f>
        <v>-14.517999999999999</v>
      </c>
      <c r="O276" s="16">
        <f ca="1">N$276-(SUM(O$267:O$270,O$273)-SUM(N$267:N$270,N$273))</f>
        <v>-15.52666767255482</v>
      </c>
      <c r="P276" s="16">
        <f t="shared" ref="P276:X276" ca="1" si="169">O$276-(SUM(P$267:P$270,P$273)-SUM(O$267:O$270,O$273))</f>
        <v>-16.390669571501562</v>
      </c>
      <c r="Q276" s="16">
        <f t="shared" ca="1" si="169"/>
        <v>-17.269756857841145</v>
      </c>
      <c r="R276" s="16">
        <f t="shared" ca="1" si="169"/>
        <v>-18.164799250456447</v>
      </c>
      <c r="S276" s="16">
        <f t="shared" ca="1" si="169"/>
        <v>-19.093160836473047</v>
      </c>
      <c r="T276" s="16">
        <f t="shared" ca="1" si="169"/>
        <v>-20.046575790150449</v>
      </c>
      <c r="U276" s="16">
        <f t="shared" ca="1" si="169"/>
        <v>-21.028719313636294</v>
      </c>
      <c r="V276" s="16">
        <f t="shared" ca="1" si="169"/>
        <v>-22.03030595236751</v>
      </c>
      <c r="W276" s="16">
        <f t="shared" ca="1" si="169"/>
        <v>-23.056901531092812</v>
      </c>
      <c r="X276" s="16">
        <f t="shared" ca="1" si="169"/>
        <v>-24.115025185408093</v>
      </c>
    </row>
    <row r="277" spans="1:24" x14ac:dyDescent="0.25">
      <c r="A277" s="9" t="s">
        <v>982</v>
      </c>
      <c r="D277" s="65">
        <f t="shared" ref="D277:I277" si="170">SUM(D$274:D$276)</f>
        <v>15.28</v>
      </c>
      <c r="E277" s="65">
        <f t="shared" si="170"/>
        <v>17.581</v>
      </c>
      <c r="F277" s="65">
        <f t="shared" si="170"/>
        <v>17.384</v>
      </c>
      <c r="G277" s="65">
        <f t="shared" si="170"/>
        <v>18.911000000000001</v>
      </c>
      <c r="H277" s="65">
        <f t="shared" si="170"/>
        <v>19.609000000000002</v>
      </c>
      <c r="I277" s="65">
        <f t="shared" si="170"/>
        <v>21.186</v>
      </c>
      <c r="J277" s="66">
        <f t="shared" ref="J277:X277" ca="1" si="171">SUM(J$274:J$276)</f>
        <v>21.608000000000004</v>
      </c>
      <c r="K277" s="66">
        <f t="shared" ca="1" si="171"/>
        <v>23.166000000000004</v>
      </c>
      <c r="L277" s="66">
        <f t="shared" ca="1" si="171"/>
        <v>23.861000000000001</v>
      </c>
      <c r="M277" s="66">
        <f t="shared" ca="1" si="171"/>
        <v>24.438000000000002</v>
      </c>
      <c r="N277" s="66">
        <f t="shared" ca="1" si="171"/>
        <v>25.18</v>
      </c>
      <c r="O277" s="67">
        <f t="shared" ca="1" si="171"/>
        <v>26.209292532296587</v>
      </c>
      <c r="P277" s="67">
        <f t="shared" ca="1" si="171"/>
        <v>27.107615261148425</v>
      </c>
      <c r="Q277" s="67">
        <f t="shared" ca="1" si="171"/>
        <v>28.020880635928371</v>
      </c>
      <c r="R277" s="67">
        <f t="shared" ca="1" si="171"/>
        <v>28.949251449588296</v>
      </c>
      <c r="S277" s="67">
        <f t="shared" ca="1" si="171"/>
        <v>29.909415256602955</v>
      </c>
      <c r="T277" s="67">
        <f t="shared" ca="1" si="171"/>
        <v>30.894647594843626</v>
      </c>
      <c r="U277" s="67">
        <f t="shared" ca="1" si="171"/>
        <v>31.907261957543554</v>
      </c>
      <c r="V277" s="67">
        <f t="shared" ca="1" si="171"/>
        <v>32.938532510098412</v>
      </c>
      <c r="W277" s="67">
        <f t="shared" ca="1" si="171"/>
        <v>33.996174496468036</v>
      </c>
      <c r="X277" s="67">
        <f t="shared" ca="1" si="171"/>
        <v>35.086085187473323</v>
      </c>
    </row>
    <row r="279" spans="1:24" x14ac:dyDescent="0.25">
      <c r="A279" s="9" t="s">
        <v>983</v>
      </c>
    </row>
    <row r="280" spans="1:24" x14ac:dyDescent="0.25">
      <c r="A280" s="11" t="s">
        <v>984</v>
      </c>
      <c r="D280" s="35">
        <f t="shared" ref="D280:X280" si="172">D$386</f>
        <v>0.13</v>
      </c>
      <c r="E280" s="35">
        <f t="shared" si="172"/>
        <v>0.15</v>
      </c>
      <c r="F280" s="35">
        <f t="shared" si="172"/>
        <v>0.125</v>
      </c>
      <c r="G280" s="35">
        <f t="shared" si="172"/>
        <v>-0.51700000000000002</v>
      </c>
      <c r="H280" s="35">
        <f t="shared" si="172"/>
        <v>1.054</v>
      </c>
      <c r="I280" s="35">
        <f t="shared" si="172"/>
        <v>0.189</v>
      </c>
      <c r="J280" s="17">
        <f t="shared" si="172"/>
        <v>0.253</v>
      </c>
      <c r="K280" s="17">
        <f t="shared" si="172"/>
        <v>0.314</v>
      </c>
      <c r="L280" s="17">
        <f t="shared" si="172"/>
        <v>0.33600000000000002</v>
      </c>
      <c r="M280" s="17">
        <f t="shared" si="172"/>
        <v>0.36</v>
      </c>
      <c r="N280" s="17">
        <f t="shared" si="172"/>
        <v>0.38700000000000001</v>
      </c>
      <c r="O280" s="16">
        <f t="shared" si="172"/>
        <v>0.40498692258685287</v>
      </c>
      <c r="P280" s="16">
        <f t="shared" si="172"/>
        <v>0.4290963400981489</v>
      </c>
      <c r="Q280" s="16">
        <f t="shared" si="172"/>
        <v>0.45411227529667048</v>
      </c>
      <c r="R280" s="16">
        <f t="shared" si="172"/>
        <v>0.47990498066057363</v>
      </c>
      <c r="S280" s="16">
        <f t="shared" si="172"/>
        <v>0.50634223057610017</v>
      </c>
      <c r="T280" s="16">
        <f t="shared" si="172"/>
        <v>0.53340778741471007</v>
      </c>
      <c r="U280" s="16">
        <f t="shared" si="172"/>
        <v>0.56106866972067093</v>
      </c>
      <c r="V280" s="16">
        <f t="shared" si="172"/>
        <v>0.58929195862916683</v>
      </c>
      <c r="W280" s="16">
        <f t="shared" si="172"/>
        <v>0.61827941534955011</v>
      </c>
      <c r="X280" s="16">
        <f t="shared" si="172"/>
        <v>0.64836147366566821</v>
      </c>
    </row>
    <row r="281" spans="1:24" x14ac:dyDescent="0.25">
      <c r="A281" s="11" t="s">
        <v>985</v>
      </c>
      <c r="D281" s="35">
        <f t="shared" ref="D281:X281" si="173">D$193</f>
        <v>0.70799999999999996</v>
      </c>
      <c r="E281" s="35">
        <f t="shared" si="173"/>
        <v>0.73599999999999999</v>
      </c>
      <c r="F281" s="35">
        <f t="shared" si="173"/>
        <v>0.80400000000000005</v>
      </c>
      <c r="G281" s="35">
        <f t="shared" si="173"/>
        <v>0.82699999999999996</v>
      </c>
      <c r="H281" s="35">
        <f t="shared" si="173"/>
        <v>0.97099999999999997</v>
      </c>
      <c r="I281" s="35">
        <f t="shared" si="173"/>
        <v>1.202</v>
      </c>
      <c r="J281" s="17">
        <f t="shared" si="173"/>
        <v>1.1160000000000001</v>
      </c>
      <c r="K281" s="17">
        <f t="shared" si="173"/>
        <v>0.995</v>
      </c>
      <c r="L281" s="17">
        <f t="shared" si="173"/>
        <v>0.94099999999999995</v>
      </c>
      <c r="M281" s="17">
        <f t="shared" si="173"/>
        <v>0.94099999999999995</v>
      </c>
      <c r="N281" s="17">
        <f t="shared" si="173"/>
        <v>0.94099999999999995</v>
      </c>
      <c r="O281" s="16">
        <f t="shared" si="173"/>
        <v>0.94099999999999995</v>
      </c>
      <c r="P281" s="16">
        <f t="shared" si="173"/>
        <v>0.94099999999999995</v>
      </c>
      <c r="Q281" s="16">
        <f t="shared" si="173"/>
        <v>0.94099999999999995</v>
      </c>
      <c r="R281" s="16">
        <f t="shared" si="173"/>
        <v>0.94099999999999995</v>
      </c>
      <c r="S281" s="16">
        <f t="shared" si="173"/>
        <v>0.94099999999999995</v>
      </c>
      <c r="T281" s="16">
        <f t="shared" si="173"/>
        <v>0.94099999999999995</v>
      </c>
      <c r="U281" s="16">
        <f t="shared" si="173"/>
        <v>0.94099999999999995</v>
      </c>
      <c r="V281" s="16">
        <f t="shared" si="173"/>
        <v>0.94099999999999995</v>
      </c>
      <c r="W281" s="16">
        <f t="shared" si="173"/>
        <v>0.94099999999999995</v>
      </c>
      <c r="X281" s="16">
        <f t="shared" si="173"/>
        <v>0.94099999999999995</v>
      </c>
    </row>
    <row r="282" spans="1:24" x14ac:dyDescent="0.25">
      <c r="A282" s="11" t="s">
        <v>986</v>
      </c>
      <c r="B282" s="10" t="s">
        <v>989</v>
      </c>
      <c r="D282" s="35">
        <f>Exogenous!O$39</f>
        <v>0.82899999999999996</v>
      </c>
      <c r="E282" s="35">
        <f>Exogenous!P$39</f>
        <v>1.3560000000000001</v>
      </c>
      <c r="F282" s="35">
        <f>Exogenous!Q$39</f>
        <v>0.88200000000000001</v>
      </c>
      <c r="G282" s="35">
        <f>Exogenous!R$39</f>
        <v>0.66200000000000003</v>
      </c>
      <c r="H282" s="35">
        <f>Exogenous!S$39</f>
        <v>1.4530000000000001</v>
      </c>
      <c r="I282" s="35">
        <f>Exogenous!T$39</f>
        <v>2.3929999999999998</v>
      </c>
      <c r="J282" s="17">
        <f>Exogenous!U$39</f>
        <v>1.994</v>
      </c>
      <c r="K282" s="17">
        <f>Exogenous!V$39</f>
        <v>1.52</v>
      </c>
      <c r="L282" s="17">
        <f>Exogenous!W$39</f>
        <v>1.425</v>
      </c>
      <c r="M282" s="17">
        <f>Exogenous!X$39</f>
        <v>1.238</v>
      </c>
      <c r="N282" s="17">
        <f>Exogenous!Y$39</f>
        <v>1.238</v>
      </c>
      <c r="O282" s="16">
        <f t="shared" ref="O282:X282" ca="1" si="174">N$282*O$142/N$142</f>
        <v>1.2854607655512149</v>
      </c>
      <c r="P282" s="16">
        <f t="shared" ca="1" si="174"/>
        <v>1.3382317611796564</v>
      </c>
      <c r="Q282" s="16">
        <f t="shared" ca="1" si="174"/>
        <v>1.3926302293240715</v>
      </c>
      <c r="R282" s="16">
        <f t="shared" ca="1" si="174"/>
        <v>1.4471866698592484</v>
      </c>
      <c r="S282" s="16">
        <f t="shared" ca="1" si="174"/>
        <v>1.5029328600455183</v>
      </c>
      <c r="T282" s="16">
        <f t="shared" ca="1" si="174"/>
        <v>1.5597829402393923</v>
      </c>
      <c r="U282" s="16">
        <f t="shared" ca="1" si="174"/>
        <v>1.6173963268725879</v>
      </c>
      <c r="V282" s="16">
        <f t="shared" ca="1" si="174"/>
        <v>1.6758743965777725</v>
      </c>
      <c r="W282" s="16">
        <f t="shared" ca="1" si="174"/>
        <v>1.7352007866578412</v>
      </c>
      <c r="X282" s="16">
        <f t="shared" ca="1" si="174"/>
        <v>1.7958255617751693</v>
      </c>
    </row>
    <row r="283" spans="1:24" x14ac:dyDescent="0.25">
      <c r="A283" s="11" t="s">
        <v>997</v>
      </c>
      <c r="B283" s="10" t="str">
        <f>$B$38</f>
        <v>From Fiscal Forecasts</v>
      </c>
      <c r="C283" s="64" cm="1">
        <f t="array" aca="1" ref="C283" ca="1">SUMPRODUCT(OFFSET($N$283,0,0,1,-OFFSET(Assumptions!$B$59,0,$C$1))/OFFSET($N$13,0,0,1,-OFFSET(Assumptions!$B$59,0,$C$1)))/OFFSET(Assumptions!$B$59,0,$C$1)</f>
        <v>1.0109390389915447E-2</v>
      </c>
      <c r="D283" s="35">
        <f>'Fiscal Forecasts'!D$60-SUM(D$280:D$282)</f>
        <v>3.4990000000000006</v>
      </c>
      <c r="E283" s="35">
        <f>'Fiscal Forecasts'!E$60-SUM(E$280:E$282)</f>
        <v>3.8410000000000002</v>
      </c>
      <c r="F283" s="35">
        <f>'Fiscal Forecasts'!F$60-SUM(F$280:F$282)</f>
        <v>3.9429999999999996</v>
      </c>
      <c r="G283" s="35">
        <f>'Fiscal Forecasts'!G$60-SUM(G$280:G$282)</f>
        <v>4.7479999999999993</v>
      </c>
      <c r="H283" s="35">
        <f>'Fiscal Forecasts'!H$60-SUM(H$280:H$282)</f>
        <v>3.3280000000000003</v>
      </c>
      <c r="I283" s="35">
        <f>'Fiscal Forecasts'!I$60-SUM(I$280:I$282)</f>
        <v>4.6840000000000002</v>
      </c>
      <c r="J283" s="17">
        <f ca="1">'Fiscal Forecasts'!J$60-SUM(J$280:J$282)+IF(OFFSET(Assumptions!$B$56,0,$C$1)="Yes",Allocation!C$17,0)</f>
        <v>4.7039999999999988</v>
      </c>
      <c r="K283" s="17">
        <f ca="1">'Fiscal Forecasts'!K$60-SUM(K$280:K$282)+IF(OFFSET(Assumptions!$B$56,0,$C$1)="Yes",Allocation!D$17,0)</f>
        <v>3.96</v>
      </c>
      <c r="L283" s="17">
        <f ca="1">'Fiscal Forecasts'!L$60-SUM(L$280:L$282)+IF(OFFSET(Assumptions!$B$56,0,$C$1)="Yes",Allocation!E$17,0)</f>
        <v>4.3689999999999998</v>
      </c>
      <c r="M283" s="17">
        <f ca="1">'Fiscal Forecasts'!M$60-SUM(M$280:M$282)+IF(OFFSET(Assumptions!$B$56,0,$C$1)="Yes",Allocation!F$17,0)</f>
        <v>4.1059999999999999</v>
      </c>
      <c r="N283" s="17">
        <f ca="1">'Fiscal Forecasts'!N$60-SUM(N$280:N$282)+IF(OFFSET(Assumptions!$B$56,0,$C$1)="Yes",Allocation!G$17,0)</f>
        <v>4.3420000000000005</v>
      </c>
      <c r="O283" s="16">
        <f ca="1">N$283+IF(OFFSET(Assumptions!$B$57,0,$C$1)="Yes",Allocation!$B$17*O$247,IF(OFFSET(Assumptions!$B$58,0,$C$1)="Yes",(N$283/N$13+MIN(ABS($C$283-N$283/N$13),OFFSET(Assumptions!$B$60,0,$C$1))*SIGN($C$283-N$283/N$13))*O$13-N$283,0))</f>
        <v>4.8027149234659801</v>
      </c>
      <c r="P283" s="16">
        <f ca="1">O$283+IF(OFFSET(Assumptions!$B$57,0,$C$1)="Yes",Allocation!$B$17*P$247,IF(OFFSET(Assumptions!$B$58,0,$C$1)="Yes",(O$283/O$13+MIN(ABS($C$283-O$283/O$13),OFFSET(Assumptions!$B$60,0,$C$1))*SIGN($C$283-O$283/O$13))*P$13-O$283,0))</f>
        <v>5.2925789655538136</v>
      </c>
      <c r="Q283" s="16">
        <f ca="1">P$283+IF(OFFSET(Assumptions!$B$57,0,$C$1)="Yes",Allocation!$B$17*Q$247,IF(OFFSET(Assumptions!$B$58,0,$C$1)="Yes",(P$283/P$13+MIN(ABS($C$283-P$283/P$13),OFFSET(Assumptions!$B$60,0,$C$1))*SIGN($C$283-P$283/P$13))*Q$13-P$283,0))</f>
        <v>5.8062567960541971</v>
      </c>
      <c r="R283" s="16">
        <f ca="1">Q$283+IF(OFFSET(Assumptions!$B$57,0,$C$1)="Yes",Allocation!$B$17*R$247,IF(OFFSET(Assumptions!$B$58,0,$C$1)="Yes",(Q$283/Q$13+MIN(ABS($C$283-Q$283/Q$13),OFFSET(Assumptions!$B$60,0,$C$1))*SIGN($C$283-Q$283/Q$13))*R$13-Q$283,0))</f>
        <v>6.23538072116395</v>
      </c>
      <c r="S283" s="16">
        <f ca="1">R$283+IF(OFFSET(Assumptions!$B$57,0,$C$1)="Yes",Allocation!$B$17*S$247,IF(OFFSET(Assumptions!$B$58,0,$C$1)="Yes",(R$283/R$13+MIN(ABS($C$283-R$283/R$13),OFFSET(Assumptions!$B$60,0,$C$1))*SIGN($C$283-R$283/R$13))*S$13-R$283,0))</f>
        <v>6.4768151466774135</v>
      </c>
      <c r="T283" s="16">
        <f ca="1">S$283+IF(OFFSET(Assumptions!$B$57,0,$C$1)="Yes",Allocation!$B$17*T$247,IF(OFFSET(Assumptions!$B$58,0,$C$1)="Yes",(S$283/S$13+MIN(ABS($C$283-S$283/S$13),OFFSET(Assumptions!$B$60,0,$C$1))*SIGN($C$283-S$283/S$13))*T$13-S$283,0))</f>
        <v>6.7230898189034765</v>
      </c>
      <c r="U283" s="16">
        <f ca="1">T$283+IF(OFFSET(Assumptions!$B$57,0,$C$1)="Yes",Allocation!$B$17*U$247,IF(OFFSET(Assumptions!$B$58,0,$C$1)="Yes",(T$283/T$13+MIN(ABS($C$283-T$283/T$13),OFFSET(Assumptions!$B$60,0,$C$1))*SIGN($C$283-T$283/T$13))*U$13-T$283,0))</f>
        <v>6.9726480841658933</v>
      </c>
      <c r="V283" s="16">
        <f ca="1">U$283+IF(OFFSET(Assumptions!$B$57,0,$C$1)="Yes",Allocation!$B$17*V$247,IF(OFFSET(Assumptions!$B$58,0,$C$1)="Yes",(U$283/U$13+MIN(ABS($C$283-U$283/U$13),OFFSET(Assumptions!$B$60,0,$C$1))*SIGN($C$283-U$283/U$13))*V$13-U$283,0))</f>
        <v>7.225958409790799</v>
      </c>
      <c r="W283" s="16">
        <f ca="1">V$283+IF(OFFSET(Assumptions!$B$57,0,$C$1)="Yes",Allocation!$B$17*W$247,IF(OFFSET(Assumptions!$B$58,0,$C$1)="Yes",(V$283/V$13+MIN(ABS($C$283-V$283/V$13),OFFSET(Assumptions!$B$60,0,$C$1))*SIGN($C$283-V$283/V$13))*W$13-V$283,0))</f>
        <v>7.483011358325558</v>
      </c>
      <c r="X283" s="16">
        <f ca="1">W$283+IF(OFFSET(Assumptions!$B$57,0,$C$1)="Yes",Allocation!$B$17*X$247,IF(OFFSET(Assumptions!$B$58,0,$C$1)="Yes",(W$283/W$13+MIN(ABS($C$283-W$283/W$13),OFFSET(Assumptions!$B$60,0,$C$1))*SIGN($C$283-W$283/W$13))*X$13-W$283,0))</f>
        <v>7.7457439598201363</v>
      </c>
    </row>
    <row r="284" spans="1:24" x14ac:dyDescent="0.25">
      <c r="A284" s="9" t="s">
        <v>987</v>
      </c>
      <c r="D284" s="65">
        <f t="shared" ref="D284:X284" si="175">SUM(D$280:D$283)</f>
        <v>5.1660000000000004</v>
      </c>
      <c r="E284" s="65">
        <f t="shared" si="175"/>
        <v>6.0830000000000002</v>
      </c>
      <c r="F284" s="65">
        <f t="shared" si="175"/>
        <v>5.7539999999999996</v>
      </c>
      <c r="G284" s="65">
        <f t="shared" si="175"/>
        <v>5.7199999999999989</v>
      </c>
      <c r="H284" s="65">
        <f t="shared" si="175"/>
        <v>6.806</v>
      </c>
      <c r="I284" s="65">
        <f t="shared" si="175"/>
        <v>8.468</v>
      </c>
      <c r="J284" s="66">
        <f t="shared" ca="1" si="175"/>
        <v>8.0670000000000002</v>
      </c>
      <c r="K284" s="66">
        <f t="shared" ca="1" si="175"/>
        <v>6.7889999999999997</v>
      </c>
      <c r="L284" s="66">
        <f t="shared" ca="1" si="175"/>
        <v>7.0709999999999997</v>
      </c>
      <c r="M284" s="66">
        <f t="shared" ca="1" si="175"/>
        <v>6.6449999999999996</v>
      </c>
      <c r="N284" s="66">
        <f t="shared" ca="1" si="175"/>
        <v>6.9080000000000004</v>
      </c>
      <c r="O284" s="67">
        <f t="shared" ca="1" si="175"/>
        <v>7.434162611604048</v>
      </c>
      <c r="P284" s="67">
        <f t="shared" ca="1" si="175"/>
        <v>8.0009070668316191</v>
      </c>
      <c r="Q284" s="67">
        <f t="shared" ca="1" si="175"/>
        <v>8.5939993006749393</v>
      </c>
      <c r="R284" s="67">
        <f t="shared" ca="1" si="175"/>
        <v>9.1034723716837718</v>
      </c>
      <c r="S284" s="67">
        <f t="shared" ca="1" si="175"/>
        <v>9.4270902372990317</v>
      </c>
      <c r="T284" s="67">
        <f t="shared" ca="1" si="175"/>
        <v>9.7572805465575794</v>
      </c>
      <c r="U284" s="67">
        <f t="shared" ca="1" si="175"/>
        <v>10.092113080759152</v>
      </c>
      <c r="V284" s="67">
        <f t="shared" ca="1" si="175"/>
        <v>10.432124764997738</v>
      </c>
      <c r="W284" s="67">
        <f t="shared" ca="1" si="175"/>
        <v>10.777491560332949</v>
      </c>
      <c r="X284" s="67">
        <f t="shared" ca="1" si="175"/>
        <v>11.130930995260973</v>
      </c>
    </row>
    <row r="285" spans="1:24" x14ac:dyDescent="0.25">
      <c r="A285" s="9" t="s">
        <v>988</v>
      </c>
      <c r="B285" s="10" t="str">
        <f>$B$38</f>
        <v>From Fiscal Forecasts</v>
      </c>
      <c r="D285" s="42">
        <f>'Fiscal Forecasts'!D$43</f>
        <v>4.7320000000000002</v>
      </c>
      <c r="E285" s="42">
        <f>'Fiscal Forecasts'!E$43</f>
        <v>5.8689999999999998</v>
      </c>
      <c r="F285" s="42">
        <f>'Fiscal Forecasts'!F$43</f>
        <v>5.6020000000000003</v>
      </c>
      <c r="G285" s="42">
        <f>'Fiscal Forecasts'!G$43</f>
        <v>5.4260000000000002</v>
      </c>
      <c r="H285" s="42">
        <f>'Fiscal Forecasts'!H$43</f>
        <v>6.6630000000000003</v>
      </c>
      <c r="I285" s="42">
        <f>'Fiscal Forecasts'!I$43</f>
        <v>8.1780000000000008</v>
      </c>
      <c r="J285" s="43">
        <f ca="1">'Fiscal Forecasts'!J$43+IF(OFFSET(Assumptions!$B$56,0,$C$1)="Yes",Allocation!C$17,0)</f>
        <v>7.7389999999999999</v>
      </c>
      <c r="K285" s="43">
        <f ca="1">'Fiscal Forecasts'!K$43+IF(OFFSET(Assumptions!$B$56,0,$C$1)="Yes",Allocation!D$17,0)</f>
        <v>6.6179999999999994</v>
      </c>
      <c r="L285" s="43">
        <f ca="1">'Fiscal Forecasts'!L$43+IF(OFFSET(Assumptions!$B$56,0,$C$1)="Yes",Allocation!E$17,0)</f>
        <v>6.9809999999999999</v>
      </c>
      <c r="M285" s="43">
        <f ca="1">'Fiscal Forecasts'!M$43+IF(OFFSET(Assumptions!$B$56,0,$C$1)="Yes",Allocation!F$17,0)</f>
        <v>6.5049999999999999</v>
      </c>
      <c r="N285" s="43">
        <f ca="1">'Fiscal Forecasts'!N$43+IF(OFFSET(Assumptions!$B$56,0,$C$1)="Yes",Allocation!G$17,0)</f>
        <v>6.8120000000000003</v>
      </c>
      <c r="O285" s="47">
        <f t="shared" ref="O285:X285" ca="1" si="176">O$284+N$285-N$284</f>
        <v>7.3381626116040488</v>
      </c>
      <c r="P285" s="47">
        <f t="shared" ca="1" si="176"/>
        <v>7.904907066831619</v>
      </c>
      <c r="Q285" s="47">
        <f t="shared" ca="1" si="176"/>
        <v>8.4979993006749375</v>
      </c>
      <c r="R285" s="47">
        <f t="shared" ca="1" si="176"/>
        <v>9.0074723716837699</v>
      </c>
      <c r="S285" s="47">
        <f t="shared" ca="1" si="176"/>
        <v>9.3310902372990299</v>
      </c>
      <c r="T285" s="47">
        <f t="shared" ca="1" si="176"/>
        <v>9.6612805465575793</v>
      </c>
      <c r="U285" s="47">
        <f t="shared" ca="1" si="176"/>
        <v>9.9961130807591534</v>
      </c>
      <c r="V285" s="47">
        <f t="shared" ca="1" si="176"/>
        <v>10.336124764997738</v>
      </c>
      <c r="W285" s="47">
        <f t="shared" ca="1" si="176"/>
        <v>10.681491560332951</v>
      </c>
      <c r="X285" s="47">
        <f t="shared" ca="1" si="176"/>
        <v>11.034930995260977</v>
      </c>
    </row>
    <row r="287" spans="1:24" x14ac:dyDescent="0.25">
      <c r="A287" s="9" t="s">
        <v>990</v>
      </c>
    </row>
    <row r="288" spans="1:24" x14ac:dyDescent="0.25">
      <c r="A288" s="9" t="s">
        <v>991</v>
      </c>
      <c r="B288" s="10" t="str">
        <f>$B$38</f>
        <v>From Fiscal Forecasts</v>
      </c>
      <c r="C288" s="64" cm="1">
        <f t="array" aca="1" ref="C288" ca="1">SUMPRODUCT(OFFSET($N$288,0,0,1,-OFFSET(Assumptions!$B$59,0,$C$1))/OFFSET($N$13,0,0,1,-OFFSET(Assumptions!$B$59,0,$C$1)))/OFFSET(Assumptions!$B$59,0,$C$1)</f>
        <v>1.5423850390844965E-2</v>
      </c>
      <c r="D288" s="42">
        <f>'Fiscal Forecasts'!D$61</f>
        <v>4.625</v>
      </c>
      <c r="E288" s="42">
        <f>'Fiscal Forecasts'!E$61</f>
        <v>4.9109999999999996</v>
      </c>
      <c r="F288" s="42">
        <f>'Fiscal Forecasts'!F$61</f>
        <v>5.202</v>
      </c>
      <c r="G288" s="42">
        <f>'Fiscal Forecasts'!G$61</f>
        <v>5.444</v>
      </c>
      <c r="H288" s="42">
        <f>'Fiscal Forecasts'!H$61</f>
        <v>6.165</v>
      </c>
      <c r="I288" s="42">
        <f>'Fiscal Forecasts'!I$61</f>
        <v>6.5270000000000001</v>
      </c>
      <c r="J288" s="43">
        <f ca="1">'Fiscal Forecasts'!J$61+IF(OFFSET(Assumptions!$B$56,0,$C$1)="Yes",Allocation!C$18,0)</f>
        <v>6.7349999999999994</v>
      </c>
      <c r="K288" s="43">
        <f ca="1">'Fiscal Forecasts'!K$61+IF(OFFSET(Assumptions!$B$56,0,$C$1)="Yes",Allocation!D$18,0)</f>
        <v>7.4159999999999995</v>
      </c>
      <c r="L288" s="43">
        <f ca="1">'Fiscal Forecasts'!L$61+IF(OFFSET(Assumptions!$B$56,0,$C$1)="Yes",Allocation!E$18,0)</f>
        <v>7.577</v>
      </c>
      <c r="M288" s="43">
        <f ca="1">'Fiscal Forecasts'!M$61+IF(OFFSET(Assumptions!$B$56,0,$C$1)="Yes",Allocation!F$18,0)</f>
        <v>7.6660000000000004</v>
      </c>
      <c r="N288" s="43">
        <f ca="1">'Fiscal Forecasts'!N$61+IF(OFFSET(Assumptions!$B$56,0,$C$1)="Yes",Allocation!G$18,0)</f>
        <v>7.8529999999999998</v>
      </c>
      <c r="O288" s="47">
        <f ca="1">N$288+IF(OFFSET(Assumptions!$B$57,0,$C$1)="Yes",Allocation!$B$18*O$247,IF(OFFSET(Assumptions!$B$58,0,$C$1)="Yes",(N$288/N$13+MIN(ABS($C$288-N$288/N$13),OFFSET(Assumptions!$B$60,0,$C$1))*SIGN($C$288-N$288/N$13))*O$13-N$288,0))</f>
        <v>8.4327831657707613</v>
      </c>
      <c r="P288" s="47">
        <f ca="1">O$288+IF(OFFSET(Assumptions!$B$57,0,$C$1)="Yes",Allocation!$B$18*P$247,IF(OFFSET(Assumptions!$B$58,0,$C$1)="Yes",(O$288/O$13+MIN(ABS($C$288-O$288/O$13),OFFSET(Assumptions!$B$60,0,$C$1))*SIGN($C$288-O$288/O$13))*P$13-O$288,0))</f>
        <v>8.7924427045112736</v>
      </c>
      <c r="Q288" s="47">
        <f ca="1">P$288+IF(OFFSET(Assumptions!$B$57,0,$C$1)="Yes",Allocation!$B$18*Q$247,IF(OFFSET(Assumptions!$B$58,0,$C$1)="Yes",(P$288/P$13+MIN(ABS($C$288-P$288/P$13),OFFSET(Assumptions!$B$60,0,$C$1))*SIGN($C$288-P$288/P$13))*Q$13-P$288,0))</f>
        <v>9.1528831623735059</v>
      </c>
      <c r="R288" s="47">
        <f ca="1">Q$288+IF(OFFSET(Assumptions!$B$57,0,$C$1)="Yes",Allocation!$B$18*R$247,IF(OFFSET(Assumptions!$B$58,0,$C$1)="Yes",(Q$288/Q$13+MIN(ABS($C$288-Q$288/Q$13),OFFSET(Assumptions!$B$60,0,$C$1))*SIGN($C$288-Q$288/Q$13))*R$13-Q$288,0))</f>
        <v>9.5132916688160591</v>
      </c>
      <c r="S288" s="47">
        <f ca="1">R$288+IF(OFFSET(Assumptions!$B$57,0,$C$1)="Yes",Allocation!$B$18*S$247,IF(OFFSET(Assumptions!$B$58,0,$C$1)="Yes",(R$288/R$13+MIN(ABS($C$288-R$288/R$13),OFFSET(Assumptions!$B$60,0,$C$1))*SIGN($C$288-R$288/R$13))*S$13-R$288,0))</f>
        <v>9.8816470606539255</v>
      </c>
      <c r="T288" s="47">
        <f ca="1">S$288+IF(OFFSET(Assumptions!$B$57,0,$C$1)="Yes",Allocation!$B$18*T$247,IF(OFFSET(Assumptions!$B$58,0,$C$1)="Yes",(S$288/S$13+MIN(ABS($C$288-S$288/S$13),OFFSET(Assumptions!$B$60,0,$C$1))*SIGN($C$288-S$288/S$13))*T$13-S$288,0))</f>
        <v>10.257387194624648</v>
      </c>
      <c r="U288" s="47">
        <f ca="1">T$288+IF(OFFSET(Assumptions!$B$57,0,$C$1)="Yes",Allocation!$B$18*U$247,IF(OFFSET(Assumptions!$B$58,0,$C$1)="Yes",(T$288/T$13+MIN(ABS($C$288-T$288/T$13),OFFSET(Assumptions!$B$60,0,$C$1))*SIGN($C$288-T$288/T$13))*U$13-T$288,0))</f>
        <v>10.638137091378663</v>
      </c>
      <c r="V288" s="47">
        <f ca="1">U$288+IF(OFFSET(Assumptions!$B$57,0,$C$1)="Yes",Allocation!$B$18*V$247,IF(OFFSET(Assumptions!$B$58,0,$C$1)="Yes",(U$288/U$13+MIN(ABS($C$288-U$288/U$13),OFFSET(Assumptions!$B$60,0,$C$1))*SIGN($C$288-U$288/U$13))*V$13-U$288,0))</f>
        <v>11.024611489359394</v>
      </c>
      <c r="W288" s="47">
        <f ca="1">V$288+IF(OFFSET(Assumptions!$B$57,0,$C$1)="Yes",Allocation!$B$18*W$247,IF(OFFSET(Assumptions!$B$58,0,$C$1)="Yes",(V$288/V$13+MIN(ABS($C$288-V$288/V$13),OFFSET(Assumptions!$B$60,0,$C$1))*SIGN($C$288-V$288/V$13))*W$13-V$288,0))</f>
        <v>11.416795989888794</v>
      </c>
      <c r="X288" s="47">
        <f ca="1">W$288+IF(OFFSET(Assumptions!$B$57,0,$C$1)="Yes",Allocation!$B$18*X$247,IF(OFFSET(Assumptions!$B$58,0,$C$1)="Yes",(W$288/W$13+MIN(ABS($C$288-W$288/W$13),OFFSET(Assumptions!$B$60,0,$C$1))*SIGN($C$288-W$288/W$13))*X$13-W$288,0))</f>
        <v>11.817645910799182</v>
      </c>
    </row>
    <row r="289" spans="1:24" x14ac:dyDescent="0.25">
      <c r="A289" s="9" t="s">
        <v>992</v>
      </c>
      <c r="B289" s="10" t="str">
        <f>$B$38</f>
        <v>From Fiscal Forecasts</v>
      </c>
      <c r="D289" s="42">
        <f>'Fiscal Forecasts'!D$44</f>
        <v>5.05</v>
      </c>
      <c r="E289" s="42">
        <f>'Fiscal Forecasts'!E$44</f>
        <v>5.3040000000000003</v>
      </c>
      <c r="F289" s="42">
        <f>'Fiscal Forecasts'!F$44</f>
        <v>5.5330000000000004</v>
      </c>
      <c r="G289" s="42">
        <f>'Fiscal Forecasts'!G$44</f>
        <v>5.9210000000000003</v>
      </c>
      <c r="H289" s="42">
        <f>'Fiscal Forecasts'!H$44</f>
        <v>6.6660000000000004</v>
      </c>
      <c r="I289" s="42">
        <f>'Fiscal Forecasts'!I$44</f>
        <v>7.0720000000000001</v>
      </c>
      <c r="J289" s="43">
        <f ca="1">'Fiscal Forecasts'!J$44+IF(OFFSET(Assumptions!$B$56,0,$C$1)="Yes",Allocation!C$18,0)</f>
        <v>7.3069999999999995</v>
      </c>
      <c r="K289" s="43">
        <f ca="1">'Fiscal Forecasts'!K$44+IF(OFFSET(Assumptions!$B$56,0,$C$1)="Yes",Allocation!D$18,0)</f>
        <v>8.02</v>
      </c>
      <c r="L289" s="43">
        <f ca="1">'Fiscal Forecasts'!L$44+IF(OFFSET(Assumptions!$B$56,0,$C$1)="Yes",Allocation!E$18,0)</f>
        <v>8.0830000000000002</v>
      </c>
      <c r="M289" s="43">
        <f ca="1">'Fiscal Forecasts'!M$44+IF(OFFSET(Assumptions!$B$56,0,$C$1)="Yes",Allocation!F$18,0)</f>
        <v>8.2990000000000013</v>
      </c>
      <c r="N289" s="43">
        <f ca="1">'Fiscal Forecasts'!N$44+IF(OFFSET(Assumptions!$B$56,0,$C$1)="Yes",Allocation!G$18,0)</f>
        <v>8.4740000000000002</v>
      </c>
      <c r="O289" s="47">
        <f t="shared" ref="O289:X289" ca="1" si="177">O$288+(N$289-N$288)*(1+O$29)</f>
        <v>9.0662031657707622</v>
      </c>
      <c r="P289" s="47">
        <f t="shared" ca="1" si="177"/>
        <v>9.4385311045112754</v>
      </c>
      <c r="Q289" s="47">
        <f t="shared" ca="1" si="177"/>
        <v>9.8118933303735076</v>
      </c>
      <c r="R289" s="47">
        <f t="shared" ca="1" si="177"/>
        <v>10.18548204017606</v>
      </c>
      <c r="S289" s="47">
        <f t="shared" ca="1" si="177"/>
        <v>10.567281239441126</v>
      </c>
      <c r="T289" s="47">
        <f t="shared" ca="1" si="177"/>
        <v>10.956734056987592</v>
      </c>
      <c r="U289" s="47">
        <f t="shared" ca="1" si="177"/>
        <v>11.351470890988866</v>
      </c>
      <c r="V289" s="47">
        <f t="shared" ca="1" si="177"/>
        <v>11.7522119649618</v>
      </c>
      <c r="W289" s="47">
        <f t="shared" ca="1" si="177"/>
        <v>12.158948475003248</v>
      </c>
      <c r="X289" s="47">
        <f t="shared" ca="1" si="177"/>
        <v>12.574641445615926</v>
      </c>
    </row>
    <row r="291" spans="1:24" x14ac:dyDescent="0.25">
      <c r="A291" s="9" t="s">
        <v>993</v>
      </c>
    </row>
    <row r="292" spans="1:24" x14ac:dyDescent="0.25">
      <c r="A292" s="9" t="s">
        <v>1106</v>
      </c>
      <c r="B292" s="10" t="str">
        <f>$B$38</f>
        <v>From Fiscal Forecasts</v>
      </c>
      <c r="D292" s="42">
        <f>'Fiscal Forecasts'!D$62</f>
        <v>2.8889999999999998</v>
      </c>
      <c r="E292" s="42">
        <f>'Fiscal Forecasts'!E$62</f>
        <v>3.1789999999999998</v>
      </c>
      <c r="F292" s="42">
        <f>'Fiscal Forecasts'!F$62</f>
        <v>5.6559999999999997</v>
      </c>
      <c r="G292" s="42">
        <f>'Fiscal Forecasts'!G$62</f>
        <v>4.657</v>
      </c>
      <c r="H292" s="42">
        <f>'Fiscal Forecasts'!H$62</f>
        <v>5.4720000000000004</v>
      </c>
      <c r="I292" s="42">
        <f>'Fiscal Forecasts'!I$62</f>
        <v>5.4870000000000001</v>
      </c>
      <c r="J292" s="43">
        <f>'Fiscal Forecasts'!J$62</f>
        <v>5.9160000000000004</v>
      </c>
      <c r="K292" s="43">
        <f>'Fiscal Forecasts'!K$62</f>
        <v>7.226</v>
      </c>
      <c r="L292" s="43">
        <f>'Fiscal Forecasts'!L$62</f>
        <v>5.0199999999999996</v>
      </c>
      <c r="M292" s="43">
        <f>'Fiscal Forecasts'!M$62</f>
        <v>4.7279999999999998</v>
      </c>
      <c r="N292" s="43">
        <f>'Fiscal Forecasts'!N$62</f>
        <v>5.1059999999999999</v>
      </c>
      <c r="O292" s="47">
        <f t="shared" ref="O292:X292" ca="1" si="178">N$292*O$138/N$138</f>
        <v>5.0972257715457987</v>
      </c>
      <c r="P292" s="47">
        <f t="shared" ca="1" si="178"/>
        <v>5.0757671352064904</v>
      </c>
      <c r="Q292" s="47">
        <f t="shared" ca="1" si="178"/>
        <v>5.2436769084205697</v>
      </c>
      <c r="R292" s="47">
        <f t="shared" ca="1" si="178"/>
        <v>5.4501545536941585</v>
      </c>
      <c r="S292" s="47">
        <f t="shared" ca="1" si="178"/>
        <v>5.6611849610539693</v>
      </c>
      <c r="T292" s="47">
        <f t="shared" ca="1" si="178"/>
        <v>5.8764460792302238</v>
      </c>
      <c r="U292" s="47">
        <f t="shared" ca="1" si="178"/>
        <v>6.0945772851107982</v>
      </c>
      <c r="V292" s="47">
        <f t="shared" ca="1" si="178"/>
        <v>6.3159880515803426</v>
      </c>
      <c r="W292" s="47">
        <f t="shared" ca="1" si="178"/>
        <v>6.5406701296517049</v>
      </c>
      <c r="X292" s="47">
        <f t="shared" ca="1" si="178"/>
        <v>6.7703166177289056</v>
      </c>
    </row>
    <row r="293" spans="1:24" x14ac:dyDescent="0.25">
      <c r="A293" s="11" t="s">
        <v>707</v>
      </c>
      <c r="B293" s="10" t="str">
        <f>$B$38</f>
        <v>From Fiscal Forecasts</v>
      </c>
      <c r="D293" s="35">
        <f>'Fiscal Forecasts'!D$209</f>
        <v>3.21</v>
      </c>
      <c r="E293" s="35">
        <f>'Fiscal Forecasts'!E$209</f>
        <v>3.8239999999999998</v>
      </c>
      <c r="F293" s="35">
        <f>'Fiscal Forecasts'!F$209</f>
        <v>4.2590000000000003</v>
      </c>
      <c r="G293" s="35">
        <f>'Fiscal Forecasts'!G$209</f>
        <v>4.5030000000000001</v>
      </c>
      <c r="H293" s="35">
        <f>'Fiscal Forecasts'!H$209</f>
        <v>6.1050000000000004</v>
      </c>
      <c r="I293" s="35">
        <f>'Fiscal Forecasts'!I$209</f>
        <v>6.6280000000000001</v>
      </c>
      <c r="J293" s="17">
        <f>'Fiscal Forecasts'!J$209</f>
        <v>6.51</v>
      </c>
      <c r="K293" s="17">
        <f>'Fiscal Forecasts'!K$209</f>
        <v>5.9379999999999997</v>
      </c>
      <c r="L293" s="17">
        <f>'Fiscal Forecasts'!L$209</f>
        <v>5.9710000000000001</v>
      </c>
      <c r="M293" s="17">
        <f>'Fiscal Forecasts'!M$209</f>
        <v>5.1829999999999998</v>
      </c>
      <c r="N293" s="17">
        <f>'Fiscal Forecasts'!N$209</f>
        <v>5.306</v>
      </c>
      <c r="O293" s="16">
        <f t="shared" ref="O293:X293" ca="1" si="179">O$292+(N$293-N$292)*(1+O$14)</f>
        <v>5.305855280297572</v>
      </c>
      <c r="P293" s="16">
        <f t="shared" ca="1" si="179"/>
        <v>5.2932947255773781</v>
      </c>
      <c r="Q293" s="16">
        <f t="shared" ca="1" si="179"/>
        <v>5.4701219005768253</v>
      </c>
      <c r="R293" s="16">
        <f t="shared" ca="1" si="179"/>
        <v>5.6855161571483634</v>
      </c>
      <c r="S293" s="16">
        <f t="shared" ca="1" si="179"/>
        <v>5.9056597840626788</v>
      </c>
      <c r="T293" s="16">
        <f t="shared" ca="1" si="179"/>
        <v>6.1302168224621436</v>
      </c>
      <c r="U293" s="16">
        <f t="shared" ca="1" si="179"/>
        <v>6.357767891554607</v>
      </c>
      <c r="V293" s="16">
        <f t="shared" ca="1" si="179"/>
        <v>6.5887401470617375</v>
      </c>
      <c r="W293" s="16">
        <f t="shared" ca="1" si="179"/>
        <v>6.8231249837688992</v>
      </c>
      <c r="X293" s="16">
        <f t="shared" ca="1" si="179"/>
        <v>7.062688615503034</v>
      </c>
    </row>
    <row r="294" spans="1:24" x14ac:dyDescent="0.25">
      <c r="A294" s="11" t="s">
        <v>904</v>
      </c>
      <c r="B294" s="10" t="str">
        <f>$B$38</f>
        <v>From Fiscal Forecasts</v>
      </c>
      <c r="D294" s="35">
        <f>'Fiscal Forecasts'!D$210</f>
        <v>5.4009999999999998</v>
      </c>
      <c r="E294" s="35">
        <f>'Fiscal Forecasts'!E$210</f>
        <v>8.9149999999999991</v>
      </c>
      <c r="F294" s="35">
        <f>'Fiscal Forecasts'!F$210</f>
        <v>5.8360000000000003</v>
      </c>
      <c r="G294" s="35">
        <f>'Fiscal Forecasts'!G$210</f>
        <v>4.8730000000000002</v>
      </c>
      <c r="H294" s="35">
        <f>'Fiscal Forecasts'!H$210</f>
        <v>8.5990000000000002</v>
      </c>
      <c r="I294" s="35">
        <f>'Fiscal Forecasts'!I$210</f>
        <v>10.317</v>
      </c>
      <c r="J294" s="17">
        <f>'Fiscal Forecasts'!J$210</f>
        <v>9.6999999999999993</v>
      </c>
      <c r="K294" s="17">
        <f>'Fiscal Forecasts'!K$210</f>
        <v>10.332000000000001</v>
      </c>
      <c r="L294" s="17">
        <f>'Fiscal Forecasts'!L$210</f>
        <v>10.58</v>
      </c>
      <c r="M294" s="17">
        <f>'Fiscal Forecasts'!M$210</f>
        <v>10.975</v>
      </c>
      <c r="N294" s="17">
        <f>'Fiscal Forecasts'!N$210</f>
        <v>11.539</v>
      </c>
      <c r="O294" s="16">
        <f t="shared" ref="O294:X294" ca="1" si="180">N$294*(1+O$19)*(1+O$29)</f>
        <v>11.91558332577668</v>
      </c>
      <c r="P294" s="16">
        <f t="shared" ca="1" si="180"/>
        <v>12.295729163494226</v>
      </c>
      <c r="Q294" s="16">
        <f t="shared" ca="1" si="180"/>
        <v>12.680445043678345</v>
      </c>
      <c r="R294" s="16">
        <f t="shared" ca="1" si="180"/>
        <v>13.066279166812539</v>
      </c>
      <c r="S294" s="16">
        <f t="shared" ca="1" si="180"/>
        <v>13.455279449697001</v>
      </c>
      <c r="T294" s="16">
        <f t="shared" ca="1" si="180"/>
        <v>13.846534233795651</v>
      </c>
      <c r="U294" s="16">
        <f t="shared" ca="1" si="180"/>
        <v>14.245158691202095</v>
      </c>
      <c r="V294" s="16">
        <f t="shared" ca="1" si="180"/>
        <v>14.649160143755896</v>
      </c>
      <c r="W294" s="16">
        <f t="shared" ca="1" si="180"/>
        <v>15.052784605713301</v>
      </c>
      <c r="X294" s="16">
        <f t="shared" ca="1" si="180"/>
        <v>15.46029102219522</v>
      </c>
    </row>
    <row r="295" spans="1:24" x14ac:dyDescent="0.25">
      <c r="A295" s="11" t="s">
        <v>866</v>
      </c>
      <c r="B295" s="10" t="str">
        <f>$B$38</f>
        <v>From Fiscal Forecasts</v>
      </c>
      <c r="D295" s="35">
        <f>'Fiscal Forecasts'!D$45-SUM(D$292:D$294)</f>
        <v>-3.0709999999999997</v>
      </c>
      <c r="E295" s="35">
        <f>'Fiscal Forecasts'!E$45-SUM(E$292:E$294)</f>
        <v>-2.9559999999999995</v>
      </c>
      <c r="F295" s="35">
        <f>'Fiscal Forecasts'!F$45-SUM(F$292:F$294)</f>
        <v>-5.4159999999999986</v>
      </c>
      <c r="G295" s="35">
        <f>'Fiscal Forecasts'!G$45-SUM(G$292:G$294)</f>
        <v>-4.5050000000000008</v>
      </c>
      <c r="H295" s="35">
        <f>'Fiscal Forecasts'!H$45-SUM(H$292:H$294)</f>
        <v>-5.7480000000000011</v>
      </c>
      <c r="I295" s="35">
        <f>'Fiscal Forecasts'!I$45-SUM(I$292:I$294)</f>
        <v>-5.6990000000000016</v>
      </c>
      <c r="J295" s="17">
        <f>'Fiscal Forecasts'!J$45-SUM(J$292:J$294)</f>
        <v>-5.9019999999999975</v>
      </c>
      <c r="K295" s="17">
        <f>'Fiscal Forecasts'!K$45-SUM(K$292:K$294)</f>
        <v>-5.1730000000000018</v>
      </c>
      <c r="L295" s="17">
        <f>'Fiscal Forecasts'!L$45-SUM(L$292:L$294)</f>
        <v>-5.0519999999999996</v>
      </c>
      <c r="M295" s="17">
        <f>'Fiscal Forecasts'!M$45-SUM(M$292:M$294)</f>
        <v>-4.7740000000000009</v>
      </c>
      <c r="N295" s="17">
        <f>'Fiscal Forecasts'!N$45-SUM(N$292:N$294)</f>
        <v>-5.2390000000000008</v>
      </c>
      <c r="O295" s="16">
        <f t="shared" ref="O295:X295" ca="1" si="181">N$295-(O$292-N$292)</f>
        <v>-5.2302257715457996</v>
      </c>
      <c r="P295" s="16">
        <f t="shared" ca="1" si="181"/>
        <v>-5.2087671352064913</v>
      </c>
      <c r="Q295" s="16">
        <f t="shared" ca="1" si="181"/>
        <v>-5.3766769084205706</v>
      </c>
      <c r="R295" s="16">
        <f t="shared" ca="1" si="181"/>
        <v>-5.5831545536941594</v>
      </c>
      <c r="S295" s="16">
        <f t="shared" ca="1" si="181"/>
        <v>-5.7941849610539702</v>
      </c>
      <c r="T295" s="16">
        <f t="shared" ca="1" si="181"/>
        <v>-6.0094460792302247</v>
      </c>
      <c r="U295" s="16">
        <f t="shared" ca="1" si="181"/>
        <v>-6.2275772851107991</v>
      </c>
      <c r="V295" s="16">
        <f t="shared" ca="1" si="181"/>
        <v>-6.4489880515803435</v>
      </c>
      <c r="W295" s="16">
        <f t="shared" ca="1" si="181"/>
        <v>-6.6736701296517058</v>
      </c>
      <c r="X295" s="16">
        <f t="shared" ca="1" si="181"/>
        <v>-6.9033166177289065</v>
      </c>
    </row>
    <row r="296" spans="1:24" x14ac:dyDescent="0.25">
      <c r="A296" s="9" t="s">
        <v>994</v>
      </c>
      <c r="D296" s="65">
        <f t="shared" ref="D296:X296" si="182">SUM(D$292:D$295)</f>
        <v>8.4290000000000003</v>
      </c>
      <c r="E296" s="65">
        <f t="shared" si="182"/>
        <v>12.962</v>
      </c>
      <c r="F296" s="65">
        <f t="shared" si="182"/>
        <v>10.335000000000001</v>
      </c>
      <c r="G296" s="65">
        <f t="shared" si="182"/>
        <v>9.5280000000000005</v>
      </c>
      <c r="H296" s="65">
        <f t="shared" si="182"/>
        <v>14.428000000000001</v>
      </c>
      <c r="I296" s="65">
        <f t="shared" si="182"/>
        <v>16.733000000000001</v>
      </c>
      <c r="J296" s="66">
        <f t="shared" si="182"/>
        <v>16.224</v>
      </c>
      <c r="K296" s="66">
        <f t="shared" si="182"/>
        <v>18.323</v>
      </c>
      <c r="L296" s="66">
        <f t="shared" si="182"/>
        <v>16.518999999999998</v>
      </c>
      <c r="M296" s="66">
        <f t="shared" si="182"/>
        <v>16.111999999999998</v>
      </c>
      <c r="N296" s="66">
        <f t="shared" si="182"/>
        <v>16.712</v>
      </c>
      <c r="O296" s="67">
        <f t="shared" ca="1" si="182"/>
        <v>17.088438606074252</v>
      </c>
      <c r="P296" s="67">
        <f t="shared" ca="1" si="182"/>
        <v>17.456023889071602</v>
      </c>
      <c r="Q296" s="67">
        <f t="shared" ca="1" si="182"/>
        <v>18.017566944255172</v>
      </c>
      <c r="R296" s="67">
        <f t="shared" ca="1" si="182"/>
        <v>18.618795323960903</v>
      </c>
      <c r="S296" s="67">
        <f t="shared" ca="1" si="182"/>
        <v>19.227939233759678</v>
      </c>
      <c r="T296" s="67">
        <f t="shared" ca="1" si="182"/>
        <v>19.843751056257794</v>
      </c>
      <c r="U296" s="67">
        <f t="shared" ca="1" si="182"/>
        <v>20.469926582756699</v>
      </c>
      <c r="V296" s="67">
        <f t="shared" ca="1" si="182"/>
        <v>21.104900290817632</v>
      </c>
      <c r="W296" s="67">
        <f t="shared" ca="1" si="182"/>
        <v>21.742909589482203</v>
      </c>
      <c r="X296" s="67">
        <f t="shared" ca="1" si="182"/>
        <v>22.389979637698254</v>
      </c>
    </row>
    <row r="298" spans="1:24" x14ac:dyDescent="0.25">
      <c r="A298" s="9" t="s">
        <v>995</v>
      </c>
    </row>
    <row r="299" spans="1:24" x14ac:dyDescent="0.25">
      <c r="A299" s="11" t="s">
        <v>996</v>
      </c>
      <c r="D299" s="35">
        <f t="shared" ref="D299:X299" si="183">D$237</f>
        <v>0</v>
      </c>
      <c r="E299" s="35">
        <f t="shared" si="183"/>
        <v>0</v>
      </c>
      <c r="F299" s="35">
        <f t="shared" si="183"/>
        <v>1E-3</v>
      </c>
      <c r="G299" s="35">
        <f t="shared" si="183"/>
        <v>1E-3</v>
      </c>
      <c r="H299" s="35">
        <f t="shared" si="183"/>
        <v>3.0000000000000001E-3</v>
      </c>
      <c r="I299" s="35">
        <f t="shared" si="183"/>
        <v>2E-3</v>
      </c>
      <c r="J299" s="17">
        <f t="shared" si="183"/>
        <v>3.0000000000000001E-3</v>
      </c>
      <c r="K299" s="17">
        <f t="shared" si="183"/>
        <v>3.0000000000000001E-3</v>
      </c>
      <c r="L299" s="17">
        <f t="shared" si="183"/>
        <v>3.0000000000000001E-3</v>
      </c>
      <c r="M299" s="17">
        <f t="shared" si="183"/>
        <v>2E-3</v>
      </c>
      <c r="N299" s="17">
        <f t="shared" si="183"/>
        <v>3.0000000000000001E-3</v>
      </c>
      <c r="O299" s="16">
        <f t="shared" ca="1" si="183"/>
        <v>0</v>
      </c>
      <c r="P299" s="16">
        <f t="shared" ca="1" si="183"/>
        <v>0</v>
      </c>
      <c r="Q299" s="16">
        <f t="shared" ca="1" si="183"/>
        <v>0</v>
      </c>
      <c r="R299" s="16">
        <f t="shared" ca="1" si="183"/>
        <v>0</v>
      </c>
      <c r="S299" s="16">
        <f t="shared" ca="1" si="183"/>
        <v>0</v>
      </c>
      <c r="T299" s="16">
        <f t="shared" ca="1" si="183"/>
        <v>0</v>
      </c>
      <c r="U299" s="16">
        <f t="shared" ca="1" si="183"/>
        <v>0</v>
      </c>
      <c r="V299" s="16">
        <f t="shared" ca="1" si="183"/>
        <v>0</v>
      </c>
      <c r="W299" s="16">
        <f t="shared" ca="1" si="183"/>
        <v>0</v>
      </c>
      <c r="X299" s="16">
        <f t="shared" ca="1" si="183"/>
        <v>0</v>
      </c>
    </row>
    <row r="300" spans="1:24" x14ac:dyDescent="0.25">
      <c r="A300" s="11" t="s">
        <v>952</v>
      </c>
      <c r="D300" s="35">
        <f t="shared" ref="D300:X300" si="184">D$192</f>
        <v>0.95099999999999996</v>
      </c>
      <c r="E300" s="35">
        <f t="shared" si="184"/>
        <v>0.89300000000000002</v>
      </c>
      <c r="F300" s="35">
        <f t="shared" si="184"/>
        <v>0.91600000000000004</v>
      </c>
      <c r="G300" s="35">
        <f t="shared" si="184"/>
        <v>0.96399999999999997</v>
      </c>
      <c r="H300" s="35">
        <f t="shared" si="184"/>
        <v>0.997</v>
      </c>
      <c r="I300" s="35">
        <f t="shared" si="184"/>
        <v>1.014</v>
      </c>
      <c r="J300" s="17">
        <f t="shared" si="184"/>
        <v>1.06</v>
      </c>
      <c r="K300" s="17">
        <f t="shared" si="184"/>
        <v>0.54500000000000004</v>
      </c>
      <c r="L300" s="17">
        <f t="shared" si="184"/>
        <v>0.56499999999999995</v>
      </c>
      <c r="M300" s="17">
        <f t="shared" si="184"/>
        <v>0.58799999999999997</v>
      </c>
      <c r="N300" s="17">
        <f t="shared" si="184"/>
        <v>0.61299999999999999</v>
      </c>
      <c r="O300" s="16">
        <f t="shared" si="184"/>
        <v>0.63900000000000001</v>
      </c>
      <c r="P300" s="16">
        <f t="shared" si="184"/>
        <v>0.67</v>
      </c>
      <c r="Q300" s="16">
        <f t="shared" si="184"/>
        <v>0.7</v>
      </c>
      <c r="R300" s="16">
        <f t="shared" ca="1" si="184"/>
        <v>0.72756355019879493</v>
      </c>
      <c r="S300" s="16">
        <f t="shared" ca="1" si="184"/>
        <v>0.75573486733594508</v>
      </c>
      <c r="T300" s="16">
        <f t="shared" ca="1" si="184"/>
        <v>0.78447095946271272</v>
      </c>
      <c r="U300" s="16">
        <f t="shared" ca="1" si="184"/>
        <v>0.81359019140303346</v>
      </c>
      <c r="V300" s="16">
        <f t="shared" ca="1" si="184"/>
        <v>0.84314722537661679</v>
      </c>
      <c r="W300" s="16">
        <f t="shared" ca="1" si="184"/>
        <v>0.87314096019223619</v>
      </c>
      <c r="X300" s="16">
        <f t="shared" ca="1" si="184"/>
        <v>0.90379741452028528</v>
      </c>
    </row>
    <row r="301" spans="1:24" x14ac:dyDescent="0.25">
      <c r="A301" s="11" t="s">
        <v>998</v>
      </c>
      <c r="B301" s="10" t="str">
        <f>$B$38</f>
        <v>From Fiscal Forecasts</v>
      </c>
      <c r="C301" s="64" cm="1">
        <f t="array" aca="1" ref="C301" ca="1">SUMPRODUCT(OFFSET($N$301,0,0,1,-OFFSET(Assumptions!$B$59,0,$C$1))/OFFSET($N$13,0,0,1,-OFFSET(Assumptions!$B$59,0,$C$1)))/OFFSET(Assumptions!$B$59,0,$C$1)</f>
        <v>8.1434646797816524E-3</v>
      </c>
      <c r="D301" s="35">
        <f>'Fiscal Forecasts'!D$63-SUM(D$299:D$300)</f>
        <v>2.0549999999999997</v>
      </c>
      <c r="E301" s="35">
        <f>'Fiscal Forecasts'!E$63-SUM(E$299:E$300)</f>
        <v>3.0949999999999998</v>
      </c>
      <c r="F301" s="35">
        <f>'Fiscal Forecasts'!F$63-SUM(F$299:F$300)</f>
        <v>3.5640000000000001</v>
      </c>
      <c r="G301" s="35">
        <f>'Fiscal Forecasts'!G$63-SUM(G$299:G$300)</f>
        <v>7.1129999999999995</v>
      </c>
      <c r="H301" s="35">
        <f>'Fiscal Forecasts'!H$63-SUM(H$299:H$300)</f>
        <v>2.69</v>
      </c>
      <c r="I301" s="35">
        <f>'Fiscal Forecasts'!I$63-SUM(I$299:I$300)</f>
        <v>2.9939999999999998</v>
      </c>
      <c r="J301" s="17">
        <f ca="1">'Fiscal Forecasts'!J$63-SUM(J$299:J$300)+IF(OFFSET(Assumptions!$B$56,0,$C$1)="Yes",Allocation!C$19,0)</f>
        <v>2.7319999999999998</v>
      </c>
      <c r="K301" s="17">
        <f ca="1">'Fiscal Forecasts'!K$63-SUM(K$299:K$300)+IF(OFFSET(Assumptions!$B$56,0,$C$1)="Yes",Allocation!D$19,0)</f>
        <v>2.7199999999999998</v>
      </c>
      <c r="L301" s="17">
        <f ca="1">'Fiscal Forecasts'!L$63-SUM(L$299:L$300)+IF(OFFSET(Assumptions!$B$56,0,$C$1)="Yes",Allocation!E$19,0)</f>
        <v>2.694</v>
      </c>
      <c r="M301" s="17">
        <f ca="1">'Fiscal Forecasts'!M$63-SUM(M$299:M$300)+IF(OFFSET(Assumptions!$B$56,0,$C$1)="Yes",Allocation!F$19,0)</f>
        <v>2.5840000000000001</v>
      </c>
      <c r="N301" s="17">
        <f ca="1">'Fiscal Forecasts'!N$63-SUM(N$299:N$300)+IF(OFFSET(Assumptions!$B$56,0,$C$1)="Yes",Allocation!G$19,0)</f>
        <v>2.6259999999999999</v>
      </c>
      <c r="O301" s="16">
        <f ca="1">N$301+IF(OFFSET(Assumptions!$B$57,0,$C$1)="Yes",Allocation!$B$19*O$247,IF(OFFSET(Assumptions!$B$58,0,$C$1)="Yes",(N$301/N$13+MIN(ABS($C$301-N$301/N$13),OFFSET(Assumptions!$B$60,0,$C$1))*SIGN($C$301-N$301/N$13))*O$13-N$301,0))</f>
        <v>3.0126737383757685</v>
      </c>
      <c r="P301" s="16">
        <f ca="1">O$301+IF(OFFSET(Assumptions!$B$57,0,$C$1)="Yes",Allocation!$B$19*P$247,IF(OFFSET(Assumptions!$B$58,0,$C$1)="Yes",(O$301/O$13+MIN(ABS($C$301-O$301/O$13),OFFSET(Assumptions!$B$60,0,$C$1))*SIGN($C$301-O$301/O$13))*P$13-O$301,0))</f>
        <v>3.4261922401716003</v>
      </c>
      <c r="Q301" s="16">
        <f ca="1">P$301+IF(OFFSET(Assumptions!$B$57,0,$C$1)="Yes",Allocation!$B$19*Q$247,IF(OFFSET(Assumptions!$B$58,0,$C$1)="Yes",(P$301/P$13+MIN(ABS($C$301-P$301/P$13),OFFSET(Assumptions!$B$60,0,$C$1))*SIGN($C$301-P$301/P$13))*Q$13-P$301,0))</f>
        <v>3.86335876335353</v>
      </c>
      <c r="R301" s="16">
        <f ca="1">Q$301+IF(OFFSET(Assumptions!$B$57,0,$C$1)="Yes",Allocation!$B$19*R$247,IF(OFFSET(Assumptions!$B$58,0,$C$1)="Yes",(Q$301/Q$13+MIN(ABS($C$301-Q$301/Q$13),OFFSET(Assumptions!$B$60,0,$C$1))*SIGN($C$301-Q$301/Q$13))*R$13-Q$301,0))</f>
        <v>4.3238797966099476</v>
      </c>
      <c r="S301" s="16">
        <f ca="1">R$301+IF(OFFSET(Assumptions!$B$57,0,$C$1)="Yes",Allocation!$B$19*S$247,IF(OFFSET(Assumptions!$B$58,0,$C$1)="Yes",(R$301/R$13+MIN(ABS($C$301-R$301/R$13),OFFSET(Assumptions!$B$60,0,$C$1))*SIGN($C$301-R$301/R$13))*S$13-R$301,0))</f>
        <v>4.8116373409164828</v>
      </c>
      <c r="T301" s="16">
        <f ca="1">S$301+IF(OFFSET(Assumptions!$B$57,0,$C$1)="Yes",Allocation!$B$19*T$247,IF(OFFSET(Assumptions!$B$58,0,$C$1)="Yes",(S$301/S$13+MIN(ABS($C$301-S$301/S$13),OFFSET(Assumptions!$B$60,0,$C$1))*SIGN($C$301-S$301/S$13))*T$13-S$301,0))</f>
        <v>5.3271123008981061</v>
      </c>
      <c r="U301" s="16">
        <f ca="1">T$301+IF(OFFSET(Assumptions!$B$57,0,$C$1)="Yes",Allocation!$B$19*U$247,IF(OFFSET(Assumptions!$B$58,0,$C$1)="Yes",(T$301/T$13+MIN(ABS($C$301-T$301/T$13),OFFSET(Assumptions!$B$60,0,$C$1))*SIGN($C$301-T$301/T$13))*U$13-T$301,0))</f>
        <v>5.6167099308573709</v>
      </c>
      <c r="V301" s="16">
        <f ca="1">U$301+IF(OFFSET(Assumptions!$B$57,0,$C$1)="Yes",Allocation!$B$19*V$247,IF(OFFSET(Assumptions!$B$58,0,$C$1)="Yes",(U$301/U$13+MIN(ABS($C$301-U$301/U$13),OFFSET(Assumptions!$B$60,0,$C$1))*SIGN($C$301-U$301/U$13))*V$13-U$301,0))</f>
        <v>5.8207601861337093</v>
      </c>
      <c r="W301" s="16">
        <f ca="1">V$301+IF(OFFSET(Assumptions!$B$57,0,$C$1)="Yes",Allocation!$B$19*W$247,IF(OFFSET(Assumptions!$B$58,0,$C$1)="Yes",(V$301/V$13+MIN(ABS($C$301-V$301/V$13),OFFSET(Assumptions!$B$60,0,$C$1))*SIGN($C$301-V$301/V$13))*W$13-V$301,0))</f>
        <v>6.0278252540051307</v>
      </c>
      <c r="X301" s="16">
        <f ca="1">W$301+IF(OFFSET(Assumptions!$B$57,0,$C$1)="Yes",Allocation!$B$19*X$247,IF(OFFSET(Assumptions!$B$58,0,$C$1)="Yes",(W$301/W$13+MIN(ABS($C$301-W$301/W$13),OFFSET(Assumptions!$B$60,0,$C$1))*SIGN($C$301-W$301/W$13))*X$13-W$301,0))</f>
        <v>6.2394654793774285</v>
      </c>
    </row>
    <row r="302" spans="1:24" x14ac:dyDescent="0.25">
      <c r="A302" s="9" t="s">
        <v>999</v>
      </c>
      <c r="D302" s="65">
        <f t="shared" ref="D302:X302" si="185">SUM(D$299:D$301)</f>
        <v>3.0059999999999998</v>
      </c>
      <c r="E302" s="65">
        <f t="shared" si="185"/>
        <v>3.9879999999999995</v>
      </c>
      <c r="F302" s="65">
        <f t="shared" si="185"/>
        <v>4.4809999999999999</v>
      </c>
      <c r="G302" s="65">
        <f t="shared" si="185"/>
        <v>8.0779999999999994</v>
      </c>
      <c r="H302" s="65">
        <f t="shared" si="185"/>
        <v>3.69</v>
      </c>
      <c r="I302" s="65">
        <f t="shared" si="185"/>
        <v>4.01</v>
      </c>
      <c r="J302" s="66">
        <f t="shared" ca="1" si="185"/>
        <v>3.7949999999999999</v>
      </c>
      <c r="K302" s="66">
        <f t="shared" ca="1" si="185"/>
        <v>3.2679999999999998</v>
      </c>
      <c r="L302" s="66">
        <f t="shared" ca="1" si="185"/>
        <v>3.262</v>
      </c>
      <c r="M302" s="66">
        <f t="shared" ca="1" si="185"/>
        <v>3.1739999999999999</v>
      </c>
      <c r="N302" s="66">
        <f t="shared" ca="1" si="185"/>
        <v>3.242</v>
      </c>
      <c r="O302" s="67">
        <f t="shared" ca="1" si="185"/>
        <v>3.6516737383757683</v>
      </c>
      <c r="P302" s="67">
        <f t="shared" ca="1" si="185"/>
        <v>4.0961922401716002</v>
      </c>
      <c r="Q302" s="67">
        <f t="shared" ca="1" si="185"/>
        <v>4.5633587633535297</v>
      </c>
      <c r="R302" s="67">
        <f t="shared" ca="1" si="185"/>
        <v>5.0514433468087425</v>
      </c>
      <c r="S302" s="67">
        <f t="shared" ca="1" si="185"/>
        <v>5.5673722082524275</v>
      </c>
      <c r="T302" s="67">
        <f t="shared" ca="1" si="185"/>
        <v>6.1115832603608187</v>
      </c>
      <c r="U302" s="67">
        <f t="shared" ca="1" si="185"/>
        <v>6.4303001222604044</v>
      </c>
      <c r="V302" s="67">
        <f t="shared" ca="1" si="185"/>
        <v>6.6639074115103263</v>
      </c>
      <c r="W302" s="67">
        <f t="shared" ca="1" si="185"/>
        <v>6.9009662141973669</v>
      </c>
      <c r="X302" s="67">
        <f t="shared" ca="1" si="185"/>
        <v>7.1432628938977141</v>
      </c>
    </row>
    <row r="303" spans="1:24" x14ac:dyDescent="0.25">
      <c r="A303" s="9" t="s">
        <v>1000</v>
      </c>
      <c r="B303" s="10" t="str">
        <f>$B$38</f>
        <v>From Fiscal Forecasts</v>
      </c>
      <c r="D303" s="42">
        <f>'Fiscal Forecasts'!D$46</f>
        <v>10.433</v>
      </c>
      <c r="E303" s="42">
        <f>'Fiscal Forecasts'!E$46</f>
        <v>11.246</v>
      </c>
      <c r="F303" s="42">
        <f>'Fiscal Forecasts'!F$46</f>
        <v>13.429</v>
      </c>
      <c r="G303" s="42">
        <f>'Fiscal Forecasts'!G$46</f>
        <v>16.672999999999998</v>
      </c>
      <c r="H303" s="42">
        <f>'Fiscal Forecasts'!H$46</f>
        <v>12.384</v>
      </c>
      <c r="I303" s="42">
        <f>'Fiscal Forecasts'!I$46</f>
        <v>16.007999999999999</v>
      </c>
      <c r="J303" s="43">
        <f ca="1">'Fiscal Forecasts'!J$46+IF(OFFSET(Assumptions!$B$56,0,$C$1)="Yes",Allocation!C$19,0)</f>
        <v>16.509</v>
      </c>
      <c r="K303" s="43">
        <f ca="1">'Fiscal Forecasts'!K$46+IF(OFFSET(Assumptions!$B$56,0,$C$1)="Yes",Allocation!D$19,0)</f>
        <v>15.918999999999999</v>
      </c>
      <c r="L303" s="43">
        <f ca="1">'Fiscal Forecasts'!L$46+IF(OFFSET(Assumptions!$B$56,0,$C$1)="Yes",Allocation!E$19,0)</f>
        <v>15.993</v>
      </c>
      <c r="M303" s="43">
        <f ca="1">'Fiscal Forecasts'!M$46+IF(OFFSET(Assumptions!$B$56,0,$C$1)="Yes",Allocation!F$19,0)</f>
        <v>16.52</v>
      </c>
      <c r="N303" s="43">
        <f ca="1">'Fiscal Forecasts'!N$46+IF(OFFSET(Assumptions!$B$56,0,$C$1)="Yes",Allocation!G$19,0)</f>
        <v>16.539000000000001</v>
      </c>
      <c r="O303" s="47">
        <f t="shared" ref="O303:X303" ca="1" si="186">O$302+(N$303-N$302)*(1+O$29)</f>
        <v>17.214613738375768</v>
      </c>
      <c r="P303" s="47">
        <f t="shared" ca="1" si="186"/>
        <v>17.9303910401716</v>
      </c>
      <c r="Q303" s="47">
        <f t="shared" ca="1" si="186"/>
        <v>18.674241539353531</v>
      </c>
      <c r="R303" s="47">
        <f t="shared" ca="1" si="186"/>
        <v>19.444543778328743</v>
      </c>
      <c r="S303" s="47">
        <f t="shared" ca="1" si="186"/>
        <v>20.248334648402828</v>
      </c>
      <c r="T303" s="47">
        <f t="shared" ca="1" si="186"/>
        <v>21.086164949314227</v>
      </c>
      <c r="U303" s="47">
        <f t="shared" ca="1" si="186"/>
        <v>21.704373444992882</v>
      </c>
      <c r="V303" s="47">
        <f t="shared" ca="1" si="186"/>
        <v>22.243462200697451</v>
      </c>
      <c r="W303" s="47">
        <f t="shared" ca="1" si="186"/>
        <v>22.792112099168236</v>
      </c>
      <c r="X303" s="47">
        <f t="shared" ca="1" si="186"/>
        <v>23.352231696567998</v>
      </c>
    </row>
    <row r="305" spans="1:24" x14ac:dyDescent="0.25">
      <c r="A305" s="9" t="s">
        <v>1001</v>
      </c>
    </row>
    <row r="306" spans="1:24" x14ac:dyDescent="0.25">
      <c r="A306" s="9" t="s">
        <v>1002</v>
      </c>
      <c r="B306" s="10" t="str">
        <f>$B$38</f>
        <v>From Fiscal Forecasts</v>
      </c>
      <c r="C306" s="64" cm="1">
        <f t="array" aca="1" ref="C306" ca="1">SUMPRODUCT(OFFSET($N$306,0,0,1,-OFFSET(Assumptions!$B$59,0,$C$1))/OFFSET($N$13,0,0,1,-OFFSET(Assumptions!$B$59,0,$C$1)))/OFFSET(Assumptions!$B$59,0,$C$1)</f>
        <v>7.6395860394259012E-3</v>
      </c>
      <c r="D306" s="42">
        <f>'Fiscal Forecasts'!D$64</f>
        <v>2.395</v>
      </c>
      <c r="E306" s="42">
        <f>'Fiscal Forecasts'!E$64</f>
        <v>2.4990000000000001</v>
      </c>
      <c r="F306" s="42">
        <f>'Fiscal Forecasts'!F$64</f>
        <v>2.6640000000000001</v>
      </c>
      <c r="G306" s="42">
        <f>'Fiscal Forecasts'!G$64</f>
        <v>2.8319999999999999</v>
      </c>
      <c r="H306" s="42">
        <f>'Fiscal Forecasts'!H$64</f>
        <v>2.8860000000000001</v>
      </c>
      <c r="I306" s="42">
        <f>'Fiscal Forecasts'!I$64</f>
        <v>3.1629999999999998</v>
      </c>
      <c r="J306" s="43">
        <f ca="1">'Fiscal Forecasts'!J$64+IF(OFFSET(Assumptions!$B$56,0,$C$1)="Yes",Allocation!C$20,0)</f>
        <v>3.1960000000000002</v>
      </c>
      <c r="K306" s="43">
        <f ca="1">'Fiscal Forecasts'!K$64+IF(OFFSET(Assumptions!$B$56,0,$C$1)="Yes",Allocation!D$20,0)</f>
        <v>3.589</v>
      </c>
      <c r="L306" s="43">
        <f ca="1">'Fiscal Forecasts'!L$64+IF(OFFSET(Assumptions!$B$56,0,$C$1)="Yes",Allocation!E$20,0)</f>
        <v>3.7320000000000002</v>
      </c>
      <c r="M306" s="43">
        <f ca="1">'Fiscal Forecasts'!M$64+IF(OFFSET(Assumptions!$B$56,0,$C$1)="Yes",Allocation!F$20,0)</f>
        <v>3.8689999999999998</v>
      </c>
      <c r="N306" s="43">
        <f ca="1">'Fiscal Forecasts'!N$64+IF(OFFSET(Assumptions!$B$56,0,$C$1)="Yes",Allocation!G$20,0)</f>
        <v>3.9710000000000001</v>
      </c>
      <c r="O306" s="47">
        <f ca="1">N$306+IF(OFFSET(Assumptions!$B$57,0,$C$1)="Yes",Allocation!$B$20*O$247,IF(OFFSET(Assumptions!$B$58,0,$C$1)="Yes",(N$306/N$13+MIN(ABS($C$306-N$306/N$13),OFFSET(Assumptions!$B$60,0,$C$1))*SIGN($C$306-N$306/N$13))*O$13-N$306,0))</f>
        <v>4.1768411203578051</v>
      </c>
      <c r="P306" s="47">
        <f ca="1">O$306+IF(OFFSET(Assumptions!$B$57,0,$C$1)="Yes",Allocation!$B$20*P$247,IF(OFFSET(Assumptions!$B$58,0,$C$1)="Yes",(O$306/O$13+MIN(ABS($C$306-O$306/O$13),OFFSET(Assumptions!$B$60,0,$C$1))*SIGN($C$306-O$306/O$13))*P$13-O$306,0))</f>
        <v>4.3549840562319293</v>
      </c>
      <c r="Q306" s="47">
        <f ca="1">P$306+IF(OFFSET(Assumptions!$B$57,0,$C$1)="Yes",Allocation!$B$20*Q$247,IF(OFFSET(Assumptions!$B$58,0,$C$1)="Yes",(P$306/P$13+MIN(ABS($C$306-P$306/P$13),OFFSET(Assumptions!$B$60,0,$C$1))*SIGN($C$306-P$306/P$13))*Q$13-P$306,0))</f>
        <v>4.5335137890905317</v>
      </c>
      <c r="R306" s="47">
        <f ca="1">Q$306+IF(OFFSET(Assumptions!$B$57,0,$C$1)="Yes",Allocation!$B$20*R$247,IF(OFFSET(Assumptions!$B$58,0,$C$1)="Yes",(Q$306/Q$13+MIN(ABS($C$306-Q$306/Q$13),OFFSET(Assumptions!$B$60,0,$C$1))*SIGN($C$306-Q$306/Q$13))*R$13-Q$306,0))</f>
        <v>4.7120276960941405</v>
      </c>
      <c r="S306" s="47">
        <f ca="1">R$306+IF(OFFSET(Assumptions!$B$57,0,$C$1)="Yes",Allocation!$B$20*S$247,IF(OFFSET(Assumptions!$B$58,0,$C$1)="Yes",(R$306/R$13+MIN(ABS($C$306-R$306/R$13),OFFSET(Assumptions!$B$60,0,$C$1))*SIGN($C$306-R$306/R$13))*S$13-R$306,0))</f>
        <v>4.8944777742343009</v>
      </c>
      <c r="T306" s="47">
        <f ca="1">S$306+IF(OFFSET(Assumptions!$B$57,0,$C$1)="Yes",Allocation!$B$20*T$247,IF(OFFSET(Assumptions!$B$58,0,$C$1)="Yes",(S$306/S$13+MIN(ABS($C$306-S$306/S$13),OFFSET(Assumptions!$B$60,0,$C$1))*SIGN($C$306-S$306/S$13))*T$13-S$306,0))</f>
        <v>5.080585588378983</v>
      </c>
      <c r="U306" s="47">
        <f ca="1">T$306+IF(OFFSET(Assumptions!$B$57,0,$C$1)="Yes",Allocation!$B$20*U$247,IF(OFFSET(Assumptions!$B$58,0,$C$1)="Yes",(T$306/T$13+MIN(ABS($C$306-T$306/T$13),OFFSET(Assumptions!$B$60,0,$C$1))*SIGN($C$306-T$306/T$13))*U$13-T$306,0))</f>
        <v>5.2691747877063673</v>
      </c>
      <c r="V306" s="47">
        <f ca="1">U$306+IF(OFFSET(Assumptions!$B$57,0,$C$1)="Yes",Allocation!$B$20*V$247,IF(OFFSET(Assumptions!$B$58,0,$C$1)="Yes",(U$306/U$13+MIN(ABS($C$306-U$306/U$13),OFFSET(Assumptions!$B$60,0,$C$1))*SIGN($C$306-U$306/U$13))*V$13-U$306,0))</f>
        <v>5.4605993892547353</v>
      </c>
      <c r="W306" s="47">
        <f ca="1">V$306+IF(OFFSET(Assumptions!$B$57,0,$C$1)="Yes",Allocation!$B$20*W$247,IF(OFFSET(Assumptions!$B$58,0,$C$1)="Yes",(V$306/V$13+MIN(ABS($C$306-V$306/V$13),OFFSET(Assumptions!$B$60,0,$C$1))*SIGN($C$306-V$306/V$13))*W$13-V$306,0))</f>
        <v>5.654852261216071</v>
      </c>
      <c r="X306" s="47">
        <f ca="1">W$306+IF(OFFSET(Assumptions!$B$57,0,$C$1)="Yes",Allocation!$B$20*X$247,IF(OFFSET(Assumptions!$B$58,0,$C$1)="Yes",(W$306/W$13+MIN(ABS($C$306-W$306/W$13),OFFSET(Assumptions!$B$60,0,$C$1))*SIGN($C$306-W$306/W$13))*X$13-W$306,0))</f>
        <v>5.8533972018172635</v>
      </c>
    </row>
    <row r="307" spans="1:24" x14ac:dyDescent="0.25">
      <c r="A307" s="9" t="s">
        <v>1003</v>
      </c>
      <c r="B307" s="10" t="str">
        <f>$B$38</f>
        <v>From Fiscal Forecasts</v>
      </c>
      <c r="D307" s="42">
        <f>'Fiscal Forecasts'!D$47</f>
        <v>2.39</v>
      </c>
      <c r="E307" s="42">
        <f>'Fiscal Forecasts'!E$47</f>
        <v>2.4820000000000002</v>
      </c>
      <c r="F307" s="42">
        <f>'Fiscal Forecasts'!F$47</f>
        <v>2.6480000000000001</v>
      </c>
      <c r="G307" s="42">
        <f>'Fiscal Forecasts'!G$47</f>
        <v>2.8029999999999999</v>
      </c>
      <c r="H307" s="42">
        <f>'Fiscal Forecasts'!H$47</f>
        <v>2.8380000000000001</v>
      </c>
      <c r="I307" s="42">
        <f>'Fiscal Forecasts'!I$47</f>
        <v>3.125</v>
      </c>
      <c r="J307" s="43">
        <f ca="1">'Fiscal Forecasts'!J$47+IF(OFFSET(Assumptions!$B$56,0,$C$1)="Yes",Allocation!C$20,0)</f>
        <v>3.1510000000000002</v>
      </c>
      <c r="K307" s="43">
        <f ca="1">'Fiscal Forecasts'!K$47+IF(OFFSET(Assumptions!$B$56,0,$C$1)="Yes",Allocation!D$20,0)</f>
        <v>3.544</v>
      </c>
      <c r="L307" s="43">
        <f ca="1">'Fiscal Forecasts'!L$47+IF(OFFSET(Assumptions!$B$56,0,$C$1)="Yes",Allocation!E$20,0)</f>
        <v>3.6859999999999999</v>
      </c>
      <c r="M307" s="43">
        <f ca="1">'Fiscal Forecasts'!M$47+IF(OFFSET(Assumptions!$B$56,0,$C$1)="Yes",Allocation!F$20,0)</f>
        <v>3.8230000000000004</v>
      </c>
      <c r="N307" s="43">
        <f ca="1">'Fiscal Forecasts'!N$47+IF(OFFSET(Assumptions!$B$56,0,$C$1)="Yes",Allocation!G$20,0)</f>
        <v>3.9250000000000003</v>
      </c>
      <c r="O307" s="47">
        <f ca="1">O$306</f>
        <v>4.1768411203578051</v>
      </c>
      <c r="P307" s="47">
        <f t="shared" ref="P307:X307" ca="1" si="187">P$306</f>
        <v>4.3549840562319293</v>
      </c>
      <c r="Q307" s="47">
        <f t="shared" ca="1" si="187"/>
        <v>4.5335137890905317</v>
      </c>
      <c r="R307" s="47">
        <f t="shared" ca="1" si="187"/>
        <v>4.7120276960941405</v>
      </c>
      <c r="S307" s="47">
        <f t="shared" ca="1" si="187"/>
        <v>4.8944777742343009</v>
      </c>
      <c r="T307" s="47">
        <f t="shared" ca="1" si="187"/>
        <v>5.080585588378983</v>
      </c>
      <c r="U307" s="47">
        <f t="shared" ca="1" si="187"/>
        <v>5.2691747877063673</v>
      </c>
      <c r="V307" s="47">
        <f t="shared" ca="1" si="187"/>
        <v>5.4605993892547353</v>
      </c>
      <c r="W307" s="47">
        <f t="shared" ca="1" si="187"/>
        <v>5.654852261216071</v>
      </c>
      <c r="X307" s="47">
        <f t="shared" ca="1" si="187"/>
        <v>5.8533972018172635</v>
      </c>
    </row>
    <row r="309" spans="1:24" x14ac:dyDescent="0.25">
      <c r="A309" s="9" t="s">
        <v>1004</v>
      </c>
    </row>
    <row r="310" spans="1:24" x14ac:dyDescent="0.25">
      <c r="A310" s="9" t="s">
        <v>1005</v>
      </c>
      <c r="B310" s="10" t="str">
        <f>$B$38</f>
        <v>From Fiscal Forecasts</v>
      </c>
      <c r="C310" s="64" cm="1">
        <f t="array" aca="1" ref="C310" ca="1">SUMPRODUCT(OFFSET($N$310,0,0,1,-OFFSET(Assumptions!$B$59,0,$C$1))/OFFSET($N$13,0,0,1,-OFFSET(Assumptions!$B$59,0,$C$1)))/OFFSET(Assumptions!$B$59,0,$C$1)</f>
        <v>3.412577449911653E-3</v>
      </c>
      <c r="D310" s="42">
        <f>'Fiscal Forecasts'!D$65</f>
        <v>0.91800000000000004</v>
      </c>
      <c r="E310" s="42">
        <f>'Fiscal Forecasts'!E$65</f>
        <v>1.1060000000000001</v>
      </c>
      <c r="F310" s="42">
        <f>'Fiscal Forecasts'!F$65</f>
        <v>1.42</v>
      </c>
      <c r="G310" s="42">
        <f>'Fiscal Forecasts'!G$65</f>
        <v>1.468</v>
      </c>
      <c r="H310" s="42">
        <f>'Fiscal Forecasts'!H$65</f>
        <v>1.5369999999999999</v>
      </c>
      <c r="I310" s="42">
        <f>'Fiscal Forecasts'!I$65</f>
        <v>1.504</v>
      </c>
      <c r="J310" s="43">
        <f ca="1">'Fiscal Forecasts'!J$65+IF(OFFSET(Assumptions!$B$56,0,$C$1)="Yes",Allocation!C$21,0)</f>
        <v>1.403</v>
      </c>
      <c r="K310" s="43">
        <f ca="1">'Fiscal Forecasts'!K$65+IF(OFFSET(Assumptions!$B$56,0,$C$1)="Yes",Allocation!D$21,0)</f>
        <v>1.4319999999999999</v>
      </c>
      <c r="L310" s="43">
        <f ca="1">'Fiscal Forecasts'!L$65+IF(OFFSET(Assumptions!$B$56,0,$C$1)="Yes",Allocation!E$21,0)</f>
        <v>1.4300000000000002</v>
      </c>
      <c r="M310" s="43">
        <f ca="1">'Fiscal Forecasts'!M$65+IF(OFFSET(Assumptions!$B$56,0,$C$1)="Yes",Allocation!F$21,0)</f>
        <v>1.4590000000000001</v>
      </c>
      <c r="N310" s="43">
        <f ca="1">'Fiscal Forecasts'!N$65+IF(OFFSET(Assumptions!$B$56,0,$C$1)="Yes",Allocation!G$21,0)</f>
        <v>1.48</v>
      </c>
      <c r="O310" s="47">
        <f ca="1">N$310+IF(OFFSET(Assumptions!$B$57,0,$C$1)="Yes",Allocation!$B$21*O$247,IF(OFFSET(Assumptions!$B$58,0,$C$1)="Yes",(N$310/N$13+MIN(ABS($C$310-N$310/N$13),OFFSET(Assumptions!$B$60,0,$C$1))*SIGN($C$310-N$310/N$13))*O$13-N$310,0))</f>
        <v>1.8172266532281103</v>
      </c>
      <c r="P310" s="47">
        <f ca="1">O$310+IF(OFFSET(Assumptions!$B$57,0,$C$1)="Yes",Allocation!$B$21*P$247,IF(OFFSET(Assumptions!$B$58,0,$C$1)="Yes",(O$310/O$13+MIN(ABS($C$310-O$310/O$13),OFFSET(Assumptions!$B$60,0,$C$1))*SIGN($C$310-O$310/O$13))*P$13-O$310,0))</f>
        <v>1.9453567651865458</v>
      </c>
      <c r="Q310" s="47">
        <f ca="1">P$310+IF(OFFSET(Assumptions!$B$57,0,$C$1)="Yes",Allocation!$B$21*Q$247,IF(OFFSET(Assumptions!$B$58,0,$C$1)="Yes",(P$310/P$13+MIN(ABS($C$310-P$310/P$13),OFFSET(Assumptions!$B$60,0,$C$1))*SIGN($C$310-P$310/P$13))*Q$13-P$310,0))</f>
        <v>2.0251053978150488</v>
      </c>
      <c r="R310" s="47">
        <f ca="1">Q$310+IF(OFFSET(Assumptions!$B$57,0,$C$1)="Yes",Allocation!$B$21*R$247,IF(OFFSET(Assumptions!$B$58,0,$C$1)="Yes",(Q$310/Q$13+MIN(ABS($C$310-Q$310/Q$13),OFFSET(Assumptions!$B$60,0,$C$1))*SIGN($C$310-Q$310/Q$13))*R$13-Q$310,0))</f>
        <v>2.1048469610872282</v>
      </c>
      <c r="S310" s="47">
        <f ca="1">R$310+IF(OFFSET(Assumptions!$B$57,0,$C$1)="Yes",Allocation!$B$21*S$247,IF(OFFSET(Assumptions!$B$58,0,$C$1)="Yes",(R$310/R$13+MIN(ABS($C$310-R$310/R$13),OFFSET(Assumptions!$B$60,0,$C$1))*SIGN($C$310-R$310/R$13))*S$13-R$310,0))</f>
        <v>2.1863467987986605</v>
      </c>
      <c r="T310" s="47">
        <f ca="1">S$310+IF(OFFSET(Assumptions!$B$57,0,$C$1)="Yes",Allocation!$B$21*T$247,IF(OFFSET(Assumptions!$B$58,0,$C$1)="Yes",(S$310/S$13+MIN(ABS($C$310-S$310/S$13),OFFSET(Assumptions!$B$60,0,$C$1))*SIGN($C$310-S$310/S$13))*T$13-S$310,0))</f>
        <v>2.2694805349101288</v>
      </c>
      <c r="U310" s="47">
        <f ca="1">T$310+IF(OFFSET(Assumptions!$B$57,0,$C$1)="Yes",Allocation!$B$21*U$247,IF(OFFSET(Assumptions!$B$58,0,$C$1)="Yes",(T$310/T$13+MIN(ABS($C$310-T$310/T$13),OFFSET(Assumptions!$B$60,0,$C$1))*SIGN($C$310-T$310/T$13))*U$13-T$310,0))</f>
        <v>2.3537226974566599</v>
      </c>
      <c r="V310" s="47">
        <f ca="1">U$310+IF(OFFSET(Assumptions!$B$57,0,$C$1)="Yes",Allocation!$B$21*V$247,IF(OFFSET(Assumptions!$B$58,0,$C$1)="Yes",(U$310/U$13+MIN(ABS($C$310-U$310/U$13),OFFSET(Assumptions!$B$60,0,$C$1))*SIGN($C$310-U$310/U$13))*V$13-U$310,0))</f>
        <v>2.4392314246613829</v>
      </c>
      <c r="W310" s="47">
        <f ca="1">V$310+IF(OFFSET(Assumptions!$B$57,0,$C$1)="Yes",Allocation!$B$21*W$247,IF(OFFSET(Assumptions!$B$58,0,$C$1)="Yes",(V$310/V$13+MIN(ABS($C$310-V$310/V$13),OFFSET(Assumptions!$B$60,0,$C$1))*SIGN($C$310-V$310/V$13))*W$13-V$310,0))</f>
        <v>2.5260035307695889</v>
      </c>
      <c r="X310" s="47">
        <f ca="1">W$310+IF(OFFSET(Assumptions!$B$57,0,$C$1)="Yes",Allocation!$B$21*X$247,IF(OFFSET(Assumptions!$B$58,0,$C$1)="Yes",(W$310/W$13+MIN(ABS($C$310-W$310/W$13),OFFSET(Assumptions!$B$60,0,$C$1))*SIGN($C$310-W$310/W$13))*X$13-W$310,0))</f>
        <v>2.6146928895375927</v>
      </c>
    </row>
    <row r="311" spans="1:24" x14ac:dyDescent="0.25">
      <c r="A311" s="9" t="s">
        <v>1006</v>
      </c>
      <c r="B311" s="10" t="str">
        <f>$B$38</f>
        <v>From Fiscal Forecasts</v>
      </c>
      <c r="D311" s="42">
        <f>'Fiscal Forecasts'!D$48</f>
        <v>2.5030000000000001</v>
      </c>
      <c r="E311" s="42">
        <f>'Fiscal Forecasts'!E$48</f>
        <v>2.9039999999999999</v>
      </c>
      <c r="F311" s="42">
        <f>'Fiscal Forecasts'!F$48</f>
        <v>3.0230000000000001</v>
      </c>
      <c r="G311" s="42">
        <f>'Fiscal Forecasts'!G$48</f>
        <v>3.26</v>
      </c>
      <c r="H311" s="42">
        <f>'Fiscal Forecasts'!H$48</f>
        <v>3.4169999999999998</v>
      </c>
      <c r="I311" s="42">
        <f>'Fiscal Forecasts'!I$48</f>
        <v>3.6080000000000001</v>
      </c>
      <c r="J311" s="43">
        <f ca="1">'Fiscal Forecasts'!J$48+IF(OFFSET(Assumptions!$B$56,0,$C$1)="Yes",Allocation!C$21,0)</f>
        <v>3.2190000000000003</v>
      </c>
      <c r="K311" s="43">
        <f ca="1">'Fiscal Forecasts'!K$48+IF(OFFSET(Assumptions!$B$56,0,$C$1)="Yes",Allocation!D$21,0)</f>
        <v>3.3839999999999999</v>
      </c>
      <c r="L311" s="43">
        <f ca="1">'Fiscal Forecasts'!L$48+IF(OFFSET(Assumptions!$B$56,0,$C$1)="Yes",Allocation!E$21,0)</f>
        <v>3.4829999999999997</v>
      </c>
      <c r="M311" s="43">
        <f ca="1">'Fiscal Forecasts'!M$48+IF(OFFSET(Assumptions!$B$56,0,$C$1)="Yes",Allocation!F$21,0)</f>
        <v>3.5640000000000001</v>
      </c>
      <c r="N311" s="43">
        <f ca="1">'Fiscal Forecasts'!N$48+IF(OFFSET(Assumptions!$B$56,0,$C$1)="Yes",Allocation!G$21,0)</f>
        <v>3.6470000000000002</v>
      </c>
      <c r="O311" s="47">
        <f t="shared" ref="O311:X311" ca="1" si="188">O$310+(N$311-N$310)*(1+O$29)</f>
        <v>4.0275666532281109</v>
      </c>
      <c r="P311" s="47">
        <f t="shared" ca="1" si="188"/>
        <v>4.1999035651865464</v>
      </c>
      <c r="Q311" s="47">
        <f t="shared" ca="1" si="188"/>
        <v>4.3247431338150495</v>
      </c>
      <c r="R311" s="47">
        <f t="shared" ca="1" si="188"/>
        <v>4.4504774518072292</v>
      </c>
      <c r="S311" s="47">
        <f t="shared" ca="1" si="188"/>
        <v>4.5788898993330616</v>
      </c>
      <c r="T311" s="47">
        <f t="shared" ca="1" si="188"/>
        <v>4.7098744974552176</v>
      </c>
      <c r="U311" s="47">
        <f t="shared" ca="1" si="188"/>
        <v>4.8429245392526505</v>
      </c>
      <c r="V311" s="47">
        <f t="shared" ca="1" si="188"/>
        <v>4.9782173032932935</v>
      </c>
      <c r="W311" s="47">
        <f t="shared" ca="1" si="188"/>
        <v>5.1157691269741381</v>
      </c>
      <c r="X311" s="47">
        <f t="shared" ca="1" si="188"/>
        <v>5.2562537976662327</v>
      </c>
    </row>
    <row r="313" spans="1:24" x14ac:dyDescent="0.25">
      <c r="A313" s="9" t="s">
        <v>1009</v>
      </c>
    </row>
    <row r="314" spans="1:24" x14ac:dyDescent="0.25">
      <c r="A314" s="9" t="s">
        <v>1007</v>
      </c>
      <c r="B314" s="10" t="str">
        <f>$B$38</f>
        <v>From Fiscal Forecasts</v>
      </c>
      <c r="C314" s="64" cm="1">
        <f t="array" aca="1" ref="C314" ca="1">SUMPRODUCT(OFFSET($N$314,0,0,1,-OFFSET(Assumptions!$B$59,0,$C$1))/OFFSET($N$13,0,0,1,-OFFSET(Assumptions!$B$59,0,$C$1)))/OFFSET(Assumptions!$B$59,0,$C$1)</f>
        <v>2.5414349436780333E-3</v>
      </c>
      <c r="D314" s="42">
        <f>'Fiscal Forecasts'!D$66</f>
        <v>0.96</v>
      </c>
      <c r="E314" s="42">
        <f>'Fiscal Forecasts'!E$66</f>
        <v>0.96099999999999997</v>
      </c>
      <c r="F314" s="42">
        <f>'Fiscal Forecasts'!F$66</f>
        <v>1.0149999999999999</v>
      </c>
      <c r="G314" s="42">
        <f>'Fiscal Forecasts'!G$66</f>
        <v>0.94899999999999995</v>
      </c>
      <c r="H314" s="42">
        <f>'Fiscal Forecasts'!H$66</f>
        <v>1.1559999999999999</v>
      </c>
      <c r="I314" s="42">
        <f>'Fiscal Forecasts'!I$66</f>
        <v>1.0620000000000001</v>
      </c>
      <c r="J314" s="43">
        <f ca="1">'Fiscal Forecasts'!J$66+IF(OFFSET(Assumptions!$B$56,0,$C$1)="Yes",Allocation!C$22,0)</f>
        <v>1.216</v>
      </c>
      <c r="K314" s="43">
        <f ca="1">'Fiscal Forecasts'!K$66+IF(OFFSET(Assumptions!$B$56,0,$C$1)="Yes",Allocation!D$22,0)</f>
        <v>1.0569999999999999</v>
      </c>
      <c r="L314" s="43">
        <f ca="1">'Fiscal Forecasts'!L$66+IF(OFFSET(Assumptions!$B$56,0,$C$1)="Yes",Allocation!E$22,0)</f>
        <v>1.03</v>
      </c>
      <c r="M314" s="43">
        <f ca="1">'Fiscal Forecasts'!M$66+IF(OFFSET(Assumptions!$B$56,0,$C$1)="Yes",Allocation!F$22,0)</f>
        <v>1.0509999999999999</v>
      </c>
      <c r="N314" s="43">
        <f ca="1">'Fiscal Forecasts'!N$66+IF(OFFSET(Assumptions!$B$56,0,$C$1)="Yes",Allocation!G$22,0)</f>
        <v>1.085</v>
      </c>
      <c r="O314" s="47">
        <f ca="1">N$314+IF(OFFSET(Assumptions!$B$57,0,$C$1)="Yes",Allocation!$B$22*O$247,IF(OFFSET(Assumptions!$B$58,0,$C$1)="Yes",(N$314/N$13+MIN(ABS($C$314-N$314/N$13),OFFSET(Assumptions!$B$60,0,$C$1))*SIGN($C$314-N$314/N$13))*O$13-N$314,0))</f>
        <v>1.3894954415967726</v>
      </c>
      <c r="P314" s="47">
        <f ca="1">O$314+IF(OFFSET(Assumptions!$B$57,0,$C$1)="Yes",Allocation!$B$22*P$247,IF(OFFSET(Assumptions!$B$58,0,$C$1)="Yes",(O$314/O$13+MIN(ABS($C$314-O$314/O$13),OFFSET(Assumptions!$B$60,0,$C$1))*SIGN($C$314-O$314/O$13))*P$13-O$314,0))</f>
        <v>1.4487576424363771</v>
      </c>
      <c r="Q314" s="47">
        <f ca="1">P$314+IF(OFFSET(Assumptions!$B$57,0,$C$1)="Yes",Allocation!$B$22*Q$247,IF(OFFSET(Assumptions!$B$58,0,$C$1)="Yes",(P$314/P$13+MIN(ABS($C$314-P$314/P$13),OFFSET(Assumptions!$B$60,0,$C$1))*SIGN($C$314-P$314/P$13))*Q$13-P$314,0))</f>
        <v>1.5081485177051175</v>
      </c>
      <c r="R314" s="47">
        <f ca="1">Q$314+IF(OFFSET(Assumptions!$B$57,0,$C$1)="Yes",Allocation!$B$22*R$247,IF(OFFSET(Assumptions!$B$58,0,$C$1)="Yes",(Q$314/Q$13+MIN(ABS($C$314-Q$314/Q$13),OFFSET(Assumptions!$B$60,0,$C$1))*SIGN($C$314-Q$314/Q$13))*R$13-Q$314,0))</f>
        <v>1.5675341282408364</v>
      </c>
      <c r="S314" s="47">
        <f ca="1">R$314+IF(OFFSET(Assumptions!$B$57,0,$C$1)="Yes",Allocation!$B$22*S$247,IF(OFFSET(Assumptions!$B$58,0,$C$1)="Yes",(R$314/R$13+MIN(ABS($C$314-R$314/R$13),OFFSET(Assumptions!$B$60,0,$C$1))*SIGN($C$314-R$314/R$13))*S$13-R$314,0))</f>
        <v>1.6282291713582562</v>
      </c>
      <c r="T314" s="47">
        <f ca="1">S$314+IF(OFFSET(Assumptions!$B$57,0,$C$1)="Yes",Allocation!$B$22*T$247,IF(OFFSET(Assumptions!$B$58,0,$C$1)="Yes",(S$314/S$13+MIN(ABS($C$314-S$314/S$13),OFFSET(Assumptions!$B$60,0,$C$1))*SIGN($C$314-S$314/S$13))*T$13-S$314,0))</f>
        <v>1.6901410209948595</v>
      </c>
      <c r="U314" s="47">
        <f ca="1">T$314+IF(OFFSET(Assumptions!$B$57,0,$C$1)="Yes",Allocation!$B$22*U$247,IF(OFFSET(Assumptions!$B$58,0,$C$1)="Yes",(T$314/T$13+MIN(ABS($C$314-T$314/T$13),OFFSET(Assumptions!$B$60,0,$C$1))*SIGN($C$314-T$314/T$13))*U$13-T$314,0))</f>
        <v>1.7528783445484397</v>
      </c>
      <c r="V314" s="47">
        <f ca="1">U$314+IF(OFFSET(Assumptions!$B$57,0,$C$1)="Yes",Allocation!$B$22*V$247,IF(OFFSET(Assumptions!$B$58,0,$C$1)="Yes",(U$314/U$13+MIN(ABS($C$314-U$314/U$13),OFFSET(Assumptions!$B$60,0,$C$1))*SIGN($C$314-U$314/U$13))*V$13-U$314,0))</f>
        <v>1.8165589116556105</v>
      </c>
      <c r="W314" s="47">
        <f ca="1">V$314+IF(OFFSET(Assumptions!$B$57,0,$C$1)="Yes",Allocation!$B$22*W$247,IF(OFFSET(Assumptions!$B$58,0,$C$1)="Yes",(V$314/V$13+MIN(ABS($C$314-V$314/V$13),OFFSET(Assumptions!$B$60,0,$C$1))*SIGN($C$314-V$314/V$13))*W$13-V$314,0))</f>
        <v>1.8811803498022057</v>
      </c>
      <c r="X314" s="47">
        <f ca="1">W$314+IF(OFFSET(Assumptions!$B$57,0,$C$1)="Yes",Allocation!$B$22*X$247,IF(OFFSET(Assumptions!$B$58,0,$C$1)="Yes",(W$314/W$13+MIN(ABS($C$314-W$314/W$13),OFFSET(Assumptions!$B$60,0,$C$1))*SIGN($C$314-W$314/W$13))*X$13-W$314,0))</f>
        <v>1.94722961573498</v>
      </c>
    </row>
    <row r="315" spans="1:24" x14ac:dyDescent="0.25">
      <c r="A315" s="9" t="s">
        <v>1008</v>
      </c>
      <c r="B315" s="10" t="str">
        <f>$B$38</f>
        <v>From Fiscal Forecasts</v>
      </c>
      <c r="D315" s="42">
        <f>'Fiscal Forecasts'!D$49</f>
        <v>2.395</v>
      </c>
      <c r="E315" s="42">
        <f>'Fiscal Forecasts'!E$49</f>
        <v>2.4300000000000002</v>
      </c>
      <c r="F315" s="42">
        <f>'Fiscal Forecasts'!F$49</f>
        <v>2.3980000000000001</v>
      </c>
      <c r="G315" s="42">
        <f>'Fiscal Forecasts'!G$49</f>
        <v>2.302</v>
      </c>
      <c r="H315" s="42">
        <f>'Fiscal Forecasts'!H$49</f>
        <v>2.74</v>
      </c>
      <c r="I315" s="42">
        <f>'Fiscal Forecasts'!I$49</f>
        <v>2.6360000000000001</v>
      </c>
      <c r="J315" s="43">
        <f ca="1">'Fiscal Forecasts'!J$49+IF(OFFSET(Assumptions!$B$56,0,$C$1)="Yes",Allocation!C$22,0)</f>
        <v>2.8320000000000003</v>
      </c>
      <c r="K315" s="43">
        <f ca="1">'Fiscal Forecasts'!K$49+IF(OFFSET(Assumptions!$B$56,0,$C$1)="Yes",Allocation!D$22,0)</f>
        <v>2.5289999999999999</v>
      </c>
      <c r="L315" s="43">
        <f ca="1">'Fiscal Forecasts'!L$49+IF(OFFSET(Assumptions!$B$56,0,$C$1)="Yes",Allocation!E$22,0)</f>
        <v>2.5100000000000002</v>
      </c>
      <c r="M315" s="43">
        <f ca="1">'Fiscal Forecasts'!M$49+IF(OFFSET(Assumptions!$B$56,0,$C$1)="Yes",Allocation!F$22,0)</f>
        <v>2.5009999999999999</v>
      </c>
      <c r="N315" s="43">
        <f ca="1">'Fiscal Forecasts'!N$49+IF(OFFSET(Assumptions!$B$56,0,$C$1)="Yes",Allocation!G$22,0)</f>
        <v>2.4910000000000001</v>
      </c>
      <c r="O315" s="47">
        <f t="shared" ref="O315:X315" ca="1" si="189">O$314+(N$315-N$314)*(1+O$29)</f>
        <v>2.8236154415967727</v>
      </c>
      <c r="P315" s="47">
        <f t="shared" ca="1" si="189"/>
        <v>2.9115600424363772</v>
      </c>
      <c r="Q315" s="47">
        <f t="shared" ca="1" si="189"/>
        <v>3.0002069657051176</v>
      </c>
      <c r="R315" s="47">
        <f t="shared" ca="1" si="189"/>
        <v>3.0894337452008367</v>
      </c>
      <c r="S315" s="47">
        <f t="shared" ca="1" si="189"/>
        <v>3.1805667806574567</v>
      </c>
      <c r="T315" s="47">
        <f t="shared" ca="1" si="189"/>
        <v>3.2735253824800443</v>
      </c>
      <c r="U315" s="47">
        <f t="shared" ca="1" si="189"/>
        <v>3.367930393263328</v>
      </c>
      <c r="V315" s="47">
        <f t="shared" ca="1" si="189"/>
        <v>3.4639120013447968</v>
      </c>
      <c r="W315" s="47">
        <f t="shared" ca="1" si="189"/>
        <v>3.5614805012851756</v>
      </c>
      <c r="X315" s="47">
        <f t="shared" ca="1" si="189"/>
        <v>3.6611357702476095</v>
      </c>
    </row>
    <row r="317" spans="1:24" x14ac:dyDescent="0.25">
      <c r="A317" s="9" t="s">
        <v>1012</v>
      </c>
    </row>
    <row r="318" spans="1:24" x14ac:dyDescent="0.25">
      <c r="A318" s="9" t="s">
        <v>1010</v>
      </c>
      <c r="B318" s="10" t="str">
        <f>$B$38</f>
        <v>From Fiscal Forecasts</v>
      </c>
      <c r="C318" s="64" cm="1">
        <f t="array" aca="1" ref="C318" ca="1">SUMPRODUCT(OFFSET($N$318,0,0,1,-OFFSET(Assumptions!$B$59,0,$C$1))/OFFSET($N$13,0,0,1,-OFFSET(Assumptions!$B$59,0,$C$1)))/OFFSET(Assumptions!$B$59,0,$C$1)</f>
        <v>4.9641595517215835E-3</v>
      </c>
      <c r="D318" s="42">
        <f>'Fiscal Forecasts'!D$67</f>
        <v>0.72699999999999998</v>
      </c>
      <c r="E318" s="42">
        <f>'Fiscal Forecasts'!E$67</f>
        <v>1.0149999999999999</v>
      </c>
      <c r="F318" s="42">
        <f>'Fiscal Forecasts'!F$67</f>
        <v>1.8129999999999999</v>
      </c>
      <c r="G318" s="42">
        <f>'Fiscal Forecasts'!G$67</f>
        <v>2.0329999999999999</v>
      </c>
      <c r="H318" s="42">
        <f>'Fiscal Forecasts'!H$67</f>
        <v>2.3119999999999998</v>
      </c>
      <c r="I318" s="42">
        <f>'Fiscal Forecasts'!I$67</f>
        <v>2.512</v>
      </c>
      <c r="J318" s="43">
        <f ca="1">'Fiscal Forecasts'!J$67+IF(OFFSET(Assumptions!$B$56,0,$C$1)="Yes",Allocation!C$23,0)</f>
        <v>2.3570000000000002</v>
      </c>
      <c r="K318" s="43">
        <f ca="1">'Fiscal Forecasts'!K$67+IF(OFFSET(Assumptions!$B$56,0,$C$1)="Yes",Allocation!D$23,0)</f>
        <v>2.4119999999999999</v>
      </c>
      <c r="L318" s="43">
        <f ca="1">'Fiscal Forecasts'!L$67+IF(OFFSET(Assumptions!$B$56,0,$C$1)="Yes",Allocation!E$23,0)</f>
        <v>2.331</v>
      </c>
      <c r="M318" s="43">
        <f ca="1">'Fiscal Forecasts'!M$67+IF(OFFSET(Assumptions!$B$56,0,$C$1)="Yes",Allocation!F$23,0)</f>
        <v>2.0499999999999998</v>
      </c>
      <c r="N318" s="43">
        <f ca="1">'Fiscal Forecasts'!N$67+IF(OFFSET(Assumptions!$B$56,0,$C$1)="Yes",Allocation!G$23,0)</f>
        <v>2.2040000000000002</v>
      </c>
      <c r="O318" s="47">
        <f ca="1">N$318+IF(OFFSET(Assumptions!$B$57,0,$C$1)="Yes",Allocation!$B$23*O$247,IF(OFFSET(Assumptions!$B$58,0,$C$1)="Yes",(N$318/N$13+MIN(ABS($C$318-N$318/N$13),OFFSET(Assumptions!$B$60,0,$C$1))*SIGN($C$318-N$318/N$13))*O$13-N$318,0))</f>
        <v>2.5724654749095279</v>
      </c>
      <c r="P318" s="47">
        <f ca="1">O$318+IF(OFFSET(Assumptions!$B$57,0,$C$1)="Yes",Allocation!$B$23*P$247,IF(OFFSET(Assumptions!$B$58,0,$C$1)="Yes",(O$318/O$13+MIN(ABS($C$318-O$318/O$13),OFFSET(Assumptions!$B$60,0,$C$1))*SIGN($C$318-O$318/O$13))*P$13-O$318,0))</f>
        <v>2.8298438670328201</v>
      </c>
      <c r="Q318" s="47">
        <f ca="1">P$318+IF(OFFSET(Assumptions!$B$57,0,$C$1)="Yes",Allocation!$B$23*Q$247,IF(OFFSET(Assumptions!$B$58,0,$C$1)="Yes",(P$318/P$13+MIN(ABS($C$318-P$318/P$13),OFFSET(Assumptions!$B$60,0,$C$1))*SIGN($C$318-P$318/P$13))*Q$13-P$318,0))</f>
        <v>2.9458514719033757</v>
      </c>
      <c r="R318" s="47">
        <f ca="1">Q$318+IF(OFFSET(Assumptions!$B$57,0,$C$1)="Yes",Allocation!$B$23*R$247,IF(OFFSET(Assumptions!$B$58,0,$C$1)="Yes",(Q$318/Q$13+MIN(ABS($C$318-Q$318/Q$13),OFFSET(Assumptions!$B$60,0,$C$1))*SIGN($C$318-Q$318/Q$13))*R$13-Q$318,0))</f>
        <v>3.0618487932233793</v>
      </c>
      <c r="S318" s="47">
        <f ca="1">R$318+IF(OFFSET(Assumptions!$B$57,0,$C$1)="Yes",Allocation!$B$23*S$247,IF(OFFSET(Assumptions!$B$58,0,$C$1)="Yes",(R$318/R$13+MIN(ABS($C$318-R$318/R$13),OFFSET(Assumptions!$B$60,0,$C$1))*SIGN($C$318-R$318/R$13))*S$13-R$318,0))</f>
        <v>3.1804038161575661</v>
      </c>
      <c r="T318" s="47">
        <f ca="1">S$318+IF(OFFSET(Assumptions!$B$57,0,$C$1)="Yes",Allocation!$B$23*T$247,IF(OFFSET(Assumptions!$B$58,0,$C$1)="Yes",(S$318/S$13+MIN(ABS($C$318-S$318/S$13),OFFSET(Assumptions!$B$60,0,$C$1))*SIGN($C$318-S$318/S$13))*T$13-S$318,0))</f>
        <v>3.3013356151409798</v>
      </c>
      <c r="U318" s="47">
        <f ca="1">T$318+IF(OFFSET(Assumptions!$B$57,0,$C$1)="Yes",Allocation!$B$23*U$247,IF(OFFSET(Assumptions!$B$58,0,$C$1)="Yes",(T$318/T$13+MIN(ABS($C$318-T$318/T$13),OFFSET(Assumptions!$B$60,0,$C$1))*SIGN($C$318-T$318/T$13))*U$13-T$318,0))</f>
        <v>3.4238798041011078</v>
      </c>
      <c r="V318" s="47">
        <f ca="1">U$318+IF(OFFSET(Assumptions!$B$57,0,$C$1)="Yes",Allocation!$B$23*V$247,IF(OFFSET(Assumptions!$B$58,0,$C$1)="Yes",(U$318/U$13+MIN(ABS($C$318-U$318/U$13),OFFSET(Assumptions!$B$60,0,$C$1))*SIGN($C$318-U$318/U$13))*V$13-U$318,0))</f>
        <v>3.5482664212956485</v>
      </c>
      <c r="W318" s="47">
        <f ca="1">V$318+IF(OFFSET(Assumptions!$B$57,0,$C$1)="Yes",Allocation!$B$23*W$247,IF(OFFSET(Assumptions!$B$58,0,$C$1)="Yes",(V$318/V$13+MIN(ABS($C$318-V$318/V$13),OFFSET(Assumptions!$B$60,0,$C$1))*SIGN($C$318-V$318/V$13))*W$13-V$318,0))</f>
        <v>3.6744908325163226</v>
      </c>
      <c r="X318" s="47">
        <f ca="1">W$318+IF(OFFSET(Assumptions!$B$57,0,$C$1)="Yes",Allocation!$B$23*X$247,IF(OFFSET(Assumptions!$B$58,0,$C$1)="Yes",(W$318/W$13+MIN(ABS($C$318-W$318/W$13),OFFSET(Assumptions!$B$60,0,$C$1))*SIGN($C$318-W$318/W$13))*X$13-W$318,0))</f>
        <v>3.8035042055243542</v>
      </c>
    </row>
    <row r="319" spans="1:24" x14ac:dyDescent="0.25">
      <c r="A319" s="9" t="s">
        <v>1011</v>
      </c>
      <c r="B319" s="10" t="str">
        <f>$B$38</f>
        <v>From Fiscal Forecasts</v>
      </c>
      <c r="D319" s="42">
        <f>'Fiscal Forecasts'!D$50</f>
        <v>2.02</v>
      </c>
      <c r="E319" s="42">
        <f>'Fiscal Forecasts'!E$50</f>
        <v>2.3929999999999998</v>
      </c>
      <c r="F319" s="42">
        <f>'Fiscal Forecasts'!F$50</f>
        <v>3.351</v>
      </c>
      <c r="G319" s="42">
        <f>'Fiscal Forecasts'!G$50</f>
        <v>3.9350000000000001</v>
      </c>
      <c r="H319" s="42">
        <f>'Fiscal Forecasts'!H$50</f>
        <v>4.3959999999999999</v>
      </c>
      <c r="I319" s="42">
        <f>'Fiscal Forecasts'!I$50</f>
        <v>4.7889999999999997</v>
      </c>
      <c r="J319" s="43">
        <f ca="1">'Fiscal Forecasts'!J$50+IF(OFFSET(Assumptions!$B$56,0,$C$1)="Yes",Allocation!C$23,0)</f>
        <v>4.7539999999999996</v>
      </c>
      <c r="K319" s="43">
        <f ca="1">'Fiscal Forecasts'!K$50+IF(OFFSET(Assumptions!$B$56,0,$C$1)="Yes",Allocation!D$23,0)</f>
        <v>4.7439999999999998</v>
      </c>
      <c r="L319" s="43">
        <f ca="1">'Fiscal Forecasts'!L$50+IF(OFFSET(Assumptions!$B$56,0,$C$1)="Yes",Allocation!E$23,0)</f>
        <v>4.8490000000000002</v>
      </c>
      <c r="M319" s="43">
        <f ca="1">'Fiscal Forecasts'!M$50+IF(OFFSET(Assumptions!$B$56,0,$C$1)="Yes",Allocation!F$23,0)</f>
        <v>4.5890000000000004</v>
      </c>
      <c r="N319" s="43">
        <f ca="1">'Fiscal Forecasts'!N$50+IF(OFFSET(Assumptions!$B$56,0,$C$1)="Yes",Allocation!G$23,0)</f>
        <v>4.6390000000000002</v>
      </c>
      <c r="O319" s="47">
        <f t="shared" ref="O319:X319" ca="1" si="190">O$318+(N$319-N$318)*(1+O$29)</f>
        <v>5.0561654749095286</v>
      </c>
      <c r="P319" s="47">
        <f t="shared" ca="1" si="190"/>
        <v>5.3632178670328212</v>
      </c>
      <c r="Q319" s="47">
        <f t="shared" ca="1" si="190"/>
        <v>5.5298929519033768</v>
      </c>
      <c r="R319" s="47">
        <f t="shared" ca="1" si="190"/>
        <v>5.69757110282338</v>
      </c>
      <c r="S319" s="47">
        <f t="shared" ca="1" si="190"/>
        <v>5.8688405719495673</v>
      </c>
      <c r="T319" s="47">
        <f t="shared" ca="1" si="190"/>
        <v>6.0435411060488207</v>
      </c>
      <c r="U319" s="47">
        <f t="shared" ca="1" si="190"/>
        <v>6.2209294048271051</v>
      </c>
      <c r="V319" s="47">
        <f t="shared" ca="1" si="190"/>
        <v>6.4012570140361653</v>
      </c>
      <c r="W319" s="47">
        <f t="shared" ca="1" si="190"/>
        <v>6.5845412371116492</v>
      </c>
      <c r="X319" s="47">
        <f t="shared" ca="1" si="190"/>
        <v>6.7717556182115874</v>
      </c>
    </row>
    <row r="321" spans="1:24" x14ac:dyDescent="0.25">
      <c r="A321" s="9" t="s">
        <v>1014</v>
      </c>
    </row>
    <row r="322" spans="1:24" x14ac:dyDescent="0.25">
      <c r="A322" s="11" t="s">
        <v>1013</v>
      </c>
      <c r="B322" s="10" t="str">
        <f>$B$38</f>
        <v>From Fiscal Forecasts</v>
      </c>
      <c r="D322" s="35">
        <f>'Fiscal Forecasts'!D$376</f>
        <v>0.54300000000000004</v>
      </c>
      <c r="E322" s="35">
        <f>'Fiscal Forecasts'!E$376</f>
        <v>0.65</v>
      </c>
      <c r="F322" s="35">
        <f>'Fiscal Forecasts'!F$376</f>
        <v>1.853</v>
      </c>
      <c r="G322" s="35">
        <f>'Fiscal Forecasts'!G$376</f>
        <v>1.4890000000000001</v>
      </c>
      <c r="H322" s="35">
        <f>'Fiscal Forecasts'!H$376</f>
        <v>1.103</v>
      </c>
      <c r="I322" s="35">
        <f>'Fiscal Forecasts'!I$376</f>
        <v>0.83399999999999996</v>
      </c>
      <c r="J322" s="17">
        <f>'Fiscal Forecasts'!J$376</f>
        <v>1.194</v>
      </c>
      <c r="K322" s="17">
        <f>'Fiscal Forecasts'!K$376</f>
        <v>1.1739999999999999</v>
      </c>
      <c r="L322" s="17">
        <f>'Fiscal Forecasts'!L$376</f>
        <v>1.3680000000000001</v>
      </c>
      <c r="M322" s="17">
        <f>'Fiscal Forecasts'!M$376</f>
        <v>1.4219999999999999</v>
      </c>
      <c r="N322" s="17">
        <f>'Fiscal Forecasts'!N$376</f>
        <v>1.448</v>
      </c>
      <c r="O322" s="16">
        <f t="shared" ref="O322:X322" ca="1" si="191">N$322*(1+O$29)</f>
        <v>1.4769600000000001</v>
      </c>
      <c r="P322" s="16">
        <f t="shared" ca="1" si="191"/>
        <v>1.5064992000000001</v>
      </c>
      <c r="Q322" s="16">
        <f t="shared" ca="1" si="191"/>
        <v>1.5366291840000001</v>
      </c>
      <c r="R322" s="16">
        <f t="shared" ca="1" si="191"/>
        <v>1.5673617676800002</v>
      </c>
      <c r="S322" s="16">
        <f t="shared" ca="1" si="191"/>
        <v>1.5987090030336002</v>
      </c>
      <c r="T322" s="16">
        <f t="shared" ca="1" si="191"/>
        <v>1.6306831830942723</v>
      </c>
      <c r="U322" s="16">
        <f t="shared" ca="1" si="191"/>
        <v>1.6632968467561577</v>
      </c>
      <c r="V322" s="16">
        <f t="shared" ca="1" si="191"/>
        <v>1.6965627836912809</v>
      </c>
      <c r="W322" s="16">
        <f t="shared" ca="1" si="191"/>
        <v>1.7304940393651065</v>
      </c>
      <c r="X322" s="16">
        <f t="shared" ca="1" si="191"/>
        <v>1.7651039201524086</v>
      </c>
    </row>
    <row r="323" spans="1:24" x14ac:dyDescent="0.25">
      <c r="A323" s="11" t="s">
        <v>1015</v>
      </c>
      <c r="B323" s="10" t="str">
        <f>$B$38</f>
        <v>From Fiscal Forecasts</v>
      </c>
      <c r="C323" s="64" cm="1">
        <f t="array" aca="1" ref="C323" ca="1">SUMPRODUCT(OFFSET($N$323,0,0,1,-OFFSET(Assumptions!$B$59,0,$C$1))/OFFSET($N$13,0,0,1,-OFFSET(Assumptions!$B$59,0,$C$1)))/OFFSET(Assumptions!$B$59,0,$C$1)</f>
        <v>2.6602238792232794E-3</v>
      </c>
      <c r="D323" s="35">
        <f>'Fiscal Forecasts'!D$68-D$322</f>
        <v>0.57599999999999996</v>
      </c>
      <c r="E323" s="35">
        <f>'Fiscal Forecasts'!E$68-E$322</f>
        <v>0.83500000000000008</v>
      </c>
      <c r="F323" s="35">
        <f>'Fiscal Forecasts'!F$68-F$322</f>
        <v>5.2999999999999936E-2</v>
      </c>
      <c r="G323" s="35">
        <f>'Fiscal Forecasts'!G$68-G$322</f>
        <v>1.0599999999999998</v>
      </c>
      <c r="H323" s="35">
        <f>'Fiscal Forecasts'!H$68-H$322</f>
        <v>1.2779999999999998</v>
      </c>
      <c r="I323" s="35">
        <f>'Fiscal Forecasts'!I$68-I$322</f>
        <v>1.4630000000000001</v>
      </c>
      <c r="J323" s="17">
        <f ca="1">'Fiscal Forecasts'!J$68-J$322+IF(OFFSET(Assumptions!$B$56,0,$C$1)="Yes",Allocation!C$24,0)</f>
        <v>1.476</v>
      </c>
      <c r="K323" s="17">
        <f ca="1">'Fiscal Forecasts'!K$68-K$322+IF(OFFSET(Assumptions!$B$56,0,$C$1)="Yes",Allocation!D$24,0)</f>
        <v>1.4530000000000003</v>
      </c>
      <c r="L323" s="17">
        <f ca="1">'Fiscal Forecasts'!L$68-L$322+IF(OFFSET(Assumptions!$B$56,0,$C$1)="Yes",Allocation!E$24,0)</f>
        <v>1.3049999999999999</v>
      </c>
      <c r="M323" s="17">
        <f ca="1">'Fiscal Forecasts'!M$68-M$322+IF(OFFSET(Assumptions!$B$56,0,$C$1)="Yes",Allocation!F$24,0)</f>
        <v>1.2510000000000001</v>
      </c>
      <c r="N323" s="17">
        <f ca="1">'Fiscal Forecasts'!N$68-N$322+IF(OFFSET(Assumptions!$B$56,0,$C$1)="Yes",Allocation!G$24,0)</f>
        <v>1.2869999999999999</v>
      </c>
      <c r="O323" s="16">
        <f ca="1">N$323+IF(OFFSET(Assumptions!$B$57,0,$C$1)="Yes",Allocation!$B$24*O$247,IF(OFFSET(Assumptions!$B$58,0,$C$1)="Yes",(N$323/N$13+MIN(ABS($C$323-N$323/N$13),OFFSET(Assumptions!$B$60,0,$C$1))*SIGN($C$323-N$323/N$13))*O$13-N$323,0))</f>
        <v>1.4544416975939369</v>
      </c>
      <c r="P323" s="16">
        <f ca="1">O$323+IF(OFFSET(Assumptions!$B$57,0,$C$1)="Yes",Allocation!$B$24*P$247,IF(OFFSET(Assumptions!$B$58,0,$C$1)="Yes",(O$323/O$13+MIN(ABS($C$323-O$323/O$13),OFFSET(Assumptions!$B$60,0,$C$1))*SIGN($C$323-O$323/O$13))*P$13-O$323,0))</f>
        <v>1.516473866546759</v>
      </c>
      <c r="Q323" s="16">
        <f ca="1">P$323+IF(OFFSET(Assumptions!$B$57,0,$C$1)="Yes",Allocation!$B$24*Q$247,IF(OFFSET(Assumptions!$B$58,0,$C$1)="Yes",(P$323/P$13+MIN(ABS($C$323-P$323/P$13),OFFSET(Assumptions!$B$60,0,$C$1))*SIGN($C$323-P$323/P$13))*Q$13-P$323,0))</f>
        <v>1.5786407242862779</v>
      </c>
      <c r="R323" s="16">
        <f ca="1">Q$323+IF(OFFSET(Assumptions!$B$57,0,$C$1)="Yes",Allocation!$B$24*R$247,IF(OFFSET(Assumptions!$B$58,0,$C$1)="Yes",(Q$323/Q$13+MIN(ABS($C$323-Q$323/Q$13),OFFSET(Assumptions!$B$60,0,$C$1))*SIGN($C$323-Q$323/Q$13))*R$13-Q$323,0))</f>
        <v>1.6408020712144591</v>
      </c>
      <c r="S323" s="16">
        <f ca="1">R$323+IF(OFFSET(Assumptions!$B$57,0,$C$1)="Yes",Allocation!$B$24*S$247,IF(OFFSET(Assumptions!$B$58,0,$C$1)="Yes",(R$323/R$13+MIN(ABS($C$323-R$323/R$13),OFFSET(Assumptions!$B$60,0,$C$1))*SIGN($C$323-R$323/R$13))*S$13-R$323,0))</f>
        <v>1.7043340547708723</v>
      </c>
      <c r="T323" s="16">
        <f ca="1">S$323+IF(OFFSET(Assumptions!$B$57,0,$C$1)="Yes",Allocation!$B$24*T$247,IF(OFFSET(Assumptions!$B$58,0,$C$1)="Yes",(S$323/S$13+MIN(ABS($C$323-S$323/S$13),OFFSET(Assumptions!$B$60,0,$C$1))*SIGN($C$323-S$323/S$13))*T$13-S$323,0))</f>
        <v>1.7691397194682406</v>
      </c>
      <c r="U323" s="16">
        <f ca="1">T$323+IF(OFFSET(Assumptions!$B$57,0,$C$1)="Yes",Allocation!$B$24*U$247,IF(OFFSET(Assumptions!$B$58,0,$C$1)="Yes",(T$323/T$13+MIN(ABS($C$323-T$323/T$13),OFFSET(Assumptions!$B$60,0,$C$1))*SIGN($C$323-T$323/T$13))*U$13-T$323,0))</f>
        <v>1.8348094414695661</v>
      </c>
      <c r="V323" s="16">
        <f ca="1">U$323+IF(OFFSET(Assumptions!$B$57,0,$C$1)="Yes",Allocation!$B$24*V$247,IF(OFFSET(Assumptions!$B$58,0,$C$1)="Yes",(U$323/U$13+MIN(ABS($C$323-U$323/U$13),OFFSET(Assumptions!$B$60,0,$C$1))*SIGN($C$323-U$323/U$13))*V$13-U$323,0))</f>
        <v>1.9014664950692972</v>
      </c>
      <c r="W323" s="16">
        <f ca="1">V$323+IF(OFFSET(Assumptions!$B$57,0,$C$1)="Yes",Allocation!$B$24*W$247,IF(OFFSET(Assumptions!$B$58,0,$C$1)="Yes",(V$323/V$13+MIN(ABS($C$323-V$323/V$13),OFFSET(Assumptions!$B$60,0,$C$1))*SIGN($C$323-V$323/V$13))*W$13-V$323,0))</f>
        <v>1.96910839685984</v>
      </c>
      <c r="X323" s="16">
        <f ca="1">W$323+IF(OFFSET(Assumptions!$B$57,0,$C$1)="Yes",Allocation!$B$24*X$247,IF(OFFSET(Assumptions!$B$58,0,$C$1)="Yes",(W$323/W$13+MIN(ABS($C$323-W$323/W$13),OFFSET(Assumptions!$B$60,0,$C$1))*SIGN($C$323-W$323/W$13))*X$13-W$323,0))</f>
        <v>2.0382448643805264</v>
      </c>
    </row>
    <row r="324" spans="1:24" x14ac:dyDescent="0.25">
      <c r="A324" s="9" t="s">
        <v>1016</v>
      </c>
      <c r="D324" s="65">
        <f t="shared" ref="D324:X324" si="192">SUM(D$322:D$323)</f>
        <v>1.119</v>
      </c>
      <c r="E324" s="65">
        <f t="shared" si="192"/>
        <v>1.4850000000000001</v>
      </c>
      <c r="F324" s="65">
        <f t="shared" si="192"/>
        <v>1.9059999999999999</v>
      </c>
      <c r="G324" s="65">
        <f t="shared" si="192"/>
        <v>2.5489999999999999</v>
      </c>
      <c r="H324" s="65">
        <f t="shared" si="192"/>
        <v>2.3809999999999998</v>
      </c>
      <c r="I324" s="65">
        <f t="shared" si="192"/>
        <v>2.2970000000000002</v>
      </c>
      <c r="J324" s="66">
        <f t="shared" ca="1" si="192"/>
        <v>2.67</v>
      </c>
      <c r="K324" s="66">
        <f t="shared" ca="1" si="192"/>
        <v>2.6270000000000002</v>
      </c>
      <c r="L324" s="66">
        <f t="shared" ca="1" si="192"/>
        <v>2.673</v>
      </c>
      <c r="M324" s="66">
        <f t="shared" ca="1" si="192"/>
        <v>2.673</v>
      </c>
      <c r="N324" s="66">
        <f t="shared" ca="1" si="192"/>
        <v>2.7349999999999999</v>
      </c>
      <c r="O324" s="67">
        <f t="shared" ca="1" si="192"/>
        <v>2.931401697593937</v>
      </c>
      <c r="P324" s="67">
        <f t="shared" ca="1" si="192"/>
        <v>3.0229730665467591</v>
      </c>
      <c r="Q324" s="67">
        <f t="shared" ca="1" si="192"/>
        <v>3.1152699082862778</v>
      </c>
      <c r="R324" s="67">
        <f t="shared" ca="1" si="192"/>
        <v>3.2081638388944596</v>
      </c>
      <c r="S324" s="67">
        <f t="shared" ca="1" si="192"/>
        <v>3.3030430578044725</v>
      </c>
      <c r="T324" s="67">
        <f t="shared" ca="1" si="192"/>
        <v>3.3998229025625131</v>
      </c>
      <c r="U324" s="67">
        <f t="shared" ca="1" si="192"/>
        <v>3.4981062882257241</v>
      </c>
      <c r="V324" s="67">
        <f t="shared" ca="1" si="192"/>
        <v>3.5980292787605781</v>
      </c>
      <c r="W324" s="67">
        <f t="shared" ca="1" si="192"/>
        <v>3.6996024362249464</v>
      </c>
      <c r="X324" s="67">
        <f t="shared" ca="1" si="192"/>
        <v>3.8033487845329352</v>
      </c>
    </row>
    <row r="325" spans="1:24" x14ac:dyDescent="0.25">
      <c r="A325" s="9" t="s">
        <v>1017</v>
      </c>
      <c r="B325" s="10" t="str">
        <f>$B$38</f>
        <v>From Fiscal Forecasts</v>
      </c>
      <c r="D325" s="42">
        <f>'Fiscal Forecasts'!D$51</f>
        <v>1.1080000000000001</v>
      </c>
      <c r="E325" s="42">
        <f>'Fiscal Forecasts'!E$51</f>
        <v>1.472</v>
      </c>
      <c r="F325" s="42">
        <f>'Fiscal Forecasts'!F$51</f>
        <v>1.889</v>
      </c>
      <c r="G325" s="42">
        <f>'Fiscal Forecasts'!G$51</f>
        <v>2.5350000000000001</v>
      </c>
      <c r="H325" s="42">
        <f>'Fiscal Forecasts'!H$51</f>
        <v>2.3530000000000002</v>
      </c>
      <c r="I325" s="42">
        <f>'Fiscal Forecasts'!I$51</f>
        <v>2.2770000000000001</v>
      </c>
      <c r="J325" s="43">
        <f ca="1">'Fiscal Forecasts'!J$51+IF(OFFSET(Assumptions!$B$56,0,$C$1)="Yes",Allocation!C$24,0)</f>
        <v>2.669</v>
      </c>
      <c r="K325" s="43">
        <f ca="1">'Fiscal Forecasts'!K$51+IF(OFFSET(Assumptions!$B$56,0,$C$1)="Yes",Allocation!D$24,0)</f>
        <v>2.6230000000000002</v>
      </c>
      <c r="L325" s="43">
        <f ca="1">'Fiscal Forecasts'!L$51+IF(OFFSET(Assumptions!$B$56,0,$C$1)="Yes",Allocation!E$24,0)</f>
        <v>2.669</v>
      </c>
      <c r="M325" s="43">
        <f ca="1">'Fiscal Forecasts'!M$51+IF(OFFSET(Assumptions!$B$56,0,$C$1)="Yes",Allocation!F$24,0)</f>
        <v>2.669</v>
      </c>
      <c r="N325" s="43">
        <f ca="1">'Fiscal Forecasts'!N$51+IF(OFFSET(Assumptions!$B$56,0,$C$1)="Yes",Allocation!G$24,0)</f>
        <v>2.7309999999999999</v>
      </c>
      <c r="O325" s="47">
        <f t="shared" ref="O325:X325" ca="1" si="193">O$324</f>
        <v>2.931401697593937</v>
      </c>
      <c r="P325" s="47">
        <f t="shared" ca="1" si="193"/>
        <v>3.0229730665467591</v>
      </c>
      <c r="Q325" s="47">
        <f t="shared" ca="1" si="193"/>
        <v>3.1152699082862778</v>
      </c>
      <c r="R325" s="47">
        <f t="shared" ca="1" si="193"/>
        <v>3.2081638388944596</v>
      </c>
      <c r="S325" s="47">
        <f t="shared" ca="1" si="193"/>
        <v>3.3030430578044725</v>
      </c>
      <c r="T325" s="47">
        <f t="shared" ca="1" si="193"/>
        <v>3.3998229025625131</v>
      </c>
      <c r="U325" s="47">
        <f t="shared" ca="1" si="193"/>
        <v>3.4981062882257241</v>
      </c>
      <c r="V325" s="47">
        <f t="shared" ca="1" si="193"/>
        <v>3.5980292787605781</v>
      </c>
      <c r="W325" s="47">
        <f t="shared" ca="1" si="193"/>
        <v>3.6996024362249464</v>
      </c>
      <c r="X325" s="47">
        <f t="shared" ca="1" si="193"/>
        <v>3.8033487845329352</v>
      </c>
    </row>
    <row r="327" spans="1:24" x14ac:dyDescent="0.25">
      <c r="A327" s="9" t="s">
        <v>1018</v>
      </c>
    </row>
    <row r="328" spans="1:24" x14ac:dyDescent="0.25">
      <c r="A328" s="9" t="s">
        <v>1019</v>
      </c>
      <c r="B328" s="10" t="str">
        <f>$B$38</f>
        <v>From Fiscal Forecasts</v>
      </c>
      <c r="D328" s="42">
        <f>'Fiscal Forecasts'!D$70</f>
        <v>9.6000000000000002E-2</v>
      </c>
      <c r="E328" s="42">
        <f>'Fiscal Forecasts'!E$70</f>
        <v>6.3E-2</v>
      </c>
      <c r="F328" s="42">
        <f>'Fiscal Forecasts'!F$70</f>
        <v>0.254</v>
      </c>
      <c r="G328" s="42">
        <f>'Fiscal Forecasts'!G$70</f>
        <v>0.26900000000000002</v>
      </c>
      <c r="H328" s="42">
        <f>'Fiscal Forecasts'!H$70</f>
        <v>0.13300000000000001</v>
      </c>
      <c r="I328" s="42">
        <f>'Fiscal Forecasts'!I$70</f>
        <v>0.14499999999999999</v>
      </c>
      <c r="J328" s="43">
        <f>'Fiscal Forecasts'!J$70+0.001</f>
        <v>0.25600000000000001</v>
      </c>
      <c r="K328" s="43">
        <f>'Fiscal Forecasts'!K$70</f>
        <v>9.2999999999999999E-2</v>
      </c>
      <c r="L328" s="43">
        <f>'Fiscal Forecasts'!L$70</f>
        <v>0.316</v>
      </c>
      <c r="M328" s="43">
        <f>'Fiscal Forecasts'!M$70</f>
        <v>0.316</v>
      </c>
      <c r="N328" s="43">
        <f>'Fiscal Forecasts'!N$70</f>
        <v>0.316</v>
      </c>
      <c r="O328" s="47">
        <f ca="1">IF(O$6=OFFSET(Assumptions!$B$8,0,$C$1),OFFSET(Assumptions!$B$9,0,$C$1),N$328)</f>
        <v>0</v>
      </c>
      <c r="P328" s="47">
        <f ca="1">IF(P$6=OFFSET(Assumptions!$B$8,0,$C$1),OFFSET(Assumptions!$B$9,0,$C$1),O$328)</f>
        <v>0</v>
      </c>
      <c r="Q328" s="47">
        <f ca="1">IF(Q$6=OFFSET(Assumptions!$B$8,0,$C$1),OFFSET(Assumptions!$B$9,0,$C$1),P$328)</f>
        <v>0</v>
      </c>
      <c r="R328" s="47">
        <f ca="1">IF(R$6=OFFSET(Assumptions!$B$8,0,$C$1),OFFSET(Assumptions!$B$9,0,$C$1),Q$328)</f>
        <v>0</v>
      </c>
      <c r="S328" s="47">
        <f ca="1">IF(S$6=OFFSET(Assumptions!$B$8,0,$C$1),OFFSET(Assumptions!$B$9,0,$C$1),R$328)</f>
        <v>0</v>
      </c>
      <c r="T328" s="47">
        <f ca="1">IF(T$6=OFFSET(Assumptions!$B$8,0,$C$1),OFFSET(Assumptions!$B$9,0,$C$1),S$328)</f>
        <v>0</v>
      </c>
      <c r="U328" s="47">
        <f ca="1">IF(U$6=OFFSET(Assumptions!$B$8,0,$C$1),OFFSET(Assumptions!$B$9,0,$C$1),T$328)</f>
        <v>0</v>
      </c>
      <c r="V328" s="47">
        <f ca="1">IF(V$6=OFFSET(Assumptions!$B$8,0,$C$1),OFFSET(Assumptions!$B$9,0,$C$1),U$328)</f>
        <v>0</v>
      </c>
      <c r="W328" s="47">
        <f ca="1">IF(W$6=OFFSET(Assumptions!$B$8,0,$C$1),OFFSET(Assumptions!$B$9,0,$C$1),V$328)</f>
        <v>0</v>
      </c>
      <c r="X328" s="47">
        <f ca="1">IF(X$6=OFFSET(Assumptions!$B$8,0,$C$1),OFFSET(Assumptions!$B$9,0,$C$1),W$328)</f>
        <v>0</v>
      </c>
    </row>
    <row r="329" spans="1:24" x14ac:dyDescent="0.25">
      <c r="A329" s="9" t="s">
        <v>1020</v>
      </c>
      <c r="B329" s="10" t="str">
        <f>$B$38</f>
        <v>From Fiscal Forecasts</v>
      </c>
      <c r="D329" s="42">
        <f>'Fiscal Forecasts'!D$53</f>
        <v>9.6000000000000002E-2</v>
      </c>
      <c r="E329" s="42">
        <f>'Fiscal Forecasts'!E$53</f>
        <v>6.3E-2</v>
      </c>
      <c r="F329" s="42">
        <f>'Fiscal Forecasts'!F$53</f>
        <v>0.254</v>
      </c>
      <c r="G329" s="42">
        <f>'Fiscal Forecasts'!G$53</f>
        <v>0.24199999999999999</v>
      </c>
      <c r="H329" s="42">
        <f>'Fiscal Forecasts'!H$53</f>
        <v>0.13300000000000001</v>
      </c>
      <c r="I329" s="42">
        <f>'Fiscal Forecasts'!I$53</f>
        <v>0.14499999999999999</v>
      </c>
      <c r="J329" s="43">
        <f>'Fiscal Forecasts'!J$53</f>
        <v>0.255</v>
      </c>
      <c r="K329" s="43">
        <f>'Fiscal Forecasts'!K$53</f>
        <v>9.2999999999999999E-2</v>
      </c>
      <c r="L329" s="43">
        <f>'Fiscal Forecasts'!L$53</f>
        <v>0.316</v>
      </c>
      <c r="M329" s="43">
        <f>'Fiscal Forecasts'!M$53</f>
        <v>0.316</v>
      </c>
      <c r="N329" s="43">
        <f>'Fiscal Forecasts'!N$53</f>
        <v>0.316</v>
      </c>
      <c r="O329" s="47">
        <f ca="1">IF(O$6=OFFSET(Assumptions!$B$8,0,$C$1),OFFSET(Assumptions!$B$9,0,$C$1),N$329)</f>
        <v>0</v>
      </c>
      <c r="P329" s="47">
        <f ca="1">IF(P$6=OFFSET(Assumptions!$B$8,0,$C$1),OFFSET(Assumptions!$B$9,0,$C$1),O$329)</f>
        <v>0</v>
      </c>
      <c r="Q329" s="47">
        <f ca="1">IF(Q$6=OFFSET(Assumptions!$B$8,0,$C$1),OFFSET(Assumptions!$B$9,0,$C$1),P$329)</f>
        <v>0</v>
      </c>
      <c r="R329" s="47">
        <f ca="1">IF(R$6=OFFSET(Assumptions!$B$8,0,$C$1),OFFSET(Assumptions!$B$9,0,$C$1),Q$329)</f>
        <v>0</v>
      </c>
      <c r="S329" s="47">
        <f ca="1">IF(S$6=OFFSET(Assumptions!$B$8,0,$C$1),OFFSET(Assumptions!$B$9,0,$C$1),R$329)</f>
        <v>0</v>
      </c>
      <c r="T329" s="47">
        <f ca="1">IF(T$6=OFFSET(Assumptions!$B$8,0,$C$1),OFFSET(Assumptions!$B$9,0,$C$1),S$329)</f>
        <v>0</v>
      </c>
      <c r="U329" s="47">
        <f ca="1">IF(U$6=OFFSET(Assumptions!$B$8,0,$C$1),OFFSET(Assumptions!$B$9,0,$C$1),T$329)</f>
        <v>0</v>
      </c>
      <c r="V329" s="47">
        <f ca="1">IF(V$6=OFFSET(Assumptions!$B$8,0,$C$1),OFFSET(Assumptions!$B$9,0,$C$1),U$329)</f>
        <v>0</v>
      </c>
      <c r="W329" s="47">
        <f ca="1">IF(W$6=OFFSET(Assumptions!$B$8,0,$C$1),OFFSET(Assumptions!$B$9,0,$C$1),V$329)</f>
        <v>0</v>
      </c>
      <c r="X329" s="47">
        <f ca="1">IF(X$6=OFFSET(Assumptions!$B$8,0,$C$1),OFFSET(Assumptions!$B$9,0,$C$1),W$329)</f>
        <v>0</v>
      </c>
    </row>
    <row r="331" spans="1:24" x14ac:dyDescent="0.25">
      <c r="A331" s="12" t="s">
        <v>1021</v>
      </c>
    </row>
    <row r="332" spans="1:24" x14ac:dyDescent="0.25">
      <c r="A332" s="9" t="s">
        <v>1022</v>
      </c>
      <c r="D332" s="42">
        <f>SUM(D$196,D$261,D$267:D$270,D$273,D$283,D$288,D$301,D$306,D$310,D$314,D$318,D$324)</f>
        <v>50.609000000000002</v>
      </c>
      <c r="E332" s="42">
        <f t="shared" ref="E332:N332" si="194">SUM(E$196,E$261,E$267:E$270,E$273,E$283,E$288,E$301,E$306,E$310,E$314,E$318,E$324)</f>
        <v>57.67</v>
      </c>
      <c r="F332" s="42">
        <f t="shared" si="194"/>
        <v>62.933000000000007</v>
      </c>
      <c r="G332" s="42">
        <f t="shared" si="194"/>
        <v>73.015000000000001</v>
      </c>
      <c r="H332" s="42">
        <f t="shared" si="194"/>
        <v>73.475000000000009</v>
      </c>
      <c r="I332" s="42">
        <f t="shared" si="194"/>
        <v>79.288999999999987</v>
      </c>
      <c r="J332" s="43">
        <f t="shared" ca="1" si="194"/>
        <v>79.472999999999999</v>
      </c>
      <c r="K332" s="43">
        <f t="shared" ca="1" si="194"/>
        <v>84.472000000000008</v>
      </c>
      <c r="L332" s="43">
        <f t="shared" ca="1" si="194"/>
        <v>86.845000000000027</v>
      </c>
      <c r="M332" s="43">
        <f t="shared" ca="1" si="194"/>
        <v>88.118999999999986</v>
      </c>
      <c r="N332" s="43">
        <f t="shared" ca="1" si="194"/>
        <v>90.845999999999989</v>
      </c>
      <c r="O332" s="47">
        <f ca="1">SUM(O$196,O$261,O$267:O$270,O$273,O$283,O$288,O$301,O$306,O$310,O$314,O$318,O$324)</f>
        <v>96.546646409051732</v>
      </c>
      <c r="P332" s="47">
        <f t="shared" ref="P332:X332" ca="1" si="195">SUM(P$196,P$261,P$267:P$270,P$273,P$283,P$288,P$301,P$306,P$310,P$314,P$318,P$324)</f>
        <v>101.52823425456353</v>
      </c>
      <c r="Q332" s="47">
        <f t="shared" ca="1" si="195"/>
        <v>106.5807362328834</v>
      </c>
      <c r="R332" s="47">
        <f t="shared" ca="1" si="195"/>
        <v>111.6506694757927</v>
      </c>
      <c r="S332" s="47">
        <f t="shared" ca="1" si="195"/>
        <v>116.69315467187539</v>
      </c>
      <c r="T332" s="47">
        <f t="shared" ca="1" si="195"/>
        <v>121.89849376463549</v>
      </c>
      <c r="U332" s="47">
        <f t="shared" ca="1" si="195"/>
        <v>126.99790483588411</v>
      </c>
      <c r="V332" s="47">
        <f t="shared" ca="1" si="195"/>
        <v>132.14508299369862</v>
      </c>
      <c r="W332" s="47">
        <f t="shared" ca="1" si="195"/>
        <v>137.39629804878751</v>
      </c>
      <c r="X332" s="47">
        <f t="shared" ca="1" si="195"/>
        <v>142.78292696868351</v>
      </c>
    </row>
    <row r="333" spans="1:24" x14ac:dyDescent="0.25">
      <c r="A333" s="9" t="s">
        <v>1023</v>
      </c>
      <c r="D333" s="42">
        <f>SUM(D$261,D$272,D$267:D$270,D$273,D$280,D$282,D$292,D$328)</f>
        <v>35.922000000000004</v>
      </c>
      <c r="E333" s="42">
        <f t="shared" ref="E333:N333" si="196">SUM(E$261,E$272,E$267:E$270,E$273,E$280,E$282,E$292,E$328)</f>
        <v>40.394000000000005</v>
      </c>
      <c r="F333" s="42">
        <f t="shared" si="196"/>
        <v>45.15</v>
      </c>
      <c r="G333" s="42">
        <f t="shared" si="196"/>
        <v>50.318999999999996</v>
      </c>
      <c r="H333" s="42">
        <f t="shared" si="196"/>
        <v>54.479000000000006</v>
      </c>
      <c r="I333" s="42">
        <f t="shared" si="196"/>
        <v>57.910000000000011</v>
      </c>
      <c r="J333" s="43">
        <f t="shared" ca="1" si="196"/>
        <v>58.012</v>
      </c>
      <c r="K333" s="43">
        <f t="shared" ca="1" si="196"/>
        <v>63.19400000000001</v>
      </c>
      <c r="L333" s="43">
        <f t="shared" ca="1" si="196"/>
        <v>62.703000000000003</v>
      </c>
      <c r="M333" s="43">
        <f t="shared" ca="1" si="196"/>
        <v>63.843999999999994</v>
      </c>
      <c r="N333" s="43">
        <f t="shared" ca="1" si="196"/>
        <v>66.007000000000005</v>
      </c>
      <c r="O333" s="47">
        <f ca="1">SUM(O$261,O$272,O$267:O$270,O$273,O$280,O$282,O$292,O$328)</f>
        <v>68.615715826215336</v>
      </c>
      <c r="P333" s="47">
        <f t="shared" ref="P333:X333" ca="1" si="197">SUM(P$261,P$272,P$267:P$270,P$273,P$280,P$282,P$292,P$328)</f>
        <v>71.500760051911143</v>
      </c>
      <c r="Q333" s="47">
        <f t="shared" ca="1" si="197"/>
        <v>74.718675011623972</v>
      </c>
      <c r="R333" s="47">
        <f t="shared" ca="1" si="197"/>
        <v>78.053219923525546</v>
      </c>
      <c r="S333" s="47">
        <f t="shared" ca="1" si="197"/>
        <v>81.499850142724</v>
      </c>
      <c r="T333" s="47">
        <f t="shared" ca="1" si="197"/>
        <v>85.05816717474508</v>
      </c>
      <c r="U333" s="47">
        <f t="shared" ca="1" si="197"/>
        <v>88.720173153197891</v>
      </c>
      <c r="V333" s="47">
        <f t="shared" ca="1" si="197"/>
        <v>92.497009116245138</v>
      </c>
      <c r="W333" s="47">
        <f t="shared" ca="1" si="197"/>
        <v>96.358600967453967</v>
      </c>
      <c r="X333" s="47">
        <f t="shared" ca="1" si="197"/>
        <v>100.32510602090107</v>
      </c>
    </row>
    <row r="334" spans="1:24" x14ac:dyDescent="0.25">
      <c r="A334" s="12" t="s">
        <v>1024</v>
      </c>
    </row>
    <row r="335" spans="1:24" x14ac:dyDescent="0.25">
      <c r="A335" s="9" t="s">
        <v>1025</v>
      </c>
      <c r="B335" s="10" t="str">
        <f>$B$38</f>
        <v>From Fiscal Forecasts</v>
      </c>
      <c r="D335" s="42">
        <f>'Fiscal Forecasts'!D$211</f>
        <v>6.7160000000000002</v>
      </c>
      <c r="E335" s="42">
        <f>'Fiscal Forecasts'!E$211</f>
        <v>7.5140000000000002</v>
      </c>
      <c r="F335" s="42">
        <f>'Fiscal Forecasts'!F$211</f>
        <v>8.0459999999999994</v>
      </c>
      <c r="G335" s="42">
        <f>'Fiscal Forecasts'!G$211</f>
        <v>8.5389999999999997</v>
      </c>
      <c r="H335" s="42">
        <f>'Fiscal Forecasts'!H$211</f>
        <v>10.163</v>
      </c>
      <c r="I335" s="42">
        <f>'Fiscal Forecasts'!I$211</f>
        <v>10.747999999999999</v>
      </c>
      <c r="J335" s="43">
        <f>'Fiscal Forecasts'!J$211</f>
        <v>10.715999999999999</v>
      </c>
      <c r="K335" s="43">
        <f>'Fiscal Forecasts'!K$211</f>
        <v>10.582000000000001</v>
      </c>
      <c r="L335" s="43">
        <f>'Fiscal Forecasts'!L$211</f>
        <v>10.785</v>
      </c>
      <c r="M335" s="43">
        <f>'Fiscal Forecasts'!M$211</f>
        <v>10.513999999999999</v>
      </c>
      <c r="N335" s="43">
        <f>'Fiscal Forecasts'!N$211</f>
        <v>10.589</v>
      </c>
      <c r="O335" s="47">
        <f ca="1">IF(O$6=OFFSET(Assumptions!$B$8,0,$C$1),AVERAGE(L$335/SUM(L$252-L$251,L$285-L$284,L$289-L$288,,L$307-L$306,L$311-L$310,L$315-L$314,L$319-L$318,L$325-L$324),M$335/SUM(M$252-M$251,M$285-M$284,M$289-M$288,,M$307-M$306,M$311-M$310,M$315-M$314,M$319-M$318,M$325-M$324),N$335/SUM(N$252-N$251,N$285-N$284,N$289-N$288,,N$307-N$306,N$311-N$310,N$315-N$314,N$319-N$318,N$325-N$324)),N$335/SUM(N$252-N$251,N$285-N$284,N$289-N$288,,N$307-N$306,N$311-N$310,N$315-N$314,N$319-N$318,N$325-N$324))*SUM(O$252-O$251,O$285-O$284,O$289-O$288,,O$307-O$306,O$311-O$310,O$315-O$314,O$319-O$318,O$325-O$324)</f>
        <v>10.933351291983378</v>
      </c>
      <c r="P335" s="47">
        <f ca="1">IF(P$6=OFFSET(Assumptions!$B$8,0,$C$1),AVERAGE(M$335/SUM(M$252-M$251,M$285-M$284,M$289-M$288,,M$307-M$306,M$311-M$310,M$315-M$314,M$319-M$318,M$325-M$324),N$335/SUM(N$252-N$251,N$285-N$284,N$289-N$288,,N$307-N$306,N$311-N$310,N$315-N$314,N$319-N$318,N$325-N$324),O$335/SUM(O$252-O$251,O$285-O$284,O$289-O$288,,O$307-O$306,O$311-O$310,O$315-O$314,O$319-O$318,O$325-O$324)),O$335/SUM(O$252-O$251,O$285-O$284,O$289-O$288,,O$307-O$306,O$311-O$310,O$315-O$314,O$319-O$318,O$325-O$324))*SUM(P$252-P$251,P$285-P$284,P$289-P$288,,P$307-P$306,P$311-P$310,P$315-P$314,P$319-P$318,P$325-P$324)</f>
        <v>11.151276459309569</v>
      </c>
      <c r="Q335" s="47">
        <f ca="1">IF(Q$6=OFFSET(Assumptions!$B$8,0,$C$1),AVERAGE(N$335/SUM(N$252-N$251,N$285-N$284,N$289-N$288,,N$307-N$306,N$311-N$310,N$315-N$314,N$319-N$318,N$325-N$324),O$335/SUM(O$252-O$251,O$285-O$284,O$289-O$288,,O$307-O$306,O$311-O$310,O$315-O$314,O$319-O$318,O$325-O$324),P$335/SUM(P$252-P$251,P$285-P$284,P$289-P$288,,P$307-P$306,P$311-P$310,P$315-P$314,P$319-P$318,P$325-P$324)),P$335/SUM(P$252-P$251,P$285-P$284,P$289-P$288,,P$307-P$306,P$311-P$310,P$315-P$314,P$319-P$318,P$325-P$324))*SUM(Q$252-Q$251,Q$285-Q$284,Q$289-Q$288,,Q$307-Q$306,Q$311-Q$310,Q$315-Q$314,Q$319-Q$318,Q$325-Q$324)</f>
        <v>11.373613760309015</v>
      </c>
      <c r="R335" s="47">
        <f ca="1">IF(R$6=OFFSET(Assumptions!$B$8,0,$C$1),AVERAGE(O$335/SUM(O$252-O$251,O$285-O$284,O$289-O$288,,O$307-O$306,O$311-O$310,O$315-O$314,O$319-O$318,O$325-O$324),P$335/SUM(P$252-P$251,P$285-P$284,P$289-P$288,,P$307-P$306,P$311-P$310,P$315-P$314,P$319-P$318,P$325-P$324),Q$335/SUM(Q$252-Q$251,Q$285-Q$284,Q$289-Q$288,,Q$307-Q$306,Q$311-Q$310,Q$315-Q$314,Q$319-Q$318,Q$325-Q$324)),Q$335/SUM(Q$252-Q$251,Q$285-Q$284,Q$289-Q$288,,Q$307-Q$306,Q$311-Q$310,Q$315-Q$314,Q$319-Q$318,Q$325-Q$324))*SUM(R$252-R$251,R$285-R$284,R$289-R$288,,R$307-R$306,R$311-R$310,R$315-R$314,R$319-R$318,R$325-R$324)</f>
        <v>11.600451437655185</v>
      </c>
      <c r="S335" s="47">
        <f ca="1">IF(S$6=OFFSET(Assumptions!$B$8,0,$C$1),AVERAGE(P$335/SUM(P$252-P$251,P$285-P$284,P$289-P$288,,P$307-P$306,P$311-P$310,P$315-P$314,P$319-P$318,P$325-P$324),Q$335/SUM(Q$252-Q$251,Q$285-Q$284,Q$289-Q$288,,Q$307-Q$306,Q$311-Q$310,Q$315-Q$314,Q$319-Q$318,Q$325-Q$324),R$335/SUM(R$252-R$251,R$285-R$284,R$289-R$288,,R$307-R$306,R$311-R$310,R$315-R$314,R$319-R$318,R$325-R$324)),R$335/SUM(R$252-R$251,R$285-R$284,R$289-R$288,,R$307-R$306,R$311-R$310,R$315-R$314,R$319-R$318,R$325-R$324))*SUM(S$252-S$251,S$285-S$284,S$289-S$288,,S$307-S$306,S$311-S$310,S$315-S$314,S$319-S$318,S$325-S$324)</f>
        <v>11.831879498875017</v>
      </c>
      <c r="T335" s="47">
        <f ca="1">IF(T$6=OFFSET(Assumptions!$B$8,0,$C$1),AVERAGE(Q$335/SUM(Q$252-Q$251,Q$285-Q$284,Q$289-Q$288,,Q$307-Q$306,Q$311-Q$310,Q$315-Q$314,Q$319-Q$318,Q$325-Q$324),R$335/SUM(R$252-R$251,R$285-R$284,R$289-R$288,,R$307-R$306,R$311-R$310,R$315-R$314,R$319-R$318,R$325-R$324),S$335/SUM(S$252-S$251,S$285-S$284,S$289-S$288,,S$307-S$306,S$311-S$310,S$315-S$314,S$319-S$318,S$325-S$324)),S$335/SUM(S$252-S$251,S$285-S$284,S$289-S$288,,S$307-S$306,S$311-S$310,S$315-S$314,S$319-S$318,S$325-S$324))*SUM(T$252-T$251,T$285-T$284,T$289-T$288,,T$307-T$306,T$311-T$310,T$315-T$314,T$319-T$318,T$325-T$324)</f>
        <v>12.067832015390877</v>
      </c>
      <c r="U335" s="47">
        <f ca="1">IF(U$6=OFFSET(Assumptions!$B$8,0,$C$1),AVERAGE(R$335/SUM(R$252-R$251,R$285-R$284,R$289-R$288,,R$307-R$306,R$311-R$310,R$315-R$314,R$319-R$318,R$325-R$324),S$335/SUM(S$252-S$251,S$285-S$284,S$289-S$288,,S$307-S$306,S$311-S$310,S$315-S$314,S$319-S$318,S$325-S$324),T$335/SUM(T$252-T$251,T$285-T$284,T$289-T$288,,T$307-T$306,T$311-T$310,T$315-T$314,T$319-T$318,T$325-T$324)),T$335/SUM(T$252-T$251,T$285-T$284,T$289-T$288,,T$307-T$306,T$311-T$310,T$315-T$314,T$319-T$318,T$325-T$324))*SUM(U$252-U$251,U$285-U$284,U$289-U$288,,U$307-U$306,U$311-U$310,U$315-U$314,U$319-U$318,U$325-U$324)</f>
        <v>12.3088758397991</v>
      </c>
      <c r="V335" s="47">
        <f ca="1">IF(V$6=OFFSET(Assumptions!$B$8,0,$C$1),AVERAGE(S$335/SUM(S$252-S$251,S$285-S$284,S$289-S$288,,S$307-S$306,S$311-S$310,S$315-S$314,S$319-S$318,S$325-S$324),T$335/SUM(T$252-T$251,T$285-T$284,T$289-T$288,,T$307-T$306,T$311-T$310,T$315-T$314,T$319-T$318,T$325-T$324),U$335/SUM(U$252-U$251,U$285-U$284,U$289-U$288,,U$307-U$306,U$311-U$310,U$315-U$314,U$319-U$318,U$325-U$324)),U$335/SUM(U$252-U$251,U$285-U$284,U$289-U$288,,U$307-U$306,U$311-U$310,U$315-U$314,U$319-U$318,U$325-U$324))*SUM(V$252-V$251,V$285-V$284,V$289-V$288,,V$307-V$306,V$311-V$310,V$315-V$314,V$319-V$318,V$325-V$324)</f>
        <v>12.554791016297116</v>
      </c>
      <c r="W335" s="47">
        <f ca="1">IF(W$6=OFFSET(Assumptions!$B$8,0,$C$1),AVERAGE(T$335/SUM(T$252-T$251,T$285-T$284,T$289-T$288,,T$307-T$306,T$311-T$310,T$315-T$314,T$319-T$318,T$325-T$324),U$335/SUM(U$252-U$251,U$285-U$284,U$289-U$288,,U$307-U$306,U$311-U$310,U$315-U$314,U$319-U$318,U$325-U$324),V$335/SUM(V$252-V$251,V$285-V$284,V$289-V$288,,V$307-V$306,V$311-V$310,V$315-V$314,V$319-V$318,V$325-V$324)),V$335/SUM(V$252-V$251,V$285-V$284,V$289-V$288,,V$307-V$306,V$311-V$310,V$315-V$314,V$319-V$318,V$325-V$324))*SUM(W$252-W$251,W$285-W$284,W$289-W$288,,W$307-W$306,W$311-W$310,W$315-W$314,W$319-W$318,W$325-W$324)</f>
        <v>12.805517235671628</v>
      </c>
      <c r="X335" s="47">
        <f ca="1">IF(X$6=OFFSET(Assumptions!$B$8,0,$C$1),AVERAGE(U$335/SUM(U$252-U$251,U$285-U$284,U$289-U$288,,U$307-U$306,U$311-U$310,U$315-U$314,U$319-U$318,U$325-U$324),V$335/SUM(V$252-V$251,V$285-V$284,V$289-V$288,,V$307-V$306,V$311-V$310,V$315-V$314,V$319-V$318,V$325-V$324),W$335/SUM(W$252-W$251,W$285-W$284,W$289-W$288,,W$307-W$306,W$311-W$310,W$315-W$314,W$319-W$318,W$325-W$324)),W$335/SUM(W$252-W$251,W$285-W$284,W$289-W$288,,W$307-W$306,W$311-W$310,W$315-W$314,W$319-W$318,W$325-W$324))*SUM(X$252-X$251,X$285-X$284,X$289-X$288,,X$307-X$306,X$311-X$310,X$315-X$314,X$319-X$318,X$325-X$324)</f>
        <v>13.061311609760368</v>
      </c>
    </row>
    <row r="336" spans="1:24" x14ac:dyDescent="0.25">
      <c r="A336" s="9" t="s">
        <v>1026</v>
      </c>
      <c r="B336" s="10" t="str">
        <f>$B$38</f>
        <v>From Fiscal Forecasts</v>
      </c>
      <c r="D336" s="42">
        <f>'Fiscal Forecasts'!D$212</f>
        <v>8.64</v>
      </c>
      <c r="E336" s="42">
        <f>'Fiscal Forecasts'!E$212</f>
        <v>8.3070000000000004</v>
      </c>
      <c r="F336" s="42">
        <f>'Fiscal Forecasts'!F$212</f>
        <v>10.321999999999999</v>
      </c>
      <c r="G336" s="42">
        <f>'Fiscal Forecasts'!G$212</f>
        <v>9.5259999999999998</v>
      </c>
      <c r="H336" s="42">
        <f>'Fiscal Forecasts'!H$212</f>
        <v>8.5609999999999999</v>
      </c>
      <c r="I336" s="42">
        <f>'Fiscal Forecasts'!I$212</f>
        <v>12.183</v>
      </c>
      <c r="J336" s="43">
        <f>'Fiscal Forecasts'!J$212</f>
        <v>12.733000000000001</v>
      </c>
      <c r="K336" s="43">
        <f>'Fiscal Forecasts'!K$212</f>
        <v>12.682</v>
      </c>
      <c r="L336" s="43">
        <f>'Fiscal Forecasts'!L$212</f>
        <v>12.77</v>
      </c>
      <c r="M336" s="43">
        <f>'Fiscal Forecasts'!M$212</f>
        <v>13.486000000000001</v>
      </c>
      <c r="N336" s="43">
        <f>'Fiscal Forecasts'!N$212</f>
        <v>13.352</v>
      </c>
      <c r="O336" s="47">
        <f ca="1">IF(O$6=OFFSET(Assumptions!$B$8,0,$C$1),AVERAGE(L$336/(L$303-L$302),M$336/(M$303-M$302),N$336/(N$303-N$302)),N$336/(N$303-N$302))*(O$303-O$302)</f>
        <v>13.642914754523929</v>
      </c>
      <c r="P336" s="47">
        <f ca="1">IF(P$6=OFFSET(Assumptions!$B$8,0,$C$1),AVERAGE(M$336/(M$303-M$302),N$336/(N$303-N$302),O$336/(O$303-O$302)),O$336/(O$303-O$302))*(P$303-P$302)</f>
        <v>13.915773049614407</v>
      </c>
      <c r="Q336" s="47">
        <f ca="1">IF(Q$6=OFFSET(Assumptions!$B$8,0,$C$1),AVERAGE(N$336/(N$303-N$302),O$336/(O$303-O$302),P$336/(P$303-P$302)),P$336/(P$303-P$302))*(Q$303-Q$302)</f>
        <v>14.194088510606695</v>
      </c>
      <c r="R336" s="47">
        <f ca="1">IF(R$6=OFFSET(Assumptions!$B$8,0,$C$1),AVERAGE(O$336/(O$303-O$302),P$336/(P$303-P$302),Q$336/(Q$303-Q$302)),Q$336/(Q$303-Q$302))*(R$303-R$302)</f>
        <v>14.47797028081883</v>
      </c>
      <c r="S336" s="47">
        <f ca="1">IF(S$6=OFFSET(Assumptions!$B$8,0,$C$1),AVERAGE(P$336/(P$303-P$302),Q$336/(Q$303-Q$302),R$336/(R$303-R$302)),R$336/(R$303-R$302))*(S$303-S$302)</f>
        <v>14.767529686435207</v>
      </c>
      <c r="T336" s="47">
        <f ca="1">IF(T$6=OFFSET(Assumptions!$B$8,0,$C$1),AVERAGE(Q$336/(Q$303-Q$302),R$336/(R$303-R$302),S$336/(S$303-S$302)),S$336/(S$303-S$302))*(T$303-T$302)</f>
        <v>15.062880280163911</v>
      </c>
      <c r="U336" s="47">
        <f ca="1">IF(U$6=OFFSET(Assumptions!$B$8,0,$C$1),AVERAGE(R$336/(R$303-R$302),S$336/(S$303-S$302),T$336/(T$303-T$302)),T$336/(T$303-T$302))*(U$303-U$302)</f>
        <v>15.364137885767189</v>
      </c>
      <c r="V336" s="47">
        <f ca="1">IF(V$6=OFFSET(Assumptions!$B$8,0,$C$1),AVERAGE(S$336/(S$303-S$302),T$336/(T$303-T$302),U$336/(U$303-U$302)),U$336/(U$303-U$302))*(V$303-V$302)</f>
        <v>15.671420643482531</v>
      </c>
      <c r="W336" s="47">
        <f ca="1">IF(W$6=OFFSET(Assumptions!$B$8,0,$C$1),AVERAGE(T$336/(T$303-T$302),U$336/(U$303-U$302),V$336/(V$303-V$302)),V$336/(V$303-V$302))*(W$303-W$302)</f>
        <v>15.984849056352182</v>
      </c>
      <c r="X336" s="47">
        <f ca="1">IF(X$6=OFFSET(Assumptions!$B$8,0,$C$1),AVERAGE(U$336/(U$303-U$302),V$336/(V$303-V$302),W$336/(W$303-W$302)),W$336/(W$303-W$302))*(X$303-X$302)</f>
        <v>16.304546037479227</v>
      </c>
    </row>
    <row r="337" spans="1:24" x14ac:dyDescent="0.25">
      <c r="A337" s="9" t="s">
        <v>1027</v>
      </c>
      <c r="B337" s="10" t="str">
        <f>$B$38</f>
        <v>From Fiscal Forecasts</v>
      </c>
      <c r="D337" s="42">
        <f>'Fiscal Forecasts'!D$213</f>
        <v>-3.629</v>
      </c>
      <c r="E337" s="42">
        <f>'Fiscal Forecasts'!E$213</f>
        <v>-3.7549999999999999</v>
      </c>
      <c r="F337" s="42">
        <f>'Fiscal Forecasts'!F$213</f>
        <v>-4.7350000000000003</v>
      </c>
      <c r="G337" s="42">
        <f>'Fiscal Forecasts'!G$213</f>
        <v>-4.2939999999999996</v>
      </c>
      <c r="H337" s="42">
        <f>'Fiscal Forecasts'!H$213</f>
        <v>-4.1829999999999998</v>
      </c>
      <c r="I337" s="42">
        <f>'Fiscal Forecasts'!I$213</f>
        <v>-4.7560000000000002</v>
      </c>
      <c r="J337" s="43">
        <f>'Fiscal Forecasts'!J$213</f>
        <v>-4.673</v>
      </c>
      <c r="K337" s="43">
        <f>'Fiscal Forecasts'!K$213</f>
        <v>-4.4359999999999999</v>
      </c>
      <c r="L337" s="43">
        <f>'Fiscal Forecasts'!L$213</f>
        <v>-4.37</v>
      </c>
      <c r="M337" s="43">
        <f>'Fiscal Forecasts'!M$213</f>
        <v>-4.0789999999999997</v>
      </c>
      <c r="N337" s="43">
        <f>'Fiscal Forecasts'!N$213</f>
        <v>-4.1230000000000002</v>
      </c>
      <c r="O337" s="47">
        <f t="shared" ref="O337:X337" ca="1" si="198">SUM(O$252-O$251,O$285-O$284,O$289-O$288,O$303-O$302,O$307-O$306,O$311-O$310,O$315-O$314,O$319-O$318,O$325-O$324,-O$335,-O$336)</f>
        <v>-4.3111964281866975</v>
      </c>
      <c r="P337" s="47">
        <f t="shared" ca="1" si="198"/>
        <v>-4.3971332565066668</v>
      </c>
      <c r="Q337" s="47">
        <f t="shared" ca="1" si="198"/>
        <v>-4.4848095764017124</v>
      </c>
      <c r="R337" s="47">
        <f t="shared" ca="1" si="198"/>
        <v>-4.5742601777033265</v>
      </c>
      <c r="S337" s="47">
        <f t="shared" ca="1" si="198"/>
        <v>-4.6655205460396427</v>
      </c>
      <c r="T337" s="47">
        <f t="shared" ca="1" si="198"/>
        <v>-4.7585658326082143</v>
      </c>
      <c r="U337" s="47">
        <f t="shared" ca="1" si="198"/>
        <v>-4.8536160890859712</v>
      </c>
      <c r="V337" s="47">
        <f t="shared" ca="1" si="198"/>
        <v>-4.9505868848190886</v>
      </c>
      <c r="W337" s="47">
        <f t="shared" ca="1" si="198"/>
        <v>-5.0494555864495307</v>
      </c>
      <c r="X337" s="47">
        <f t="shared" ca="1" si="198"/>
        <v>-5.1503224171212647</v>
      </c>
    </row>
    <row r="339" spans="1:24" x14ac:dyDescent="0.25">
      <c r="A339" s="9" t="s">
        <v>1028</v>
      </c>
    </row>
    <row r="340" spans="1:24" x14ac:dyDescent="0.25">
      <c r="A340" s="11" t="s">
        <v>1029</v>
      </c>
      <c r="D340" s="35">
        <f t="shared" ref="D340:X340" si="199">D$387</f>
        <v>1.9550000000000001</v>
      </c>
      <c r="E340" s="35">
        <f t="shared" si="199"/>
        <v>1.7000000000000001E-2</v>
      </c>
      <c r="F340" s="35">
        <f t="shared" si="199"/>
        <v>12.786</v>
      </c>
      <c r="G340" s="35">
        <f t="shared" si="199"/>
        <v>-5.133</v>
      </c>
      <c r="H340" s="35">
        <f t="shared" si="199"/>
        <v>5.766</v>
      </c>
      <c r="I340" s="35">
        <f t="shared" si="199"/>
        <v>8.3520000000000003</v>
      </c>
      <c r="J340" s="17">
        <f t="shared" si="199"/>
        <v>6.6360000000000001</v>
      </c>
      <c r="K340" s="17">
        <f t="shared" si="199"/>
        <v>4.9329999999999998</v>
      </c>
      <c r="L340" s="17">
        <f t="shared" si="199"/>
        <v>5.2549999999999999</v>
      </c>
      <c r="M340" s="17">
        <f t="shared" si="199"/>
        <v>5.57</v>
      </c>
      <c r="N340" s="17">
        <f t="shared" si="199"/>
        <v>5.9210000000000003</v>
      </c>
      <c r="O340" s="16">
        <f t="shared" si="199"/>
        <v>6.2610978231927454</v>
      </c>
      <c r="P340" s="16">
        <f t="shared" si="199"/>
        <v>6.6338294179173811</v>
      </c>
      <c r="Q340" s="16">
        <f t="shared" si="199"/>
        <v>7.0205757760865257</v>
      </c>
      <c r="R340" s="16">
        <f t="shared" si="199"/>
        <v>7.419331001012468</v>
      </c>
      <c r="S340" s="16">
        <f t="shared" si="199"/>
        <v>7.8280508847065082</v>
      </c>
      <c r="T340" s="16">
        <f t="shared" si="199"/>
        <v>8.2464843934314178</v>
      </c>
      <c r="U340" s="16">
        <f t="shared" si="199"/>
        <v>8.6741216338815725</v>
      </c>
      <c r="V340" s="16">
        <f t="shared" si="199"/>
        <v>9.1104536804069181</v>
      </c>
      <c r="W340" s="16">
        <f t="shared" si="199"/>
        <v>9.558599761304043</v>
      </c>
      <c r="X340" s="16">
        <f t="shared" si="199"/>
        <v>10.023668382871231</v>
      </c>
    </row>
    <row r="341" spans="1:24" x14ac:dyDescent="0.25">
      <c r="A341" s="11" t="s">
        <v>1030</v>
      </c>
      <c r="B341" s="10" t="str">
        <f>$B$38</f>
        <v>From Fiscal Forecasts</v>
      </c>
      <c r="D341" s="35">
        <f>SUM('Fiscal Forecasts'!D$300,'Fiscal Forecasts'!D$306)-D$340</f>
        <v>1.2330000000000001</v>
      </c>
      <c r="E341" s="35">
        <f>SUM('Fiscal Forecasts'!E$300,'Fiscal Forecasts'!E$306)-E$340</f>
        <v>-3.9489999999999994</v>
      </c>
      <c r="F341" s="35">
        <f>SUM('Fiscal Forecasts'!F$300,'Fiscal Forecasts'!F$306)-F$340</f>
        <v>-5.2540000000000004</v>
      </c>
      <c r="G341" s="35">
        <f>SUM('Fiscal Forecasts'!G$300,'Fiscal Forecasts'!G$306)-G$340</f>
        <v>-6.0860000000000012</v>
      </c>
      <c r="H341" s="35">
        <f>SUM('Fiscal Forecasts'!H$300,'Fiscal Forecasts'!H$306)-H$340</f>
        <v>6.798</v>
      </c>
      <c r="I341" s="35">
        <f>SUM('Fiscal Forecasts'!I$300,'Fiscal Forecasts'!I$306)-I$340</f>
        <v>-0.45800000000000018</v>
      </c>
      <c r="J341" s="17">
        <f>SUM('Fiscal Forecasts'!J$300,'Fiscal Forecasts'!J$306)-J$340</f>
        <v>0.60099999999999998</v>
      </c>
      <c r="K341" s="17">
        <f>SUM('Fiscal Forecasts'!K$300,'Fiscal Forecasts'!K$306)-K$340</f>
        <v>0.22799999999999976</v>
      </c>
      <c r="L341" s="17">
        <f>SUM('Fiscal Forecasts'!L$300,'Fiscal Forecasts'!L$306)-L$340</f>
        <v>0.18200000000000038</v>
      </c>
      <c r="M341" s="17">
        <f>SUM('Fiscal Forecasts'!M$300,'Fiscal Forecasts'!M$306)-M$340</f>
        <v>0.17799999999999994</v>
      </c>
      <c r="N341" s="17">
        <f>SUM('Fiscal Forecasts'!N$300,'Fiscal Forecasts'!N$306)-N$340</f>
        <v>0.16199999999999992</v>
      </c>
      <c r="O341" s="16">
        <f t="shared" ref="O341:X341" ca="1" si="200">N$341*(1+O$14)</f>
        <v>0.16898990208893588</v>
      </c>
      <c r="P341" s="16">
        <f t="shared" ca="1" si="200"/>
        <v>0.17619734820041857</v>
      </c>
      <c r="Q341" s="16">
        <f t="shared" ca="1" si="200"/>
        <v>0.18342044364656629</v>
      </c>
      <c r="R341" s="16">
        <f t="shared" ca="1" si="200"/>
        <v>0.19064289879790539</v>
      </c>
      <c r="S341" s="16">
        <f t="shared" ca="1" si="200"/>
        <v>0.19802460663705423</v>
      </c>
      <c r="T341" s="16">
        <f t="shared" ca="1" si="200"/>
        <v>0.20555430201785468</v>
      </c>
      <c r="U341" s="16">
        <f t="shared" ca="1" si="200"/>
        <v>0.21318439121948451</v>
      </c>
      <c r="V341" s="16">
        <f t="shared" ca="1" si="200"/>
        <v>0.22092919733992919</v>
      </c>
      <c r="W341" s="16">
        <f t="shared" ca="1" si="200"/>
        <v>0.22878843183492686</v>
      </c>
      <c r="X341" s="16">
        <f t="shared" ca="1" si="200"/>
        <v>0.23682131819704325</v>
      </c>
    </row>
    <row r="342" spans="1:24" x14ac:dyDescent="0.25">
      <c r="A342" s="9" t="s">
        <v>1031</v>
      </c>
      <c r="D342" s="65">
        <f t="shared" ref="D342:X342" si="201">SUM(D$340:D$341)</f>
        <v>3.1880000000000002</v>
      </c>
      <c r="E342" s="65">
        <f t="shared" si="201"/>
        <v>-3.9319999999999995</v>
      </c>
      <c r="F342" s="65">
        <f t="shared" si="201"/>
        <v>7.5319999999999991</v>
      </c>
      <c r="G342" s="65">
        <f t="shared" si="201"/>
        <v>-11.219000000000001</v>
      </c>
      <c r="H342" s="65">
        <f t="shared" si="201"/>
        <v>12.564</v>
      </c>
      <c r="I342" s="65">
        <f t="shared" si="201"/>
        <v>7.8940000000000001</v>
      </c>
      <c r="J342" s="66">
        <f t="shared" si="201"/>
        <v>7.2370000000000001</v>
      </c>
      <c r="K342" s="66">
        <f t="shared" si="201"/>
        <v>5.1609999999999996</v>
      </c>
      <c r="L342" s="66">
        <f t="shared" si="201"/>
        <v>5.4370000000000003</v>
      </c>
      <c r="M342" s="66">
        <f t="shared" si="201"/>
        <v>5.7480000000000002</v>
      </c>
      <c r="N342" s="66">
        <f t="shared" si="201"/>
        <v>6.0830000000000002</v>
      </c>
      <c r="O342" s="67">
        <f t="shared" ca="1" si="201"/>
        <v>6.4300877252816813</v>
      </c>
      <c r="P342" s="67">
        <f t="shared" ca="1" si="201"/>
        <v>6.8100267661178</v>
      </c>
      <c r="Q342" s="67">
        <f t="shared" ca="1" si="201"/>
        <v>7.2039962197330922</v>
      </c>
      <c r="R342" s="67">
        <f t="shared" ca="1" si="201"/>
        <v>7.609973899810373</v>
      </c>
      <c r="S342" s="67">
        <f t="shared" ca="1" si="201"/>
        <v>8.0260754913435619</v>
      </c>
      <c r="T342" s="67">
        <f t="shared" ca="1" si="201"/>
        <v>8.4520386954492732</v>
      </c>
      <c r="U342" s="67">
        <f t="shared" ca="1" si="201"/>
        <v>8.8873060251010578</v>
      </c>
      <c r="V342" s="67">
        <f t="shared" ca="1" si="201"/>
        <v>9.3313828777468473</v>
      </c>
      <c r="W342" s="67">
        <f t="shared" ca="1" si="201"/>
        <v>9.7873881931389697</v>
      </c>
      <c r="X342" s="67">
        <f t="shared" ca="1" si="201"/>
        <v>10.260489701068273</v>
      </c>
    </row>
    <row r="343" spans="1:24" x14ac:dyDescent="0.25">
      <c r="A343" s="11" t="s">
        <v>707</v>
      </c>
      <c r="B343" s="10" t="str">
        <f>$B$38</f>
        <v>From Fiscal Forecasts</v>
      </c>
      <c r="D343" s="35">
        <f>SUM('Fiscal Forecasts'!D$301,'Fiscal Forecasts'!D$307)</f>
        <v>-7.8920000000000003</v>
      </c>
      <c r="E343" s="35">
        <f>SUM('Fiscal Forecasts'!E$301,'Fiscal Forecasts'!E$307)</f>
        <v>-4.32</v>
      </c>
      <c r="F343" s="35">
        <f>SUM('Fiscal Forecasts'!F$301,'Fiscal Forecasts'!F$307)</f>
        <v>12.293999999999999</v>
      </c>
      <c r="G343" s="35">
        <f>SUM('Fiscal Forecasts'!G$301,'Fiscal Forecasts'!G$307)</f>
        <v>1.3290000000000006</v>
      </c>
      <c r="H343" s="35">
        <f>SUM('Fiscal Forecasts'!H$301,'Fiscal Forecasts'!H$307)</f>
        <v>3</v>
      </c>
      <c r="I343" s="35">
        <f>SUM('Fiscal Forecasts'!I$301,'Fiscal Forecasts'!I$307)</f>
        <v>-3.415</v>
      </c>
      <c r="J343" s="17">
        <f>SUM('Fiscal Forecasts'!J$301,'Fiscal Forecasts'!J$307)</f>
        <v>2.4390000000000001</v>
      </c>
      <c r="K343" s="17">
        <f>SUM('Fiscal Forecasts'!K$301,'Fiscal Forecasts'!K$307)</f>
        <v>0.495</v>
      </c>
      <c r="L343" s="17">
        <f>SUM('Fiscal Forecasts'!L$301,'Fiscal Forecasts'!L$307)</f>
        <v>0.55799999999999994</v>
      </c>
      <c r="M343" s="17">
        <f>SUM('Fiscal Forecasts'!M$301,'Fiscal Forecasts'!M$307)</f>
        <v>0.71799999999999997</v>
      </c>
      <c r="N343" s="17">
        <f>SUM('Fiscal Forecasts'!N$301,'Fiscal Forecasts'!N$307)</f>
        <v>0.84599999999999997</v>
      </c>
      <c r="O343" s="16">
        <f>N$343*Exogenous!Z$30/Exogenous!Y$30</f>
        <v>0.87030895247456774</v>
      </c>
      <c r="P343" s="16">
        <f>O$343*Exogenous!AA$30/Exogenous!Z$30</f>
        <v>0.90021458989623016</v>
      </c>
      <c r="Q343" s="16">
        <f>P$343*Exogenous!AB$30/Exogenous!AA$30</f>
        <v>0.93718600357118453</v>
      </c>
      <c r="R343" s="16">
        <f>Q$343*Exogenous!AC$30/Exogenous!AB$30</f>
        <v>0.98201162734610326</v>
      </c>
      <c r="S343" s="16">
        <f>R$343*Exogenous!AD$30/Exogenous!AC$30</f>
        <v>1.0357638501687936</v>
      </c>
      <c r="T343" s="16">
        <f>S$343*Exogenous!AE$30/Exogenous!AD$30</f>
        <v>1.0999479685204643</v>
      </c>
      <c r="U343" s="16">
        <f>T$343*Exogenous!AF$30/Exogenous!AE$30</f>
        <v>1.1760406188486949</v>
      </c>
      <c r="V343" s="16">
        <f>U$343*Exogenous!AG$30/Exogenous!AF$30</f>
        <v>1.2601233386649373</v>
      </c>
      <c r="W343" s="16">
        <f>V$343*Exogenous!AH$30/Exogenous!AG$30</f>
        <v>1.3477984052712371</v>
      </c>
      <c r="X343" s="16">
        <f>W$343*Exogenous!AI$30/Exogenous!AH$30</f>
        <v>1.4380528436061066</v>
      </c>
    </row>
    <row r="344" spans="1:24" x14ac:dyDescent="0.25">
      <c r="A344" s="11" t="s">
        <v>904</v>
      </c>
      <c r="B344" s="10" t="str">
        <f>$B$38</f>
        <v>From Fiscal Forecasts</v>
      </c>
      <c r="D344" s="35">
        <f>SUM('Fiscal Forecasts'!D$302,'Fiscal Forecasts'!D$308)</f>
        <v>0.254</v>
      </c>
      <c r="E344" s="35">
        <f>SUM('Fiscal Forecasts'!E$302,'Fiscal Forecasts'!E$308)</f>
        <v>-6.9000000000000006E-2</v>
      </c>
      <c r="F344" s="35">
        <f>SUM('Fiscal Forecasts'!F$302,'Fiscal Forecasts'!F$308)</f>
        <v>0.23199999999999998</v>
      </c>
      <c r="G344" s="35">
        <f>SUM('Fiscal Forecasts'!G$302,'Fiscal Forecasts'!G$308)</f>
        <v>0.85899999999999999</v>
      </c>
      <c r="H344" s="35">
        <f>SUM('Fiscal Forecasts'!H$302,'Fiscal Forecasts'!H$308)</f>
        <v>-0.13799999999999998</v>
      </c>
      <c r="I344" s="35">
        <f>SUM('Fiscal Forecasts'!I$302,'Fiscal Forecasts'!I$308)</f>
        <v>0.46499999999999997</v>
      </c>
      <c r="J344" s="17">
        <f>SUM('Fiscal Forecasts'!J$302,'Fiscal Forecasts'!J$308)</f>
        <v>7.5999999999999998E-2</v>
      </c>
      <c r="K344" s="17">
        <f>SUM('Fiscal Forecasts'!K$302,'Fiscal Forecasts'!K$308)</f>
        <v>0.1</v>
      </c>
      <c r="L344" s="17">
        <f>SUM('Fiscal Forecasts'!L$302,'Fiscal Forecasts'!L$308)</f>
        <v>6.4000000000000001E-2</v>
      </c>
      <c r="M344" s="17">
        <f>SUM('Fiscal Forecasts'!M$302,'Fiscal Forecasts'!M$308)</f>
        <v>5.7000000000000002E-2</v>
      </c>
      <c r="N344" s="17">
        <f>SUM('Fiscal Forecasts'!N$302,'Fiscal Forecasts'!N$308)</f>
        <v>3.7999999999999999E-2</v>
      </c>
      <c r="O344" s="16">
        <f t="shared" ref="O344:X344" ca="1" si="202">N$344*(1+O$14)</f>
        <v>3.9639606662836828E-2</v>
      </c>
      <c r="P344" s="16">
        <f t="shared" ca="1" si="202"/>
        <v>4.1330242170468573E-2</v>
      </c>
      <c r="Q344" s="16">
        <f t="shared" ca="1" si="202"/>
        <v>4.3024548509688412E-2</v>
      </c>
      <c r="R344" s="16">
        <f t="shared" ca="1" si="202"/>
        <v>4.4718704656298819E-2</v>
      </c>
      <c r="S344" s="16">
        <f t="shared" ca="1" si="202"/>
        <v>4.6450216371654723E-2</v>
      </c>
      <c r="T344" s="16">
        <f t="shared" ca="1" si="202"/>
        <v>4.8216441214064709E-2</v>
      </c>
      <c r="U344" s="16">
        <f t="shared" ca="1" si="202"/>
        <v>5.0006215224323559E-2</v>
      </c>
      <c r="V344" s="16">
        <f t="shared" ca="1" si="202"/>
        <v>5.1822898141464908E-2</v>
      </c>
      <c r="W344" s="16">
        <f t="shared" ca="1" si="202"/>
        <v>5.3666422282266833E-2</v>
      </c>
      <c r="X344" s="16">
        <f t="shared" ca="1" si="202"/>
        <v>5.5550679577084254E-2</v>
      </c>
    </row>
    <row r="345" spans="1:24" x14ac:dyDescent="0.25">
      <c r="A345" s="11" t="s">
        <v>866</v>
      </c>
      <c r="B345" s="10" t="str">
        <f>$B$38</f>
        <v>From Fiscal Forecasts</v>
      </c>
      <c r="D345" s="35">
        <f>SUM('Fiscal Forecasts'!D$24,'Fiscal Forecasts'!D$25)-SUM(D$342:D$344)</f>
        <v>-2.6809999999999983</v>
      </c>
      <c r="E345" s="35">
        <f>SUM('Fiscal Forecasts'!E$24,'Fiscal Forecasts'!E$25)-SUM(E$342:E$344)</f>
        <v>-0.4009999999999998</v>
      </c>
      <c r="F345" s="35">
        <f>SUM('Fiscal Forecasts'!F$24,'Fiscal Forecasts'!F$25)-SUM(F$342:F$344)</f>
        <v>0.96500000000000341</v>
      </c>
      <c r="G345" s="35">
        <f>SUM('Fiscal Forecasts'!G$24,'Fiscal Forecasts'!G$25)-SUM(G$342:G$344)</f>
        <v>2.3090000000000011</v>
      </c>
      <c r="H345" s="35">
        <f>SUM('Fiscal Forecasts'!H$24,'Fiscal Forecasts'!H$25)-SUM(H$342:H$344)</f>
        <v>-0.76799999999999891</v>
      </c>
      <c r="I345" s="35">
        <f>SUM('Fiscal Forecasts'!I$24,'Fiscal Forecasts'!I$25)-SUM(I$342:I$344)</f>
        <v>-0.27700000000000014</v>
      </c>
      <c r="J345" s="17">
        <f>SUM('Fiscal Forecasts'!J$24,'Fiscal Forecasts'!J$25)-SUM(J$342:J$344)</f>
        <v>-0.67099999999999937</v>
      </c>
      <c r="K345" s="17">
        <f>SUM('Fiscal Forecasts'!K$24,'Fiscal Forecasts'!K$25)-SUM(K$342:K$344)</f>
        <v>-6.3999999999999169E-2</v>
      </c>
      <c r="L345" s="17">
        <f>SUM('Fiscal Forecasts'!L$24,'Fiscal Forecasts'!L$25)-SUM(L$342:L$344)</f>
        <v>-4.1999999999999815E-2</v>
      </c>
      <c r="M345" s="17">
        <f>SUM('Fiscal Forecasts'!M$24,'Fiscal Forecasts'!M$25)-SUM(M$342:M$344)</f>
        <v>-4.9000000000000377E-2</v>
      </c>
      <c r="N345" s="17">
        <f>SUM('Fiscal Forecasts'!N$24,'Fiscal Forecasts'!N$25)-SUM(N$342:N$344)</f>
        <v>-5.3000000000000824E-2</v>
      </c>
      <c r="O345" s="16">
        <f t="shared" ref="O345:X345" ca="1" si="203">N$345*(1+O$14)</f>
        <v>-5.5286819819220651E-2</v>
      </c>
      <c r="P345" s="16">
        <f t="shared" ca="1" si="203"/>
        <v>-5.7644811448286017E-2</v>
      </c>
      <c r="Q345" s="16">
        <f t="shared" ca="1" si="203"/>
        <v>-6.0007922921408455E-2</v>
      </c>
      <c r="R345" s="16">
        <f t="shared" ca="1" si="203"/>
        <v>-6.2370824915365108E-2</v>
      </c>
      <c r="S345" s="16">
        <f t="shared" ca="1" si="203"/>
        <v>-6.4785828097308901E-2</v>
      </c>
      <c r="T345" s="16">
        <f t="shared" ca="1" si="203"/>
        <v>-6.7249246956459702E-2</v>
      </c>
      <c r="U345" s="16">
        <f t="shared" ca="1" si="203"/>
        <v>-6.9745510707610245E-2</v>
      </c>
      <c r="V345" s="16">
        <f t="shared" ca="1" si="203"/>
        <v>-7.2279305302570582E-2</v>
      </c>
      <c r="W345" s="16">
        <f t="shared" ca="1" si="203"/>
        <v>-7.4850536341057525E-2</v>
      </c>
      <c r="X345" s="16">
        <f t="shared" ca="1" si="203"/>
        <v>-7.7478579410145021E-2</v>
      </c>
    </row>
    <row r="346" spans="1:24" x14ac:dyDescent="0.25">
      <c r="A346" s="9" t="s">
        <v>1032</v>
      </c>
      <c r="D346" s="65">
        <f t="shared" ref="D346:X346" si="204">SUM(D$342:D$345)</f>
        <v>-7.1309999999999993</v>
      </c>
      <c r="E346" s="65">
        <f t="shared" si="204"/>
        <v>-8.7219999999999995</v>
      </c>
      <c r="F346" s="65">
        <f t="shared" si="204"/>
        <v>21.023</v>
      </c>
      <c r="G346" s="65">
        <f t="shared" si="204"/>
        <v>-6.7219999999999995</v>
      </c>
      <c r="H346" s="65">
        <f t="shared" si="204"/>
        <v>14.658000000000001</v>
      </c>
      <c r="I346" s="65">
        <f t="shared" si="204"/>
        <v>4.6669999999999998</v>
      </c>
      <c r="J346" s="66">
        <f t="shared" si="204"/>
        <v>9.0810000000000013</v>
      </c>
      <c r="K346" s="66">
        <f t="shared" si="204"/>
        <v>5.6920000000000002</v>
      </c>
      <c r="L346" s="66">
        <f t="shared" si="204"/>
        <v>6.0170000000000003</v>
      </c>
      <c r="M346" s="66">
        <f t="shared" si="204"/>
        <v>6.4740000000000002</v>
      </c>
      <c r="N346" s="66">
        <f t="shared" si="204"/>
        <v>6.9139999999999997</v>
      </c>
      <c r="O346" s="67">
        <f t="shared" ca="1" si="204"/>
        <v>7.2847494645998649</v>
      </c>
      <c r="P346" s="67">
        <f t="shared" ca="1" si="204"/>
        <v>7.6939267867362133</v>
      </c>
      <c r="Q346" s="67">
        <f t="shared" ca="1" si="204"/>
        <v>8.1241988488925561</v>
      </c>
      <c r="R346" s="67">
        <f t="shared" ca="1" si="204"/>
        <v>8.5743334068974093</v>
      </c>
      <c r="S346" s="67">
        <f t="shared" ca="1" si="204"/>
        <v>9.0435037297867016</v>
      </c>
      <c r="T346" s="67">
        <f t="shared" ca="1" si="204"/>
        <v>9.5329538582273425</v>
      </c>
      <c r="U346" s="67">
        <f t="shared" ca="1" si="204"/>
        <v>10.043607348466466</v>
      </c>
      <c r="V346" s="67">
        <f t="shared" ca="1" si="204"/>
        <v>10.571049809250679</v>
      </c>
      <c r="W346" s="67">
        <f t="shared" ca="1" si="204"/>
        <v>11.114002484351417</v>
      </c>
      <c r="X346" s="67">
        <f t="shared" ca="1" si="204"/>
        <v>11.676614644841319</v>
      </c>
    </row>
    <row r="348" spans="1:24" x14ac:dyDescent="0.25">
      <c r="A348" s="9" t="s">
        <v>546</v>
      </c>
    </row>
    <row r="349" spans="1:24" x14ac:dyDescent="0.25">
      <c r="A349" s="9" t="s">
        <v>1033</v>
      </c>
      <c r="B349" s="10" t="str">
        <f>$B$38</f>
        <v>From Fiscal Forecasts</v>
      </c>
      <c r="D349" s="42">
        <f>'Fiscal Forecasts'!D$177-SUM('Fiscal Forecasts'!D$300,'Fiscal Forecasts'!D$306)</f>
        <v>4.0000000000000036E-3</v>
      </c>
      <c r="E349" s="42">
        <f>'Fiscal Forecasts'!E$177-SUM('Fiscal Forecasts'!E$300,'Fiscal Forecasts'!E$306)</f>
        <v>-4.2000000000000703E-2</v>
      </c>
      <c r="F349" s="42">
        <f>'Fiscal Forecasts'!F$177-SUM('Fiscal Forecasts'!F$300,'Fiscal Forecasts'!F$306)</f>
        <v>-3.199999999999914E-2</v>
      </c>
      <c r="G349" s="42">
        <f>'Fiscal Forecasts'!G$177-SUM('Fiscal Forecasts'!G$300,'Fiscal Forecasts'!G$306)</f>
        <v>-0.18699999999999939</v>
      </c>
      <c r="H349" s="42">
        <f>'Fiscal Forecasts'!H$177-SUM('Fiscal Forecasts'!H$300,'Fiscal Forecasts'!H$306)</f>
        <v>-9.5000000000000639E-2</v>
      </c>
      <c r="I349" s="42">
        <f>'Fiscal Forecasts'!I$177-SUM('Fiscal Forecasts'!I$300,'Fiscal Forecasts'!I$306)</f>
        <v>-9.9999999999997868E-3</v>
      </c>
      <c r="J349" s="43">
        <f>'Fiscal Forecasts'!J$177-SUM('Fiscal Forecasts'!J$300,'Fiscal Forecasts'!J$306)</f>
        <v>9.0000000000003411E-3</v>
      </c>
      <c r="K349" s="43">
        <f>'Fiscal Forecasts'!K$177-SUM('Fiscal Forecasts'!K$300,'Fiscal Forecasts'!K$306)</f>
        <v>1.4000000000000234E-2</v>
      </c>
      <c r="L349" s="43">
        <f>'Fiscal Forecasts'!L$177-SUM('Fiscal Forecasts'!L$300,'Fiscal Forecasts'!L$306)</f>
        <v>1.2999999999999901E-2</v>
      </c>
      <c r="M349" s="43">
        <f>'Fiscal Forecasts'!M$177-SUM('Fiscal Forecasts'!M$300,'Fiscal Forecasts'!M$306)</f>
        <v>9.9999999999997868E-3</v>
      </c>
      <c r="N349" s="43">
        <f>'Fiscal Forecasts'!N$177-SUM('Fiscal Forecasts'!N$300,'Fiscal Forecasts'!N$306)</f>
        <v>1.4000000000000234E-2</v>
      </c>
      <c r="O349" s="47">
        <f t="shared" ref="O349:X349" ca="1" si="205">N$349*(1+O$14)</f>
        <v>1.460406561262434E-2</v>
      </c>
      <c r="P349" s="47">
        <f t="shared" ca="1" si="205"/>
        <v>1.522693132596236E-2</v>
      </c>
      <c r="Q349" s="47">
        <f t="shared" ca="1" si="205"/>
        <v>1.5851149450938101E-2</v>
      </c>
      <c r="R349" s="47">
        <f t="shared" ca="1" si="205"/>
        <v>1.6475312241794576E-2</v>
      </c>
      <c r="S349" s="47">
        <f t="shared" ca="1" si="205"/>
        <v>1.711323761060992E-2</v>
      </c>
      <c r="T349" s="47">
        <f t="shared" ca="1" si="205"/>
        <v>1.7763952026234663E-2</v>
      </c>
      <c r="U349" s="47">
        <f t="shared" ca="1" si="205"/>
        <v>1.8423342451066884E-2</v>
      </c>
      <c r="V349" s="47">
        <f t="shared" ca="1" si="205"/>
        <v>1.9092646683697919E-2</v>
      </c>
      <c r="W349" s="47">
        <f t="shared" ca="1" si="205"/>
        <v>1.9771839788203904E-2</v>
      </c>
      <c r="X349" s="47">
        <f t="shared" ca="1" si="205"/>
        <v>2.0466039844189283E-2</v>
      </c>
    </row>
    <row r="350" spans="1:24" x14ac:dyDescent="0.25">
      <c r="A350" s="9" t="s">
        <v>1034</v>
      </c>
      <c r="B350" s="10" t="str">
        <f>$B$38</f>
        <v>From Fiscal Forecasts</v>
      </c>
      <c r="D350" s="42">
        <f>'Fiscal Forecasts'!D$27</f>
        <v>0.20599999999999999</v>
      </c>
      <c r="E350" s="42">
        <f>'Fiscal Forecasts'!E$27</f>
        <v>1.1930000000000001</v>
      </c>
      <c r="F350" s="42">
        <f>'Fiscal Forecasts'!F$27</f>
        <v>-0.36</v>
      </c>
      <c r="G350" s="42">
        <f>'Fiscal Forecasts'!G$27</f>
        <v>-0.126</v>
      </c>
      <c r="H350" s="42">
        <f>'Fiscal Forecasts'!H$27</f>
        <v>2.9000000000000001E-2</v>
      </c>
      <c r="I350" s="42">
        <f>'Fiscal Forecasts'!I$27</f>
        <v>0.12</v>
      </c>
      <c r="J350" s="43">
        <f>'Fiscal Forecasts'!J$27</f>
        <v>0.192</v>
      </c>
      <c r="K350" s="43">
        <f>'Fiscal Forecasts'!K$27</f>
        <v>7.0999999999999994E-2</v>
      </c>
      <c r="L350" s="43">
        <f>'Fiscal Forecasts'!L$27</f>
        <v>0.114</v>
      </c>
      <c r="M350" s="43">
        <f>'Fiscal Forecasts'!M$27</f>
        <v>0.14799999999999999</v>
      </c>
      <c r="N350" s="43">
        <f>'Fiscal Forecasts'!N$27</f>
        <v>0.21099999999999999</v>
      </c>
      <c r="O350" s="47">
        <f t="shared" ref="O350:X350" ca="1" si="206">O$349+(N$350-N$349)*(1+O$14)</f>
        <v>0.2201041317331203</v>
      </c>
      <c r="P350" s="47">
        <f t="shared" ca="1" si="206"/>
        <v>0.22949160784128603</v>
      </c>
      <c r="Q350" s="47">
        <f t="shared" ca="1" si="206"/>
        <v>0.2388994667248488</v>
      </c>
      <c r="R350" s="47">
        <f t="shared" ca="1" si="206"/>
        <v>0.24830649164418553</v>
      </c>
      <c r="S350" s="47">
        <f t="shared" ca="1" si="206"/>
        <v>0.25792093827418805</v>
      </c>
      <c r="T350" s="47">
        <f t="shared" ca="1" si="206"/>
        <v>0.26772813410967505</v>
      </c>
      <c r="U350" s="47">
        <f t="shared" ca="1" si="206"/>
        <v>0.27766608979821761</v>
      </c>
      <c r="V350" s="47">
        <f t="shared" ca="1" si="206"/>
        <v>0.28775346073287089</v>
      </c>
      <c r="W350" s="47">
        <f t="shared" ca="1" si="206"/>
        <v>0.2979898710936395</v>
      </c>
      <c r="X350" s="47">
        <f t="shared" ca="1" si="206"/>
        <v>0.30845245765170465</v>
      </c>
    </row>
    <row r="352" spans="1:24" x14ac:dyDescent="0.25">
      <c r="A352" s="9" t="s">
        <v>618</v>
      </c>
    </row>
    <row r="353" spans="1:24" x14ac:dyDescent="0.25">
      <c r="A353" s="11" t="s">
        <v>1035</v>
      </c>
      <c r="D353" s="35">
        <f ca="1">OFFSET(Assumptions!$B$49,0,$C$1)*(D$393-D$359-D$400)</f>
        <v>2.1936</v>
      </c>
      <c r="E353" s="35">
        <f ca="1">OFFSET(Assumptions!$B$49,0,$C$1)*(E$393-E$359-E$400)</f>
        <v>2.1622500000000002</v>
      </c>
      <c r="F353" s="35">
        <f ca="1">OFFSET(Assumptions!$B$49,0,$C$1)*(F$393-F$359-F$400)</f>
        <v>2.7988999999999997</v>
      </c>
      <c r="G353" s="35">
        <f ca="1">OFFSET(Assumptions!$B$49,0,$C$1)*(G$393-G$359-G$400)</f>
        <v>3.0148999999999999</v>
      </c>
      <c r="H353" s="35">
        <f ca="1">OFFSET(Assumptions!$B$49,0,$C$1)*(H$393-H$359-H$400)</f>
        <v>2.9520000000000008</v>
      </c>
      <c r="I353" s="35">
        <f ca="1">OFFSET(Assumptions!$B$49,0,$C$1)*(I$393-I$359-I$400)</f>
        <v>3.3731499999999999</v>
      </c>
      <c r="J353" s="17">
        <f ca="1">OFFSET(Assumptions!$B$49,0,$C$1)*(J$393-J$359-J$400)</f>
        <v>4.0500500000000006</v>
      </c>
      <c r="K353" s="17">
        <f ca="1">OFFSET(Assumptions!$B$49,0,$C$1)*(K$393-K$359-K$400)</f>
        <v>4.2547000000000006</v>
      </c>
      <c r="L353" s="17">
        <f ca="1">OFFSET(Assumptions!$B$49,0,$C$1)*(L$393-L$359-L$400)</f>
        <v>4.6192500000000001</v>
      </c>
      <c r="M353" s="17">
        <f ca="1">OFFSET(Assumptions!$B$49,0,$C$1)*(M$393-M$359-M$400)</f>
        <v>4.8220500000000008</v>
      </c>
      <c r="N353" s="17">
        <f ca="1">OFFSET(Assumptions!$B$49,0,$C$1)*(N$393-N$359-N$400)</f>
        <v>5.0848000000000004</v>
      </c>
      <c r="O353" s="16">
        <f ca="1">OFFSET(Assumptions!$B$49,0,$C$1)*(O$393-O$359-O$400)</f>
        <v>5.2691407492428883</v>
      </c>
      <c r="P353" s="16">
        <f ca="1">OFFSET(Assumptions!$B$49,0,$C$1)*(P$393-P$359-P$400)</f>
        <v>5.5756066603188899</v>
      </c>
      <c r="Q353" s="16">
        <f ca="1">OFFSET(Assumptions!$B$49,0,$C$1)*(Q$393-Q$359-Q$400)</f>
        <v>5.89270989439121</v>
      </c>
      <c r="R353" s="16">
        <f ca="1">OFFSET(Assumptions!$B$49,0,$C$1)*(R$393-R$359-R$400)</f>
        <v>6.21830869392819</v>
      </c>
      <c r="S353" s="16">
        <f ca="1">OFFSET(Assumptions!$B$49,0,$C$1)*(S$393-S$359-S$400)</f>
        <v>6.551355696471119</v>
      </c>
      <c r="T353" s="16">
        <f ca="1">OFFSET(Assumptions!$B$49,0,$C$1)*(T$393-T$359-T$400)</f>
        <v>6.8926672220266711</v>
      </c>
      <c r="U353" s="16">
        <f ca="1">OFFSET(Assumptions!$B$49,0,$C$1)*(U$393-U$359-U$400)</f>
        <v>7.2403549648485566</v>
      </c>
      <c r="V353" s="16">
        <f ca="1">OFFSET(Assumptions!$B$49,0,$C$1)*(V$393-V$359-V$400)</f>
        <v>7.595790712662998</v>
      </c>
      <c r="W353" s="16">
        <f ca="1">OFFSET(Assumptions!$B$49,0,$C$1)*(W$393-W$359-W$400)</f>
        <v>7.9628571614521393</v>
      </c>
      <c r="X353" s="16">
        <f ca="1">OFFSET(Assumptions!$B$49,0,$C$1)*(X$393-X$359-X$400)</f>
        <v>8.3459421601523438</v>
      </c>
    </row>
    <row r="354" spans="1:24" x14ac:dyDescent="0.25">
      <c r="A354" s="11" t="s">
        <v>1037</v>
      </c>
      <c r="B354" s="10" t="str">
        <f>$B$38</f>
        <v>From Fiscal Forecasts</v>
      </c>
      <c r="D354" s="35">
        <f ca="1">'Fiscal Forecasts'!D$180-D$353</f>
        <v>15.1844</v>
      </c>
      <c r="E354" s="35">
        <f ca="1">'Fiscal Forecasts'!E$180-E$353</f>
        <v>16.018750000000001</v>
      </c>
      <c r="F354" s="35">
        <f ca="1">'Fiscal Forecasts'!F$180-F$353</f>
        <v>10.3301</v>
      </c>
      <c r="G354" s="35">
        <f ca="1">'Fiscal Forecasts'!G$180-G$353</f>
        <v>8.3931000000000004</v>
      </c>
      <c r="H354" s="35">
        <f ca="1">'Fiscal Forecasts'!H$180-H$353</f>
        <v>8.0210000000000008</v>
      </c>
      <c r="I354" s="35">
        <f ca="1">'Fiscal Forecasts'!I$180-I$353</f>
        <v>5.7378500000000008</v>
      </c>
      <c r="J354" s="17">
        <f ca="1">'Fiscal Forecasts'!J$180-J$353</f>
        <v>12.328950000000001</v>
      </c>
      <c r="K354" s="17">
        <f ca="1">'Fiscal Forecasts'!K$180-K$353</f>
        <v>12.519300000000001</v>
      </c>
      <c r="L354" s="17">
        <f ca="1">'Fiscal Forecasts'!L$180-L$353</f>
        <v>13.011749999999999</v>
      </c>
      <c r="M354" s="17">
        <f ca="1">'Fiscal Forecasts'!M$180-M$353</f>
        <v>11.965949999999999</v>
      </c>
      <c r="N354" s="17">
        <f ca="1">'Fiscal Forecasts'!N$180-N$353</f>
        <v>11.277199999999997</v>
      </c>
      <c r="O354" s="16">
        <f t="shared" ref="O354:X354" ca="1" si="207">N$354</f>
        <v>11.277199999999997</v>
      </c>
      <c r="P354" s="16">
        <f t="shared" ca="1" si="207"/>
        <v>11.277199999999997</v>
      </c>
      <c r="Q354" s="16">
        <f t="shared" ca="1" si="207"/>
        <v>11.277199999999997</v>
      </c>
      <c r="R354" s="16">
        <f t="shared" ca="1" si="207"/>
        <v>11.277199999999997</v>
      </c>
      <c r="S354" s="16">
        <f t="shared" ca="1" si="207"/>
        <v>11.277199999999997</v>
      </c>
      <c r="T354" s="16">
        <f t="shared" ca="1" si="207"/>
        <v>11.277199999999997</v>
      </c>
      <c r="U354" s="16">
        <f t="shared" ca="1" si="207"/>
        <v>11.277199999999997</v>
      </c>
      <c r="V354" s="16">
        <f t="shared" ca="1" si="207"/>
        <v>11.277199999999997</v>
      </c>
      <c r="W354" s="16">
        <f t="shared" ca="1" si="207"/>
        <v>11.277199999999997</v>
      </c>
      <c r="X354" s="16">
        <f t="shared" ca="1" si="207"/>
        <v>11.277199999999997</v>
      </c>
    </row>
    <row r="355" spans="1:24" x14ac:dyDescent="0.25">
      <c r="A355" s="9" t="s">
        <v>1038</v>
      </c>
      <c r="D355" s="65">
        <f t="shared" ref="D355:X355" ca="1" si="208">SUM(D$353:D$354)</f>
        <v>17.378</v>
      </c>
      <c r="E355" s="65">
        <f t="shared" ca="1" si="208"/>
        <v>18.181000000000001</v>
      </c>
      <c r="F355" s="65">
        <f t="shared" ca="1" si="208"/>
        <v>13.129</v>
      </c>
      <c r="G355" s="65">
        <f t="shared" ca="1" si="208"/>
        <v>11.408000000000001</v>
      </c>
      <c r="H355" s="65">
        <f t="shared" ca="1" si="208"/>
        <v>10.973000000000003</v>
      </c>
      <c r="I355" s="65">
        <f t="shared" ca="1" si="208"/>
        <v>9.1110000000000007</v>
      </c>
      <c r="J355" s="66">
        <f t="shared" ca="1" si="208"/>
        <v>16.379000000000001</v>
      </c>
      <c r="K355" s="66">
        <f t="shared" ca="1" si="208"/>
        <v>16.774000000000001</v>
      </c>
      <c r="L355" s="66">
        <f t="shared" ca="1" si="208"/>
        <v>17.631</v>
      </c>
      <c r="M355" s="66">
        <f t="shared" ca="1" si="208"/>
        <v>16.788</v>
      </c>
      <c r="N355" s="66">
        <f t="shared" ca="1" si="208"/>
        <v>16.361999999999998</v>
      </c>
      <c r="O355" s="67">
        <f t="shared" ca="1" si="208"/>
        <v>16.546340749242887</v>
      </c>
      <c r="P355" s="67">
        <f t="shared" ca="1" si="208"/>
        <v>16.852806660318887</v>
      </c>
      <c r="Q355" s="67">
        <f t="shared" ca="1" si="208"/>
        <v>17.169909894391207</v>
      </c>
      <c r="R355" s="67">
        <f t="shared" ca="1" si="208"/>
        <v>17.495508693928187</v>
      </c>
      <c r="S355" s="67">
        <f t="shared" ca="1" si="208"/>
        <v>17.828555696471117</v>
      </c>
      <c r="T355" s="67">
        <f t="shared" ca="1" si="208"/>
        <v>18.169867222026667</v>
      </c>
      <c r="U355" s="67">
        <f t="shared" ca="1" si="208"/>
        <v>18.517554964848554</v>
      </c>
      <c r="V355" s="67">
        <f t="shared" ca="1" si="208"/>
        <v>18.872990712662997</v>
      </c>
      <c r="W355" s="67">
        <f t="shared" ca="1" si="208"/>
        <v>19.240057161452135</v>
      </c>
      <c r="X355" s="67">
        <f t="shared" ca="1" si="208"/>
        <v>19.623142160152341</v>
      </c>
    </row>
    <row r="356" spans="1:24" x14ac:dyDescent="0.25">
      <c r="A356" s="9" t="s">
        <v>1039</v>
      </c>
      <c r="B356" s="10" t="str">
        <f>$B$38</f>
        <v>From Fiscal Forecasts</v>
      </c>
      <c r="D356" s="42">
        <f>'Fiscal Forecasts'!D$120</f>
        <v>20.248000000000001</v>
      </c>
      <c r="E356" s="42">
        <f>'Fiscal Forecasts'!E$120</f>
        <v>21.927</v>
      </c>
      <c r="F356" s="42">
        <f>'Fiscal Forecasts'!F$120</f>
        <v>18.754999999999999</v>
      </c>
      <c r="G356" s="42">
        <f>'Fiscal Forecasts'!G$120</f>
        <v>17.835000000000001</v>
      </c>
      <c r="H356" s="42">
        <f>'Fiscal Forecasts'!H$120</f>
        <v>18.791</v>
      </c>
      <c r="I356" s="42">
        <f>'Fiscal Forecasts'!I$120</f>
        <v>16.212</v>
      </c>
      <c r="J356" s="43">
        <f>'Fiscal Forecasts'!J$120</f>
        <v>22.709</v>
      </c>
      <c r="K356" s="43">
        <f>'Fiscal Forecasts'!K$120</f>
        <v>22.849</v>
      </c>
      <c r="L356" s="43">
        <f>'Fiscal Forecasts'!L$120</f>
        <v>23.614999999999998</v>
      </c>
      <c r="M356" s="43">
        <f>'Fiscal Forecasts'!M$120</f>
        <v>22.956</v>
      </c>
      <c r="N356" s="43">
        <f>'Fiscal Forecasts'!N$120</f>
        <v>22.818000000000001</v>
      </c>
      <c r="O356" s="47">
        <f t="shared" ref="O356:X356" ca="1" si="209">O$355+(N$356-N$355)*(1+O$29)</f>
        <v>23.131460749242891</v>
      </c>
      <c r="P356" s="47">
        <f t="shared" ca="1" si="209"/>
        <v>23.569629060318888</v>
      </c>
      <c r="Q356" s="47">
        <f t="shared" ca="1" si="209"/>
        <v>24.021068742391208</v>
      </c>
      <c r="R356" s="47">
        <f t="shared" ca="1" si="209"/>
        <v>24.483690718888187</v>
      </c>
      <c r="S356" s="47">
        <f t="shared" ca="1" si="209"/>
        <v>24.956501361930318</v>
      </c>
      <c r="T356" s="47">
        <f t="shared" ca="1" si="209"/>
        <v>25.440371800795052</v>
      </c>
      <c r="U356" s="47">
        <f t="shared" ca="1" si="209"/>
        <v>25.933469635192306</v>
      </c>
      <c r="V356" s="47">
        <f t="shared" ca="1" si="209"/>
        <v>26.437223676413623</v>
      </c>
      <c r="W356" s="47">
        <f t="shared" ca="1" si="209"/>
        <v>26.955574784477776</v>
      </c>
      <c r="X356" s="47">
        <f t="shared" ca="1" si="209"/>
        <v>27.492970135638494</v>
      </c>
    </row>
    <row r="358" spans="1:24" x14ac:dyDescent="0.25">
      <c r="A358" s="9" t="s">
        <v>619</v>
      </c>
    </row>
    <row r="359" spans="1:24" x14ac:dyDescent="0.25">
      <c r="A359" s="11" t="s">
        <v>1040</v>
      </c>
      <c r="D359" s="35">
        <f t="shared" ref="D359:N359" si="210">D$393-D$76+D$75-D$72</f>
        <v>-1.567999999999997</v>
      </c>
      <c r="E359" s="35">
        <f t="shared" si="210"/>
        <v>1.2899999999999934</v>
      </c>
      <c r="F359" s="35">
        <f t="shared" si="210"/>
        <v>0.86300000000000299</v>
      </c>
      <c r="G359" s="35">
        <f t="shared" si="210"/>
        <v>0.49900000000000599</v>
      </c>
      <c r="H359" s="35">
        <f t="shared" si="210"/>
        <v>1.8429999999999807</v>
      </c>
      <c r="I359" s="35">
        <f t="shared" si="210"/>
        <v>2.6770000000000094</v>
      </c>
      <c r="J359" s="17">
        <f t="shared" si="210"/>
        <v>-0.41299999999999581</v>
      </c>
      <c r="K359" s="17">
        <f t="shared" si="210"/>
        <v>-0.78700000000000259</v>
      </c>
      <c r="L359" s="17">
        <f t="shared" si="210"/>
        <v>-1.8110000000000026</v>
      </c>
      <c r="M359" s="17">
        <f t="shared" si="210"/>
        <v>-1.0680000000000067</v>
      </c>
      <c r="N359" s="17">
        <f t="shared" si="210"/>
        <v>-0.71799999999999375</v>
      </c>
      <c r="O359" s="16">
        <f t="shared" ref="O359:X359" ca="1" si="211">SUM(N$359,O$457-N$457,O$483-N$483)</f>
        <v>1.966872180400745</v>
      </c>
      <c r="P359" s="16">
        <f t="shared" ca="1" si="211"/>
        <v>2.1636306626569968</v>
      </c>
      <c r="Q359" s="16">
        <f t="shared" ca="1" si="211"/>
        <v>2.3672185619948354</v>
      </c>
      <c r="R359" s="16">
        <f t="shared" ca="1" si="211"/>
        <v>2.5762608185917402</v>
      </c>
      <c r="S359" s="16">
        <f t="shared" ca="1" si="211"/>
        <v>2.7900850005709548</v>
      </c>
      <c r="T359" s="16">
        <f t="shared" ca="1" si="211"/>
        <v>3.009215205000848</v>
      </c>
      <c r="U359" s="16">
        <f t="shared" ca="1" si="211"/>
        <v>3.2324390941980119</v>
      </c>
      <c r="V359" s="16">
        <f t="shared" ca="1" si="211"/>
        <v>3.4606373888600248</v>
      </c>
      <c r="W359" s="16">
        <f t="shared" ca="1" si="211"/>
        <v>3.6963028731462466</v>
      </c>
      <c r="X359" s="16">
        <f t="shared" ca="1" si="211"/>
        <v>3.9422526515563479</v>
      </c>
    </row>
    <row r="360" spans="1:24" x14ac:dyDescent="0.25">
      <c r="A360" s="11" t="s">
        <v>752</v>
      </c>
      <c r="B360" s="10" t="str">
        <f>$B$38</f>
        <v>From Fiscal Forecasts</v>
      </c>
      <c r="D360" s="35">
        <f>'Fiscal Forecasts'!D$318</f>
        <v>13.763999999999999</v>
      </c>
      <c r="E360" s="35">
        <f>'Fiscal Forecasts'!E$318</f>
        <v>14.29</v>
      </c>
      <c r="F360" s="35">
        <f>'Fiscal Forecasts'!F$318</f>
        <v>15.641999999999999</v>
      </c>
      <c r="G360" s="35">
        <f>'Fiscal Forecasts'!G$318</f>
        <v>20.076000000000001</v>
      </c>
      <c r="H360" s="35">
        <f>'Fiscal Forecasts'!H$318</f>
        <v>20.298999999999999</v>
      </c>
      <c r="I360" s="35">
        <f>'Fiscal Forecasts'!I$318</f>
        <v>22.413</v>
      </c>
      <c r="J360" s="17">
        <f>'Fiscal Forecasts'!J$318</f>
        <v>19.824999999999999</v>
      </c>
      <c r="K360" s="17">
        <f>'Fiscal Forecasts'!K$318</f>
        <v>20.443000000000001</v>
      </c>
      <c r="L360" s="17">
        <f>'Fiscal Forecasts'!L$318</f>
        <v>19.733000000000001</v>
      </c>
      <c r="M360" s="17">
        <f>'Fiscal Forecasts'!M$318</f>
        <v>20.024999999999999</v>
      </c>
      <c r="N360" s="17">
        <f>'Fiscal Forecasts'!N$318</f>
        <v>20.614999999999998</v>
      </c>
      <c r="O360" s="16">
        <f t="shared" ref="O360:X360" ca="1" si="212">N$360*O$142/N$142</f>
        <v>21.405309920709445</v>
      </c>
      <c r="P360" s="16">
        <f t="shared" ca="1" si="212"/>
        <v>22.284045037737169</v>
      </c>
      <c r="Q360" s="16">
        <f t="shared" ca="1" si="212"/>
        <v>23.189880595731612</v>
      </c>
      <c r="R360" s="16">
        <f t="shared" ca="1" si="212"/>
        <v>24.098346687518909</v>
      </c>
      <c r="S360" s="16">
        <f t="shared" ca="1" si="212"/>
        <v>25.026624321355708</v>
      </c>
      <c r="T360" s="16">
        <f t="shared" ca="1" si="212"/>
        <v>25.97328377466485</v>
      </c>
      <c r="U360" s="16">
        <f t="shared" ca="1" si="212"/>
        <v>26.932653698286277</v>
      </c>
      <c r="V360" s="16">
        <f t="shared" ca="1" si="212"/>
        <v>27.906422201494983</v>
      </c>
      <c r="W360" s="16">
        <f t="shared" ca="1" si="212"/>
        <v>28.894316814984979</v>
      </c>
      <c r="X360" s="16">
        <f t="shared" ca="1" si="212"/>
        <v>29.903831951530794</v>
      </c>
    </row>
    <row r="361" spans="1:24" x14ac:dyDescent="0.25">
      <c r="A361" s="11" t="s">
        <v>1041</v>
      </c>
      <c r="B361" s="10" t="str">
        <f>$B$38</f>
        <v>From Fiscal Forecasts</v>
      </c>
      <c r="D361" s="35">
        <f>'Fiscal Forecasts'!D$181-SUM(D$359:D$360)</f>
        <v>4.3769999999999989</v>
      </c>
      <c r="E361" s="35">
        <f>'Fiscal Forecasts'!E$181-SUM(E$359:E$360)</f>
        <v>2.5200000000000085</v>
      </c>
      <c r="F361" s="35">
        <f>'Fiscal Forecasts'!F$181-SUM(F$359:F$360)</f>
        <v>3.7319999999999958</v>
      </c>
      <c r="G361" s="35">
        <f>'Fiscal Forecasts'!G$181-SUM(G$359:G$360)</f>
        <v>7.7129999999999939</v>
      </c>
      <c r="H361" s="35">
        <f>'Fiscal Forecasts'!H$181-SUM(H$359:H$360)</f>
        <v>3.5320000000000178</v>
      </c>
      <c r="I361" s="35">
        <f>'Fiscal Forecasts'!I$181-SUM(I$359:I$360)</f>
        <v>3.5489999999999888</v>
      </c>
      <c r="J361" s="17">
        <f>'Fiscal Forecasts'!J$181-SUM(J$359:J$360)</f>
        <v>8.519999999999996</v>
      </c>
      <c r="K361" s="17">
        <f>'Fiscal Forecasts'!K$181-SUM(K$359:K$360)</f>
        <v>8.5370000000000026</v>
      </c>
      <c r="L361" s="17">
        <f>'Fiscal Forecasts'!L$181-SUM(L$359:L$360)</f>
        <v>9.8010000000000019</v>
      </c>
      <c r="M361" s="17">
        <f>'Fiscal Forecasts'!M$181-SUM(M$359:M$360)</f>
        <v>9.3910000000000053</v>
      </c>
      <c r="N361" s="17">
        <f>'Fiscal Forecasts'!N$181-SUM(N$359:N$360)</f>
        <v>9.3809999999999931</v>
      </c>
      <c r="O361" s="16">
        <f t="shared" ref="O361:X361" ca="1" si="213">SUM(N$361,O$459-N$459,O$484-N$484)</f>
        <v>9.7844199999999919</v>
      </c>
      <c r="P361" s="16">
        <f t="shared" ca="1" si="213"/>
        <v>10.195908399999992</v>
      </c>
      <c r="Q361" s="16">
        <f t="shared" ca="1" si="213"/>
        <v>10.615626567999991</v>
      </c>
      <c r="R361" s="16">
        <f t="shared" ca="1" si="213"/>
        <v>11.043739099359991</v>
      </c>
      <c r="S361" s="16">
        <f t="shared" ca="1" si="213"/>
        <v>11.480413881347191</v>
      </c>
      <c r="T361" s="16">
        <f t="shared" ca="1" si="213"/>
        <v>11.925822158974135</v>
      </c>
      <c r="U361" s="16">
        <f t="shared" ca="1" si="213"/>
        <v>12.380138602153618</v>
      </c>
      <c r="V361" s="16">
        <f t="shared" ca="1" si="213"/>
        <v>12.843541374196692</v>
      </c>
      <c r="W361" s="16">
        <f t="shared" ca="1" si="213"/>
        <v>13.316212201680626</v>
      </c>
      <c r="X361" s="16">
        <f t="shared" ca="1" si="213"/>
        <v>13.79833644571424</v>
      </c>
    </row>
    <row r="362" spans="1:24" x14ac:dyDescent="0.25">
      <c r="A362" s="9" t="s">
        <v>1042</v>
      </c>
      <c r="D362" s="65">
        <f t="shared" ref="D362:X362" si="214">SUM(D$359:D$361)</f>
        <v>16.573</v>
      </c>
      <c r="E362" s="65">
        <f t="shared" si="214"/>
        <v>18.100000000000001</v>
      </c>
      <c r="F362" s="65">
        <f t="shared" si="214"/>
        <v>20.236999999999998</v>
      </c>
      <c r="G362" s="65">
        <f t="shared" si="214"/>
        <v>28.288</v>
      </c>
      <c r="H362" s="65">
        <f t="shared" si="214"/>
        <v>25.673999999999999</v>
      </c>
      <c r="I362" s="65">
        <f t="shared" si="214"/>
        <v>28.638999999999999</v>
      </c>
      <c r="J362" s="66">
        <f t="shared" si="214"/>
        <v>27.931999999999999</v>
      </c>
      <c r="K362" s="66">
        <f t="shared" si="214"/>
        <v>28.193000000000001</v>
      </c>
      <c r="L362" s="66">
        <f t="shared" si="214"/>
        <v>27.722999999999999</v>
      </c>
      <c r="M362" s="66">
        <f t="shared" si="214"/>
        <v>28.347999999999999</v>
      </c>
      <c r="N362" s="66">
        <f t="shared" si="214"/>
        <v>29.277999999999999</v>
      </c>
      <c r="O362" s="67">
        <f t="shared" ca="1" si="214"/>
        <v>33.156602101110181</v>
      </c>
      <c r="P362" s="67">
        <f t="shared" ca="1" si="214"/>
        <v>34.643584100394158</v>
      </c>
      <c r="Q362" s="67">
        <f t="shared" ca="1" si="214"/>
        <v>36.172725725726437</v>
      </c>
      <c r="R362" s="67">
        <f t="shared" ca="1" si="214"/>
        <v>37.718346605470643</v>
      </c>
      <c r="S362" s="67">
        <f t="shared" ca="1" si="214"/>
        <v>39.297123203273856</v>
      </c>
      <c r="T362" s="67">
        <f t="shared" ca="1" si="214"/>
        <v>40.908321138639835</v>
      </c>
      <c r="U362" s="67">
        <f t="shared" ca="1" si="214"/>
        <v>42.545231394637909</v>
      </c>
      <c r="V362" s="67">
        <f t="shared" ca="1" si="214"/>
        <v>44.210600964551702</v>
      </c>
      <c r="W362" s="67">
        <f t="shared" ca="1" si="214"/>
        <v>45.906831889811855</v>
      </c>
      <c r="X362" s="67">
        <f t="shared" ca="1" si="214"/>
        <v>47.644421048801384</v>
      </c>
    </row>
    <row r="363" spans="1:24" x14ac:dyDescent="0.25">
      <c r="A363" s="9" t="s">
        <v>1043</v>
      </c>
      <c r="B363" s="10" t="str">
        <f>$B$38</f>
        <v>From Fiscal Forecasts</v>
      </c>
      <c r="D363" s="42">
        <f>'Fiscal Forecasts'!D$121</f>
        <v>23.327000000000002</v>
      </c>
      <c r="E363" s="42">
        <f>'Fiscal Forecasts'!E$121</f>
        <v>24.742999999999999</v>
      </c>
      <c r="F363" s="42">
        <f>'Fiscal Forecasts'!F$121</f>
        <v>26.829000000000001</v>
      </c>
      <c r="G363" s="42">
        <f>'Fiscal Forecasts'!G$121</f>
        <v>35.134999999999998</v>
      </c>
      <c r="H363" s="42">
        <f>'Fiscal Forecasts'!H$121</f>
        <v>33.548000000000002</v>
      </c>
      <c r="I363" s="42">
        <f>'Fiscal Forecasts'!I$121</f>
        <v>37.231999999999999</v>
      </c>
      <c r="J363" s="43">
        <f>'Fiscal Forecasts'!J$121</f>
        <v>36.374000000000002</v>
      </c>
      <c r="K363" s="43">
        <f>'Fiscal Forecasts'!K$121</f>
        <v>37.006999999999998</v>
      </c>
      <c r="L363" s="43">
        <f>'Fiscal Forecasts'!L$121</f>
        <v>37.020000000000003</v>
      </c>
      <c r="M363" s="43">
        <f>'Fiscal Forecasts'!M$121</f>
        <v>38.235999999999997</v>
      </c>
      <c r="N363" s="43">
        <f>'Fiscal Forecasts'!N$121</f>
        <v>39.780999999999999</v>
      </c>
      <c r="O363" s="47">
        <f t="shared" ref="O363:X363" ca="1" si="215">SUM(N$363,O$362-N$362,,O$461-N$461,O$469-N$469,O$486-N$486)-SUM(O$460-N$460,O$468-N$468,O$485-N$485)</f>
        <v>43.981242101110183</v>
      </c>
      <c r="P363" s="47">
        <f t="shared" ca="1" si="215"/>
        <v>45.796296900394161</v>
      </c>
      <c r="Q363" s="47">
        <f t="shared" ca="1" si="215"/>
        <v>47.660072781726448</v>
      </c>
      <c r="R363" s="47">
        <f t="shared" ca="1" si="215"/>
        <v>49.547020602590656</v>
      </c>
      <c r="S363" s="47">
        <f t="shared" ca="1" si="215"/>
        <v>51.473950680336273</v>
      </c>
      <c r="T363" s="47">
        <f t="shared" ca="1" si="215"/>
        <v>53.440265165243503</v>
      </c>
      <c r="U363" s="47">
        <f t="shared" ca="1" si="215"/>
        <v>55.439394301773646</v>
      </c>
      <c r="V363" s="47">
        <f t="shared" ca="1" si="215"/>
        <v>57.474227129830147</v>
      </c>
      <c r="W363" s="47">
        <f t="shared" ca="1" si="215"/>
        <v>59.547310578395866</v>
      </c>
      <c r="X363" s="47">
        <f t="shared" ca="1" si="215"/>
        <v>61.66928931115708</v>
      </c>
    </row>
    <row r="365" spans="1:24" x14ac:dyDescent="0.25">
      <c r="A365" s="9" t="s">
        <v>620</v>
      </c>
    </row>
    <row r="366" spans="1:24" x14ac:dyDescent="0.25">
      <c r="A366" s="11" t="s">
        <v>1049</v>
      </c>
      <c r="D366" s="35">
        <f ca="1">OFFSET(Assumptions!$B$50,0,$C$1)*(D$393-D$359-D$400)</f>
        <v>14.03904</v>
      </c>
      <c r="E366" s="35">
        <f ca="1">OFFSET(Assumptions!$B$50,0,$C$1)*(E$393-E$359-E$400)</f>
        <v>13.838400000000002</v>
      </c>
      <c r="F366" s="35">
        <f ca="1">OFFSET(Assumptions!$B$50,0,$C$1)*(F$393-F$359-F$400)</f>
        <v>17.912959999999998</v>
      </c>
      <c r="G366" s="35">
        <f ca="1">OFFSET(Assumptions!$B$50,0,$C$1)*(G$393-G$359-G$400)</f>
        <v>19.295359999999999</v>
      </c>
      <c r="H366" s="35">
        <f ca="1">OFFSET(Assumptions!$B$50,0,$C$1)*(H$393-H$359-H$400)</f>
        <v>18.892800000000005</v>
      </c>
      <c r="I366" s="35">
        <f ca="1">OFFSET(Assumptions!$B$50,0,$C$1)*(I$393-I$359-I$400)</f>
        <v>21.588159999999998</v>
      </c>
      <c r="J366" s="17">
        <f ca="1">OFFSET(Assumptions!$B$50,0,$C$1)*(J$393-J$359-J$400)</f>
        <v>25.920320000000004</v>
      </c>
      <c r="K366" s="17">
        <f ca="1">OFFSET(Assumptions!$B$50,0,$C$1)*(K$393-K$359-K$400)</f>
        <v>27.230080000000005</v>
      </c>
      <c r="L366" s="17">
        <f ca="1">OFFSET(Assumptions!$B$50,0,$C$1)*(L$393-L$359-L$400)</f>
        <v>29.563200000000002</v>
      </c>
      <c r="M366" s="17">
        <f ca="1">OFFSET(Assumptions!$B$50,0,$C$1)*(M$393-M$359-M$400)</f>
        <v>30.861120000000003</v>
      </c>
      <c r="N366" s="17">
        <f ca="1">OFFSET(Assumptions!$B$50,0,$C$1)*(N$393-N$359-N$400)</f>
        <v>32.542720000000003</v>
      </c>
      <c r="O366" s="16">
        <f ca="1">OFFSET(Assumptions!$B$50,0,$C$1)*(O$393-O$359-O$400)</f>
        <v>33.722500795154481</v>
      </c>
      <c r="P366" s="16">
        <f ca="1">OFFSET(Assumptions!$B$50,0,$C$1)*(P$393-P$359-P$400)</f>
        <v>35.683882626040898</v>
      </c>
      <c r="Q366" s="16">
        <f ca="1">OFFSET(Assumptions!$B$50,0,$C$1)*(Q$393-Q$359-Q$400)</f>
        <v>37.713343324103739</v>
      </c>
      <c r="R366" s="16">
        <f ca="1">OFFSET(Assumptions!$B$50,0,$C$1)*(R$393-R$359-R$400)</f>
        <v>39.79717564114042</v>
      </c>
      <c r="S366" s="16">
        <f ca="1">OFFSET(Assumptions!$B$50,0,$C$1)*(S$393-S$359-S$400)</f>
        <v>41.928676457415158</v>
      </c>
      <c r="T366" s="16">
        <f ca="1">OFFSET(Assumptions!$B$50,0,$C$1)*(T$393-T$359-T$400)</f>
        <v>44.113070220970698</v>
      </c>
      <c r="U366" s="16">
        <f ca="1">OFFSET(Assumptions!$B$50,0,$C$1)*(U$393-U$359-U$400)</f>
        <v>46.338271775030762</v>
      </c>
      <c r="V366" s="16">
        <f ca="1">OFFSET(Assumptions!$B$50,0,$C$1)*(V$393-V$359-V$400)</f>
        <v>48.613060561043184</v>
      </c>
      <c r="W366" s="16">
        <f ca="1">OFFSET(Assumptions!$B$50,0,$C$1)*(W$393-W$359-W$400)</f>
        <v>50.962285833293691</v>
      </c>
      <c r="X366" s="16">
        <f ca="1">OFFSET(Assumptions!$B$50,0,$C$1)*(X$393-X$359-X$400)</f>
        <v>53.414029824974996</v>
      </c>
    </row>
    <row r="367" spans="1:24" x14ac:dyDescent="0.25">
      <c r="A367" s="11" t="s">
        <v>1050</v>
      </c>
      <c r="B367" s="10" t="str">
        <f>$B$38</f>
        <v>From Fiscal Forecasts</v>
      </c>
      <c r="D367" s="35">
        <f ca="1">'Fiscal Forecasts'!D$182-D$366</f>
        <v>13.366959999999999</v>
      </c>
      <c r="E367" s="35">
        <f ca="1">'Fiscal Forecasts'!E$182-E$366</f>
        <v>29.827599999999997</v>
      </c>
      <c r="F367" s="35">
        <f ca="1">'Fiscal Forecasts'!F$182-F$366</f>
        <v>19.820039999999999</v>
      </c>
      <c r="G367" s="35">
        <f ca="1">'Fiscal Forecasts'!G$182-G$366</f>
        <v>24.468640000000004</v>
      </c>
      <c r="H367" s="35">
        <f ca="1">'Fiscal Forecasts'!H$182-H$366</f>
        <v>25.522199999999994</v>
      </c>
      <c r="I367" s="35">
        <f ca="1">'Fiscal Forecasts'!I$182-I$366</f>
        <v>30.382839999999998</v>
      </c>
      <c r="J367" s="17">
        <f ca="1">'Fiscal Forecasts'!J$182-J$366</f>
        <v>38.730679999999992</v>
      </c>
      <c r="K367" s="17">
        <f ca="1">'Fiscal Forecasts'!K$182-K$366</f>
        <v>46.704920000000001</v>
      </c>
      <c r="L367" s="17">
        <f ca="1">'Fiscal Forecasts'!L$182-L$366</f>
        <v>45.037799999999997</v>
      </c>
      <c r="M367" s="17">
        <f ca="1">'Fiscal Forecasts'!M$182-M$366</f>
        <v>45.951880000000003</v>
      </c>
      <c r="N367" s="17">
        <f ca="1">'Fiscal Forecasts'!N$182-N$366</f>
        <v>46.982280000000003</v>
      </c>
      <c r="O367" s="16">
        <f t="shared" ref="O367:X367" ca="1" si="216">N$367</f>
        <v>46.982280000000003</v>
      </c>
      <c r="P367" s="16">
        <f t="shared" ca="1" si="216"/>
        <v>46.982280000000003</v>
      </c>
      <c r="Q367" s="16">
        <f t="shared" ca="1" si="216"/>
        <v>46.982280000000003</v>
      </c>
      <c r="R367" s="16">
        <f t="shared" ca="1" si="216"/>
        <v>46.982280000000003</v>
      </c>
      <c r="S367" s="16">
        <f t="shared" ca="1" si="216"/>
        <v>46.982280000000003</v>
      </c>
      <c r="T367" s="16">
        <f t="shared" ca="1" si="216"/>
        <v>46.982280000000003</v>
      </c>
      <c r="U367" s="16">
        <f t="shared" ca="1" si="216"/>
        <v>46.982280000000003</v>
      </c>
      <c r="V367" s="16">
        <f t="shared" ca="1" si="216"/>
        <v>46.982280000000003</v>
      </c>
      <c r="W367" s="16">
        <f t="shared" ca="1" si="216"/>
        <v>46.982280000000003</v>
      </c>
      <c r="X367" s="16">
        <f t="shared" ca="1" si="216"/>
        <v>46.982280000000003</v>
      </c>
    </row>
    <row r="368" spans="1:24" x14ac:dyDescent="0.25">
      <c r="A368" s="9" t="s">
        <v>1051</v>
      </c>
      <c r="D368" s="65">
        <f t="shared" ref="D368:X368" ca="1" si="217">SUM(D$366:D$367)</f>
        <v>27.405999999999999</v>
      </c>
      <c r="E368" s="65">
        <f t="shared" ca="1" si="217"/>
        <v>43.665999999999997</v>
      </c>
      <c r="F368" s="65">
        <f t="shared" ca="1" si="217"/>
        <v>37.732999999999997</v>
      </c>
      <c r="G368" s="65">
        <f t="shared" ca="1" si="217"/>
        <v>43.764000000000003</v>
      </c>
      <c r="H368" s="65">
        <f t="shared" ca="1" si="217"/>
        <v>44.414999999999999</v>
      </c>
      <c r="I368" s="65">
        <f t="shared" ca="1" si="217"/>
        <v>51.970999999999997</v>
      </c>
      <c r="J368" s="66">
        <f t="shared" ca="1" si="217"/>
        <v>64.650999999999996</v>
      </c>
      <c r="K368" s="66">
        <f t="shared" ca="1" si="217"/>
        <v>73.935000000000002</v>
      </c>
      <c r="L368" s="66">
        <f t="shared" ca="1" si="217"/>
        <v>74.600999999999999</v>
      </c>
      <c r="M368" s="66">
        <f t="shared" ca="1" si="217"/>
        <v>76.813000000000002</v>
      </c>
      <c r="N368" s="66">
        <f t="shared" ca="1" si="217"/>
        <v>79.525000000000006</v>
      </c>
      <c r="O368" s="67">
        <f t="shared" ca="1" si="217"/>
        <v>80.704780795154477</v>
      </c>
      <c r="P368" s="67">
        <f t="shared" ca="1" si="217"/>
        <v>82.666162626040901</v>
      </c>
      <c r="Q368" s="67">
        <f t="shared" ca="1" si="217"/>
        <v>84.695623324103735</v>
      </c>
      <c r="R368" s="67">
        <f t="shared" ca="1" si="217"/>
        <v>86.77945564114043</v>
      </c>
      <c r="S368" s="67">
        <f t="shared" ca="1" si="217"/>
        <v>88.910956457415153</v>
      </c>
      <c r="T368" s="67">
        <f t="shared" ca="1" si="217"/>
        <v>91.095350220970701</v>
      </c>
      <c r="U368" s="67">
        <f t="shared" ca="1" si="217"/>
        <v>93.320551775030765</v>
      </c>
      <c r="V368" s="67">
        <f t="shared" ca="1" si="217"/>
        <v>95.595340561043187</v>
      </c>
      <c r="W368" s="67">
        <f t="shared" ca="1" si="217"/>
        <v>97.944565833293694</v>
      </c>
      <c r="X368" s="67">
        <f t="shared" ca="1" si="217"/>
        <v>100.39630982497499</v>
      </c>
    </row>
    <row r="369" spans="1:24" x14ac:dyDescent="0.25">
      <c r="A369" s="11" t="s">
        <v>707</v>
      </c>
      <c r="B369" s="10" t="str">
        <f>$B$38</f>
        <v>From Fiscal Forecasts</v>
      </c>
      <c r="D369" s="35">
        <f>'Fiscal Forecasts'!D$214</f>
        <v>33.838000000000001</v>
      </c>
      <c r="E369" s="35">
        <f>'Fiscal Forecasts'!E$214</f>
        <v>34.494</v>
      </c>
      <c r="F369" s="35">
        <f>'Fiscal Forecasts'!F$214</f>
        <v>33.545999999999999</v>
      </c>
      <c r="G369" s="35">
        <f>'Fiscal Forecasts'!G$214</f>
        <v>31.513000000000002</v>
      </c>
      <c r="H369" s="35">
        <f>'Fiscal Forecasts'!H$214</f>
        <v>34.506</v>
      </c>
      <c r="I369" s="35">
        <f>'Fiscal Forecasts'!I$214</f>
        <v>39.212000000000003</v>
      </c>
      <c r="J369" s="17">
        <f>'Fiscal Forecasts'!J$214</f>
        <v>44.709000000000003</v>
      </c>
      <c r="K369" s="17">
        <f>'Fiscal Forecasts'!K$214</f>
        <v>45.356000000000002</v>
      </c>
      <c r="L369" s="17">
        <f>'Fiscal Forecasts'!L$214</f>
        <v>45.789000000000001</v>
      </c>
      <c r="M369" s="17">
        <f>'Fiscal Forecasts'!M$214</f>
        <v>46.503999999999998</v>
      </c>
      <c r="N369" s="17">
        <f>'Fiscal Forecasts'!N$214</f>
        <v>47.848999999999997</v>
      </c>
      <c r="O369" s="16">
        <f ca="1">N$369*AVERAGE(Exogenous!Z$30/Exogenous!Y$30,1+O$29)</f>
        <v>49.014936257065948</v>
      </c>
      <c r="P369" s="16">
        <f ca="1">O$369*AVERAGE(Exogenous!AA$30/Exogenous!Z$30,1+P$29)</f>
        <v>50.347213525928908</v>
      </c>
      <c r="Q369" s="16">
        <f ca="1">P$369*AVERAGE(Exogenous!AB$30/Exogenous!AA$30,1+Q$29)</f>
        <v>51.884554518425304</v>
      </c>
      <c r="R369" s="16">
        <f ca="1">Q$369*AVERAGE(Exogenous!AC$30/Exogenous!AB$30,1+R$29)</f>
        <v>53.644219661698841</v>
      </c>
      <c r="S369" s="16">
        <f ca="1">R$369*AVERAGE(Exogenous!AD$30/Exogenous!AC$30,1+S$29)</f>
        <v>55.648819652026312</v>
      </c>
      <c r="T369" s="16">
        <f ca="1">S$369*AVERAGE(Exogenous!AE$30/Exogenous!AD$30,1+T$29)</f>
        <v>57.929528300001017</v>
      </c>
      <c r="U369" s="16">
        <f ca="1">T$369*AVERAGE(Exogenous!AF$30/Exogenous!AE$30,1+U$29)</f>
        <v>60.512559880882698</v>
      </c>
      <c r="V369" s="16">
        <f ca="1">U$369*AVERAGE(Exogenous!AG$30/Exogenous!AF$30,1+V$29)</f>
        <v>63.28090184155873</v>
      </c>
      <c r="W369" s="16">
        <f ca="1">V$369*AVERAGE(Exogenous!AH$30/Exogenous!AG$30,1+W$29)</f>
        <v>66.115145082176525</v>
      </c>
      <c r="X369" s="16">
        <f ca="1">W$369*AVERAGE(Exogenous!AI$30/Exogenous!AH$30,1+X$29)</f>
        <v>68.989975248406552</v>
      </c>
    </row>
    <row r="370" spans="1:24" x14ac:dyDescent="0.25">
      <c r="A370" s="11" t="s">
        <v>904</v>
      </c>
      <c r="B370" s="10" t="str">
        <f t="shared" ref="B370:B371" si="218">$B$38</f>
        <v>From Fiscal Forecasts</v>
      </c>
      <c r="D370" s="35">
        <f>'Fiscal Forecasts'!D$215</f>
        <v>3.3879999999999999</v>
      </c>
      <c r="E370" s="35">
        <f>'Fiscal Forecasts'!E$215</f>
        <v>3.88</v>
      </c>
      <c r="F370" s="35">
        <f>'Fiscal Forecasts'!F$215</f>
        <v>3.3250000000000002</v>
      </c>
      <c r="G370" s="35">
        <f>'Fiscal Forecasts'!G$215</f>
        <v>5.3479999999999999</v>
      </c>
      <c r="H370" s="35">
        <f>'Fiscal Forecasts'!H$215</f>
        <v>3.9380000000000002</v>
      </c>
      <c r="I370" s="35">
        <f>'Fiscal Forecasts'!I$215</f>
        <v>2.9710000000000001</v>
      </c>
      <c r="J370" s="17">
        <f>'Fiscal Forecasts'!J$215</f>
        <v>3.2130000000000001</v>
      </c>
      <c r="K370" s="17">
        <f>'Fiscal Forecasts'!K$215</f>
        <v>2.7749999999999999</v>
      </c>
      <c r="L370" s="17">
        <f>'Fiscal Forecasts'!L$215</f>
        <v>2.8260000000000001</v>
      </c>
      <c r="M370" s="17">
        <f>'Fiscal Forecasts'!M$215</f>
        <v>3.0030000000000001</v>
      </c>
      <c r="N370" s="17">
        <f>'Fiscal Forecasts'!N$215</f>
        <v>2.976</v>
      </c>
      <c r="O370" s="16">
        <f t="shared" ref="O370:X370" ca="1" si="219">N$370*(1+O$14)</f>
        <v>3.1044070902263794</v>
      </c>
      <c r="P370" s="16">
        <f t="shared" ca="1" si="219"/>
        <v>3.2368105447188023</v>
      </c>
      <c r="Q370" s="16">
        <f t="shared" ca="1" si="219"/>
        <v>3.3695014832850716</v>
      </c>
      <c r="R370" s="16">
        <f t="shared" ca="1" si="219"/>
        <v>3.5021806593985603</v>
      </c>
      <c r="S370" s="16">
        <f t="shared" ca="1" si="219"/>
        <v>3.6377853663695907</v>
      </c>
      <c r="T370" s="16">
        <f t="shared" ca="1" si="219"/>
        <v>3.7761086592909621</v>
      </c>
      <c r="U370" s="16">
        <f t="shared" ca="1" si="219"/>
        <v>3.916276223883866</v>
      </c>
      <c r="V370" s="16">
        <f t="shared" ca="1" si="219"/>
        <v>4.0585511807631462</v>
      </c>
      <c r="W370" s="16">
        <f t="shared" ca="1" si="219"/>
        <v>4.2029282292638444</v>
      </c>
      <c r="X370" s="16">
        <f t="shared" ca="1" si="219"/>
        <v>4.3504953268790194</v>
      </c>
    </row>
    <row r="371" spans="1:24" x14ac:dyDescent="0.25">
      <c r="A371" s="11" t="s">
        <v>866</v>
      </c>
      <c r="B371" s="10" t="str">
        <f t="shared" si="218"/>
        <v>From Fiscal Forecasts</v>
      </c>
      <c r="D371" s="35">
        <f ca="1">'Fiscal Forecasts'!D$122-SUM(D$368:D$370)</f>
        <v>-21.016000000000005</v>
      </c>
      <c r="E371" s="35">
        <f ca="1">'Fiscal Forecasts'!E$122-SUM(E$368:E$370)</f>
        <v>-21.034999999999989</v>
      </c>
      <c r="F371" s="35">
        <f ca="1">'Fiscal Forecasts'!F$122-SUM(F$368:F$370)</f>
        <v>-17.820999999999998</v>
      </c>
      <c r="G371" s="35">
        <f ca="1">'Fiscal Forecasts'!G$122-SUM(G$368:G$370)</f>
        <v>-15.168999999999997</v>
      </c>
      <c r="H371" s="35">
        <f ca="1">'Fiscal Forecasts'!H$122-SUM(H$368:H$370)</f>
        <v>-16.369</v>
      </c>
      <c r="I371" s="35">
        <f ca="1">'Fiscal Forecasts'!I$122-SUM(I$368:I$370)</f>
        <v>-20.507999999999996</v>
      </c>
      <c r="J371" s="17">
        <f ca="1">'Fiscal Forecasts'!J$122-SUM(J$368:J$370)</f>
        <v>-26.075999999999993</v>
      </c>
      <c r="K371" s="17">
        <f ca="1">'Fiscal Forecasts'!K$122-SUM(K$368:K$370)</f>
        <v>-26.134</v>
      </c>
      <c r="L371" s="17">
        <f ca="1">'Fiscal Forecasts'!L$122-SUM(L$368:L$370)</f>
        <v>-26.244</v>
      </c>
      <c r="M371" s="17">
        <f ca="1">'Fiscal Forecasts'!M$122-SUM(M$368:M$370)</f>
        <v>-26.624000000000009</v>
      </c>
      <c r="N371" s="17">
        <f ca="1">'Fiscal Forecasts'!N$122-SUM(N$368:N$370)</f>
        <v>-27.197999999999993</v>
      </c>
      <c r="O371" s="16">
        <f t="shared" ref="O371:X371" ca="1" si="220">N$371*O$369/N$369</f>
        <v>-27.860733480734797</v>
      </c>
      <c r="P371" s="16">
        <f t="shared" ca="1" si="220"/>
        <v>-28.618017377128343</v>
      </c>
      <c r="Q371" s="16">
        <f t="shared" ca="1" si="220"/>
        <v>-29.491862187133087</v>
      </c>
      <c r="R371" s="16">
        <f t="shared" ca="1" si="220"/>
        <v>-30.492078964218368</v>
      </c>
      <c r="S371" s="16">
        <f t="shared" ca="1" si="220"/>
        <v>-31.631519925093755</v>
      </c>
      <c r="T371" s="16">
        <f t="shared" ca="1" si="220"/>
        <v>-32.927904673105537</v>
      </c>
      <c r="U371" s="16">
        <f t="shared" ca="1" si="220"/>
        <v>-34.396133746582933</v>
      </c>
      <c r="V371" s="16">
        <f t="shared" ca="1" si="220"/>
        <v>-35.969695673613103</v>
      </c>
      <c r="W371" s="16">
        <f t="shared" ca="1" si="220"/>
        <v>-37.58071675364242</v>
      </c>
      <c r="X371" s="16">
        <f t="shared" ca="1" si="220"/>
        <v>-39.214807975217042</v>
      </c>
    </row>
    <row r="372" spans="1:24" x14ac:dyDescent="0.25">
      <c r="A372" s="9" t="s">
        <v>1052</v>
      </c>
      <c r="D372" s="65">
        <f t="shared" ref="D372:X372" ca="1" si="221">SUM(D$368:D$371)</f>
        <v>43.616</v>
      </c>
      <c r="E372" s="65">
        <f t="shared" ca="1" si="221"/>
        <v>61.005000000000003</v>
      </c>
      <c r="F372" s="65">
        <f t="shared" ca="1" si="221"/>
        <v>56.783000000000001</v>
      </c>
      <c r="G372" s="65">
        <f t="shared" ca="1" si="221"/>
        <v>65.456000000000003</v>
      </c>
      <c r="H372" s="65">
        <f t="shared" ca="1" si="221"/>
        <v>66.489999999999995</v>
      </c>
      <c r="I372" s="65">
        <f t="shared" ca="1" si="221"/>
        <v>73.646000000000001</v>
      </c>
      <c r="J372" s="66">
        <f t="shared" ca="1" si="221"/>
        <v>86.497</v>
      </c>
      <c r="K372" s="66">
        <f t="shared" ca="1" si="221"/>
        <v>95.932000000000002</v>
      </c>
      <c r="L372" s="66">
        <f t="shared" ca="1" si="221"/>
        <v>96.971999999999994</v>
      </c>
      <c r="M372" s="66">
        <f t="shared" ca="1" si="221"/>
        <v>99.695999999999998</v>
      </c>
      <c r="N372" s="66">
        <f t="shared" ca="1" si="221"/>
        <v>103.152</v>
      </c>
      <c r="O372" s="67">
        <f t="shared" ca="1" si="221"/>
        <v>104.96339066171201</v>
      </c>
      <c r="P372" s="67">
        <f t="shared" ca="1" si="221"/>
        <v>107.63216931956025</v>
      </c>
      <c r="Q372" s="67">
        <f t="shared" ca="1" si="221"/>
        <v>110.45781713868104</v>
      </c>
      <c r="R372" s="67">
        <f t="shared" ca="1" si="221"/>
        <v>113.43377699801948</v>
      </c>
      <c r="S372" s="67">
        <f t="shared" ca="1" si="221"/>
        <v>116.5660415507173</v>
      </c>
      <c r="T372" s="67">
        <f t="shared" ca="1" si="221"/>
        <v>119.87308250715716</v>
      </c>
      <c r="U372" s="67">
        <f t="shared" ca="1" si="221"/>
        <v>123.35325413321439</v>
      </c>
      <c r="V372" s="67">
        <f t="shared" ca="1" si="221"/>
        <v>126.96509790975196</v>
      </c>
      <c r="W372" s="67">
        <f t="shared" ca="1" si="221"/>
        <v>130.68192239109163</v>
      </c>
      <c r="X372" s="67">
        <f t="shared" ca="1" si="221"/>
        <v>134.52197242504351</v>
      </c>
    </row>
    <row r="374" spans="1:24" x14ac:dyDescent="0.25">
      <c r="A374" s="9" t="s">
        <v>621</v>
      </c>
    </row>
    <row r="375" spans="1:24" x14ac:dyDescent="0.25">
      <c r="A375" s="11" t="s">
        <v>1053</v>
      </c>
      <c r="D375" s="35">
        <f ca="1">SUM(OFFSET(Assumptions!$B$51,0,$C$1),OFFSET(Assumptions!$B$52,0,$C$1))*(D$393-D$359-D$400)-D$397</f>
        <v>23.951360000000001</v>
      </c>
      <c r="E375" s="35">
        <f ca="1">SUM(OFFSET(Assumptions!$B$51,0,$C$1),OFFSET(Assumptions!$B$52,0,$C$1))*(E$393-E$359-E$400)-E$397</f>
        <v>23.024350000000005</v>
      </c>
      <c r="F375" s="35">
        <f ca="1">SUM(OFFSET(Assumptions!$B$51,0,$C$1),OFFSET(Assumptions!$B$52,0,$C$1))*(F$393-F$359-F$400)-F$397</f>
        <v>30.54814</v>
      </c>
      <c r="G375" s="35">
        <f ca="1">SUM(OFFSET(Assumptions!$B$51,0,$C$1),OFFSET(Assumptions!$B$52,0,$C$1))*(G$393-G$359-G$400)-G$397</f>
        <v>31.891739999999995</v>
      </c>
      <c r="H375" s="35">
        <f ca="1">SUM(OFFSET(Assumptions!$B$51,0,$C$1),OFFSET(Assumptions!$B$52,0,$C$1))*(H$393-H$359-H$400)-H$397</f>
        <v>29.878200000000007</v>
      </c>
      <c r="I375" s="35">
        <f ca="1">SUM(OFFSET(Assumptions!$B$51,0,$C$1),OFFSET(Assumptions!$B$52,0,$C$1))*(I$393-I$359-I$400)-I$397</f>
        <v>35.327689999999997</v>
      </c>
      <c r="J375" s="17">
        <f ca="1">SUM(OFFSET(Assumptions!$B$51,0,$C$1),OFFSET(Assumptions!$B$52,0,$C$1))*(J$393-J$359-J$400)-J$397</f>
        <v>42.631630000000001</v>
      </c>
      <c r="K375" s="17">
        <f ca="1">SUM(OFFSET(Assumptions!$B$51,0,$C$1),OFFSET(Assumptions!$B$52,0,$C$1))*(K$393-K$359-K$400)-K$397</f>
        <v>44.30022000000001</v>
      </c>
      <c r="L375" s="17">
        <f ca="1">SUM(OFFSET(Assumptions!$B$51,0,$C$1),OFFSET(Assumptions!$B$52,0,$C$1))*(L$393-L$359-L$400)-L$397</f>
        <v>47.376550000000002</v>
      </c>
      <c r="M375" s="17">
        <f ca="1">SUM(OFFSET(Assumptions!$B$51,0,$C$1),OFFSET(Assumptions!$B$52,0,$C$1))*(M$393-M$359-M$400)-M$397</f>
        <v>48.376830000000005</v>
      </c>
      <c r="N375" s="17">
        <f ca="1">SUM(OFFSET(Assumptions!$B$51,0,$C$1),OFFSET(Assumptions!$B$52,0,$C$1))*(N$393-N$359-N$400)-N$397</f>
        <v>50.054479999999998</v>
      </c>
      <c r="O375" s="16">
        <f ca="1">OFFSET(Assumptions!$B$51,0,$C$1)*(O$393-O$359-O$400)</f>
        <v>55.852891941974619</v>
      </c>
      <c r="P375" s="16">
        <f ca="1">OFFSET(Assumptions!$B$51,0,$C$1)*(P$393-P$359-P$400)</f>
        <v>59.101430599380237</v>
      </c>
      <c r="Q375" s="16">
        <f ca="1">OFFSET(Assumptions!$B$51,0,$C$1)*(Q$393-Q$359-Q$400)</f>
        <v>62.462724880546823</v>
      </c>
      <c r="R375" s="16">
        <f ca="1">OFFSET(Assumptions!$B$51,0,$C$1)*(R$393-R$359-R$400)</f>
        <v>65.91407215563882</v>
      </c>
      <c r="S375" s="16">
        <f ca="1">OFFSET(Assumptions!$B$51,0,$C$1)*(S$393-S$359-S$400)</f>
        <v>69.44437038259386</v>
      </c>
      <c r="T375" s="16">
        <f ca="1">OFFSET(Assumptions!$B$51,0,$C$1)*(T$393-T$359-T$400)</f>
        <v>73.062272553482714</v>
      </c>
      <c r="U375" s="16">
        <f ca="1">OFFSET(Assumptions!$B$51,0,$C$1)*(U$393-U$359-U$400)</f>
        <v>76.747762627394707</v>
      </c>
      <c r="V375" s="16">
        <f ca="1">OFFSET(Assumptions!$B$51,0,$C$1)*(V$393-V$359-V$400)</f>
        <v>80.515381554227773</v>
      </c>
      <c r="W375" s="16">
        <f ca="1">OFFSET(Assumptions!$B$51,0,$C$1)*(W$393-W$359-W$400)</f>
        <v>84.406285911392672</v>
      </c>
      <c r="X375" s="16">
        <f ca="1">OFFSET(Assumptions!$B$51,0,$C$1)*(X$393-X$359-X$400)</f>
        <v>88.466986897614845</v>
      </c>
    </row>
    <row r="376" spans="1:24" x14ac:dyDescent="0.25">
      <c r="A376" s="11" t="s">
        <v>1054</v>
      </c>
      <c r="B376" s="10" t="str">
        <f>$B$38</f>
        <v>From Fiscal Forecasts</v>
      </c>
      <c r="D376" s="35">
        <f ca="1">'Fiscal Forecasts'!D$183-D$375</f>
        <v>2.4436399999999985</v>
      </c>
      <c r="E376" s="35">
        <f ca="1">'Fiscal Forecasts'!E$183-E$375</f>
        <v>-5.164350000000006</v>
      </c>
      <c r="F376" s="35">
        <f ca="1">'Fiscal Forecasts'!F$183-F$375</f>
        <v>-1.9041400000000017</v>
      </c>
      <c r="G376" s="35">
        <f ca="1">'Fiscal Forecasts'!G$183-G$375</f>
        <v>-2.7387399999999964</v>
      </c>
      <c r="H376" s="35">
        <f ca="1">'Fiscal Forecasts'!H$183-H$375</f>
        <v>-0.88020000000000564</v>
      </c>
      <c r="I376" s="35">
        <f ca="1">'Fiscal Forecasts'!I$183-I$375</f>
        <v>2.010310000000004</v>
      </c>
      <c r="J376" s="17">
        <f ca="1">'Fiscal Forecasts'!J$183-J$375</f>
        <v>1.3833699999999993</v>
      </c>
      <c r="K376" s="17">
        <f ca="1">'Fiscal Forecasts'!K$183-K$375</f>
        <v>0.96277999999998798</v>
      </c>
      <c r="L376" s="17">
        <f ca="1">'Fiscal Forecasts'!L$183-L$375</f>
        <v>-0.15955000000000297</v>
      </c>
      <c r="M376" s="17">
        <f ca="1">'Fiscal Forecasts'!M$183-M$375</f>
        <v>0.82116999999999507</v>
      </c>
      <c r="N376" s="17">
        <f ca="1">'Fiscal Forecasts'!N$183-N$375</f>
        <v>1.1585200000000029</v>
      </c>
      <c r="O376" s="16">
        <f t="shared" ref="O376:X376" ca="1" si="222">N$376</f>
        <v>1.1585200000000029</v>
      </c>
      <c r="P376" s="16">
        <f t="shared" ca="1" si="222"/>
        <v>1.1585200000000029</v>
      </c>
      <c r="Q376" s="16">
        <f t="shared" ca="1" si="222"/>
        <v>1.1585200000000029</v>
      </c>
      <c r="R376" s="16">
        <f t="shared" ca="1" si="222"/>
        <v>1.1585200000000029</v>
      </c>
      <c r="S376" s="16">
        <f t="shared" ca="1" si="222"/>
        <v>1.1585200000000029</v>
      </c>
      <c r="T376" s="16">
        <f t="shared" ca="1" si="222"/>
        <v>1.1585200000000029</v>
      </c>
      <c r="U376" s="16">
        <f t="shared" ca="1" si="222"/>
        <v>1.1585200000000029</v>
      </c>
      <c r="V376" s="16">
        <f t="shared" ca="1" si="222"/>
        <v>1.1585200000000029</v>
      </c>
      <c r="W376" s="16">
        <f t="shared" ca="1" si="222"/>
        <v>1.1585200000000029</v>
      </c>
      <c r="X376" s="16">
        <f t="shared" ca="1" si="222"/>
        <v>1.1585200000000029</v>
      </c>
    </row>
    <row r="377" spans="1:24" x14ac:dyDescent="0.25">
      <c r="A377" s="9" t="s">
        <v>1055</v>
      </c>
      <c r="D377" s="65">
        <f t="shared" ref="D377:X377" ca="1" si="223">SUM(D$375:D$376)</f>
        <v>26.395</v>
      </c>
      <c r="E377" s="65">
        <f t="shared" ca="1" si="223"/>
        <v>17.86</v>
      </c>
      <c r="F377" s="65">
        <f t="shared" ca="1" si="223"/>
        <v>28.643999999999998</v>
      </c>
      <c r="G377" s="65">
        <f t="shared" ca="1" si="223"/>
        <v>29.152999999999999</v>
      </c>
      <c r="H377" s="65">
        <f t="shared" ca="1" si="223"/>
        <v>28.998000000000001</v>
      </c>
      <c r="I377" s="65">
        <f t="shared" ca="1" si="223"/>
        <v>37.338000000000001</v>
      </c>
      <c r="J377" s="66">
        <f t="shared" ca="1" si="223"/>
        <v>44.015000000000001</v>
      </c>
      <c r="K377" s="66">
        <f t="shared" ca="1" si="223"/>
        <v>45.262999999999998</v>
      </c>
      <c r="L377" s="66">
        <f t="shared" ca="1" si="223"/>
        <v>47.216999999999999</v>
      </c>
      <c r="M377" s="66">
        <f t="shared" ca="1" si="223"/>
        <v>49.198</v>
      </c>
      <c r="N377" s="66">
        <f t="shared" ca="1" si="223"/>
        <v>51.213000000000001</v>
      </c>
      <c r="O377" s="67">
        <f t="shared" ca="1" si="223"/>
        <v>57.011411941974622</v>
      </c>
      <c r="P377" s="67">
        <f t="shared" ca="1" si="223"/>
        <v>60.25995059938024</v>
      </c>
      <c r="Q377" s="67">
        <f t="shared" ca="1" si="223"/>
        <v>63.621244880546826</v>
      </c>
      <c r="R377" s="67">
        <f t="shared" ca="1" si="223"/>
        <v>67.07259215563883</v>
      </c>
      <c r="S377" s="67">
        <f t="shared" ca="1" si="223"/>
        <v>70.60289038259387</v>
      </c>
      <c r="T377" s="67">
        <f t="shared" ca="1" si="223"/>
        <v>74.22079255348271</v>
      </c>
      <c r="U377" s="67">
        <f t="shared" ca="1" si="223"/>
        <v>77.906282627394717</v>
      </c>
      <c r="V377" s="67">
        <f t="shared" ca="1" si="223"/>
        <v>81.673901554227768</v>
      </c>
      <c r="W377" s="67">
        <f t="shared" ca="1" si="223"/>
        <v>85.564805911392682</v>
      </c>
      <c r="X377" s="67">
        <f t="shared" ca="1" si="223"/>
        <v>89.625506897614855</v>
      </c>
    </row>
    <row r="378" spans="1:24" x14ac:dyDescent="0.25">
      <c r="A378" s="11" t="s">
        <v>707</v>
      </c>
      <c r="B378" s="10" t="str">
        <f>$B$38</f>
        <v>From Fiscal Forecasts</v>
      </c>
      <c r="D378" s="35">
        <f>'Fiscal Forecasts'!D$216</f>
        <v>14.254</v>
      </c>
      <c r="E378" s="35">
        <f>'Fiscal Forecasts'!E$216</f>
        <v>17.135000000000002</v>
      </c>
      <c r="F378" s="35">
        <f>'Fiscal Forecasts'!F$216</f>
        <v>21.521999999999998</v>
      </c>
      <c r="G378" s="35">
        <f>'Fiscal Forecasts'!G$216</f>
        <v>18.613</v>
      </c>
      <c r="H378" s="35">
        <f>'Fiscal Forecasts'!H$216</f>
        <v>19.635000000000002</v>
      </c>
      <c r="I378" s="35">
        <f>'Fiscal Forecasts'!I$216</f>
        <v>16.818999999999999</v>
      </c>
      <c r="J378" s="17">
        <f>'Fiscal Forecasts'!J$216</f>
        <v>16.510000000000002</v>
      </c>
      <c r="K378" s="17">
        <f>'Fiscal Forecasts'!K$216</f>
        <v>16.564</v>
      </c>
      <c r="L378" s="17">
        <f>'Fiscal Forecasts'!L$216</f>
        <v>16.648</v>
      </c>
      <c r="M378" s="17">
        <f>'Fiscal Forecasts'!M$216</f>
        <v>16.707999999999998</v>
      </c>
      <c r="N378" s="17">
        <f>'Fiscal Forecasts'!N$216</f>
        <v>16.702999999999999</v>
      </c>
      <c r="O378" s="16">
        <f ca="1">N$378*AVERAGE(Exogenous!Z$30/Exogenous!Y$30,1+O$29)</f>
        <v>17.11000188722382</v>
      </c>
      <c r="P378" s="16">
        <f ca="1">O$378*AVERAGE(Exogenous!AA$30/Exogenous!Z$30,1+P$29)</f>
        <v>17.575069646671626</v>
      </c>
      <c r="Q378" s="16">
        <f ca="1">P$378*AVERAGE(Exogenous!AB$30/Exogenous!AA$30,1+Q$29)</f>
        <v>18.111720498260318</v>
      </c>
      <c r="R378" s="16">
        <f ca="1">Q$378*AVERAGE(Exogenous!AC$30/Exogenous!AB$30,1+R$29)</f>
        <v>18.725979665392295</v>
      </c>
      <c r="S378" s="16">
        <f ca="1">R$378*AVERAGE(Exogenous!AD$30/Exogenous!AC$30,1+S$29)</f>
        <v>19.425740029003649</v>
      </c>
      <c r="T378" s="16">
        <f ca="1">S$378*AVERAGE(Exogenous!AE$30/Exogenous!AD$30,1+T$29)</f>
        <v>20.22188365890441</v>
      </c>
      <c r="U378" s="16">
        <f ca="1">T$378*AVERAGE(Exogenous!AF$30/Exogenous!AE$30,1+U$29)</f>
        <v>21.123561363672884</v>
      </c>
      <c r="V378" s="16">
        <f ca="1">U$378*AVERAGE(Exogenous!AG$30/Exogenous!AF$30,1+V$29)</f>
        <v>22.089926716536514</v>
      </c>
      <c r="W378" s="16">
        <f ca="1">V$378*AVERAGE(Exogenous!AH$30/Exogenous!AG$30,1+W$29)</f>
        <v>23.079296710643789</v>
      </c>
      <c r="X378" s="16">
        <f ca="1">W$378*AVERAGE(Exogenous!AI$30/Exogenous!AH$30,1+X$29)</f>
        <v>24.082834679390057</v>
      </c>
    </row>
    <row r="379" spans="1:24" x14ac:dyDescent="0.25">
      <c r="A379" s="11" t="s">
        <v>904</v>
      </c>
      <c r="B379" s="10" t="str">
        <f t="shared" ref="B379:B380" si="224">$B$38</f>
        <v>From Fiscal Forecasts</v>
      </c>
      <c r="D379" s="35">
        <f>'Fiscal Forecasts'!D$217</f>
        <v>0.27900000000000003</v>
      </c>
      <c r="E379" s="35">
        <f>'Fiscal Forecasts'!E$217</f>
        <v>3.7999999999999999E-2</v>
      </c>
      <c r="F379" s="35">
        <f>'Fiscal Forecasts'!F$217</f>
        <v>3.7999999999999999E-2</v>
      </c>
      <c r="G379" s="35">
        <f>'Fiscal Forecasts'!G$217</f>
        <v>3.4000000000000002E-2</v>
      </c>
      <c r="H379" s="35">
        <f>'Fiscal Forecasts'!H$217</f>
        <v>3.5999999999999997E-2</v>
      </c>
      <c r="I379" s="35">
        <f>'Fiscal Forecasts'!I$217</f>
        <v>3.2000000000000001E-2</v>
      </c>
      <c r="J379" s="17">
        <f>'Fiscal Forecasts'!J$217</f>
        <v>3.2000000000000001E-2</v>
      </c>
      <c r="K379" s="17">
        <f>'Fiscal Forecasts'!K$217</f>
        <v>2.1999999999999999E-2</v>
      </c>
      <c r="L379" s="17">
        <f>'Fiscal Forecasts'!L$217</f>
        <v>2.3E-2</v>
      </c>
      <c r="M379" s="17">
        <f>'Fiscal Forecasts'!M$217</f>
        <v>2.3E-2</v>
      </c>
      <c r="N379" s="17">
        <f>'Fiscal Forecasts'!N$217</f>
        <v>2.3E-2</v>
      </c>
      <c r="O379" s="16">
        <f t="shared" ref="O379:X379" si="225">N$379</f>
        <v>2.3E-2</v>
      </c>
      <c r="P379" s="16">
        <f t="shared" si="225"/>
        <v>2.3E-2</v>
      </c>
      <c r="Q379" s="16">
        <f t="shared" si="225"/>
        <v>2.3E-2</v>
      </c>
      <c r="R379" s="16">
        <f t="shared" si="225"/>
        <v>2.3E-2</v>
      </c>
      <c r="S379" s="16">
        <f t="shared" si="225"/>
        <v>2.3E-2</v>
      </c>
      <c r="T379" s="16">
        <f t="shared" si="225"/>
        <v>2.3E-2</v>
      </c>
      <c r="U379" s="16">
        <f t="shared" si="225"/>
        <v>2.3E-2</v>
      </c>
      <c r="V379" s="16">
        <f t="shared" si="225"/>
        <v>2.3E-2</v>
      </c>
      <c r="W379" s="16">
        <f t="shared" si="225"/>
        <v>2.3E-2</v>
      </c>
      <c r="X379" s="16">
        <f t="shared" si="225"/>
        <v>2.3E-2</v>
      </c>
    </row>
    <row r="380" spans="1:24" x14ac:dyDescent="0.25">
      <c r="A380" s="11" t="s">
        <v>866</v>
      </c>
      <c r="B380" s="10" t="str">
        <f t="shared" si="224"/>
        <v>From Fiscal Forecasts</v>
      </c>
      <c r="D380" s="35">
        <f ca="1">'Fiscal Forecasts'!D$123-SUM(D$377:D$379)</f>
        <v>-1.3760000000000048</v>
      </c>
      <c r="E380" s="35">
        <f ca="1">'Fiscal Forecasts'!E$123-SUM(E$377:E$379)</f>
        <v>-1.2420000000000044</v>
      </c>
      <c r="F380" s="35">
        <f ca="1">'Fiscal Forecasts'!F$123-SUM(F$377:F$379)</f>
        <v>-1.664999999999992</v>
      </c>
      <c r="G380" s="35">
        <f ca="1">'Fiscal Forecasts'!G$123-SUM(G$377:G$379)</f>
        <v>-1.5389999999999944</v>
      </c>
      <c r="H380" s="35">
        <f ca="1">'Fiscal Forecasts'!H$123-SUM(H$377:H$379)</f>
        <v>-0.62300000000000466</v>
      </c>
      <c r="I380" s="35">
        <f ca="1">'Fiscal Forecasts'!I$123-SUM(I$377:I$379)</f>
        <v>-0.69399999999999551</v>
      </c>
      <c r="J380" s="17">
        <f ca="1">'Fiscal Forecasts'!J$123-SUM(J$377:J$379)</f>
        <v>-0.67500000000000426</v>
      </c>
      <c r="K380" s="17">
        <f ca="1">'Fiscal Forecasts'!K$123-SUM(K$377:K$379)</f>
        <v>-0.68599999999999994</v>
      </c>
      <c r="L380" s="17">
        <f ca="1">'Fiscal Forecasts'!L$123-SUM(L$377:L$379)</f>
        <v>-0.70199999999999818</v>
      </c>
      <c r="M380" s="17">
        <f ca="1">'Fiscal Forecasts'!M$123-SUM(M$377:M$379)</f>
        <v>-0.72100000000000364</v>
      </c>
      <c r="N380" s="17">
        <f ca="1">'Fiscal Forecasts'!N$123-SUM(N$377:N$379)</f>
        <v>-0.74699999999999989</v>
      </c>
      <c r="O380" s="16">
        <f t="shared" ref="O380:X380" ca="1" si="226">N$380*AVERAGE(O$377/N$377,O$378/N$378)</f>
        <v>-0.79838929682699777</v>
      </c>
      <c r="P380" s="16">
        <f t="shared" ca="1" si="226"/>
        <v>-0.83198613514568998</v>
      </c>
      <c r="Q380" s="16">
        <f t="shared" ca="1" si="226"/>
        <v>-0.86789244467487292</v>
      </c>
      <c r="R380" s="16">
        <f t="shared" ca="1" si="226"/>
        <v>-0.90615059940228104</v>
      </c>
      <c r="S380" s="16">
        <f t="shared" ca="1" si="226"/>
        <v>-0.94692847103303912</v>
      </c>
      <c r="T380" s="16">
        <f t="shared" ca="1" si="226"/>
        <v>-0.99059462348465999</v>
      </c>
      <c r="U380" s="16">
        <f t="shared" ca="1" si="226"/>
        <v>-1.0372739024343125</v>
      </c>
      <c r="V380" s="16">
        <f t="shared" ca="1" si="226"/>
        <v>-1.0860823765602119</v>
      </c>
      <c r="W380" s="16">
        <f t="shared" ca="1" si="226"/>
        <v>-1.1362744757333609</v>
      </c>
      <c r="X380" s="16">
        <f t="shared" ca="1" si="226"/>
        <v>-1.1879407514277145</v>
      </c>
    </row>
    <row r="381" spans="1:24" x14ac:dyDescent="0.25">
      <c r="A381" s="9" t="s">
        <v>1056</v>
      </c>
      <c r="D381" s="65">
        <f t="shared" ref="D381:X381" ca="1" si="227">SUM(D$377:D$380)</f>
        <v>39.552</v>
      </c>
      <c r="E381" s="65">
        <f t="shared" ca="1" si="227"/>
        <v>33.790999999999997</v>
      </c>
      <c r="F381" s="65">
        <f t="shared" ca="1" si="227"/>
        <v>48.539000000000001</v>
      </c>
      <c r="G381" s="65">
        <f t="shared" ca="1" si="227"/>
        <v>46.261000000000003</v>
      </c>
      <c r="H381" s="65">
        <f t="shared" ca="1" si="227"/>
        <v>48.045999999999999</v>
      </c>
      <c r="I381" s="65">
        <f t="shared" ca="1" si="227"/>
        <v>53.494999999999997</v>
      </c>
      <c r="J381" s="66">
        <f t="shared" ca="1" si="227"/>
        <v>59.881999999999998</v>
      </c>
      <c r="K381" s="66">
        <f t="shared" ca="1" si="227"/>
        <v>61.162999999999997</v>
      </c>
      <c r="L381" s="66">
        <f t="shared" ca="1" si="227"/>
        <v>63.186</v>
      </c>
      <c r="M381" s="66">
        <f t="shared" ca="1" si="227"/>
        <v>65.207999999999998</v>
      </c>
      <c r="N381" s="66">
        <f t="shared" ca="1" si="227"/>
        <v>67.191999999999993</v>
      </c>
      <c r="O381" s="67">
        <f t="shared" ca="1" si="227"/>
        <v>73.346024532371445</v>
      </c>
      <c r="P381" s="67">
        <f t="shared" ca="1" si="227"/>
        <v>77.026034110906181</v>
      </c>
      <c r="Q381" s="67">
        <f t="shared" ca="1" si="227"/>
        <v>80.888072934132254</v>
      </c>
      <c r="R381" s="67">
        <f t="shared" ca="1" si="227"/>
        <v>84.915421221628833</v>
      </c>
      <c r="S381" s="67">
        <f t="shared" ca="1" si="227"/>
        <v>89.104701940564482</v>
      </c>
      <c r="T381" s="67">
        <f t="shared" ca="1" si="227"/>
        <v>93.475081588902455</v>
      </c>
      <c r="U381" s="67">
        <f t="shared" ca="1" si="227"/>
        <v>98.015570088633282</v>
      </c>
      <c r="V381" s="67">
        <f t="shared" ca="1" si="227"/>
        <v>102.70074589420406</v>
      </c>
      <c r="W381" s="67">
        <f t="shared" ca="1" si="227"/>
        <v>107.53082814630311</v>
      </c>
      <c r="X381" s="67">
        <f t="shared" ca="1" si="227"/>
        <v>112.54340082557719</v>
      </c>
    </row>
    <row r="383" spans="1:24" x14ac:dyDescent="0.25">
      <c r="A383" s="9" t="s">
        <v>777</v>
      </c>
    </row>
    <row r="384" spans="1:24" x14ac:dyDescent="0.25">
      <c r="A384" s="11" t="s">
        <v>778</v>
      </c>
      <c r="B384" s="10" t="str">
        <f>$B$38</f>
        <v>From Fiscal Forecasts</v>
      </c>
      <c r="D384" s="35">
        <f>'Fiscal Forecasts'!D$358</f>
        <v>0.98199999999999998</v>
      </c>
      <c r="E384" s="35">
        <f>'Fiscal Forecasts'!E$358</f>
        <v>0.80300000000000005</v>
      </c>
      <c r="F384" s="35">
        <f>'Fiscal Forecasts'!F$358</f>
        <v>0.74199999999999999</v>
      </c>
      <c r="G384" s="35">
        <f>'Fiscal Forecasts'!G$358</f>
        <v>1.077</v>
      </c>
      <c r="H384" s="35">
        <f>'Fiscal Forecasts'!H$358</f>
        <v>1.32</v>
      </c>
      <c r="I384" s="35">
        <f>'Fiscal Forecasts'!I$358</f>
        <v>1.659</v>
      </c>
      <c r="J384" s="17">
        <f>'Fiscal Forecasts'!J$358</f>
        <v>1.7050000000000001</v>
      </c>
      <c r="K384" s="17">
        <f>'Fiscal Forecasts'!K$358</f>
        <v>1.7729999999999999</v>
      </c>
      <c r="L384" s="17">
        <f>'Fiscal Forecasts'!L$358</f>
        <v>1.869</v>
      </c>
      <c r="M384" s="17">
        <f>'Fiscal Forecasts'!M$358</f>
        <v>1.9930000000000001</v>
      </c>
      <c r="N384" s="17">
        <f>'Fiscal Forecasts'!N$358</f>
        <v>2.1160000000000001</v>
      </c>
      <c r="O384" s="16">
        <f>Exogenous!Z$7</f>
        <v>2.2436275511311652</v>
      </c>
      <c r="P384" s="16">
        <f>Exogenous!AA$7</f>
        <v>2.3771937241437446</v>
      </c>
      <c r="Q384" s="16">
        <f>Exogenous!AB$7</f>
        <v>2.5157820051435547</v>
      </c>
      <c r="R384" s="16">
        <f>Exogenous!AC$7</f>
        <v>2.6586735928595782</v>
      </c>
      <c r="S384" s="16">
        <f>Exogenous!AD$7</f>
        <v>2.8051359573915953</v>
      </c>
      <c r="T384" s="16">
        <f>Exogenous!AE$7</f>
        <v>2.9550791422774938</v>
      </c>
      <c r="U384" s="16">
        <f>Exogenous!AF$7</f>
        <v>3.1083204302525171</v>
      </c>
      <c r="V384" s="16">
        <f>Exogenous!AG$7</f>
        <v>3.2646774508055842</v>
      </c>
      <c r="W384" s="16">
        <f>Exogenous!AH$7</f>
        <v>3.4252679610365075</v>
      </c>
      <c r="X384" s="16">
        <f>Exogenous!AI$7</f>
        <v>3.5919225641078021</v>
      </c>
    </row>
    <row r="385" spans="1:24" x14ac:dyDescent="0.25">
      <c r="A385" s="11" t="s">
        <v>872</v>
      </c>
      <c r="B385" s="10" t="str">
        <f t="shared" ref="B385:B390" si="228">$B$38</f>
        <v>From Fiscal Forecasts</v>
      </c>
      <c r="D385" s="35">
        <f>'Fiscal Forecasts'!D$359</f>
        <v>0.504</v>
      </c>
      <c r="E385" s="35">
        <f>'Fiscal Forecasts'!E$359</f>
        <v>0.44800000000000001</v>
      </c>
      <c r="F385" s="35">
        <f>'Fiscal Forecasts'!F$359</f>
        <v>2.1560000000000001</v>
      </c>
      <c r="G385" s="35">
        <f>'Fiscal Forecasts'!G$359</f>
        <v>3.5000000000000003E-2</v>
      </c>
      <c r="H385" s="35">
        <f>'Fiscal Forecasts'!H$359</f>
        <v>0.127</v>
      </c>
      <c r="I385" s="35">
        <f>'Fiscal Forecasts'!I$359</f>
        <v>1.29</v>
      </c>
      <c r="J385" s="17">
        <f>'Fiscal Forecasts'!J$359</f>
        <v>1.389</v>
      </c>
      <c r="K385" s="17">
        <f>'Fiscal Forecasts'!K$359</f>
        <v>1.518</v>
      </c>
      <c r="L385" s="17">
        <f>'Fiscal Forecasts'!L$359</f>
        <v>1.6120000000000001</v>
      </c>
      <c r="M385" s="17">
        <f>'Fiscal Forecasts'!M$359</f>
        <v>1.7110000000000001</v>
      </c>
      <c r="N385" s="17">
        <f>'Fiscal Forecasts'!N$359</f>
        <v>1.8169999999999999</v>
      </c>
      <c r="O385" s="16">
        <f>Exogenous!Z$8</f>
        <v>1.9439372284168936</v>
      </c>
      <c r="P385" s="16">
        <f>Exogenous!AA$8</f>
        <v>2.0596624324711144</v>
      </c>
      <c r="Q385" s="16">
        <f>Exogenous!AB$8</f>
        <v>2.1797389214240179</v>
      </c>
      <c r="R385" s="16">
        <f>Exogenous!AC$8</f>
        <v>2.3035439071707531</v>
      </c>
      <c r="S385" s="16">
        <f>Exogenous!AD$8</f>
        <v>2.4304427067652807</v>
      </c>
      <c r="T385" s="16">
        <f>Exogenous!AE$8</f>
        <v>2.5603573795906081</v>
      </c>
      <c r="U385" s="16">
        <f>Exogenous!AF$8</f>
        <v>2.6931296146592203</v>
      </c>
      <c r="V385" s="16">
        <f>Exogenous!AG$8</f>
        <v>2.8286014014200003</v>
      </c>
      <c r="W385" s="16">
        <f>Exogenous!AH$8</f>
        <v>2.9677411936778402</v>
      </c>
      <c r="X385" s="16">
        <f>Exogenous!AI$8</f>
        <v>3.1121350735952071</v>
      </c>
    </row>
    <row r="386" spans="1:24" x14ac:dyDescent="0.25">
      <c r="A386" s="11" t="s">
        <v>873</v>
      </c>
      <c r="B386" s="10" t="str">
        <f t="shared" si="228"/>
        <v>From Fiscal Forecasts</v>
      </c>
      <c r="D386" s="35">
        <f>'Fiscal Forecasts'!D$360</f>
        <v>0.13</v>
      </c>
      <c r="E386" s="35">
        <f>'Fiscal Forecasts'!E$360</f>
        <v>0.15</v>
      </c>
      <c r="F386" s="35">
        <f>'Fiscal Forecasts'!F$360</f>
        <v>0.125</v>
      </c>
      <c r="G386" s="35">
        <f>'Fiscal Forecasts'!G$360</f>
        <v>-0.51700000000000002</v>
      </c>
      <c r="H386" s="35">
        <f>'Fiscal Forecasts'!H$360</f>
        <v>1.054</v>
      </c>
      <c r="I386" s="35">
        <f>'Fiscal Forecasts'!I$360</f>
        <v>0.189</v>
      </c>
      <c r="J386" s="17">
        <f>'Fiscal Forecasts'!J$360</f>
        <v>0.253</v>
      </c>
      <c r="K386" s="17">
        <f>'Fiscal Forecasts'!K$360</f>
        <v>0.314</v>
      </c>
      <c r="L386" s="17">
        <f>'Fiscal Forecasts'!L$360</f>
        <v>0.33600000000000002</v>
      </c>
      <c r="M386" s="17">
        <f>'Fiscal Forecasts'!M$360</f>
        <v>0.36</v>
      </c>
      <c r="N386" s="17">
        <f>'Fiscal Forecasts'!N$360</f>
        <v>0.38700000000000001</v>
      </c>
      <c r="O386" s="16">
        <f>Exogenous!Z$9</f>
        <v>0.40498692258685287</v>
      </c>
      <c r="P386" s="16">
        <f>Exogenous!AA$9</f>
        <v>0.4290963400981489</v>
      </c>
      <c r="Q386" s="16">
        <f>Exogenous!AB$9</f>
        <v>0.45411227529667048</v>
      </c>
      <c r="R386" s="16">
        <f>Exogenous!AC$9</f>
        <v>0.47990498066057363</v>
      </c>
      <c r="S386" s="16">
        <f>Exogenous!AD$9</f>
        <v>0.50634223057610017</v>
      </c>
      <c r="T386" s="16">
        <f>Exogenous!AE$9</f>
        <v>0.53340778741471007</v>
      </c>
      <c r="U386" s="16">
        <f>Exogenous!AF$9</f>
        <v>0.56106866972067093</v>
      </c>
      <c r="V386" s="16">
        <f>Exogenous!AG$9</f>
        <v>0.58929195862916683</v>
      </c>
      <c r="W386" s="16">
        <f>Exogenous!AH$9</f>
        <v>0.61827941534955011</v>
      </c>
      <c r="X386" s="16">
        <f>Exogenous!AI$9</f>
        <v>0.64836147366566821</v>
      </c>
    </row>
    <row r="387" spans="1:24" x14ac:dyDescent="0.25">
      <c r="A387" s="11" t="s">
        <v>868</v>
      </c>
      <c r="B387" s="10" t="str">
        <f t="shared" si="228"/>
        <v>From Fiscal Forecasts</v>
      </c>
      <c r="D387" s="35">
        <f>'Fiscal Forecasts'!D$361</f>
        <v>1.9550000000000001</v>
      </c>
      <c r="E387" s="35">
        <f>'Fiscal Forecasts'!E$361</f>
        <v>1.7000000000000001E-2</v>
      </c>
      <c r="F387" s="35">
        <f>'Fiscal Forecasts'!F$361</f>
        <v>12.786</v>
      </c>
      <c r="G387" s="35">
        <f>'Fiscal Forecasts'!G$361</f>
        <v>-5.133</v>
      </c>
      <c r="H387" s="35">
        <f>'Fiscal Forecasts'!H$361</f>
        <v>5.766</v>
      </c>
      <c r="I387" s="35">
        <f>'Fiscal Forecasts'!I$361</f>
        <v>8.3520000000000003</v>
      </c>
      <c r="J387" s="17">
        <f>'Fiscal Forecasts'!J$361</f>
        <v>6.6360000000000001</v>
      </c>
      <c r="K387" s="17">
        <f>'Fiscal Forecasts'!K$361</f>
        <v>4.9329999999999998</v>
      </c>
      <c r="L387" s="17">
        <f>'Fiscal Forecasts'!L$361</f>
        <v>5.2549999999999999</v>
      </c>
      <c r="M387" s="17">
        <f>'Fiscal Forecasts'!M$361</f>
        <v>5.57</v>
      </c>
      <c r="N387" s="17">
        <f>'Fiscal Forecasts'!N$361</f>
        <v>5.9210000000000003</v>
      </c>
      <c r="O387" s="16">
        <f>Exogenous!Z$10</f>
        <v>6.2610978231927454</v>
      </c>
      <c r="P387" s="16">
        <f>Exogenous!AA$10</f>
        <v>6.6338294179173811</v>
      </c>
      <c r="Q387" s="16">
        <f>Exogenous!AB$10</f>
        <v>7.0205757760865257</v>
      </c>
      <c r="R387" s="16">
        <f>Exogenous!AC$10</f>
        <v>7.419331001012468</v>
      </c>
      <c r="S387" s="16">
        <f>Exogenous!AD$10</f>
        <v>7.8280508847065082</v>
      </c>
      <c r="T387" s="16">
        <f>Exogenous!AE$10</f>
        <v>8.2464843934314178</v>
      </c>
      <c r="U387" s="16">
        <f>Exogenous!AF$10</f>
        <v>8.6741216338815725</v>
      </c>
      <c r="V387" s="16">
        <f>Exogenous!AG$10</f>
        <v>9.1104536804069181</v>
      </c>
      <c r="W387" s="16">
        <f>Exogenous!AH$10</f>
        <v>9.558599761304043</v>
      </c>
      <c r="X387" s="16">
        <f>Exogenous!AI$10</f>
        <v>10.023668382871231</v>
      </c>
    </row>
    <row r="388" spans="1:24" x14ac:dyDescent="0.25">
      <c r="A388" s="9" t="s">
        <v>874</v>
      </c>
      <c r="D388" s="65">
        <f t="shared" ref="D388:X388" si="229">D$384-D$385-D$386+D$387</f>
        <v>2.3029999999999999</v>
      </c>
      <c r="E388" s="65">
        <f t="shared" si="229"/>
        <v>0.22200000000000003</v>
      </c>
      <c r="F388" s="65">
        <f t="shared" si="229"/>
        <v>11.247</v>
      </c>
      <c r="G388" s="65">
        <f t="shared" si="229"/>
        <v>-3.5739999999999998</v>
      </c>
      <c r="H388" s="65">
        <f t="shared" si="229"/>
        <v>5.9050000000000002</v>
      </c>
      <c r="I388" s="65">
        <f t="shared" si="229"/>
        <v>8.532</v>
      </c>
      <c r="J388" s="66">
        <f t="shared" si="229"/>
        <v>6.6989999999999998</v>
      </c>
      <c r="K388" s="66">
        <f t="shared" si="229"/>
        <v>4.8739999999999997</v>
      </c>
      <c r="L388" s="66">
        <f t="shared" si="229"/>
        <v>5.1760000000000002</v>
      </c>
      <c r="M388" s="66">
        <f t="shared" si="229"/>
        <v>5.492</v>
      </c>
      <c r="N388" s="66">
        <f t="shared" si="229"/>
        <v>5.8330000000000002</v>
      </c>
      <c r="O388" s="67">
        <f t="shared" si="229"/>
        <v>6.1558012233201644</v>
      </c>
      <c r="P388" s="67">
        <f t="shared" si="229"/>
        <v>6.5222643694918627</v>
      </c>
      <c r="Q388" s="67">
        <f t="shared" si="229"/>
        <v>6.9025065845093918</v>
      </c>
      <c r="R388" s="67">
        <f t="shared" si="229"/>
        <v>7.2945557060407191</v>
      </c>
      <c r="S388" s="67">
        <f t="shared" si="229"/>
        <v>7.6964019047567227</v>
      </c>
      <c r="T388" s="67">
        <f t="shared" si="229"/>
        <v>8.1077983687035928</v>
      </c>
      <c r="U388" s="67">
        <f t="shared" si="229"/>
        <v>8.5282437797541988</v>
      </c>
      <c r="V388" s="67">
        <f t="shared" si="229"/>
        <v>8.9572377711633351</v>
      </c>
      <c r="W388" s="67">
        <f t="shared" si="229"/>
        <v>9.3978471133131602</v>
      </c>
      <c r="X388" s="67">
        <f t="shared" si="229"/>
        <v>9.8550943997181566</v>
      </c>
    </row>
    <row r="389" spans="1:24" x14ac:dyDescent="0.25">
      <c r="A389" s="11" t="s">
        <v>869</v>
      </c>
      <c r="B389" s="10" t="str">
        <f t="shared" si="228"/>
        <v>From Fiscal Forecasts</v>
      </c>
      <c r="D389" s="35">
        <f>'Fiscal Forecasts'!D$362</f>
        <v>1</v>
      </c>
      <c r="E389" s="35">
        <f>'Fiscal Forecasts'!E$362</f>
        <v>1.46</v>
      </c>
      <c r="F389" s="35">
        <f>'Fiscal Forecasts'!F$362</f>
        <v>2.12</v>
      </c>
      <c r="G389" s="35">
        <f>'Fiscal Forecasts'!G$362</f>
        <v>2.42</v>
      </c>
      <c r="H389" s="35">
        <f>'Fiscal Forecasts'!H$362</f>
        <v>2.5579999999999998</v>
      </c>
      <c r="I389" s="35">
        <f>'Fiscal Forecasts'!I$362</f>
        <v>1.6140000000000001</v>
      </c>
      <c r="J389" s="17">
        <f>'Fiscal Forecasts'!J$362</f>
        <v>0.879</v>
      </c>
      <c r="K389" s="17">
        <f>'Fiscal Forecasts'!K$362</f>
        <v>0</v>
      </c>
      <c r="L389" s="17">
        <f>'Fiscal Forecasts'!L$362</f>
        <v>4.0000000000000001E-3</v>
      </c>
      <c r="M389" s="17">
        <f>'Fiscal Forecasts'!M$362</f>
        <v>-3.2000000000000001E-2</v>
      </c>
      <c r="N389" s="17">
        <f>'Fiscal Forecasts'!N$362</f>
        <v>6.3E-2</v>
      </c>
      <c r="O389" s="16">
        <f>Exogenous!Z$11</f>
        <v>7.8931226568819568E-2</v>
      </c>
      <c r="P389" s="16">
        <f>Exogenous!AA$11</f>
        <v>-3.7546449235872359E-2</v>
      </c>
      <c r="Q389" s="16">
        <f>Exogenous!AB$11</f>
        <v>-0.19270640692964491</v>
      </c>
      <c r="R389" s="16">
        <f>Exogenous!AC$11</f>
        <v>-0.40499215635222185</v>
      </c>
      <c r="S389" s="16">
        <f>Exogenous!AD$11</f>
        <v>-0.64923682824001006</v>
      </c>
      <c r="T389" s="16">
        <f>Exogenous!AE$11</f>
        <v>-0.88575870240245536</v>
      </c>
      <c r="U389" s="16">
        <f>Exogenous!AF$11</f>
        <v>-1.1712854524337715</v>
      </c>
      <c r="V389" s="16">
        <f>Exogenous!AG$11</f>
        <v>-1.4363342055452506</v>
      </c>
      <c r="W389" s="16">
        <f>Exogenous!AH$11</f>
        <v>-1.6308417389458754</v>
      </c>
      <c r="X389" s="16">
        <f>Exogenous!AI$11</f>
        <v>-1.7491417757201475</v>
      </c>
    </row>
    <row r="390" spans="1:24" x14ac:dyDescent="0.25">
      <c r="A390" s="11" t="s">
        <v>468</v>
      </c>
      <c r="B390" s="10" t="str">
        <f t="shared" si="228"/>
        <v>From Fiscal Forecasts</v>
      </c>
      <c r="D390" s="35">
        <f>'Fiscal Forecasts'!D$363</f>
        <v>8.8999999999999996E-2</v>
      </c>
      <c r="E390" s="35">
        <f>'Fiscal Forecasts'!E$363</f>
        <v>-0.13</v>
      </c>
      <c r="F390" s="35">
        <f>'Fiscal Forecasts'!F$363</f>
        <v>1E-3</v>
      </c>
      <c r="G390" s="35">
        <f>'Fiscal Forecasts'!G$363</f>
        <v>-1E-3</v>
      </c>
      <c r="H390" s="35">
        <f>'Fiscal Forecasts'!H$363</f>
        <v>0</v>
      </c>
      <c r="I390" s="35">
        <f>'Fiscal Forecasts'!I$363</f>
        <v>0</v>
      </c>
      <c r="J390" s="17">
        <f>'Fiscal Forecasts'!J$363</f>
        <v>0</v>
      </c>
      <c r="K390" s="17">
        <f>'Fiscal Forecasts'!K$363</f>
        <v>0</v>
      </c>
      <c r="L390" s="17">
        <f>'Fiscal Forecasts'!L$363</f>
        <v>0</v>
      </c>
      <c r="M390" s="17">
        <f>'Fiscal Forecasts'!M$363</f>
        <v>0</v>
      </c>
      <c r="N390" s="17">
        <f>'Fiscal Forecasts'!N$363</f>
        <v>0</v>
      </c>
      <c r="O390" s="16">
        <f>Exogenous!Z$12</f>
        <v>0</v>
      </c>
      <c r="P390" s="16">
        <f>Exogenous!AA$12</f>
        <v>0</v>
      </c>
      <c r="Q390" s="16">
        <f>Exogenous!AB$12</f>
        <v>0</v>
      </c>
      <c r="R390" s="16">
        <f>Exogenous!AC$12</f>
        <v>0</v>
      </c>
      <c r="S390" s="16">
        <f>Exogenous!AD$12</f>
        <v>0</v>
      </c>
      <c r="T390" s="16">
        <f>Exogenous!AE$12</f>
        <v>0</v>
      </c>
      <c r="U390" s="16">
        <f>Exogenous!AF$12</f>
        <v>0</v>
      </c>
      <c r="V390" s="16">
        <f>Exogenous!AG$12</f>
        <v>0</v>
      </c>
      <c r="W390" s="16">
        <f>Exogenous!AH$12</f>
        <v>0</v>
      </c>
      <c r="X390" s="16">
        <f>Exogenous!AI$12</f>
        <v>0</v>
      </c>
    </row>
    <row r="391" spans="1:24" x14ac:dyDescent="0.25">
      <c r="A391" s="9" t="s">
        <v>783</v>
      </c>
      <c r="C391" s="76">
        <f>'Fiscal Forecasts'!$C$364</f>
        <v>39.052999999999997</v>
      </c>
      <c r="D391" s="65">
        <f t="shared" ref="D391:X391" si="230">SUM(C$391,D$388,D$389,D$390)</f>
        <v>42.444999999999993</v>
      </c>
      <c r="E391" s="65">
        <f t="shared" si="230"/>
        <v>43.996999999999993</v>
      </c>
      <c r="F391" s="65">
        <f t="shared" si="230"/>
        <v>57.364999999999988</v>
      </c>
      <c r="G391" s="65">
        <f t="shared" si="230"/>
        <v>56.209999999999994</v>
      </c>
      <c r="H391" s="65">
        <f t="shared" si="230"/>
        <v>64.673000000000002</v>
      </c>
      <c r="I391" s="65">
        <f t="shared" si="230"/>
        <v>74.819000000000003</v>
      </c>
      <c r="J391" s="66">
        <f t="shared" si="230"/>
        <v>82.397000000000006</v>
      </c>
      <c r="K391" s="66">
        <f t="shared" si="230"/>
        <v>87.271000000000001</v>
      </c>
      <c r="L391" s="66">
        <f t="shared" si="230"/>
        <v>92.451000000000008</v>
      </c>
      <c r="M391" s="66">
        <f t="shared" si="230"/>
        <v>97.911000000000016</v>
      </c>
      <c r="N391" s="66">
        <f t="shared" si="230"/>
        <v>103.80700000000002</v>
      </c>
      <c r="O391" s="67">
        <f t="shared" si="230"/>
        <v>110.041732449889</v>
      </c>
      <c r="P391" s="67">
        <f t="shared" si="230"/>
        <v>116.52645037014499</v>
      </c>
      <c r="Q391" s="67">
        <f t="shared" si="230"/>
        <v>123.23625054772474</v>
      </c>
      <c r="R391" s="67">
        <f t="shared" si="230"/>
        <v>130.12581409741324</v>
      </c>
      <c r="S391" s="67">
        <f t="shared" si="230"/>
        <v>137.17297917392995</v>
      </c>
      <c r="T391" s="67">
        <f t="shared" si="230"/>
        <v>144.39501884023107</v>
      </c>
      <c r="U391" s="67">
        <f t="shared" si="230"/>
        <v>151.7519771675515</v>
      </c>
      <c r="V391" s="67">
        <f t="shared" si="230"/>
        <v>159.27288073316959</v>
      </c>
      <c r="W391" s="67">
        <f t="shared" si="230"/>
        <v>167.03988610753686</v>
      </c>
      <c r="X391" s="67">
        <f t="shared" si="230"/>
        <v>175.14583873153487</v>
      </c>
    </row>
    <row r="392" spans="1:24" x14ac:dyDescent="0.25">
      <c r="A392" s="10" t="s">
        <v>870</v>
      </c>
    </row>
    <row r="393" spans="1:24" x14ac:dyDescent="0.25">
      <c r="A393" s="11" t="s">
        <v>784</v>
      </c>
      <c r="B393" s="10" t="str">
        <f>$B$38</f>
        <v>From Fiscal Forecasts</v>
      </c>
      <c r="D393" s="35">
        <f>'Fiscal Forecasts'!D$365</f>
        <v>44.307000000000002</v>
      </c>
      <c r="E393" s="35">
        <f>'Fiscal Forecasts'!E$365</f>
        <v>48.220999999999997</v>
      </c>
      <c r="F393" s="35">
        <f>'Fiscal Forecasts'!F$365</f>
        <v>62.311999999999998</v>
      </c>
      <c r="G393" s="35">
        <f>'Fiscal Forecasts'!G$365</f>
        <v>65.411000000000001</v>
      </c>
      <c r="H393" s="35">
        <f>'Fiscal Forecasts'!H$365</f>
        <v>68.233999999999995</v>
      </c>
      <c r="I393" s="35">
        <f>'Fiscal Forecasts'!I$365</f>
        <v>79.058000000000007</v>
      </c>
      <c r="J393" s="17">
        <f>'Fiscal Forecasts'!J$365</f>
        <v>90.405000000000001</v>
      </c>
      <c r="K393" s="17">
        <f>'Fiscal Forecasts'!K$365</f>
        <v>94.126000000000005</v>
      </c>
      <c r="L393" s="17">
        <f>'Fiscal Forecasts'!L$365</f>
        <v>100.392</v>
      </c>
      <c r="M393" s="17">
        <f>'Fiscal Forecasts'!M$365</f>
        <v>105.19</v>
      </c>
      <c r="N393" s="17">
        <f>'Fiscal Forecasts'!N$365</f>
        <v>110.79600000000001</v>
      </c>
      <c r="O393" s="16">
        <f ca="1">IF(O$6=OFFSET(Assumptions!$B$8,0,$C$1),AVERAGE(L$393/L$391,M$393/M$391,N$393/N$391),N$393/N$391)*O$391</f>
        <v>118.38891290089084</v>
      </c>
      <c r="P393" s="16">
        <f ca="1">IF(P$6=OFFSET(Assumptions!$B$8,0,$C$1),AVERAGE(M$393/M$391,N$393/N$391,O$393/O$391),O$393/O$391)*P$391</f>
        <v>125.36552702678746</v>
      </c>
      <c r="Q393" s="16">
        <f ca="1">IF(Q$6=OFFSET(Assumptions!$B$8,0,$C$1),AVERAGE(N$393/N$391,O$393/O$391,P$393/P$391),P$393/P$391)*Q$391</f>
        <v>132.58429695271181</v>
      </c>
      <c r="R393" s="16">
        <f ca="1">IF(R$6=OFFSET(Assumptions!$B$8,0,$C$1),AVERAGE(O$393/O$391,P$393/P$391,Q$393/Q$391),Q$393/Q$391)*R$391</f>
        <v>139.99646614389258</v>
      </c>
      <c r="S393" s="16">
        <f ca="1">IF(S$6=OFFSET(Assumptions!$B$8,0,$C$1),AVERAGE(P$393/P$391,Q$393/Q$391,R$393/R$391),R$393/R$391)*S$391</f>
        <v>147.57819167535732</v>
      </c>
      <c r="T393" s="16">
        <f ca="1">IF(T$6=OFFSET(Assumptions!$B$8,0,$C$1),AVERAGE(Q$393/Q$391,R$393/R$391,S$393/S$391),S$393/S$391)*T$391</f>
        <v>155.34805685273318</v>
      </c>
      <c r="U393" s="16">
        <f ca="1">IF(U$6=OFFSET(Assumptions!$B$8,0,$C$1),AVERAGE(R$393/R$391,S$393/S$391,T$393/T$391),T$393/T$391)*U$391</f>
        <v>163.26307490304652</v>
      </c>
      <c r="V393" s="16">
        <f ca="1">IF(V$6=OFFSET(Assumptions!$B$8,0,$C$1),AVERAGE(S$393/S$391,T$393/T$391,U$393/U$391),U$393/U$391)*V$391</f>
        <v>171.35447420531963</v>
      </c>
      <c r="W393" s="16">
        <f ca="1">IF(W$6=OFFSET(Assumptions!$B$8,0,$C$1),AVERAGE(T$393/T$391,U$393/U$391,V$393/V$391),V$393/V$391)*W$391</f>
        <v>179.71064329040246</v>
      </c>
      <c r="X393" s="16">
        <f ca="1">IF(X$6=OFFSET(Assumptions!$B$8,0,$C$1),AVERAGE(U$393/U$391,V$393/V$391,W$393/W$391),W$393/W$391)*X$391</f>
        <v>188.43147036042572</v>
      </c>
    </row>
    <row r="394" spans="1:24" x14ac:dyDescent="0.25">
      <c r="A394" s="11" t="s">
        <v>871</v>
      </c>
      <c r="B394" s="10" t="str">
        <f t="shared" ref="B394:B400" si="231">$B$38</f>
        <v>From Fiscal Forecasts</v>
      </c>
      <c r="D394" s="35">
        <f>-'Fiscal Forecasts'!D$366</f>
        <v>1.9910000000000001</v>
      </c>
      <c r="E394" s="35">
        <f>-'Fiscal Forecasts'!E$366</f>
        <v>4.226</v>
      </c>
      <c r="F394" s="35">
        <f>-'Fiscal Forecasts'!F$366</f>
        <v>4.9489999999999998</v>
      </c>
      <c r="G394" s="35">
        <f>-'Fiscal Forecasts'!G$366</f>
        <v>9.1020000000000003</v>
      </c>
      <c r="H394" s="35">
        <f>-'Fiscal Forecasts'!H$366</f>
        <v>3.5009999999999999</v>
      </c>
      <c r="I394" s="35">
        <f>-'Fiscal Forecasts'!I$366</f>
        <v>4.2350000000000003</v>
      </c>
      <c r="J394" s="17">
        <f>-'Fiscal Forecasts'!J$366</f>
        <v>7.984</v>
      </c>
      <c r="K394" s="17">
        <f>-'Fiscal Forecasts'!K$366</f>
        <v>6.8</v>
      </c>
      <c r="L394" s="17">
        <f>-'Fiscal Forecasts'!L$366</f>
        <v>7.8959999999999999</v>
      </c>
      <c r="M394" s="17">
        <f>-'Fiscal Forecasts'!M$366</f>
        <v>7.2270000000000003</v>
      </c>
      <c r="N394" s="17">
        <f>-'Fiscal Forecasts'!N$366</f>
        <v>6.9290000000000003</v>
      </c>
      <c r="O394" s="16">
        <f t="shared" ref="O394:X394" ca="1" si="232">O$393-O$391</f>
        <v>8.3471804510018472</v>
      </c>
      <c r="P394" s="16">
        <f t="shared" ca="1" si="232"/>
        <v>8.8390766566424759</v>
      </c>
      <c r="Q394" s="16">
        <f t="shared" ca="1" si="232"/>
        <v>9.3480464049870733</v>
      </c>
      <c r="R394" s="16">
        <f t="shared" ca="1" si="232"/>
        <v>9.8706520464793357</v>
      </c>
      <c r="S394" s="16">
        <f t="shared" ca="1" si="232"/>
        <v>10.405212501427371</v>
      </c>
      <c r="T394" s="16">
        <f t="shared" ca="1" si="232"/>
        <v>10.953038012502105</v>
      </c>
      <c r="U394" s="16">
        <f t="shared" ca="1" si="232"/>
        <v>11.511097735495014</v>
      </c>
      <c r="V394" s="16">
        <f t="shared" ca="1" si="232"/>
        <v>12.081593472150047</v>
      </c>
      <c r="W394" s="16">
        <f t="shared" ca="1" si="232"/>
        <v>12.6707571828656</v>
      </c>
      <c r="X394" s="16">
        <f t="shared" ca="1" si="232"/>
        <v>13.285631628890854</v>
      </c>
    </row>
    <row r="395" spans="1:24" x14ac:dyDescent="0.25">
      <c r="A395" s="11" t="s">
        <v>786</v>
      </c>
      <c r="B395" s="10" t="str">
        <f t="shared" si="231"/>
        <v>From Fiscal Forecasts</v>
      </c>
      <c r="D395" s="35">
        <f>'Fiscal Forecasts'!D$367</f>
        <v>0</v>
      </c>
      <c r="E395" s="35">
        <f>'Fiscal Forecasts'!E$367</f>
        <v>2E-3</v>
      </c>
      <c r="F395" s="35">
        <f>'Fiscal Forecasts'!F$367</f>
        <v>2E-3</v>
      </c>
      <c r="G395" s="35">
        <f>'Fiscal Forecasts'!G$367</f>
        <v>-9.9000000000000005E-2</v>
      </c>
      <c r="H395" s="35">
        <f>'Fiscal Forecasts'!H$367</f>
        <v>-0.06</v>
      </c>
      <c r="I395" s="35">
        <f>'Fiscal Forecasts'!I$367</f>
        <v>-4.0000000000000001E-3</v>
      </c>
      <c r="J395" s="17">
        <f>'Fiscal Forecasts'!J$367</f>
        <v>-2.4E-2</v>
      </c>
      <c r="K395" s="17">
        <f>'Fiscal Forecasts'!K$367</f>
        <v>-5.5E-2</v>
      </c>
      <c r="L395" s="17">
        <f>'Fiscal Forecasts'!L$367</f>
        <v>-4.4999999999999998E-2</v>
      </c>
      <c r="M395" s="17">
        <f>'Fiscal Forecasts'!M$367</f>
        <v>-5.1999999999999998E-2</v>
      </c>
      <c r="N395" s="17">
        <f>'Fiscal Forecasts'!N$367</f>
        <v>-0.06</v>
      </c>
      <c r="O395" s="16">
        <f ca="1">IF(O$6=OFFSET(Assumptions!$B$8,0,$C$1),OFFSET(Assumptions!$B$9,0,$C$1),N$395)</f>
        <v>0</v>
      </c>
      <c r="P395" s="16">
        <f ca="1">IF(P$6=OFFSET(Assumptions!$B$8,0,$C$1),OFFSET(Assumptions!$B$9,0,$C$1),O$395)</f>
        <v>0</v>
      </c>
      <c r="Q395" s="16">
        <f ca="1">IF(Q$6=OFFSET(Assumptions!$B$8,0,$C$1),OFFSET(Assumptions!$B$9,0,$C$1),P$395)</f>
        <v>0</v>
      </c>
      <c r="R395" s="16">
        <f ca="1">IF(R$6=OFFSET(Assumptions!$B$8,0,$C$1),OFFSET(Assumptions!$B$9,0,$C$1),Q$395)</f>
        <v>0</v>
      </c>
      <c r="S395" s="16">
        <f ca="1">IF(S$6=OFFSET(Assumptions!$B$8,0,$C$1),OFFSET(Assumptions!$B$9,0,$C$1),R$395)</f>
        <v>0</v>
      </c>
      <c r="T395" s="16">
        <f ca="1">IF(T$6=OFFSET(Assumptions!$B$8,0,$C$1),OFFSET(Assumptions!$B$9,0,$C$1),S$395)</f>
        <v>0</v>
      </c>
      <c r="U395" s="16">
        <f ca="1">IF(U$6=OFFSET(Assumptions!$B$8,0,$C$1),OFFSET(Assumptions!$B$9,0,$C$1),T$395)</f>
        <v>0</v>
      </c>
      <c r="V395" s="16">
        <f ca="1">IF(V$6=OFFSET(Assumptions!$B$8,0,$C$1),OFFSET(Assumptions!$B$9,0,$C$1),U$395)</f>
        <v>0</v>
      </c>
      <c r="W395" s="16">
        <f ca="1">IF(W$6=OFFSET(Assumptions!$B$8,0,$C$1),OFFSET(Assumptions!$B$9,0,$C$1),V$395)</f>
        <v>0</v>
      </c>
      <c r="X395" s="16">
        <f ca="1">IF(X$6=OFFSET(Assumptions!$B$8,0,$C$1),OFFSET(Assumptions!$B$9,0,$C$1),W$395)</f>
        <v>0</v>
      </c>
    </row>
    <row r="397" spans="1:24" x14ac:dyDescent="0.25">
      <c r="A397" s="9" t="s">
        <v>1108</v>
      </c>
      <c r="B397" s="10" t="str">
        <f t="shared" si="231"/>
        <v>From Fiscal Forecasts</v>
      </c>
      <c r="D397" s="42">
        <f>'Fiscal Forecasts'!D$125</f>
        <v>3.6880000000000002</v>
      </c>
      <c r="E397" s="42">
        <f>'Fiscal Forecasts'!E$125</f>
        <v>4.22</v>
      </c>
      <c r="F397" s="42">
        <f>'Fiscal Forecasts'!F$125</f>
        <v>4.718</v>
      </c>
      <c r="G397" s="42">
        <f>'Fiscal Forecasts'!G$125</f>
        <v>6.0960000000000001</v>
      </c>
      <c r="H397" s="42">
        <f>'Fiscal Forecasts'!H$125</f>
        <v>7.3170000000000002</v>
      </c>
      <c r="I397" s="42">
        <f>'Fiscal Forecasts'!I$125</f>
        <v>7.1740000000000004</v>
      </c>
      <c r="J397" s="43">
        <f>'Fiscal Forecasts'!J$125</f>
        <v>8.3989999999999991</v>
      </c>
      <c r="K397" s="43">
        <f>'Fiscal Forecasts'!K$125</f>
        <v>9.3089999999999993</v>
      </c>
      <c r="L397" s="43">
        <f>'Fiscal Forecasts'!L$125</f>
        <v>10.826000000000001</v>
      </c>
      <c r="M397" s="43">
        <f>'Fiscal Forecasts'!M$125</f>
        <v>12.381</v>
      </c>
      <c r="N397" s="43">
        <f>'Fiscal Forecasts'!N$125</f>
        <v>14.013999999999999</v>
      </c>
      <c r="O397" s="47">
        <f ca="1">OFFSET(Assumptions!$B$52,0,$C$1)*(O$393-O$359-O$400)</f>
        <v>10.538281498485777</v>
      </c>
      <c r="P397" s="47">
        <f ca="1">OFFSET(Assumptions!$B$52,0,$C$1)*(P$393-P$359-P$400)</f>
        <v>11.15121332063778</v>
      </c>
      <c r="Q397" s="47">
        <f ca="1">OFFSET(Assumptions!$B$52,0,$C$1)*(Q$393-Q$359-Q$400)</f>
        <v>11.78541978878242</v>
      </c>
      <c r="R397" s="47">
        <f ca="1">OFFSET(Assumptions!$B$52,0,$C$1)*(R$393-R$359-R$400)</f>
        <v>12.43661738785638</v>
      </c>
      <c r="S397" s="47">
        <f ca="1">OFFSET(Assumptions!$B$52,0,$C$1)*(S$393-S$359-S$400)</f>
        <v>13.102711392942238</v>
      </c>
      <c r="T397" s="47">
        <f ca="1">OFFSET(Assumptions!$B$52,0,$C$1)*(T$393-T$359-T$400)</f>
        <v>13.785334444053342</v>
      </c>
      <c r="U397" s="47">
        <f ca="1">OFFSET(Assumptions!$B$52,0,$C$1)*(U$393-U$359-U$400)</f>
        <v>14.480709929697113</v>
      </c>
      <c r="V397" s="47">
        <f ca="1">OFFSET(Assumptions!$B$52,0,$C$1)*(V$393-V$359-V$400)</f>
        <v>15.191581425325996</v>
      </c>
      <c r="W397" s="47">
        <f ca="1">OFFSET(Assumptions!$B$52,0,$C$1)*(W$393-W$359-W$400)</f>
        <v>15.925714322904279</v>
      </c>
      <c r="X397" s="47">
        <f ca="1">OFFSET(Assumptions!$B$52,0,$C$1)*(X$393-X$359-X$400)</f>
        <v>16.691884320304688</v>
      </c>
    </row>
    <row r="398" spans="1:24" x14ac:dyDescent="0.25">
      <c r="A398" s="9"/>
      <c r="B398" s="10"/>
      <c r="D398" s="35"/>
      <c r="E398" s="35"/>
      <c r="F398" s="35"/>
      <c r="G398" s="35"/>
      <c r="H398" s="35"/>
      <c r="I398" s="35"/>
      <c r="J398" s="17"/>
      <c r="K398" s="17"/>
      <c r="L398" s="17"/>
      <c r="M398" s="17"/>
      <c r="N398" s="17"/>
    </row>
    <row r="399" spans="1:24" x14ac:dyDescent="0.25">
      <c r="A399" s="9" t="s">
        <v>622</v>
      </c>
    </row>
    <row r="400" spans="1:24" x14ac:dyDescent="0.25">
      <c r="A400" s="11" t="s">
        <v>1036</v>
      </c>
      <c r="B400" s="10" t="str">
        <f t="shared" si="231"/>
        <v>From Fiscal Forecasts</v>
      </c>
      <c r="D400" s="35">
        <f>'Fiscal Forecasts'!D$185-D$77</f>
        <v>2.0030000000000001</v>
      </c>
      <c r="E400" s="35">
        <f>'Fiscal Forecasts'!E$185-E$77</f>
        <v>3.6860000000000017</v>
      </c>
      <c r="F400" s="35">
        <f>'Fiscal Forecasts'!F$185-F$77</f>
        <v>5.4710000000000001</v>
      </c>
      <c r="G400" s="35">
        <f>'Fiscal Forecasts'!G$185-G$77</f>
        <v>4.6139999999999972</v>
      </c>
      <c r="H400" s="35">
        <f>'Fiscal Forecasts'!H$185-H$77</f>
        <v>7.3510000000000062</v>
      </c>
      <c r="I400" s="35">
        <f>'Fiscal Forecasts'!I$185-I$77</f>
        <v>8.9179999999999993</v>
      </c>
      <c r="J400" s="17">
        <f>'Fiscal Forecasts'!J$185-J$77</f>
        <v>9.8170000000000002</v>
      </c>
      <c r="K400" s="17">
        <f>'Fiscal Forecasts'!K$185-K$77</f>
        <v>9.8189999999999991</v>
      </c>
      <c r="L400" s="17">
        <f>'Fiscal Forecasts'!L$185-L$77</f>
        <v>9.8179999999999978</v>
      </c>
      <c r="M400" s="17">
        <f>'Fiscal Forecasts'!M$185-M$77</f>
        <v>9.8170000000000002</v>
      </c>
      <c r="N400" s="17">
        <f>'Fiscal Forecasts'!N$185-N$77</f>
        <v>9.8179999999999978</v>
      </c>
      <c r="O400" s="16">
        <f ca="1">IF(O$6=OFFSET(Assumptions!$B$8,0,$C$1),AVERAGE(L$400/L$393,M$400/M$393,N$400/N$393),N$400/N$393)*O$393</f>
        <v>11.039225735632337</v>
      </c>
      <c r="P400" s="16">
        <f ca="1">IF(P$6=OFFSET(Assumptions!$B$8,0,$C$1),AVERAGE(M$400/M$393,N$400/N$393,O$400/O$393),O$400/O$393)*P$393</f>
        <v>11.689763157752671</v>
      </c>
      <c r="Q400" s="16">
        <f ca="1">IF(Q$6=OFFSET(Assumptions!$B$8,0,$C$1),AVERAGE(N$400/N$393,O$400/O$393,P$400/P$393),P$400/P$393)*Q$393</f>
        <v>12.362880502892793</v>
      </c>
      <c r="R400" s="16">
        <f ca="1">IF(R$6=OFFSET(Assumptions!$B$8,0,$C$1),AVERAGE(O$400/O$393,P$400/P$393,Q$400/Q$393),Q$400/Q$393)*R$393</f>
        <v>13.05403144673703</v>
      </c>
      <c r="S400" s="16">
        <f ca="1">IF(S$6=OFFSET(Assumptions!$B$8,0,$C$1),AVERAGE(P$400/P$393,Q$400/Q$393,R$400/R$393),R$400/R$393)*S$393</f>
        <v>13.760992745363977</v>
      </c>
      <c r="T400" s="16">
        <f ca="1">IF(T$6=OFFSET(Assumptions!$B$8,0,$C$1),AVERAGE(Q$400/Q$393,R$400/R$393,S$400/S$393),S$400/S$393)*T$393</f>
        <v>14.485497207198897</v>
      </c>
      <c r="U400" s="16">
        <f ca="1">IF(U$6=OFFSET(Assumptions!$B$8,0,$C$1),AVERAGE(R$400/R$393,S$400/S$393,T$400/T$393),T$400/T$393)*U$393</f>
        <v>15.223536511877366</v>
      </c>
      <c r="V400" s="16">
        <f ca="1">IF(V$6=OFFSET(Assumptions!$B$8,0,$C$1),AVERAGE(S$400/S$393,T$400/T$393,U$400/U$393),U$400/U$393)*V$393</f>
        <v>15.978022563199652</v>
      </c>
      <c r="W400" s="16">
        <f ca="1">IF(W$6=OFFSET(Assumptions!$B$8,0,$C$1),AVERAGE(T$400/T$393,U$400/U$393,V$400/V$393),V$400/V$393)*W$393</f>
        <v>16.757197188213439</v>
      </c>
      <c r="X400" s="16">
        <f ca="1">IF(X$6=OFFSET(Assumptions!$B$8,0,$C$1),AVERAGE(U$400/U$393,V$400/V$393,W$400/W$393),W$400/W$393)*X$393</f>
        <v>17.570374505822507</v>
      </c>
    </row>
    <row r="401" spans="1:24" x14ac:dyDescent="0.25">
      <c r="A401" s="11" t="s">
        <v>878</v>
      </c>
      <c r="D401" s="35">
        <f t="shared" ref="D401:X401" si="233">D$416</f>
        <v>10.731000000000002</v>
      </c>
      <c r="E401" s="35">
        <f t="shared" si="233"/>
        <v>10.395</v>
      </c>
      <c r="F401" s="35">
        <f t="shared" si="233"/>
        <v>10.840999999999999</v>
      </c>
      <c r="G401" s="35">
        <f t="shared" si="233"/>
        <v>9.2089999999999996</v>
      </c>
      <c r="H401" s="35">
        <f t="shared" si="233"/>
        <v>9.3729999999999993</v>
      </c>
      <c r="I401" s="35">
        <f t="shared" si="233"/>
        <v>9.5960000000000001</v>
      </c>
      <c r="J401" s="17">
        <f t="shared" si="233"/>
        <v>10.012</v>
      </c>
      <c r="K401" s="17">
        <f t="shared" si="233"/>
        <v>10.026000000000002</v>
      </c>
      <c r="L401" s="17">
        <f t="shared" si="233"/>
        <v>9.9530000000000012</v>
      </c>
      <c r="M401" s="17">
        <f t="shared" si="233"/>
        <v>9.8220000000000027</v>
      </c>
      <c r="N401" s="17">
        <f t="shared" si="233"/>
        <v>9.6330000000000027</v>
      </c>
      <c r="O401" s="16">
        <f t="shared" si="233"/>
        <v>9.5700000000000021</v>
      </c>
      <c r="P401" s="16">
        <f t="shared" si="233"/>
        <v>9.4880000000000013</v>
      </c>
      <c r="Q401" s="16">
        <f t="shared" si="233"/>
        <v>9.3870000000000005</v>
      </c>
      <c r="R401" s="16">
        <f t="shared" si="233"/>
        <v>9.2650000000000023</v>
      </c>
      <c r="S401" s="16">
        <f t="shared" si="233"/>
        <v>9.1210000000000022</v>
      </c>
      <c r="T401" s="16">
        <f t="shared" si="233"/>
        <v>8.9440000000000008</v>
      </c>
      <c r="U401" s="16">
        <f t="shared" si="233"/>
        <v>8.7349999999999994</v>
      </c>
      <c r="V401" s="16">
        <f t="shared" si="233"/>
        <v>8.4890000000000008</v>
      </c>
      <c r="W401" s="16">
        <f t="shared" si="233"/>
        <v>8.2050000000000018</v>
      </c>
      <c r="X401" s="16">
        <f t="shared" si="233"/>
        <v>7.8840000000000003</v>
      </c>
    </row>
    <row r="402" spans="1:24" x14ac:dyDescent="0.25">
      <c r="A402" s="11" t="s">
        <v>1057</v>
      </c>
      <c r="D402" s="35">
        <f t="shared" ref="D402:N402" si="234">D$77-D$416</f>
        <v>3.113999999999999</v>
      </c>
      <c r="E402" s="35">
        <f t="shared" si="234"/>
        <v>4.1609999999999996</v>
      </c>
      <c r="F402" s="35">
        <f t="shared" si="234"/>
        <v>7.8870000000000022</v>
      </c>
      <c r="G402" s="35">
        <f t="shared" si="234"/>
        <v>16.894000000000002</v>
      </c>
      <c r="H402" s="35">
        <f t="shared" si="234"/>
        <v>27.167999999999999</v>
      </c>
      <c r="I402" s="35">
        <f t="shared" si="234"/>
        <v>30.791999999999998</v>
      </c>
      <c r="J402" s="17">
        <f t="shared" si="234"/>
        <v>25.054000000000002</v>
      </c>
      <c r="K402" s="17">
        <f t="shared" si="234"/>
        <v>19.222000000000001</v>
      </c>
      <c r="L402" s="17">
        <f t="shared" si="234"/>
        <v>22.138999999999996</v>
      </c>
      <c r="M402" s="17">
        <f t="shared" si="234"/>
        <v>23.891999999999996</v>
      </c>
      <c r="N402" s="17">
        <f t="shared" si="234"/>
        <v>25.784999999999997</v>
      </c>
      <c r="O402" s="16">
        <f t="shared" ref="O402:X402" si="235">N$402</f>
        <v>25.784999999999997</v>
      </c>
      <c r="P402" s="16">
        <f t="shared" si="235"/>
        <v>25.784999999999997</v>
      </c>
      <c r="Q402" s="16">
        <f t="shared" si="235"/>
        <v>25.784999999999997</v>
      </c>
      <c r="R402" s="16">
        <f t="shared" si="235"/>
        <v>25.784999999999997</v>
      </c>
      <c r="S402" s="16">
        <f t="shared" si="235"/>
        <v>25.784999999999997</v>
      </c>
      <c r="T402" s="16">
        <f t="shared" si="235"/>
        <v>25.784999999999997</v>
      </c>
      <c r="U402" s="16">
        <f t="shared" si="235"/>
        <v>25.784999999999997</v>
      </c>
      <c r="V402" s="16">
        <f t="shared" si="235"/>
        <v>25.784999999999997</v>
      </c>
      <c r="W402" s="16">
        <f t="shared" si="235"/>
        <v>25.784999999999997</v>
      </c>
      <c r="X402" s="16">
        <f t="shared" si="235"/>
        <v>25.784999999999997</v>
      </c>
    </row>
    <row r="403" spans="1:24" x14ac:dyDescent="0.25">
      <c r="A403" s="9" t="s">
        <v>1058</v>
      </c>
      <c r="D403" s="65">
        <f t="shared" ref="D403:X403" si="236">SUM(D$400:D$402)</f>
        <v>15.848000000000001</v>
      </c>
      <c r="E403" s="65">
        <f t="shared" si="236"/>
        <v>18.242000000000001</v>
      </c>
      <c r="F403" s="65">
        <f t="shared" si="236"/>
        <v>24.198999999999998</v>
      </c>
      <c r="G403" s="65">
        <f t="shared" si="236"/>
        <v>30.716999999999999</v>
      </c>
      <c r="H403" s="65">
        <f t="shared" si="236"/>
        <v>43.892000000000003</v>
      </c>
      <c r="I403" s="65">
        <f t="shared" si="236"/>
        <v>49.305999999999997</v>
      </c>
      <c r="J403" s="66">
        <f t="shared" si="236"/>
        <v>44.883000000000003</v>
      </c>
      <c r="K403" s="66">
        <f t="shared" si="236"/>
        <v>39.067</v>
      </c>
      <c r="L403" s="66">
        <f t="shared" si="236"/>
        <v>41.91</v>
      </c>
      <c r="M403" s="66">
        <f t="shared" si="236"/>
        <v>43.530999999999999</v>
      </c>
      <c r="N403" s="66">
        <f t="shared" si="236"/>
        <v>45.235999999999997</v>
      </c>
      <c r="O403" s="67">
        <f t="shared" ca="1" si="236"/>
        <v>46.394225735632332</v>
      </c>
      <c r="P403" s="67">
        <f t="shared" ca="1" si="236"/>
        <v>46.962763157752669</v>
      </c>
      <c r="Q403" s="67">
        <f t="shared" ca="1" si="236"/>
        <v>47.53488050289279</v>
      </c>
      <c r="R403" s="67">
        <f t="shared" ca="1" si="236"/>
        <v>48.104031446737025</v>
      </c>
      <c r="S403" s="67">
        <f t="shared" ca="1" si="236"/>
        <v>48.666992745363977</v>
      </c>
      <c r="T403" s="67">
        <f t="shared" ca="1" si="236"/>
        <v>49.214497207198896</v>
      </c>
      <c r="U403" s="67">
        <f t="shared" ca="1" si="236"/>
        <v>49.743536511877366</v>
      </c>
      <c r="V403" s="67">
        <f t="shared" ca="1" si="236"/>
        <v>50.252022563199645</v>
      </c>
      <c r="W403" s="67">
        <f t="shared" ca="1" si="236"/>
        <v>50.747197188213434</v>
      </c>
      <c r="X403" s="67">
        <f t="shared" ca="1" si="236"/>
        <v>51.239374505822504</v>
      </c>
    </row>
    <row r="404" spans="1:24" x14ac:dyDescent="0.25">
      <c r="A404" s="11" t="s">
        <v>1059</v>
      </c>
      <c r="B404" s="10" t="str">
        <f t="shared" ref="B404:B405" si="237">$B$38</f>
        <v>From Fiscal Forecasts</v>
      </c>
      <c r="D404" s="35">
        <f>'Fiscal Forecasts'!D$323</f>
        <v>20.411000000000001</v>
      </c>
      <c r="E404" s="35">
        <f>'Fiscal Forecasts'!E$323</f>
        <v>22.189</v>
      </c>
      <c r="F404" s="35">
        <f>'Fiscal Forecasts'!F$323</f>
        <v>25.206</v>
      </c>
      <c r="G404" s="35">
        <f>'Fiscal Forecasts'!G$323</f>
        <v>27.786000000000001</v>
      </c>
      <c r="H404" s="35">
        <f>'Fiscal Forecasts'!H$323</f>
        <v>29.785</v>
      </c>
      <c r="I404" s="35">
        <f>'Fiscal Forecasts'!I$323</f>
        <v>32.487000000000002</v>
      </c>
      <c r="J404" s="17">
        <f>'Fiscal Forecasts'!J$323</f>
        <v>35.345999999999997</v>
      </c>
      <c r="K404" s="17">
        <f>'Fiscal Forecasts'!K$323</f>
        <v>38.869999999999997</v>
      </c>
      <c r="L404" s="17">
        <f>'Fiscal Forecasts'!L$323</f>
        <v>42.386000000000003</v>
      </c>
      <c r="M404" s="17">
        <f>'Fiscal Forecasts'!M$323</f>
        <v>46.438000000000002</v>
      </c>
      <c r="N404" s="17">
        <f>'Fiscal Forecasts'!N$323</f>
        <v>50.116999999999997</v>
      </c>
      <c r="O404" s="16">
        <f t="shared" ref="O404:X404" ca="1" si="238">N$404*(1+O$14)</f>
        <v>52.279425450562982</v>
      </c>
      <c r="P404" s="16">
        <f t="shared" ca="1" si="238"/>
        <v>54.509151233088772</v>
      </c>
      <c r="Q404" s="16">
        <f t="shared" ca="1" si="238"/>
        <v>56.743718359475103</v>
      </c>
      <c r="R404" s="16">
        <f t="shared" ca="1" si="238"/>
        <v>58.978087401571777</v>
      </c>
      <c r="S404" s="16">
        <f t="shared" ca="1" si="238"/>
        <v>61.26172352363735</v>
      </c>
      <c r="T404" s="16">
        <f t="shared" ca="1" si="238"/>
        <v>63.591141692770542</v>
      </c>
      <c r="U404" s="16">
        <f t="shared" ca="1" si="238"/>
        <v>65.951618115721672</v>
      </c>
      <c r="V404" s="16">
        <f t="shared" ca="1" si="238"/>
        <v>68.347583846205168</v>
      </c>
      <c r="W404" s="16">
        <f t="shared" ca="1" si="238"/>
        <v>70.778949618957014</v>
      </c>
      <c r="X404" s="16">
        <f t="shared" ca="1" si="238"/>
        <v>73.264037062229775</v>
      </c>
    </row>
    <row r="405" spans="1:24" x14ac:dyDescent="0.25">
      <c r="A405" s="11" t="s">
        <v>1060</v>
      </c>
      <c r="B405" s="10" t="str">
        <f t="shared" si="237"/>
        <v>From Fiscal Forecasts</v>
      </c>
      <c r="D405" s="35">
        <f>'Fiscal Forecasts'!D$124-SUM(D$403:D$404)</f>
        <v>-2.5690000000000026</v>
      </c>
      <c r="E405" s="35">
        <f>'Fiscal Forecasts'!E$124-SUM(E$403:E$404)</f>
        <v>-2.8019999999999996</v>
      </c>
      <c r="F405" s="35">
        <f>'Fiscal Forecasts'!F$124-SUM(F$403:F$404)</f>
        <v>-3.7929999999999993</v>
      </c>
      <c r="G405" s="35">
        <f>'Fiscal Forecasts'!G$124-SUM(G$403:G$404)</f>
        <v>-3.8440000000000012</v>
      </c>
      <c r="H405" s="35">
        <f>'Fiscal Forecasts'!H$124-SUM(H$403:H$404)</f>
        <v>-7.1880000000000024</v>
      </c>
      <c r="I405" s="35">
        <f>'Fiscal Forecasts'!I$124-SUM(I$403:I$404)</f>
        <v>-12.415000000000006</v>
      </c>
      <c r="J405" s="17">
        <f>'Fiscal Forecasts'!J$124-SUM(J$403:J$404)</f>
        <v>-15.823999999999998</v>
      </c>
      <c r="K405" s="17">
        <f>'Fiscal Forecasts'!K$124-SUM(K$403:K$404)</f>
        <v>-17.169999999999995</v>
      </c>
      <c r="L405" s="17">
        <f>'Fiscal Forecasts'!L$124-SUM(L$403:L$404)</f>
        <v>-19.888999999999996</v>
      </c>
      <c r="M405" s="17">
        <f>'Fiscal Forecasts'!M$124-SUM(M$403:M$404)</f>
        <v>-21.447999999999993</v>
      </c>
      <c r="N405" s="17">
        <f>'Fiscal Forecasts'!N$124-SUM(N$403:N$404)</f>
        <v>-23.143999999999991</v>
      </c>
      <c r="O405" s="16">
        <f t="shared" ref="O405:X405" si="239">N$405*O$402/N$402</f>
        <v>-23.143999999999991</v>
      </c>
      <c r="P405" s="16">
        <f t="shared" si="239"/>
        <v>-23.143999999999991</v>
      </c>
      <c r="Q405" s="16">
        <f t="shared" si="239"/>
        <v>-23.143999999999991</v>
      </c>
      <c r="R405" s="16">
        <f t="shared" si="239"/>
        <v>-23.143999999999991</v>
      </c>
      <c r="S405" s="16">
        <f t="shared" si="239"/>
        <v>-23.143999999999991</v>
      </c>
      <c r="T405" s="16">
        <f t="shared" si="239"/>
        <v>-23.143999999999991</v>
      </c>
      <c r="U405" s="16">
        <f t="shared" si="239"/>
        <v>-23.143999999999991</v>
      </c>
      <c r="V405" s="16">
        <f t="shared" si="239"/>
        <v>-23.143999999999991</v>
      </c>
      <c r="W405" s="16">
        <f t="shared" si="239"/>
        <v>-23.143999999999991</v>
      </c>
      <c r="X405" s="16">
        <f t="shared" si="239"/>
        <v>-23.143999999999991</v>
      </c>
    </row>
    <row r="406" spans="1:24" x14ac:dyDescent="0.25">
      <c r="A406" s="9" t="s">
        <v>1061</v>
      </c>
      <c r="D406" s="65">
        <f t="shared" ref="D406:X406" si="240">SUM(D$403:D$405)</f>
        <v>33.69</v>
      </c>
      <c r="E406" s="65">
        <f t="shared" si="240"/>
        <v>37.628999999999998</v>
      </c>
      <c r="F406" s="65">
        <f t="shared" si="240"/>
        <v>45.612000000000002</v>
      </c>
      <c r="G406" s="65">
        <f t="shared" si="240"/>
        <v>54.658999999999999</v>
      </c>
      <c r="H406" s="65">
        <f t="shared" si="240"/>
        <v>66.489000000000004</v>
      </c>
      <c r="I406" s="65">
        <f t="shared" si="240"/>
        <v>69.378</v>
      </c>
      <c r="J406" s="66">
        <f t="shared" si="240"/>
        <v>64.405000000000001</v>
      </c>
      <c r="K406" s="66">
        <f t="shared" si="240"/>
        <v>60.767000000000003</v>
      </c>
      <c r="L406" s="66">
        <f t="shared" si="240"/>
        <v>64.406999999999996</v>
      </c>
      <c r="M406" s="66">
        <f t="shared" si="240"/>
        <v>68.521000000000001</v>
      </c>
      <c r="N406" s="66">
        <f t="shared" si="240"/>
        <v>72.209000000000003</v>
      </c>
      <c r="O406" s="67">
        <f t="shared" ca="1" si="240"/>
        <v>75.529651186195323</v>
      </c>
      <c r="P406" s="67">
        <f t="shared" ca="1" si="240"/>
        <v>78.327914390841457</v>
      </c>
      <c r="Q406" s="67">
        <f t="shared" ca="1" si="240"/>
        <v>81.134598862367895</v>
      </c>
      <c r="R406" s="67">
        <f t="shared" ca="1" si="240"/>
        <v>83.938118848308804</v>
      </c>
      <c r="S406" s="67">
        <f t="shared" ca="1" si="240"/>
        <v>86.784716269001336</v>
      </c>
      <c r="T406" s="67">
        <f t="shared" ca="1" si="240"/>
        <v>89.661638899969446</v>
      </c>
      <c r="U406" s="67">
        <f t="shared" ca="1" si="240"/>
        <v>92.551154627599047</v>
      </c>
      <c r="V406" s="67">
        <f t="shared" ca="1" si="240"/>
        <v>95.455606409404822</v>
      </c>
      <c r="W406" s="67">
        <f t="shared" ca="1" si="240"/>
        <v>98.382146807170457</v>
      </c>
      <c r="X406" s="67">
        <f t="shared" ca="1" si="240"/>
        <v>101.35941156805229</v>
      </c>
    </row>
    <row r="408" spans="1:24" x14ac:dyDescent="0.25">
      <c r="A408" s="9" t="s">
        <v>878</v>
      </c>
    </row>
    <row r="409" spans="1:24" x14ac:dyDescent="0.25">
      <c r="A409" s="11" t="s">
        <v>471</v>
      </c>
      <c r="B409" s="10" t="str">
        <f>$B$38</f>
        <v>From Fiscal Forecasts</v>
      </c>
      <c r="D409" s="35">
        <f>'Fiscal Forecasts'!D$325</f>
        <v>1.361</v>
      </c>
      <c r="E409" s="35">
        <f>'Fiscal Forecasts'!E$325</f>
        <v>1.413</v>
      </c>
      <c r="F409" s="35">
        <f>'Fiscal Forecasts'!F$325</f>
        <v>1.43</v>
      </c>
      <c r="G409" s="35">
        <f>'Fiscal Forecasts'!G$325</f>
        <v>1.2949999999999999</v>
      </c>
      <c r="H409" s="35">
        <f>'Fiscal Forecasts'!H$325</f>
        <v>1.2709999999999999</v>
      </c>
      <c r="I409" s="35">
        <f>'Fiscal Forecasts'!I$325</f>
        <v>1.3480000000000001</v>
      </c>
      <c r="J409" s="17">
        <f>'Fiscal Forecasts'!J$325</f>
        <v>1.6339999999999999</v>
      </c>
      <c r="K409" s="17">
        <f>'Fiscal Forecasts'!K$325</f>
        <v>1.877</v>
      </c>
      <c r="L409" s="17">
        <f>'Fiscal Forecasts'!L$325</f>
        <v>1.855</v>
      </c>
      <c r="M409" s="17">
        <f>'Fiscal Forecasts'!M$325</f>
        <v>1.8620000000000001</v>
      </c>
      <c r="N409" s="17">
        <f>'Fiscal Forecasts'!N$325</f>
        <v>1.907</v>
      </c>
      <c r="O409" s="16">
        <f>Exogenous!Z$16</f>
        <v>1.9390000000000001</v>
      </c>
      <c r="P409" s="16">
        <f>Exogenous!AA$16</f>
        <v>1.994</v>
      </c>
      <c r="Q409" s="16">
        <f>Exogenous!AB$16</f>
        <v>2.044</v>
      </c>
      <c r="R409" s="16">
        <f>Exogenous!AC$16</f>
        <v>2.0880000000000001</v>
      </c>
      <c r="S409" s="16">
        <f>Exogenous!AD$16</f>
        <v>2.1309999999999998</v>
      </c>
      <c r="T409" s="16">
        <f>Exogenous!AE$16</f>
        <v>2.1709999999999998</v>
      </c>
      <c r="U409" s="16">
        <f>Exogenous!AF$16</f>
        <v>2.21</v>
      </c>
      <c r="V409" s="16">
        <f>Exogenous!AG$16</f>
        <v>2.25</v>
      </c>
      <c r="W409" s="16">
        <f>Exogenous!AH$16</f>
        <v>2.2909999999999999</v>
      </c>
      <c r="X409" s="16">
        <f>Exogenous!AI$16</f>
        <v>2.3340000000000001</v>
      </c>
    </row>
    <row r="410" spans="1:24" x14ac:dyDescent="0.25">
      <c r="A410" s="11" t="s">
        <v>472</v>
      </c>
      <c r="B410" s="10" t="str">
        <f t="shared" ref="B410:B415" si="241">$B$38</f>
        <v>From Fiscal Forecasts</v>
      </c>
      <c r="D410" s="35">
        <f>'Fiscal Forecasts'!D$326</f>
        <v>3.5999999999999997E-2</v>
      </c>
      <c r="E410" s="35">
        <f>'Fiscal Forecasts'!E$326</f>
        <v>3.5999999999999997E-2</v>
      </c>
      <c r="F410" s="35">
        <f>'Fiscal Forecasts'!F$326</f>
        <v>3.7999999999999999E-2</v>
      </c>
      <c r="G410" s="35">
        <f>'Fiscal Forecasts'!G$326</f>
        <v>3.7999999999999999E-2</v>
      </c>
      <c r="H410" s="35">
        <f>'Fiscal Forecasts'!H$326</f>
        <v>0.03</v>
      </c>
      <c r="I410" s="35">
        <f>'Fiscal Forecasts'!I$326</f>
        <v>2.8000000000000001E-2</v>
      </c>
      <c r="J410" s="17">
        <f>'Fiscal Forecasts'!J$326</f>
        <v>2.5999999999999999E-2</v>
      </c>
      <c r="K410" s="17">
        <f>'Fiscal Forecasts'!K$326</f>
        <v>2.5000000000000001E-2</v>
      </c>
      <c r="L410" s="17">
        <f>'Fiscal Forecasts'!L$326</f>
        <v>2.4E-2</v>
      </c>
      <c r="M410" s="17">
        <f>'Fiscal Forecasts'!M$326</f>
        <v>2.5000000000000001E-2</v>
      </c>
      <c r="N410" s="17">
        <f>'Fiscal Forecasts'!N$326</f>
        <v>2.5999999999999999E-2</v>
      </c>
      <c r="O410" s="16">
        <f>Exogenous!Z$17</f>
        <v>2.5999999999999999E-2</v>
      </c>
      <c r="P410" s="16">
        <f>Exogenous!AA$17</f>
        <v>2.7E-2</v>
      </c>
      <c r="Q410" s="16">
        <f>Exogenous!AB$17</f>
        <v>2.8000000000000001E-2</v>
      </c>
      <c r="R410" s="16">
        <f>Exogenous!AC$17</f>
        <v>2.8000000000000001E-2</v>
      </c>
      <c r="S410" s="16">
        <f>Exogenous!AD$17</f>
        <v>2.9000000000000001E-2</v>
      </c>
      <c r="T410" s="16">
        <f>Exogenous!AE$17</f>
        <v>2.7E-2</v>
      </c>
      <c r="U410" s="16">
        <f>Exogenous!AF$17</f>
        <v>3.1E-2</v>
      </c>
      <c r="V410" s="16">
        <f>Exogenous!AG$17</f>
        <v>3.1E-2</v>
      </c>
      <c r="W410" s="16">
        <f>Exogenous!AH$17</f>
        <v>3.2000000000000001E-2</v>
      </c>
      <c r="X410" s="16">
        <f>Exogenous!AI$17</f>
        <v>3.3000000000000002E-2</v>
      </c>
    </row>
    <row r="411" spans="1:24" x14ac:dyDescent="0.25">
      <c r="A411" s="11" t="s">
        <v>879</v>
      </c>
      <c r="B411" s="10" t="str">
        <f t="shared" si="241"/>
        <v>From Fiscal Forecasts</v>
      </c>
      <c r="D411" s="35">
        <f>'Fiscal Forecasts'!D$327</f>
        <v>0.56299999999999994</v>
      </c>
      <c r="E411" s="35">
        <f>'Fiscal Forecasts'!E$327</f>
        <v>0.50600000000000001</v>
      </c>
      <c r="F411" s="35">
        <f>'Fiscal Forecasts'!F$327</f>
        <v>0.46899999999999997</v>
      </c>
      <c r="G411" s="35">
        <f>'Fiscal Forecasts'!G$327</f>
        <v>0.48899999999999999</v>
      </c>
      <c r="H411" s="35">
        <f>'Fiscal Forecasts'!H$327</f>
        <v>0.55100000000000005</v>
      </c>
      <c r="I411" s="35">
        <f>'Fiscal Forecasts'!I$327</f>
        <v>0.54400000000000004</v>
      </c>
      <c r="J411" s="17">
        <f>'Fiscal Forecasts'!J$327</f>
        <v>0.56000000000000005</v>
      </c>
      <c r="K411" s="17">
        <f>'Fiscal Forecasts'!K$327</f>
        <v>0.63600000000000001</v>
      </c>
      <c r="L411" s="17">
        <f>'Fiscal Forecasts'!L$327</f>
        <v>0.628</v>
      </c>
      <c r="M411" s="17">
        <f>'Fiscal Forecasts'!M$327</f>
        <v>0.627</v>
      </c>
      <c r="N411" s="17">
        <f>'Fiscal Forecasts'!N$327</f>
        <v>0.65300000000000002</v>
      </c>
      <c r="O411" s="16">
        <f>Exogenous!Z$18</f>
        <v>0.65600000000000003</v>
      </c>
      <c r="P411" s="16">
        <f>Exogenous!AA$18</f>
        <v>0.67400000000000004</v>
      </c>
      <c r="Q411" s="16">
        <f>Exogenous!AB$18</f>
        <v>0.69299999999999995</v>
      </c>
      <c r="R411" s="16">
        <f>Exogenous!AC$18</f>
        <v>0.71099999999999997</v>
      </c>
      <c r="S411" s="16">
        <f>Exogenous!AD$18</f>
        <v>0.72699999999999998</v>
      </c>
      <c r="T411" s="16">
        <f>Exogenous!AE$18</f>
        <v>0.74199999999999999</v>
      </c>
      <c r="U411" s="16">
        <f>Exogenous!AF$18</f>
        <v>0.75600000000000001</v>
      </c>
      <c r="V411" s="16">
        <f>Exogenous!AG$18</f>
        <v>0.76900000000000002</v>
      </c>
      <c r="W411" s="16">
        <f>Exogenous!AH$18</f>
        <v>0.78300000000000003</v>
      </c>
      <c r="X411" s="16">
        <f>Exogenous!AI$18</f>
        <v>0.79700000000000004</v>
      </c>
    </row>
    <row r="412" spans="1:24" x14ac:dyDescent="0.25">
      <c r="A412" s="11" t="s">
        <v>880</v>
      </c>
      <c r="B412" s="10" t="str">
        <f>$B$38</f>
        <v>From Fiscal Forecasts</v>
      </c>
      <c r="D412" s="35">
        <f>'Fiscal Forecasts'!D$328</f>
        <v>1.371</v>
      </c>
      <c r="E412" s="35">
        <f>'Fiscal Forecasts'!E$328</f>
        <v>1.4770000000000001</v>
      </c>
      <c r="F412" s="35">
        <f>'Fiscal Forecasts'!F$328</f>
        <v>1.4950000000000001</v>
      </c>
      <c r="G412" s="35">
        <f>'Fiscal Forecasts'!G$328</f>
        <v>1.605</v>
      </c>
      <c r="H412" s="35">
        <f>'Fiscal Forecasts'!H$328</f>
        <v>1.6339999999999999</v>
      </c>
      <c r="I412" s="35">
        <f>'Fiscal Forecasts'!I$328</f>
        <v>1.5980000000000001</v>
      </c>
      <c r="J412" s="17">
        <f>'Fiscal Forecasts'!J$328</f>
        <v>1.5669999999999999</v>
      </c>
      <c r="K412" s="17">
        <f>'Fiscal Forecasts'!K$328</f>
        <v>1.631</v>
      </c>
      <c r="L412" s="17">
        <f>'Fiscal Forecasts'!L$328</f>
        <v>1.6890000000000001</v>
      </c>
      <c r="M412" s="17">
        <f>'Fiscal Forecasts'!M$328</f>
        <v>1.736</v>
      </c>
      <c r="N412" s="17">
        <f>'Fiscal Forecasts'!N$328</f>
        <v>1.7869999999999999</v>
      </c>
      <c r="O412" s="16">
        <f>Exogenous!Z$19</f>
        <v>1.6779999999999999</v>
      </c>
      <c r="P412" s="16">
        <f>Exogenous!AA$19</f>
        <v>1.736</v>
      </c>
      <c r="Q412" s="16">
        <f>Exogenous!AB$19</f>
        <v>1.79</v>
      </c>
      <c r="R412" s="16">
        <f>Exogenous!AC$19</f>
        <v>1.839</v>
      </c>
      <c r="S412" s="16">
        <f>Exogenous!AD$19</f>
        <v>1.887</v>
      </c>
      <c r="T412" s="16">
        <f>Exogenous!AE$19</f>
        <v>1.9350000000000001</v>
      </c>
      <c r="U412" s="16">
        <f>Exogenous!AF$19</f>
        <v>1.9810000000000001</v>
      </c>
      <c r="V412" s="16">
        <f>Exogenous!AG$19</f>
        <v>2.0249999999999999</v>
      </c>
      <c r="W412" s="16">
        <f>Exogenous!AH$19</f>
        <v>2.069</v>
      </c>
      <c r="X412" s="16">
        <f>Exogenous!AI$19</f>
        <v>2.1110000000000002</v>
      </c>
    </row>
    <row r="413" spans="1:24" x14ac:dyDescent="0.25">
      <c r="A413" s="11" t="s">
        <v>473</v>
      </c>
      <c r="B413" s="10" t="str">
        <f t="shared" si="241"/>
        <v>From Fiscal Forecasts</v>
      </c>
      <c r="D413" s="35">
        <f>'Fiscal Forecasts'!D$329</f>
        <v>0.39400000000000002</v>
      </c>
      <c r="E413" s="35">
        <f>'Fiscal Forecasts'!E$329</f>
        <v>0.33100000000000002</v>
      </c>
      <c r="F413" s="35">
        <f>'Fiscal Forecasts'!F$329</f>
        <v>0.23499999999999999</v>
      </c>
      <c r="G413" s="35">
        <f>'Fiscal Forecasts'!G$329</f>
        <v>0.28000000000000003</v>
      </c>
      <c r="H413" s="35">
        <f>'Fiscal Forecasts'!H$329</f>
        <v>0.57699999999999996</v>
      </c>
      <c r="I413" s="35">
        <f>'Fiscal Forecasts'!I$329</f>
        <v>0.63400000000000001</v>
      </c>
      <c r="J413" s="17">
        <f>'Fiscal Forecasts'!J$329</f>
        <v>0.502</v>
      </c>
      <c r="K413" s="17">
        <f>'Fiscal Forecasts'!K$329</f>
        <v>0.41299999999999998</v>
      </c>
      <c r="L413" s="17">
        <f>'Fiscal Forecasts'!L$329</f>
        <v>0.42899999999999999</v>
      </c>
      <c r="M413" s="17">
        <f>'Fiscal Forecasts'!M$329</f>
        <v>0.46100000000000002</v>
      </c>
      <c r="N413" s="17">
        <f>'Fiscal Forecasts'!N$329</f>
        <v>0.48599999999999999</v>
      </c>
      <c r="O413" s="16">
        <f>Exogenous!Z$20</f>
        <v>0.50700000000000001</v>
      </c>
      <c r="P413" s="16">
        <f>Exogenous!AA$20</f>
        <v>0.52800000000000002</v>
      </c>
      <c r="Q413" s="16">
        <f>Exogenous!AB$20</f>
        <v>0.54300000000000004</v>
      </c>
      <c r="R413" s="16">
        <f>Exogenous!AC$20</f>
        <v>0.55300000000000005</v>
      </c>
      <c r="S413" s="16">
        <f>Exogenous!AD$20</f>
        <v>0.55800000000000005</v>
      </c>
      <c r="T413" s="16">
        <f>Exogenous!AE$20</f>
        <v>0.55700000000000005</v>
      </c>
      <c r="U413" s="16">
        <f>Exogenous!AF$20</f>
        <v>0.54800000000000004</v>
      </c>
      <c r="V413" s="16">
        <f>Exogenous!AG$20</f>
        <v>0.53400000000000003</v>
      </c>
      <c r="W413" s="16">
        <f>Exogenous!AH$20</f>
        <v>0.51800000000000002</v>
      </c>
      <c r="X413" s="16">
        <f>Exogenous!AI$20</f>
        <v>0.498</v>
      </c>
    </row>
    <row r="414" spans="1:24" x14ac:dyDescent="0.25">
      <c r="A414" s="11" t="s">
        <v>1241</v>
      </c>
      <c r="B414" s="10" t="str">
        <f t="shared" si="241"/>
        <v>From Fiscal Forecasts</v>
      </c>
      <c r="D414" s="35">
        <f>'Fiscal Forecasts'!D$330</f>
        <v>0</v>
      </c>
      <c r="E414" s="35">
        <f>'Fiscal Forecasts'!E$330</f>
        <v>0</v>
      </c>
      <c r="F414" s="35">
        <f>'Fiscal Forecasts'!F$330</f>
        <v>0</v>
      </c>
      <c r="G414" s="35">
        <f>'Fiscal Forecasts'!G$330</f>
        <v>0</v>
      </c>
      <c r="H414" s="35">
        <f>'Fiscal Forecasts'!H$330</f>
        <v>0</v>
      </c>
      <c r="I414" s="35">
        <f>'Fiscal Forecasts'!I$330</f>
        <v>0</v>
      </c>
      <c r="J414" s="17">
        <f>'Fiscal Forecasts'!J$330</f>
        <v>0</v>
      </c>
      <c r="K414" s="17">
        <f>'Fiscal Forecasts'!K$330</f>
        <v>3.4000000000000002E-2</v>
      </c>
      <c r="L414" s="17">
        <f>'Fiscal Forecasts'!L$330</f>
        <v>6.4000000000000001E-2</v>
      </c>
      <c r="M414" s="17">
        <f>'Fiscal Forecasts'!M$330</f>
        <v>0.11600000000000001</v>
      </c>
      <c r="N414" s="17">
        <f>'Fiscal Forecasts'!N$330</f>
        <v>0.16800000000000001</v>
      </c>
      <c r="O414" s="16">
        <f>Exogenous!Z$21</f>
        <v>0.20100000000000001</v>
      </c>
      <c r="P414" s="16">
        <f>Exogenous!AA$21</f>
        <v>0.221</v>
      </c>
      <c r="Q414" s="16">
        <f>Exogenous!AB$21</f>
        <v>0.23300000000000001</v>
      </c>
      <c r="R414" s="16">
        <f>Exogenous!AC$21</f>
        <v>0.24099999999999999</v>
      </c>
      <c r="S414" s="16">
        <f>Exogenous!AD$21</f>
        <v>0.248</v>
      </c>
      <c r="T414" s="16">
        <f>Exogenous!AE$21</f>
        <v>0.255</v>
      </c>
      <c r="U414" s="16">
        <f>Exogenous!AF$21</f>
        <v>0.26100000000000001</v>
      </c>
      <c r="V414" s="16">
        <f>Exogenous!AG$21</f>
        <v>0.26700000000000002</v>
      </c>
      <c r="W414" s="16">
        <f>Exogenous!AH$21</f>
        <v>0.27300000000000002</v>
      </c>
      <c r="X414" s="16">
        <f>Exogenous!AI$21</f>
        <v>0.27800000000000002</v>
      </c>
    </row>
    <row r="415" spans="1:24" x14ac:dyDescent="0.25">
      <c r="A415" s="11" t="s">
        <v>474</v>
      </c>
      <c r="B415" s="10" t="str">
        <f t="shared" si="241"/>
        <v>From Fiscal Forecasts</v>
      </c>
      <c r="D415" s="35">
        <f>'Fiscal Forecasts'!D$331</f>
        <v>0.94499999999999995</v>
      </c>
      <c r="E415" s="35">
        <f>'Fiscal Forecasts'!E$331</f>
        <v>-0.13300000000000001</v>
      </c>
      <c r="F415" s="35">
        <f>'Fiscal Forecasts'!F$331</f>
        <v>0.70699999999999996</v>
      </c>
      <c r="G415" s="35">
        <f>'Fiscal Forecasts'!G$331</f>
        <v>-1.151</v>
      </c>
      <c r="H415" s="35">
        <f>'Fiscal Forecasts'!H$331</f>
        <v>0.47099999999999997</v>
      </c>
      <c r="I415" s="35">
        <f>'Fiscal Forecasts'!I$331</f>
        <v>0.35499999999999998</v>
      </c>
      <c r="J415" s="17">
        <f>'Fiscal Forecasts'!J$331</f>
        <v>0.38100000000000001</v>
      </c>
      <c r="K415" s="17">
        <f>'Fiscal Forecasts'!K$331</f>
        <v>0</v>
      </c>
      <c r="L415" s="17">
        <f>'Fiscal Forecasts'!L$331</f>
        <v>0</v>
      </c>
      <c r="M415" s="17">
        <f>'Fiscal Forecasts'!M$331</f>
        <v>0</v>
      </c>
      <c r="N415" s="17">
        <f>'Fiscal Forecasts'!N$331</f>
        <v>0</v>
      </c>
      <c r="O415" s="16">
        <f>Exogenous!Z$22</f>
        <v>0</v>
      </c>
      <c r="P415" s="16">
        <f>Exogenous!AA$22</f>
        <v>0</v>
      </c>
      <c r="Q415" s="16">
        <f>Exogenous!AB$22</f>
        <v>0</v>
      </c>
      <c r="R415" s="16">
        <f>Exogenous!AC$22</f>
        <v>0</v>
      </c>
      <c r="S415" s="16">
        <f>Exogenous!AD$22</f>
        <v>0</v>
      </c>
      <c r="T415" s="16">
        <f>Exogenous!AE$22</f>
        <v>0</v>
      </c>
      <c r="U415" s="16">
        <f>Exogenous!AF$22</f>
        <v>0</v>
      </c>
      <c r="V415" s="16">
        <f>Exogenous!AG$22</f>
        <v>0</v>
      </c>
      <c r="W415" s="16">
        <f>Exogenous!AH$22</f>
        <v>0</v>
      </c>
      <c r="X415" s="16">
        <f>Exogenous!AI$22</f>
        <v>0</v>
      </c>
    </row>
    <row r="416" spans="1:24" x14ac:dyDescent="0.25">
      <c r="A416" s="9" t="s">
        <v>760</v>
      </c>
      <c r="C416" s="76">
        <f>'Fiscal Forecasts'!$C$332</f>
        <v>9.9290000000000003</v>
      </c>
      <c r="D416" s="65">
        <f>SUM(C$416,D$409,D$410,D$413,D$415)-SUM(D$411,D$412,D$414)</f>
        <v>10.731000000000002</v>
      </c>
      <c r="E416" s="65">
        <f t="shared" ref="E416:X416" si="242">SUM(D$416,E$409,E$410,E$413,E$415)-SUM(E$411,E$412,E$414)</f>
        <v>10.395</v>
      </c>
      <c r="F416" s="65">
        <f t="shared" si="242"/>
        <v>10.840999999999999</v>
      </c>
      <c r="G416" s="65">
        <f t="shared" si="242"/>
        <v>9.2089999999999996</v>
      </c>
      <c r="H416" s="65">
        <f t="shared" si="242"/>
        <v>9.3729999999999993</v>
      </c>
      <c r="I416" s="65">
        <f t="shared" si="242"/>
        <v>9.5960000000000001</v>
      </c>
      <c r="J416" s="66">
        <f t="shared" si="242"/>
        <v>10.012</v>
      </c>
      <c r="K416" s="66">
        <f t="shared" si="242"/>
        <v>10.026000000000002</v>
      </c>
      <c r="L416" s="66">
        <f t="shared" si="242"/>
        <v>9.9530000000000012</v>
      </c>
      <c r="M416" s="66">
        <f t="shared" si="242"/>
        <v>9.8220000000000027</v>
      </c>
      <c r="N416" s="66">
        <f t="shared" si="242"/>
        <v>9.6330000000000027</v>
      </c>
      <c r="O416" s="67">
        <f t="shared" si="242"/>
        <v>9.5700000000000021</v>
      </c>
      <c r="P416" s="67">
        <f t="shared" si="242"/>
        <v>9.4880000000000013</v>
      </c>
      <c r="Q416" s="67">
        <f t="shared" si="242"/>
        <v>9.3870000000000005</v>
      </c>
      <c r="R416" s="67">
        <f t="shared" si="242"/>
        <v>9.2650000000000023</v>
      </c>
      <c r="S416" s="67">
        <f t="shared" si="242"/>
        <v>9.1210000000000022</v>
      </c>
      <c r="T416" s="67">
        <f t="shared" si="242"/>
        <v>8.9440000000000008</v>
      </c>
      <c r="U416" s="67">
        <f t="shared" si="242"/>
        <v>8.7349999999999994</v>
      </c>
      <c r="V416" s="67">
        <f t="shared" si="242"/>
        <v>8.4890000000000008</v>
      </c>
      <c r="W416" s="67">
        <f t="shared" si="242"/>
        <v>8.2050000000000018</v>
      </c>
      <c r="X416" s="67">
        <f t="shared" si="242"/>
        <v>7.8840000000000003</v>
      </c>
    </row>
    <row r="418" spans="1:24" x14ac:dyDescent="0.25">
      <c r="A418" s="9" t="s">
        <v>624</v>
      </c>
    </row>
    <row r="419" spans="1:24" x14ac:dyDescent="0.25">
      <c r="A419" s="9" t="s">
        <v>1062</v>
      </c>
      <c r="B419" s="10" t="str">
        <f t="shared" ref="B419:B420" si="243">$B$38</f>
        <v>From Fiscal Forecasts</v>
      </c>
      <c r="D419" s="42">
        <f>ROUND('Fiscal Forecasts'!D$189*D$420/SUM(D$420,D$424),3)</f>
        <v>0.75700000000000001</v>
      </c>
      <c r="E419" s="42">
        <f>ROUND('Fiscal Forecasts'!E$189*E$420/SUM(E$420,E$424),3)</f>
        <v>1.0569999999999999</v>
      </c>
      <c r="F419" s="42">
        <f>ROUND('Fiscal Forecasts'!F$189*F$420/SUM(F$420,F$424),3)</f>
        <v>1.169</v>
      </c>
      <c r="G419" s="42">
        <f>ROUND('Fiscal Forecasts'!G$189*G$420/SUM(G$420,G$424),3)</f>
        <v>1.7330000000000001</v>
      </c>
      <c r="H419" s="42">
        <f>ROUND('Fiscal Forecasts'!H$189*H$420/SUM(H$420,H$424),3)</f>
        <v>1.5860000000000001</v>
      </c>
      <c r="I419" s="42">
        <f>ROUND('Fiscal Forecasts'!I$189*I$420/SUM(I$420,I$424),3)</f>
        <v>1.6120000000000001</v>
      </c>
      <c r="J419" s="43">
        <f>ROUND('Fiscal Forecasts'!J$189*J$420/SUM(J$420,J$424),3)</f>
        <v>1.899</v>
      </c>
      <c r="K419" s="43">
        <f>ROUND('Fiscal Forecasts'!K$189*K$420/SUM(K$420,K$424),3)</f>
        <v>1.835</v>
      </c>
      <c r="L419" s="43">
        <f>ROUND('Fiscal Forecasts'!L$189*L$420/SUM(L$420,L$424),3)</f>
        <v>1.8320000000000001</v>
      </c>
      <c r="M419" s="43">
        <f>ROUND('Fiscal Forecasts'!M$189*M$420/SUM(M$420,M$424),3)</f>
        <v>1.734</v>
      </c>
      <c r="N419" s="43">
        <f>ROUND('Fiscal Forecasts'!N$189*N$420/SUM(N$420,N$424),3)</f>
        <v>1.649</v>
      </c>
      <c r="O419" s="47">
        <f t="shared" ref="O419:X419" si="244">N$419</f>
        <v>1.649</v>
      </c>
      <c r="P419" s="47">
        <f t="shared" si="244"/>
        <v>1.649</v>
      </c>
      <c r="Q419" s="47">
        <f t="shared" si="244"/>
        <v>1.649</v>
      </c>
      <c r="R419" s="47">
        <f t="shared" si="244"/>
        <v>1.649</v>
      </c>
      <c r="S419" s="47">
        <f t="shared" si="244"/>
        <v>1.649</v>
      </c>
      <c r="T419" s="47">
        <f t="shared" si="244"/>
        <v>1.649</v>
      </c>
      <c r="U419" s="47">
        <f t="shared" si="244"/>
        <v>1.649</v>
      </c>
      <c r="V419" s="47">
        <f t="shared" si="244"/>
        <v>1.649</v>
      </c>
      <c r="W419" s="47">
        <f t="shared" si="244"/>
        <v>1.649</v>
      </c>
      <c r="X419" s="47">
        <f t="shared" si="244"/>
        <v>1.649</v>
      </c>
    </row>
    <row r="420" spans="1:24" x14ac:dyDescent="0.25">
      <c r="A420" s="9" t="s">
        <v>1063</v>
      </c>
      <c r="B420" s="10" t="str">
        <f t="shared" si="243"/>
        <v>From Fiscal Forecasts</v>
      </c>
      <c r="D420" s="42">
        <f>'Fiscal Forecasts'!D$126</f>
        <v>1.5169999999999999</v>
      </c>
      <c r="E420" s="42">
        <f>'Fiscal Forecasts'!E$126</f>
        <v>1.7729999999999999</v>
      </c>
      <c r="F420" s="42">
        <f>'Fiscal Forecasts'!F$126</f>
        <v>2.194</v>
      </c>
      <c r="G420" s="42">
        <f>'Fiscal Forecasts'!G$126</f>
        <v>3.0680000000000001</v>
      </c>
      <c r="H420" s="42">
        <f>'Fiscal Forecasts'!H$126</f>
        <v>3.0409999999999999</v>
      </c>
      <c r="I420" s="42">
        <f>'Fiscal Forecasts'!I$126</f>
        <v>2.8610000000000002</v>
      </c>
      <c r="J420" s="43">
        <f>'Fiscal Forecasts'!J$126</f>
        <v>3.4049999999999998</v>
      </c>
      <c r="K420" s="43">
        <f>'Fiscal Forecasts'!K$126</f>
        <v>3.5169999999999999</v>
      </c>
      <c r="L420" s="43">
        <f>'Fiscal Forecasts'!L$126</f>
        <v>3.5590000000000002</v>
      </c>
      <c r="M420" s="43">
        <f>'Fiscal Forecasts'!M$126</f>
        <v>3.488</v>
      </c>
      <c r="N420" s="43">
        <f>'Fiscal Forecasts'!N$126</f>
        <v>3.395</v>
      </c>
      <c r="O420" s="47">
        <f t="shared" ref="O420:X420" ca="1" si="245">O$419+(N$420-N$419)*(1+O$29)</f>
        <v>3.4299200000000001</v>
      </c>
      <c r="P420" s="47">
        <f t="shared" ca="1" si="245"/>
        <v>3.4655383999999998</v>
      </c>
      <c r="Q420" s="47">
        <f t="shared" ca="1" si="245"/>
        <v>3.5018691679999998</v>
      </c>
      <c r="R420" s="47">
        <f t="shared" ca="1" si="245"/>
        <v>3.5389265513599999</v>
      </c>
      <c r="S420" s="47">
        <f t="shared" ca="1" si="245"/>
        <v>3.5767250823871999</v>
      </c>
      <c r="T420" s="47">
        <f t="shared" ca="1" si="245"/>
        <v>3.6152795840349441</v>
      </c>
      <c r="U420" s="47">
        <f t="shared" ca="1" si="245"/>
        <v>3.654605175715643</v>
      </c>
      <c r="V420" s="47">
        <f t="shared" ca="1" si="245"/>
        <v>3.6947172792299559</v>
      </c>
      <c r="W420" s="47">
        <f t="shared" ca="1" si="245"/>
        <v>3.7356316248145549</v>
      </c>
      <c r="X420" s="47">
        <f t="shared" ca="1" si="245"/>
        <v>3.7773642573108459</v>
      </c>
    </row>
    <row r="422" spans="1:24" x14ac:dyDescent="0.25">
      <c r="A422" s="9" t="s">
        <v>1064</v>
      </c>
    </row>
    <row r="423" spans="1:24" x14ac:dyDescent="0.25">
      <c r="A423" s="9" t="s">
        <v>1062</v>
      </c>
      <c r="B423" s="10" t="str">
        <f t="shared" ref="B423:B424" si="246">$B$38</f>
        <v>From Fiscal Forecasts</v>
      </c>
      <c r="D423" s="42">
        <f>'Fiscal Forecasts'!D$189-D$419</f>
        <v>1.4119999999999999</v>
      </c>
      <c r="E423" s="42">
        <f>'Fiscal Forecasts'!E$189-E$419</f>
        <v>2.153</v>
      </c>
      <c r="F423" s="42">
        <f>'Fiscal Forecasts'!F$189-F$419</f>
        <v>2.0920000000000001</v>
      </c>
      <c r="G423" s="42">
        <f>'Fiscal Forecasts'!G$189-G$419</f>
        <v>2.3759999999999999</v>
      </c>
      <c r="H423" s="42">
        <f>'Fiscal Forecasts'!H$189-H$419</f>
        <v>2.4050000000000002</v>
      </c>
      <c r="I423" s="42">
        <f>'Fiscal Forecasts'!I$189-I$419</f>
        <v>2.8419999999999996</v>
      </c>
      <c r="J423" s="43">
        <f>'Fiscal Forecasts'!J$189-J$419</f>
        <v>3.0019999999999998</v>
      </c>
      <c r="K423" s="43">
        <f>'Fiscal Forecasts'!K$189-K$419</f>
        <v>2.63</v>
      </c>
      <c r="L423" s="43">
        <f>'Fiscal Forecasts'!L$189-L$419</f>
        <v>2.6539999999999999</v>
      </c>
      <c r="M423" s="43">
        <f>'Fiscal Forecasts'!M$189-M$419</f>
        <v>2.6340000000000003</v>
      </c>
      <c r="N423" s="43">
        <f>'Fiscal Forecasts'!N$189-N$419</f>
        <v>2.5919999999999996</v>
      </c>
      <c r="O423" s="47">
        <f t="shared" ref="O423:X423" si="247">N$423</f>
        <v>2.5919999999999996</v>
      </c>
      <c r="P423" s="47">
        <f t="shared" si="247"/>
        <v>2.5919999999999996</v>
      </c>
      <c r="Q423" s="47">
        <f t="shared" si="247"/>
        <v>2.5919999999999996</v>
      </c>
      <c r="R423" s="47">
        <f t="shared" si="247"/>
        <v>2.5919999999999996</v>
      </c>
      <c r="S423" s="47">
        <f t="shared" si="247"/>
        <v>2.5919999999999996</v>
      </c>
      <c r="T423" s="47">
        <f t="shared" si="247"/>
        <v>2.5919999999999996</v>
      </c>
      <c r="U423" s="47">
        <f t="shared" si="247"/>
        <v>2.5919999999999996</v>
      </c>
      <c r="V423" s="47">
        <f t="shared" si="247"/>
        <v>2.5919999999999996</v>
      </c>
      <c r="W423" s="47">
        <f t="shared" si="247"/>
        <v>2.5919999999999996</v>
      </c>
      <c r="X423" s="47">
        <f t="shared" si="247"/>
        <v>2.5919999999999996</v>
      </c>
    </row>
    <row r="424" spans="1:24" x14ac:dyDescent="0.25">
      <c r="A424" s="9" t="s">
        <v>1063</v>
      </c>
      <c r="B424" s="10" t="str">
        <f t="shared" si="246"/>
        <v>From Fiscal Forecasts</v>
      </c>
      <c r="D424" s="42">
        <f>'Fiscal Forecasts'!D$127</f>
        <v>2.8279999999999998</v>
      </c>
      <c r="E424" s="42">
        <f>'Fiscal Forecasts'!E$127</f>
        <v>3.61</v>
      </c>
      <c r="F424" s="42">
        <f>'Fiscal Forecasts'!F$127</f>
        <v>3.9279999999999999</v>
      </c>
      <c r="G424" s="42">
        <f>'Fiscal Forecasts'!G$127</f>
        <v>4.2080000000000002</v>
      </c>
      <c r="H424" s="42">
        <f>'Fiscal Forecasts'!H$127</f>
        <v>4.6120000000000001</v>
      </c>
      <c r="I424" s="42">
        <f>'Fiscal Forecasts'!I$127</f>
        <v>5.0449999999999999</v>
      </c>
      <c r="J424" s="43">
        <f>'Fiscal Forecasts'!J$127</f>
        <v>5.3849999999999998</v>
      </c>
      <c r="K424" s="43">
        <f>'Fiscal Forecasts'!K$127</f>
        <v>5.0410000000000004</v>
      </c>
      <c r="L424" s="43">
        <f>'Fiscal Forecasts'!L$127</f>
        <v>5.1580000000000004</v>
      </c>
      <c r="M424" s="43">
        <f>'Fiscal Forecasts'!M$127</f>
        <v>5.3</v>
      </c>
      <c r="N424" s="43">
        <f>'Fiscal Forecasts'!N$127</f>
        <v>5.3339999999999996</v>
      </c>
      <c r="O424" s="47">
        <f t="shared" ref="O424:X424" ca="1" si="248">O$423+(N$424-N$423)*(1+O$29)</f>
        <v>5.3888400000000001</v>
      </c>
      <c r="P424" s="47">
        <f t="shared" ca="1" si="248"/>
        <v>5.4447767999999996</v>
      </c>
      <c r="Q424" s="47">
        <f t="shared" ca="1" si="248"/>
        <v>5.5018323359999997</v>
      </c>
      <c r="R424" s="47">
        <f t="shared" ca="1" si="248"/>
        <v>5.5600289827199996</v>
      </c>
      <c r="S424" s="47">
        <f t="shared" ca="1" si="248"/>
        <v>5.6193895623743995</v>
      </c>
      <c r="T424" s="47">
        <f t="shared" ca="1" si="248"/>
        <v>5.679937353621888</v>
      </c>
      <c r="U424" s="47">
        <f t="shared" ca="1" si="248"/>
        <v>5.7416961006943259</v>
      </c>
      <c r="V424" s="47">
        <f t="shared" ca="1" si="248"/>
        <v>5.804690022708213</v>
      </c>
      <c r="W424" s="47">
        <f t="shared" ca="1" si="248"/>
        <v>5.8689438231623772</v>
      </c>
      <c r="X424" s="47">
        <f t="shared" ca="1" si="248"/>
        <v>5.9344826996256241</v>
      </c>
    </row>
    <row r="426" spans="1:24" x14ac:dyDescent="0.25">
      <c r="A426" s="9" t="s">
        <v>1065</v>
      </c>
    </row>
    <row r="427" spans="1:24" x14ac:dyDescent="0.25">
      <c r="A427" s="9" t="s">
        <v>1066</v>
      </c>
      <c r="B427" s="10" t="str">
        <f t="shared" ref="B427:B428" si="249">$B$38</f>
        <v>From Fiscal Forecasts</v>
      </c>
      <c r="C427" s="64" cm="1">
        <f t="array" aca="1" ref="C427" ca="1">SUMPRODUCT(OFFSET($N$427,0,0,1,-OFFSET(Assumptions!$B$59,0,$C$1))/OFFSET($N$13,0,0,1,-OFFSET(Assumptions!$B$59,0,$C$1)))/OFFSET(Assumptions!$B$59,0,$C$1)</f>
        <v>0.15052333138299728</v>
      </c>
      <c r="D427" s="42">
        <f>'Fiscal Forecasts'!D$186</f>
        <v>43.683999999999997</v>
      </c>
      <c r="E427" s="42">
        <f>'Fiscal Forecasts'!E$186</f>
        <v>45.167000000000002</v>
      </c>
      <c r="F427" s="42">
        <f>'Fiscal Forecasts'!F$186</f>
        <v>51.92</v>
      </c>
      <c r="G427" s="42">
        <f>'Fiscal Forecasts'!G$186</f>
        <v>56.518999999999998</v>
      </c>
      <c r="H427" s="42">
        <f>'Fiscal Forecasts'!H$186</f>
        <v>63.033999999999999</v>
      </c>
      <c r="I427" s="42">
        <f>'Fiscal Forecasts'!I$186</f>
        <v>67.997</v>
      </c>
      <c r="J427" s="43">
        <f>'Fiscal Forecasts'!J$186</f>
        <v>69.701999999999998</v>
      </c>
      <c r="K427" s="43">
        <f>'Fiscal Forecasts'!K$186</f>
        <v>70.847999999999999</v>
      </c>
      <c r="L427" s="43">
        <f>'Fiscal Forecasts'!L$186</f>
        <v>71.221000000000004</v>
      </c>
      <c r="M427" s="43">
        <f>'Fiscal Forecasts'!M$186</f>
        <v>70.656999999999996</v>
      </c>
      <c r="N427" s="43">
        <f>'Fiscal Forecasts'!N$186</f>
        <v>69.775000000000006</v>
      </c>
      <c r="O427" s="47">
        <f t="shared" ref="O427:X427" ca="1" si="250">N$427+O$430</f>
        <v>69.775000000000006</v>
      </c>
      <c r="P427" s="47">
        <f t="shared" ca="1" si="250"/>
        <v>69.775000000000006</v>
      </c>
      <c r="Q427" s="47">
        <f t="shared" ca="1" si="250"/>
        <v>69.775000000000006</v>
      </c>
      <c r="R427" s="47">
        <f t="shared" ca="1" si="250"/>
        <v>69.775000000000006</v>
      </c>
      <c r="S427" s="47">
        <f t="shared" ca="1" si="250"/>
        <v>69.775000000000006</v>
      </c>
      <c r="T427" s="47">
        <f t="shared" ca="1" si="250"/>
        <v>69.775000000000006</v>
      </c>
      <c r="U427" s="47">
        <f t="shared" ca="1" si="250"/>
        <v>69.775000000000006</v>
      </c>
      <c r="V427" s="47">
        <f t="shared" ca="1" si="250"/>
        <v>69.775000000000006</v>
      </c>
      <c r="W427" s="47">
        <f t="shared" ca="1" si="250"/>
        <v>69.775000000000006</v>
      </c>
      <c r="X427" s="47">
        <f t="shared" ca="1" si="250"/>
        <v>69.775000000000006</v>
      </c>
    </row>
    <row r="428" spans="1:24" x14ac:dyDescent="0.25">
      <c r="A428" s="11" t="s">
        <v>1073</v>
      </c>
      <c r="B428" s="10" t="str">
        <f t="shared" si="249"/>
        <v>From Fiscal Forecasts</v>
      </c>
      <c r="C428" s="64" cm="1">
        <f t="array" aca="1" ref="C428" ca="1">SUMPRODUCT(OFFSET($N$428,0,0,1,-OFFSET(Assumptions!$B$59,0,$C$1))/OFFSET($N$13,0,0,1,-OFFSET(Assumptions!$B$59,0,$C$1)))/OFFSET(Assumptions!$B$59,0,$C$1)</f>
        <v>0.49343205869727769</v>
      </c>
      <c r="D428" s="35">
        <f>SUM('Fiscal Forecasts'!D$335:D$337)</f>
        <v>133.941</v>
      </c>
      <c r="E428" s="35">
        <f>SUM('Fiscal Forecasts'!E$335:E$337)</f>
        <v>141.33499999999998</v>
      </c>
      <c r="F428" s="35">
        <f>SUM('Fiscal Forecasts'!F$335:F$337)</f>
        <v>161.29599999999999</v>
      </c>
      <c r="G428" s="35">
        <f>SUM('Fiscal Forecasts'!G$335:G$337)</f>
        <v>192.66300000000001</v>
      </c>
      <c r="H428" s="35">
        <f>SUM('Fiscal Forecasts'!H$335:H$337)</f>
        <v>204.35599999999999</v>
      </c>
      <c r="I428" s="35">
        <f>SUM('Fiscal Forecasts'!I$335:I$337)</f>
        <v>215.79300000000001</v>
      </c>
      <c r="J428" s="17">
        <f>SUM('Fiscal Forecasts'!J$335:J$337)</f>
        <v>222.494</v>
      </c>
      <c r="K428" s="17">
        <f>SUM('Fiscal Forecasts'!K$335:K$337)</f>
        <v>231.94200000000001</v>
      </c>
      <c r="L428" s="17">
        <f>SUM('Fiscal Forecasts'!L$335:L$337)</f>
        <v>237.44499999999999</v>
      </c>
      <c r="M428" s="17">
        <f>SUM('Fiscal Forecasts'!M$335:M$337)</f>
        <v>242.58699999999999</v>
      </c>
      <c r="N428" s="17">
        <f>SUM('Fiscal Forecasts'!N$335:N$337)</f>
        <v>246.40100000000001</v>
      </c>
      <c r="O428" s="16">
        <f ca="1">SUM(N$428,O$432,O$433-N$433)</f>
        <v>248.88197059077865</v>
      </c>
      <c r="P428" s="16">
        <f t="shared" ref="P428:X428" ca="1" si="251">SUM(O$428,P$432,P$433-O$433)</f>
        <v>251.35879318428604</v>
      </c>
      <c r="Q428" s="16">
        <f t="shared" ca="1" si="251"/>
        <v>253.86807307238067</v>
      </c>
      <c r="R428" s="16">
        <f t="shared" ca="1" si="251"/>
        <v>256.41726550177668</v>
      </c>
      <c r="S428" s="16">
        <f t="shared" ca="1" si="251"/>
        <v>259.00725053048018</v>
      </c>
      <c r="T428" s="16">
        <f t="shared" ca="1" si="251"/>
        <v>261.63884596334356</v>
      </c>
      <c r="U428" s="16">
        <f t="shared" ca="1" si="251"/>
        <v>264.31260659405336</v>
      </c>
      <c r="V428" s="16">
        <f t="shared" ca="1" si="251"/>
        <v>267.02916636822295</v>
      </c>
      <c r="W428" s="16">
        <f t="shared" ca="1" si="251"/>
        <v>269.78915763691987</v>
      </c>
      <c r="X428" s="16">
        <f t="shared" ca="1" si="251"/>
        <v>272.59354003051533</v>
      </c>
    </row>
    <row r="429" spans="1:24" x14ac:dyDescent="0.25">
      <c r="A429" s="9" t="s">
        <v>1070</v>
      </c>
      <c r="D429" s="65">
        <f t="shared" ref="D429:N429" si="252">SUM(D$427:D$428)</f>
        <v>177.625</v>
      </c>
      <c r="E429" s="65">
        <f t="shared" si="252"/>
        <v>186.50199999999998</v>
      </c>
      <c r="F429" s="65">
        <f t="shared" si="252"/>
        <v>213.21600000000001</v>
      </c>
      <c r="G429" s="65">
        <f t="shared" si="252"/>
        <v>249.18200000000002</v>
      </c>
      <c r="H429" s="65">
        <f t="shared" si="252"/>
        <v>267.39</v>
      </c>
      <c r="I429" s="65">
        <f t="shared" si="252"/>
        <v>283.79000000000002</v>
      </c>
      <c r="J429" s="66">
        <f t="shared" si="252"/>
        <v>292.19600000000003</v>
      </c>
      <c r="K429" s="66">
        <f t="shared" si="252"/>
        <v>302.79000000000002</v>
      </c>
      <c r="L429" s="66">
        <f t="shared" si="252"/>
        <v>308.666</v>
      </c>
      <c r="M429" s="66">
        <f t="shared" si="252"/>
        <v>313.24399999999997</v>
      </c>
      <c r="N429" s="66">
        <f t="shared" si="252"/>
        <v>316.17600000000004</v>
      </c>
      <c r="O429" s="67">
        <f t="shared" ref="O429:X429" ca="1" si="253">SUM(O$427:O$428)</f>
        <v>318.65697059077866</v>
      </c>
      <c r="P429" s="67">
        <f t="shared" ca="1" si="253"/>
        <v>321.13379318428605</v>
      </c>
      <c r="Q429" s="67">
        <f t="shared" ca="1" si="253"/>
        <v>323.64307307238067</v>
      </c>
      <c r="R429" s="67">
        <f t="shared" ca="1" si="253"/>
        <v>326.19226550177666</v>
      </c>
      <c r="S429" s="67">
        <f t="shared" ca="1" si="253"/>
        <v>328.78225053048016</v>
      </c>
      <c r="T429" s="67">
        <f t="shared" ca="1" si="253"/>
        <v>331.41384596334353</v>
      </c>
      <c r="U429" s="67">
        <f t="shared" ca="1" si="253"/>
        <v>334.08760659405334</v>
      </c>
      <c r="V429" s="67">
        <f t="shared" ca="1" si="253"/>
        <v>336.80416636822292</v>
      </c>
      <c r="W429" s="67">
        <f t="shared" ca="1" si="253"/>
        <v>339.56415763691984</v>
      </c>
      <c r="X429" s="67">
        <f t="shared" ca="1" si="253"/>
        <v>342.36854003051531</v>
      </c>
    </row>
    <row r="430" spans="1:24" x14ac:dyDescent="0.25">
      <c r="A430" s="11" t="s">
        <v>1067</v>
      </c>
      <c r="D430" s="35">
        <f>D$427-'Fiscal Forecasts'!$C$186</f>
        <v>2.404999999999994</v>
      </c>
      <c r="E430" s="35">
        <f t="shared" ref="E430:N430" si="254">E$427-D$427</f>
        <v>1.4830000000000041</v>
      </c>
      <c r="F430" s="35">
        <f t="shared" si="254"/>
        <v>6.7530000000000001</v>
      </c>
      <c r="G430" s="35">
        <f t="shared" si="254"/>
        <v>4.5989999999999966</v>
      </c>
      <c r="H430" s="35">
        <f t="shared" si="254"/>
        <v>6.5150000000000006</v>
      </c>
      <c r="I430" s="35">
        <f t="shared" si="254"/>
        <v>4.963000000000001</v>
      </c>
      <c r="J430" s="17">
        <f t="shared" si="254"/>
        <v>1.7049999999999983</v>
      </c>
      <c r="K430" s="17">
        <f t="shared" si="254"/>
        <v>1.1460000000000008</v>
      </c>
      <c r="L430" s="17">
        <f t="shared" si="254"/>
        <v>0.37300000000000466</v>
      </c>
      <c r="M430" s="17">
        <f t="shared" si="254"/>
        <v>-0.56400000000000716</v>
      </c>
      <c r="N430" s="17">
        <f t="shared" si="254"/>
        <v>-0.88199999999999079</v>
      </c>
      <c r="O430" s="16">
        <f ca="1">IF(O$6=OFFSET(Assumptions!$B$8,0,$C$1),OFFSET(Assumptions!$B$9,0,$C$1),N$430)</f>
        <v>0</v>
      </c>
      <c r="P430" s="16">
        <f ca="1">IF(P$6=OFFSET(Assumptions!$B$8,0,$C$1),OFFSET(Assumptions!$B$9,0,$C$1),O$430)</f>
        <v>0</v>
      </c>
      <c r="Q430" s="16">
        <f ca="1">IF(Q$6=OFFSET(Assumptions!$B$8,0,$C$1),OFFSET(Assumptions!$B$9,0,$C$1),P$430)</f>
        <v>0</v>
      </c>
      <c r="R430" s="16">
        <f ca="1">IF(R$6=OFFSET(Assumptions!$B$8,0,$C$1),OFFSET(Assumptions!$B$9,0,$C$1),Q$430)</f>
        <v>0</v>
      </c>
      <c r="S430" s="16">
        <f ca="1">IF(S$6=OFFSET(Assumptions!$B$8,0,$C$1),OFFSET(Assumptions!$B$9,0,$C$1),R$430)</f>
        <v>0</v>
      </c>
      <c r="T430" s="16">
        <f ca="1">IF(T$6=OFFSET(Assumptions!$B$8,0,$C$1),OFFSET(Assumptions!$B$9,0,$C$1),S$430)</f>
        <v>0</v>
      </c>
      <c r="U430" s="16">
        <f ca="1">IF(U$6=OFFSET(Assumptions!$B$8,0,$C$1),OFFSET(Assumptions!$B$9,0,$C$1),T$430)</f>
        <v>0</v>
      </c>
      <c r="V430" s="16">
        <f ca="1">IF(V$6=OFFSET(Assumptions!$B$8,0,$C$1),OFFSET(Assumptions!$B$9,0,$C$1),U$430)</f>
        <v>0</v>
      </c>
      <c r="W430" s="16">
        <f ca="1">IF(W$6=OFFSET(Assumptions!$B$8,0,$C$1),OFFSET(Assumptions!$B$9,0,$C$1),V$430)</f>
        <v>0</v>
      </c>
      <c r="X430" s="16">
        <f ca="1">IF(X$6=OFFSET(Assumptions!$B$8,0,$C$1),OFFSET(Assumptions!$B$9,0,$C$1),W$430)</f>
        <v>0</v>
      </c>
    </row>
    <row r="431" spans="1:24" x14ac:dyDescent="0.25">
      <c r="A431" s="11" t="s">
        <v>1071</v>
      </c>
      <c r="D431" s="35">
        <f t="shared" ref="D431:N431" si="255">D$215</f>
        <v>1.5009999999999999</v>
      </c>
      <c r="E431" s="35">
        <f t="shared" si="255"/>
        <v>1.675</v>
      </c>
      <c r="F431" s="35">
        <f t="shared" si="255"/>
        <v>1.883</v>
      </c>
      <c r="G431" s="35">
        <f t="shared" si="255"/>
        <v>2.0019999999999998</v>
      </c>
      <c r="H431" s="35">
        <f t="shared" si="255"/>
        <v>2.4</v>
      </c>
      <c r="I431" s="35">
        <f t="shared" si="255"/>
        <v>2.81</v>
      </c>
      <c r="J431" s="17">
        <f t="shared" si="255"/>
        <v>2.7429999999999999</v>
      </c>
      <c r="K431" s="17">
        <f t="shared" si="255"/>
        <v>2.9079999999999999</v>
      </c>
      <c r="L431" s="17">
        <f t="shared" si="255"/>
        <v>2.9940000000000002</v>
      </c>
      <c r="M431" s="17">
        <f t="shared" si="255"/>
        <v>3.069</v>
      </c>
      <c r="N431" s="17">
        <f t="shared" si="255"/>
        <v>3.073</v>
      </c>
      <c r="O431" s="16">
        <f t="shared" ref="O431:X431" si="256">N$431</f>
        <v>3.073</v>
      </c>
      <c r="P431" s="16">
        <f t="shared" si="256"/>
        <v>3.073</v>
      </c>
      <c r="Q431" s="16">
        <f t="shared" si="256"/>
        <v>3.073</v>
      </c>
      <c r="R431" s="16">
        <f t="shared" si="256"/>
        <v>3.073</v>
      </c>
      <c r="S431" s="16">
        <f t="shared" si="256"/>
        <v>3.073</v>
      </c>
      <c r="T431" s="16">
        <f t="shared" si="256"/>
        <v>3.073</v>
      </c>
      <c r="U431" s="16">
        <f t="shared" si="256"/>
        <v>3.073</v>
      </c>
      <c r="V431" s="16">
        <f t="shared" si="256"/>
        <v>3.073</v>
      </c>
      <c r="W431" s="16">
        <f t="shared" si="256"/>
        <v>3.073</v>
      </c>
      <c r="X431" s="16">
        <f t="shared" si="256"/>
        <v>3.073</v>
      </c>
    </row>
    <row r="432" spans="1:24" x14ac:dyDescent="0.25">
      <c r="A432" s="11" t="s">
        <v>1068</v>
      </c>
      <c r="D432" s="35">
        <f t="shared" ref="D432:X432" si="257">D$138-D$292</f>
        <v>0.99300000000000033</v>
      </c>
      <c r="E432" s="35">
        <f t="shared" si="257"/>
        <v>0.64000000000000012</v>
      </c>
      <c r="F432" s="35">
        <f t="shared" si="257"/>
        <v>-1.3499999999999996</v>
      </c>
      <c r="G432" s="35">
        <f t="shared" si="257"/>
        <v>-0.83400000000000007</v>
      </c>
      <c r="H432" s="35">
        <f t="shared" si="257"/>
        <v>-2.4960000000000004</v>
      </c>
      <c r="I432" s="35">
        <f t="shared" si="257"/>
        <v>-1.4139999999999997</v>
      </c>
      <c r="J432" s="17">
        <f t="shared" si="257"/>
        <v>-1.6440000000000001</v>
      </c>
      <c r="K432" s="17">
        <f t="shared" si="257"/>
        <v>-2.6550000000000002</v>
      </c>
      <c r="L432" s="17">
        <f t="shared" si="257"/>
        <v>3.0000000000000249E-2</v>
      </c>
      <c r="M432" s="17">
        <f t="shared" si="257"/>
        <v>0.9350000000000005</v>
      </c>
      <c r="N432" s="17">
        <f t="shared" si="257"/>
        <v>0.9870000000000001</v>
      </c>
      <c r="O432" s="16">
        <f t="shared" ca="1" si="257"/>
        <v>0.98530392411196743</v>
      </c>
      <c r="P432" s="16">
        <f t="shared" ca="1" si="257"/>
        <v>0.98115592684073771</v>
      </c>
      <c r="Q432" s="16">
        <f t="shared" ca="1" si="257"/>
        <v>1.0136132214279483</v>
      </c>
      <c r="R432" s="16">
        <f t="shared" ca="1" si="257"/>
        <v>1.0535257627293655</v>
      </c>
      <c r="S432" s="16">
        <f t="shared" ca="1" si="257"/>
        <v>1.0943183620368719</v>
      </c>
      <c r="T432" s="16">
        <f t="shared" ca="1" si="257"/>
        <v>1.1359287661966766</v>
      </c>
      <c r="U432" s="16">
        <f t="shared" ca="1" si="257"/>
        <v>1.1780939640431569</v>
      </c>
      <c r="V432" s="16">
        <f t="shared" ca="1" si="257"/>
        <v>1.2208931075028984</v>
      </c>
      <c r="W432" s="16">
        <f t="shared" ca="1" si="257"/>
        <v>1.2643246020302064</v>
      </c>
      <c r="X432" s="16">
        <f t="shared" ca="1" si="257"/>
        <v>1.3087157269287957</v>
      </c>
    </row>
    <row r="433" spans="1:24" x14ac:dyDescent="0.25">
      <c r="A433" s="11" t="s">
        <v>1069</v>
      </c>
      <c r="B433" s="10" t="str">
        <f t="shared" ref="B433:B434" si="258">$B$38</f>
        <v>From Fiscal Forecasts</v>
      </c>
      <c r="D433" s="35">
        <f>'Fiscal Forecasts'!D$336</f>
        <v>40.21</v>
      </c>
      <c r="E433" s="35">
        <f>'Fiscal Forecasts'!E$336</f>
        <v>39.828000000000003</v>
      </c>
      <c r="F433" s="35">
        <f>'Fiscal Forecasts'!F$336</f>
        <v>41.613999999999997</v>
      </c>
      <c r="G433" s="35">
        <f>'Fiscal Forecasts'!G$336</f>
        <v>47.475999999999999</v>
      </c>
      <c r="H433" s="35">
        <f>'Fiscal Forecasts'!H$336</f>
        <v>53.314</v>
      </c>
      <c r="I433" s="35">
        <f>'Fiscal Forecasts'!I$336</f>
        <v>57.723999999999997</v>
      </c>
      <c r="J433" s="17">
        <f>'Fiscal Forecasts'!J$336</f>
        <v>59.405999999999999</v>
      </c>
      <c r="K433" s="17">
        <f>'Fiscal Forecasts'!K$336</f>
        <v>63.405999999999999</v>
      </c>
      <c r="L433" s="17">
        <f>'Fiscal Forecasts'!L$336</f>
        <v>65.626999999999995</v>
      </c>
      <c r="M433" s="17">
        <f>'Fiscal Forecasts'!M$336</f>
        <v>67.17</v>
      </c>
      <c r="N433" s="17">
        <f>'Fiscal Forecasts'!N$336</f>
        <v>67.893000000000001</v>
      </c>
      <c r="O433" s="16">
        <f ca="1">N$433+IF(O$6=OFFSET(Assumptions!$B$8,0,$C$1),AVERAGE(L$433-K$433,M$433-L$433,N$433-M$433),N$433-M$433)</f>
        <v>69.388666666666666</v>
      </c>
      <c r="P433" s="16">
        <f ca="1">O$433+IF(P$6=OFFSET(Assumptions!$B$8,0,$C$1),AVERAGE(M$433-L$433,N$433-M$433,O$433-N$433),O$433-N$433)</f>
        <v>70.884333333333331</v>
      </c>
      <c r="Q433" s="16">
        <f ca="1">P$433+IF(Q$6=OFFSET(Assumptions!$B$8,0,$C$1),AVERAGE(N$433-M$433,O$433-N$433,P$433-O$433),P$433-O$433)</f>
        <v>72.38</v>
      </c>
      <c r="R433" s="16">
        <f ca="1">Q$433+IF(R$6=OFFSET(Assumptions!$B$8,0,$C$1),AVERAGE(O$433-N$433,P$433-O$433,Q$433-P$433),Q$433-P$433)</f>
        <v>73.87566666666666</v>
      </c>
      <c r="S433" s="16">
        <f ca="1">R$433+IF(S$6=OFFSET(Assumptions!$B$8,0,$C$1),AVERAGE(P$433-O$433,Q$433-P$433,R$433-Q$433),R$433-Q$433)</f>
        <v>75.371333333333325</v>
      </c>
      <c r="T433" s="16">
        <f ca="1">S$433+IF(T$6=OFFSET(Assumptions!$B$8,0,$C$1),AVERAGE(Q$433-P$433,R$433-Q$433,S$433-R$433),S$433-R$433)</f>
        <v>76.86699999999999</v>
      </c>
      <c r="U433" s="16">
        <f ca="1">T$433+IF(U$6=OFFSET(Assumptions!$B$8,0,$C$1),AVERAGE(R$433-Q$433,S$433-R$433,T$433-S$433),T$433-S$433)</f>
        <v>78.362666666666655</v>
      </c>
      <c r="V433" s="16">
        <f ca="1">U$433+IF(V$6=OFFSET(Assumptions!$B$8,0,$C$1),AVERAGE(S$433-R$433,T$433-S$433,U$433-T$433),U$433-T$433)</f>
        <v>79.85833333333332</v>
      </c>
      <c r="W433" s="16">
        <f ca="1">V$433+IF(W$6=OFFSET(Assumptions!$B$8,0,$C$1),AVERAGE(T$433-S$433,U$433-T$433,V$433-U$433),V$433-U$433)</f>
        <v>81.353999999999985</v>
      </c>
      <c r="X433" s="16">
        <f ca="1">W$433+IF(X$6=OFFSET(Assumptions!$B$8,0,$C$1),AVERAGE(U$433-T$433,V$433-U$433,W$433-V$433),W$433-V$433)</f>
        <v>82.84966666666665</v>
      </c>
    </row>
    <row r="434" spans="1:24" x14ac:dyDescent="0.25">
      <c r="A434" s="11" t="s">
        <v>1072</v>
      </c>
      <c r="B434" s="10" t="str">
        <f t="shared" si="258"/>
        <v>From Fiscal Forecasts</v>
      </c>
      <c r="D434" s="35">
        <f>'Fiscal Forecasts'!D$348-D$431</f>
        <v>3.0530000000000004</v>
      </c>
      <c r="E434" s="35">
        <f>'Fiscal Forecasts'!E$348-E$431</f>
        <v>3.6189999999999998</v>
      </c>
      <c r="F434" s="35">
        <f>'Fiscal Forecasts'!F$348-F$431</f>
        <v>3.6829999999999998</v>
      </c>
      <c r="G434" s="35">
        <f>'Fiscal Forecasts'!G$348-G$431</f>
        <v>4.1500000000000004</v>
      </c>
      <c r="H434" s="35">
        <f>'Fiscal Forecasts'!H$348-H$431</f>
        <v>4.2010000000000005</v>
      </c>
      <c r="I434" s="35">
        <f>'Fiscal Forecasts'!I$348-I$431</f>
        <v>4.8109999999999999</v>
      </c>
      <c r="J434" s="17">
        <f>'Fiscal Forecasts'!J$348-J$431</f>
        <v>5.3170000000000002</v>
      </c>
      <c r="K434" s="17">
        <f>'Fiscal Forecasts'!K$348-K$431</f>
        <v>5.516</v>
      </c>
      <c r="L434" s="17">
        <f>'Fiscal Forecasts'!L$348-L$431</f>
        <v>5.7230000000000008</v>
      </c>
      <c r="M434" s="17">
        <f>'Fiscal Forecasts'!M$348-M$431</f>
        <v>5.9950000000000001</v>
      </c>
      <c r="N434" s="17">
        <f>'Fiscal Forecasts'!N$348-N$431</f>
        <v>6.1319999999999997</v>
      </c>
      <c r="O434" s="16">
        <f t="shared" ref="O434:X434" ca="1" si="259">SUM(O$216:O$217)</f>
        <v>6.1607767255345767</v>
      </c>
      <c r="P434" s="16">
        <f t="shared" ca="1" si="259"/>
        <v>6.1895053385363266</v>
      </c>
      <c r="Q434" s="16">
        <f t="shared" ca="1" si="259"/>
        <v>6.2186104230131534</v>
      </c>
      <c r="R434" s="16">
        <f t="shared" ca="1" si="259"/>
        <v>6.2481784522143897</v>
      </c>
      <c r="S434" s="16">
        <f t="shared" ca="1" si="259"/>
        <v>6.2782196339142793</v>
      </c>
      <c r="T434" s="16">
        <f t="shared" ca="1" si="259"/>
        <v>6.308743453814051</v>
      </c>
      <c r="U434" s="16">
        <f t="shared" ca="1" si="259"/>
        <v>6.3397563469539673</v>
      </c>
      <c r="V434" s="16">
        <f t="shared" ca="1" si="259"/>
        <v>6.3712656664558232</v>
      </c>
      <c r="W434" s="16">
        <f t="shared" ca="1" si="259"/>
        <v>6.4032787469463068</v>
      </c>
      <c r="X434" s="16">
        <f t="shared" ca="1" si="259"/>
        <v>6.4358067191578474</v>
      </c>
    </row>
    <row r="436" spans="1:24" x14ac:dyDescent="0.25">
      <c r="A436" s="9" t="s">
        <v>627</v>
      </c>
    </row>
    <row r="437" spans="1:24" x14ac:dyDescent="0.25">
      <c r="A437" s="9" t="s">
        <v>1074</v>
      </c>
      <c r="B437" s="10" t="str">
        <f t="shared" ref="B437:B438" si="260">$B$38</f>
        <v>From Fiscal Forecasts</v>
      </c>
      <c r="C437" s="64" cm="1">
        <f t="array" aca="1" ref="C437" ca="1">SUMPRODUCT(OFFSET($N$437,0,0,1,-OFFSET(Assumptions!$B$59,0,$C$1))/OFFSET($N$13,0,0,1,-OFFSET(Assumptions!$B$59,0,$C$1)))/OFFSET(Assumptions!$B$59,0,$C$1)</f>
        <v>0.17001946418798214</v>
      </c>
      <c r="D437" s="42">
        <f>'Fiscal Forecasts'!D$187</f>
        <v>46.601999999999997</v>
      </c>
      <c r="E437" s="42">
        <f>'Fiscal Forecasts'!E$187</f>
        <v>49.604999999999997</v>
      </c>
      <c r="F437" s="42">
        <f>'Fiscal Forecasts'!F$187</f>
        <v>53.877000000000002</v>
      </c>
      <c r="G437" s="42">
        <f>'Fiscal Forecasts'!G$187</f>
        <v>57.801000000000002</v>
      </c>
      <c r="H437" s="42">
        <f>'Fiscal Forecasts'!H$187</f>
        <v>64.816999999999993</v>
      </c>
      <c r="I437" s="42">
        <f>'Fiscal Forecasts'!I$187</f>
        <v>69.174000000000007</v>
      </c>
      <c r="J437" s="43">
        <f>'Fiscal Forecasts'!J$187</f>
        <v>76.697999999999993</v>
      </c>
      <c r="K437" s="43">
        <f>'Fiscal Forecasts'!K$187</f>
        <v>82.582999999999998</v>
      </c>
      <c r="L437" s="43">
        <f>'Fiscal Forecasts'!L$187</f>
        <v>87.412000000000006</v>
      </c>
      <c r="M437" s="43">
        <f>'Fiscal Forecasts'!M$187</f>
        <v>91.539000000000001</v>
      </c>
      <c r="N437" s="43">
        <f>'Fiscal Forecasts'!N$187</f>
        <v>94.503</v>
      </c>
      <c r="O437" s="47">
        <f ca="1">SUM(N$437,O$138-O$292)</f>
        <v>95.48830392411196</v>
      </c>
      <c r="P437" s="47">
        <f t="shared" ref="P437:X437" ca="1" si="261">SUM(O$437,P$138-P$292)</f>
        <v>96.469459850952703</v>
      </c>
      <c r="Q437" s="47">
        <f t="shared" ca="1" si="261"/>
        <v>97.483073072380648</v>
      </c>
      <c r="R437" s="47">
        <f t="shared" ca="1" si="261"/>
        <v>98.536598835110013</v>
      </c>
      <c r="S437" s="47">
        <f t="shared" ca="1" si="261"/>
        <v>99.630917197146886</v>
      </c>
      <c r="T437" s="47">
        <f t="shared" ca="1" si="261"/>
        <v>100.76684596334356</v>
      </c>
      <c r="U437" s="47">
        <f t="shared" ca="1" si="261"/>
        <v>101.94493992738671</v>
      </c>
      <c r="V437" s="47">
        <f t="shared" ca="1" si="261"/>
        <v>103.16583303488962</v>
      </c>
      <c r="W437" s="47">
        <f t="shared" ca="1" si="261"/>
        <v>104.43015763691982</v>
      </c>
      <c r="X437" s="47">
        <f t="shared" ca="1" si="261"/>
        <v>105.73887336384861</v>
      </c>
    </row>
    <row r="438" spans="1:24" x14ac:dyDescent="0.25">
      <c r="A438" s="9" t="s">
        <v>1075</v>
      </c>
      <c r="B438" s="10" t="str">
        <f t="shared" si="260"/>
        <v>From Fiscal Forecasts</v>
      </c>
      <c r="D438" s="42">
        <f>'Fiscal Forecasts'!D$129</f>
        <v>14.65</v>
      </c>
      <c r="E438" s="42">
        <f>'Fiscal Forecasts'!E$129</f>
        <v>14.308</v>
      </c>
      <c r="F438" s="42">
        <f>'Fiscal Forecasts'!F$129</f>
        <v>14.420999999999999</v>
      </c>
      <c r="G438" s="42">
        <f>'Fiscal Forecasts'!G$129</f>
        <v>16.247</v>
      </c>
      <c r="H438" s="42">
        <f>'Fiscal Forecasts'!H$129</f>
        <v>17.033999999999999</v>
      </c>
      <c r="I438" s="42">
        <f>'Fiscal Forecasts'!I$129</f>
        <v>17.951000000000001</v>
      </c>
      <c r="J438" s="43">
        <f>'Fiscal Forecasts'!J$129</f>
        <v>18.553000000000001</v>
      </c>
      <c r="K438" s="43">
        <f>'Fiscal Forecasts'!K$129</f>
        <v>16.738</v>
      </c>
      <c r="L438" s="43">
        <f>'Fiscal Forecasts'!L$129</f>
        <v>17.015000000000001</v>
      </c>
      <c r="M438" s="43">
        <f>'Fiscal Forecasts'!M$129</f>
        <v>17.399000000000001</v>
      </c>
      <c r="N438" s="43">
        <f>'Fiscal Forecasts'!N$129</f>
        <v>17.648</v>
      </c>
      <c r="O438" s="47">
        <f ca="1">N$438*(1+O$29)</f>
        <v>18.000959999999999</v>
      </c>
      <c r="P438" s="47">
        <f t="shared" ref="P438:X438" ca="1" si="262">O$438*(1+P$29)</f>
        <v>18.360979199999999</v>
      </c>
      <c r="Q438" s="47">
        <f t="shared" ca="1" si="262"/>
        <v>18.728198784</v>
      </c>
      <c r="R438" s="47">
        <f t="shared" ca="1" si="262"/>
        <v>19.102762759680001</v>
      </c>
      <c r="S438" s="47">
        <f t="shared" ca="1" si="262"/>
        <v>19.4848180148736</v>
      </c>
      <c r="T438" s="47">
        <f t="shared" ca="1" si="262"/>
        <v>19.874514375171071</v>
      </c>
      <c r="U438" s="47">
        <f t="shared" ca="1" si="262"/>
        <v>20.272004662674494</v>
      </c>
      <c r="V438" s="47">
        <f t="shared" ca="1" si="262"/>
        <v>20.677444755927983</v>
      </c>
      <c r="W438" s="47">
        <f t="shared" ca="1" si="262"/>
        <v>21.090993651046542</v>
      </c>
      <c r="X438" s="47">
        <f t="shared" ca="1" si="262"/>
        <v>21.512813524067472</v>
      </c>
    </row>
    <row r="440" spans="1:24" x14ac:dyDescent="0.25">
      <c r="A440" s="9" t="s">
        <v>628</v>
      </c>
    </row>
    <row r="441" spans="1:24" x14ac:dyDescent="0.25">
      <c r="A441" s="9" t="s">
        <v>1107</v>
      </c>
      <c r="B441" s="10" t="str">
        <f t="shared" ref="B441:B443" si="263">$B$38</f>
        <v>From Fiscal Forecasts</v>
      </c>
      <c r="D441" s="42">
        <f>'Fiscal Forecasts'!D$188</f>
        <v>1.681</v>
      </c>
      <c r="E441" s="42">
        <f>'Fiscal Forecasts'!E$188</f>
        <v>1.57</v>
      </c>
      <c r="F441" s="42">
        <f>'Fiscal Forecasts'!F$188</f>
        <v>1.637</v>
      </c>
      <c r="G441" s="42">
        <f>'Fiscal Forecasts'!G$188</f>
        <v>1.4650000000000001</v>
      </c>
      <c r="H441" s="42">
        <f>'Fiscal Forecasts'!H$188</f>
        <v>1.583</v>
      </c>
      <c r="I441" s="42">
        <f>'Fiscal Forecasts'!I$188</f>
        <v>1.577</v>
      </c>
      <c r="J441" s="43">
        <f>'Fiscal Forecasts'!J$188</f>
        <v>1.7330000000000001</v>
      </c>
      <c r="K441" s="43">
        <f>'Fiscal Forecasts'!K$188</f>
        <v>1.764</v>
      </c>
      <c r="L441" s="43">
        <f>'Fiscal Forecasts'!L$188</f>
        <v>1.72</v>
      </c>
      <c r="M441" s="43">
        <f>'Fiscal Forecasts'!M$188</f>
        <v>1.665</v>
      </c>
      <c r="N441" s="43">
        <f>'Fiscal Forecasts'!N$188</f>
        <v>1.607</v>
      </c>
      <c r="O441" s="47">
        <f t="shared" ref="O441:X441" si="264">N$441</f>
        <v>1.607</v>
      </c>
      <c r="P441" s="47">
        <f t="shared" si="264"/>
        <v>1.607</v>
      </c>
      <c r="Q441" s="47">
        <f t="shared" si="264"/>
        <v>1.607</v>
      </c>
      <c r="R441" s="47">
        <f t="shared" si="264"/>
        <v>1.607</v>
      </c>
      <c r="S441" s="47">
        <f t="shared" si="264"/>
        <v>1.607</v>
      </c>
      <c r="T441" s="47">
        <f t="shared" si="264"/>
        <v>1.607</v>
      </c>
      <c r="U441" s="47">
        <f t="shared" si="264"/>
        <v>1.607</v>
      </c>
      <c r="V441" s="47">
        <f t="shared" si="264"/>
        <v>1.607</v>
      </c>
      <c r="W441" s="47">
        <f t="shared" si="264"/>
        <v>1.607</v>
      </c>
      <c r="X441" s="47">
        <f t="shared" si="264"/>
        <v>1.607</v>
      </c>
    </row>
    <row r="442" spans="1:24" x14ac:dyDescent="0.25">
      <c r="A442" s="11" t="s">
        <v>707</v>
      </c>
      <c r="B442" s="10" t="str">
        <f t="shared" si="263"/>
        <v>From Fiscal Forecasts</v>
      </c>
      <c r="D442" s="35">
        <f>'Fiscal Forecasts'!D$353</f>
        <v>0.69299999999999995</v>
      </c>
      <c r="E442" s="35">
        <f>'Fiscal Forecasts'!E$353</f>
        <v>0.81599999999999995</v>
      </c>
      <c r="F442" s="35">
        <f>'Fiscal Forecasts'!F$353</f>
        <v>0.83299999999999996</v>
      </c>
      <c r="G442" s="35">
        <f>'Fiscal Forecasts'!G$353</f>
        <v>0.72799999999999998</v>
      </c>
      <c r="H442" s="35">
        <f>'Fiscal Forecasts'!H$353</f>
        <v>0.98099999999999998</v>
      </c>
      <c r="I442" s="35">
        <f>'Fiscal Forecasts'!I$353</f>
        <v>1.008</v>
      </c>
      <c r="J442" s="17">
        <f>'Fiscal Forecasts'!J$353</f>
        <v>0.98899999999999999</v>
      </c>
      <c r="K442" s="17">
        <f>'Fiscal Forecasts'!K$353</f>
        <v>1.0009999999999999</v>
      </c>
      <c r="L442" s="17">
        <f>'Fiscal Forecasts'!L$353</f>
        <v>0.98899999999999999</v>
      </c>
      <c r="M442" s="17">
        <f>'Fiscal Forecasts'!M$353</f>
        <v>0.98199999999999998</v>
      </c>
      <c r="N442" s="17">
        <f>'Fiscal Forecasts'!N$353</f>
        <v>0.98699999999999999</v>
      </c>
      <c r="O442" s="16">
        <f t="shared" ref="O442:X442" ca="1" si="265">N$442*(1+O$29)</f>
        <v>1.00674</v>
      </c>
      <c r="P442" s="16">
        <f t="shared" ca="1" si="265"/>
        <v>1.0268748000000001</v>
      </c>
      <c r="Q442" s="16">
        <f t="shared" ca="1" si="265"/>
        <v>1.0474122960000001</v>
      </c>
      <c r="R442" s="16">
        <f t="shared" ca="1" si="265"/>
        <v>1.0683605419200002</v>
      </c>
      <c r="S442" s="16">
        <f t="shared" ca="1" si="265"/>
        <v>1.0897277527584002</v>
      </c>
      <c r="T442" s="16">
        <f t="shared" ca="1" si="265"/>
        <v>1.1115223078135681</v>
      </c>
      <c r="U442" s="16">
        <f t="shared" ca="1" si="265"/>
        <v>1.1337527539698395</v>
      </c>
      <c r="V442" s="16">
        <f t="shared" ca="1" si="265"/>
        <v>1.1564278090492364</v>
      </c>
      <c r="W442" s="16">
        <f t="shared" ca="1" si="265"/>
        <v>1.179556365230221</v>
      </c>
      <c r="X442" s="16">
        <f t="shared" ca="1" si="265"/>
        <v>1.2031474925348253</v>
      </c>
    </row>
    <row r="443" spans="1:24" x14ac:dyDescent="0.25">
      <c r="A443" s="11" t="s">
        <v>1078</v>
      </c>
      <c r="B443" s="10" t="str">
        <f t="shared" si="263"/>
        <v>From Fiscal Forecasts</v>
      </c>
      <c r="D443" s="35">
        <f>SUM('Fiscal Forecasts'!D$354:D$355)</f>
        <v>1.5369999999999999</v>
      </c>
      <c r="E443" s="35">
        <f>SUM('Fiscal Forecasts'!E$354:E$355)</f>
        <v>1.506</v>
      </c>
      <c r="F443" s="35">
        <f>SUM('Fiscal Forecasts'!F$354:F$355)</f>
        <v>1.131</v>
      </c>
      <c r="G443" s="35">
        <f>SUM('Fiscal Forecasts'!G$354:G$355)</f>
        <v>1.504</v>
      </c>
      <c r="H443" s="35">
        <f>SUM('Fiscal Forecasts'!H$354:H$355)</f>
        <v>1.3439999999999999</v>
      </c>
      <c r="I443" s="35">
        <f>SUM('Fiscal Forecasts'!I$354:I$355)</f>
        <v>1.4989999999999999</v>
      </c>
      <c r="J443" s="17">
        <f>SUM('Fiscal Forecasts'!J$354:J$355)</f>
        <v>1.4809999999999999</v>
      </c>
      <c r="K443" s="17">
        <f>SUM('Fiscal Forecasts'!K$354:K$355)</f>
        <v>1.4259999999999999</v>
      </c>
      <c r="L443" s="17">
        <f>SUM('Fiscal Forecasts'!L$354:L$355)</f>
        <v>1.407</v>
      </c>
      <c r="M443" s="17">
        <f>SUM('Fiscal Forecasts'!M$354:M$355)</f>
        <v>1.399</v>
      </c>
      <c r="N443" s="17">
        <f>SUM('Fiscal Forecasts'!N$354:N$355)</f>
        <v>1.4129999999999998</v>
      </c>
      <c r="O443" s="16">
        <f t="shared" ref="O443:X443" ca="1" si="266">N$443*(1+O$29)</f>
        <v>1.4412599999999998</v>
      </c>
      <c r="P443" s="16">
        <f t="shared" ca="1" si="266"/>
        <v>1.4700851999999998</v>
      </c>
      <c r="Q443" s="16">
        <f t="shared" ca="1" si="266"/>
        <v>1.4994869039999998</v>
      </c>
      <c r="R443" s="16">
        <f t="shared" ca="1" si="266"/>
        <v>1.5294766420799999</v>
      </c>
      <c r="S443" s="16">
        <f t="shared" ca="1" si="266"/>
        <v>1.5600661749215998</v>
      </c>
      <c r="T443" s="16">
        <f t="shared" ca="1" si="266"/>
        <v>1.5912674984200319</v>
      </c>
      <c r="U443" s="16">
        <f t="shared" ca="1" si="266"/>
        <v>1.6230928483884326</v>
      </c>
      <c r="V443" s="16">
        <f t="shared" ca="1" si="266"/>
        <v>1.6555547053562012</v>
      </c>
      <c r="W443" s="16">
        <f t="shared" ca="1" si="266"/>
        <v>1.6886657994633252</v>
      </c>
      <c r="X443" s="16">
        <f t="shared" ca="1" si="266"/>
        <v>1.7224391154525918</v>
      </c>
    </row>
    <row r="444" spans="1:24" x14ac:dyDescent="0.25">
      <c r="A444" s="9" t="s">
        <v>1077</v>
      </c>
      <c r="D444" s="65">
        <f t="shared" ref="D444:X444" si="267">SUM(D$441:D$443)</f>
        <v>3.911</v>
      </c>
      <c r="E444" s="65">
        <f t="shared" si="267"/>
        <v>3.8920000000000003</v>
      </c>
      <c r="F444" s="65">
        <f t="shared" si="267"/>
        <v>3.601</v>
      </c>
      <c r="G444" s="65">
        <f t="shared" si="267"/>
        <v>3.6970000000000001</v>
      </c>
      <c r="H444" s="65">
        <f t="shared" si="267"/>
        <v>3.9079999999999999</v>
      </c>
      <c r="I444" s="65">
        <f t="shared" si="267"/>
        <v>4.0839999999999996</v>
      </c>
      <c r="J444" s="66">
        <f t="shared" si="267"/>
        <v>4.2029999999999994</v>
      </c>
      <c r="K444" s="66">
        <f t="shared" si="267"/>
        <v>4.1909999999999998</v>
      </c>
      <c r="L444" s="66">
        <f t="shared" si="267"/>
        <v>4.1159999999999997</v>
      </c>
      <c r="M444" s="66">
        <f t="shared" si="267"/>
        <v>4.0460000000000003</v>
      </c>
      <c r="N444" s="66">
        <f t="shared" si="267"/>
        <v>4.0069999999999997</v>
      </c>
      <c r="O444" s="67">
        <f t="shared" ca="1" si="267"/>
        <v>4.0549999999999997</v>
      </c>
      <c r="P444" s="67">
        <f t="shared" ca="1" si="267"/>
        <v>4.1039599999999998</v>
      </c>
      <c r="Q444" s="67">
        <f t="shared" ca="1" si="267"/>
        <v>4.1538991999999997</v>
      </c>
      <c r="R444" s="67">
        <f t="shared" ca="1" si="267"/>
        <v>4.2048371839999996</v>
      </c>
      <c r="S444" s="67">
        <f t="shared" ca="1" si="267"/>
        <v>4.2567939276800004</v>
      </c>
      <c r="T444" s="67">
        <f t="shared" ca="1" si="267"/>
        <v>4.3097898062336002</v>
      </c>
      <c r="U444" s="67">
        <f t="shared" ca="1" si="267"/>
        <v>4.3638456023582721</v>
      </c>
      <c r="V444" s="67">
        <f t="shared" ca="1" si="267"/>
        <v>4.418982514405438</v>
      </c>
      <c r="W444" s="67">
        <f t="shared" ca="1" si="267"/>
        <v>4.4752221646935464</v>
      </c>
      <c r="X444" s="67">
        <f t="shared" ca="1" si="267"/>
        <v>4.5325866079874171</v>
      </c>
    </row>
    <row r="446" spans="1:24" x14ac:dyDescent="0.25">
      <c r="A446" s="9" t="s">
        <v>1079</v>
      </c>
    </row>
    <row r="447" spans="1:24" x14ac:dyDescent="0.25">
      <c r="A447" s="11" t="s">
        <v>742</v>
      </c>
      <c r="B447" s="10" t="str">
        <f t="shared" ref="B447:B451" si="268">$B$38</f>
        <v>From Fiscal Forecasts</v>
      </c>
      <c r="D447" s="35">
        <f>'Fiscal Forecasts'!D$293</f>
        <v>0</v>
      </c>
      <c r="E447" s="35">
        <f>'Fiscal Forecasts'!E$293</f>
        <v>0</v>
      </c>
      <c r="F447" s="35">
        <f>'Fiscal Forecasts'!F$293</f>
        <v>0</v>
      </c>
      <c r="G447" s="35">
        <f>'Fiscal Forecasts'!G$293</f>
        <v>0</v>
      </c>
      <c r="H447" s="35">
        <f>'Fiscal Forecasts'!H$293</f>
        <v>0</v>
      </c>
      <c r="I447" s="35">
        <f>'Fiscal Forecasts'!I$293</f>
        <v>0</v>
      </c>
      <c r="J447" s="17">
        <f>'Fiscal Forecasts'!J$293</f>
        <v>0</v>
      </c>
      <c r="K447" s="17">
        <f>'Fiscal Forecasts'!K$293</f>
        <v>2.56</v>
      </c>
      <c r="L447" s="17">
        <f>'Fiscal Forecasts'!L$293</f>
        <v>2.4780000000000002</v>
      </c>
      <c r="M447" s="17">
        <f>'Fiscal Forecasts'!M$293</f>
        <v>1.5880000000000001</v>
      </c>
      <c r="N447" s="17">
        <f>'Fiscal Forecasts'!N$293</f>
        <v>1.2010000000000001</v>
      </c>
      <c r="O447" s="16">
        <f ca="1">IF(O$6=OFFSET(Assumptions!$B$8,0,$C$1),OFFSET(Assumptions!$B$9,0,$C$1),N$447)</f>
        <v>0</v>
      </c>
      <c r="P447" s="16">
        <f ca="1">IF(P$6=OFFSET(Assumptions!$B$8,0,$C$1),OFFSET(Assumptions!$B$9,0,$C$1),O$447)</f>
        <v>0</v>
      </c>
      <c r="Q447" s="16">
        <f ca="1">IF(Q$6=OFFSET(Assumptions!$B$8,0,$C$1),OFFSET(Assumptions!$B$9,0,$C$1),P$447)</f>
        <v>0</v>
      </c>
      <c r="R447" s="16">
        <f ca="1">IF(R$6=OFFSET(Assumptions!$B$8,0,$C$1),OFFSET(Assumptions!$B$9,0,$C$1),Q$447)</f>
        <v>0</v>
      </c>
      <c r="S447" s="16">
        <f ca="1">IF(S$6=OFFSET(Assumptions!$B$8,0,$C$1),OFFSET(Assumptions!$B$9,0,$C$1),R$447)</f>
        <v>0</v>
      </c>
      <c r="T447" s="16">
        <f ca="1">IF(T$6=OFFSET(Assumptions!$B$8,0,$C$1),OFFSET(Assumptions!$B$9,0,$C$1),S$447)</f>
        <v>0</v>
      </c>
      <c r="U447" s="16">
        <f ca="1">IF(U$6=OFFSET(Assumptions!$B$8,0,$C$1),OFFSET(Assumptions!$B$9,0,$C$1),T$447)</f>
        <v>0</v>
      </c>
      <c r="V447" s="16">
        <f ca="1">IF(V$6=OFFSET(Assumptions!$B$8,0,$C$1),OFFSET(Assumptions!$B$9,0,$C$1),U$447)</f>
        <v>0</v>
      </c>
      <c r="W447" s="16">
        <f ca="1">IF(W$6=OFFSET(Assumptions!$B$8,0,$C$1),OFFSET(Assumptions!$B$9,0,$C$1),V$447)</f>
        <v>0</v>
      </c>
      <c r="X447" s="16">
        <f ca="1">IF(X$6=OFFSET(Assumptions!$B$8,0,$C$1),OFFSET(Assumptions!$B$9,0,$C$1),W$447)</f>
        <v>0</v>
      </c>
    </row>
    <row r="448" spans="1:24" x14ac:dyDescent="0.25">
      <c r="A448" s="11" t="s">
        <v>1080</v>
      </c>
      <c r="B448" s="10" t="str">
        <f t="shared" si="268"/>
        <v>From Fiscal Forecasts</v>
      </c>
      <c r="D448" s="35">
        <f>SUM('Fiscal Forecasts'!D$294:D$297)</f>
        <v>0</v>
      </c>
      <c r="E448" s="35">
        <f>SUM('Fiscal Forecasts'!E$294:E$297)</f>
        <v>0</v>
      </c>
      <c r="F448" s="35">
        <f>SUM('Fiscal Forecasts'!F$294:F$297)</f>
        <v>0</v>
      </c>
      <c r="G448" s="35">
        <f>SUM('Fiscal Forecasts'!G$294:G$297)</f>
        <v>0</v>
      </c>
      <c r="H448" s="35">
        <f>SUM('Fiscal Forecasts'!H$294:H$297)</f>
        <v>0</v>
      </c>
      <c r="I448" s="35">
        <f>SUM('Fiscal Forecasts'!I$294:I$297)</f>
        <v>0</v>
      </c>
      <c r="J448" s="17">
        <f>SUM('Fiscal Forecasts'!J$294:J$297)</f>
        <v>0</v>
      </c>
      <c r="K448" s="17">
        <f>SUM('Fiscal Forecasts'!K$294:K$297)</f>
        <v>0</v>
      </c>
      <c r="L448" s="17">
        <f>SUM('Fiscal Forecasts'!L$294:L$297)</f>
        <v>0.66400000000000003</v>
      </c>
      <c r="M448" s="17">
        <f>SUM('Fiscal Forecasts'!M$294:M$297)</f>
        <v>1.8890000000000002</v>
      </c>
      <c r="N448" s="17">
        <f>SUM('Fiscal Forecasts'!N$294:N$297)</f>
        <v>2.83</v>
      </c>
      <c r="O448" s="16">
        <f ca="1">IF(O$6=OFFSET(Assumptions!$B$8,0,$C$1),OFFSET(Assumptions!$B$43,0,$C$1),N$448*(1+OFFSET(Assumptions!$B$44,0,$C$1)))</f>
        <v>7</v>
      </c>
      <c r="P448" s="16">
        <f ca="1">IF(P$6=OFFSET(Assumptions!$B$8,0,$C$1),OFFSET(Assumptions!$B$43,0,$C$1),O$448*(1+OFFSET(Assumptions!$B$44,0,$C$1)))</f>
        <v>7.21</v>
      </c>
      <c r="Q448" s="16">
        <f ca="1">IF(Q$6=OFFSET(Assumptions!$B$8,0,$C$1),OFFSET(Assumptions!$B$43,0,$C$1),P$448*(1+OFFSET(Assumptions!$B$44,0,$C$1)))</f>
        <v>7.4263000000000003</v>
      </c>
      <c r="R448" s="16">
        <f ca="1">IF(R$6=OFFSET(Assumptions!$B$8,0,$C$1),OFFSET(Assumptions!$B$43,0,$C$1),Q$448*(1+OFFSET(Assumptions!$B$44,0,$C$1)))</f>
        <v>7.6490890000000009</v>
      </c>
      <c r="S448" s="16">
        <f ca="1">IF(S$6=OFFSET(Assumptions!$B$8,0,$C$1),OFFSET(Assumptions!$B$43,0,$C$1),R$448*(1+OFFSET(Assumptions!$B$44,0,$C$1)))</f>
        <v>7.8785616700000007</v>
      </c>
      <c r="T448" s="16">
        <f ca="1">IF(T$6=OFFSET(Assumptions!$B$8,0,$C$1),OFFSET(Assumptions!$B$43,0,$C$1),S$448*(1+OFFSET(Assumptions!$B$44,0,$C$1)))</f>
        <v>8.1149185201000016</v>
      </c>
      <c r="U448" s="16">
        <f ca="1">IF(U$6=OFFSET(Assumptions!$B$8,0,$C$1),OFFSET(Assumptions!$B$43,0,$C$1),T$448*(1+OFFSET(Assumptions!$B$44,0,$C$1)))</f>
        <v>8.3583660757030014</v>
      </c>
      <c r="V448" s="16">
        <f ca="1">IF(V$6=OFFSET(Assumptions!$B$8,0,$C$1),OFFSET(Assumptions!$B$43,0,$C$1),U$448*(1+OFFSET(Assumptions!$B$44,0,$C$1)))</f>
        <v>8.6091170579740908</v>
      </c>
      <c r="W448" s="16">
        <f ca="1">IF(W$6=OFFSET(Assumptions!$B$8,0,$C$1),OFFSET(Assumptions!$B$43,0,$C$1),V$448*(1+OFFSET(Assumptions!$B$44,0,$C$1)))</f>
        <v>8.8673905697133133</v>
      </c>
      <c r="X448" s="16">
        <f ca="1">IF(X$6=OFFSET(Assumptions!$B$8,0,$C$1),OFFSET(Assumptions!$B$43,0,$C$1),W$448*(1+OFFSET(Assumptions!$B$44,0,$C$1)))</f>
        <v>9.1334122868047132</v>
      </c>
    </row>
    <row r="449" spans="1:24" x14ac:dyDescent="0.25">
      <c r="A449" s="9" t="s">
        <v>1081</v>
      </c>
      <c r="D449" s="65">
        <f t="shared" ref="D449:X449" si="269">SUM(D$447:D$448)</f>
        <v>0</v>
      </c>
      <c r="E449" s="65">
        <f t="shared" si="269"/>
        <v>0</v>
      </c>
      <c r="F449" s="65">
        <f t="shared" si="269"/>
        <v>0</v>
      </c>
      <c r="G449" s="65">
        <f t="shared" si="269"/>
        <v>0</v>
      </c>
      <c r="H449" s="65">
        <f t="shared" si="269"/>
        <v>0</v>
      </c>
      <c r="I449" s="65">
        <f t="shared" si="269"/>
        <v>0</v>
      </c>
      <c r="J449" s="66">
        <f t="shared" si="269"/>
        <v>0</v>
      </c>
      <c r="K449" s="66">
        <f t="shared" si="269"/>
        <v>2.56</v>
      </c>
      <c r="L449" s="66">
        <f t="shared" si="269"/>
        <v>3.1420000000000003</v>
      </c>
      <c r="M449" s="66">
        <f t="shared" si="269"/>
        <v>3.4770000000000003</v>
      </c>
      <c r="N449" s="66">
        <f t="shared" si="269"/>
        <v>4.0310000000000006</v>
      </c>
      <c r="O449" s="67">
        <f t="shared" ca="1" si="269"/>
        <v>7</v>
      </c>
      <c r="P449" s="67">
        <f t="shared" ca="1" si="269"/>
        <v>7.21</v>
      </c>
      <c r="Q449" s="67">
        <f t="shared" ca="1" si="269"/>
        <v>7.4263000000000003</v>
      </c>
      <c r="R449" s="67">
        <f t="shared" ca="1" si="269"/>
        <v>7.6490890000000009</v>
      </c>
      <c r="S449" s="67">
        <f t="shared" ca="1" si="269"/>
        <v>7.8785616700000007</v>
      </c>
      <c r="T449" s="67">
        <f t="shared" ca="1" si="269"/>
        <v>8.1149185201000016</v>
      </c>
      <c r="U449" s="67">
        <f t="shared" ca="1" si="269"/>
        <v>8.3583660757030014</v>
      </c>
      <c r="V449" s="67">
        <f t="shared" ca="1" si="269"/>
        <v>8.6091170579740908</v>
      </c>
      <c r="W449" s="67">
        <f t="shared" ca="1" si="269"/>
        <v>8.8673905697133133</v>
      </c>
      <c r="X449" s="67">
        <f t="shared" ca="1" si="269"/>
        <v>9.1334122868047132</v>
      </c>
    </row>
    <row r="450" spans="1:24" x14ac:dyDescent="0.25">
      <c r="A450" s="9" t="s">
        <v>1082</v>
      </c>
      <c r="B450" s="10" t="str">
        <f t="shared" si="268"/>
        <v>From Fiscal Forecasts</v>
      </c>
      <c r="D450" s="42">
        <f>'Fiscal Forecasts'!D$131</f>
        <v>0</v>
      </c>
      <c r="E450" s="42">
        <f>'Fiscal Forecasts'!E$131</f>
        <v>0</v>
      </c>
      <c r="F450" s="42">
        <f>'Fiscal Forecasts'!F$131</f>
        <v>0</v>
      </c>
      <c r="G450" s="42">
        <f>'Fiscal Forecasts'!G$131</f>
        <v>0</v>
      </c>
      <c r="H450" s="42">
        <f>'Fiscal Forecasts'!H$131</f>
        <v>0</v>
      </c>
      <c r="I450" s="42">
        <f>'Fiscal Forecasts'!I$131</f>
        <v>0</v>
      </c>
      <c r="J450" s="43">
        <f>'Fiscal Forecasts'!J$131</f>
        <v>0</v>
      </c>
      <c r="K450" s="43">
        <f>'Fiscal Forecasts'!K$131</f>
        <v>2.56</v>
      </c>
      <c r="L450" s="43">
        <f>'Fiscal Forecasts'!L$131</f>
        <v>5.702</v>
      </c>
      <c r="M450" s="43">
        <f>'Fiscal Forecasts'!M$131</f>
        <v>9.1790000000000003</v>
      </c>
      <c r="N450" s="43">
        <f>'Fiscal Forecasts'!N$131</f>
        <v>13.21</v>
      </c>
      <c r="O450" s="47">
        <f ca="1">SUM($D$449:O$449)</f>
        <v>20.21</v>
      </c>
      <c r="P450" s="47">
        <f ca="1">SUM($D$449:P$449)</f>
        <v>27.42</v>
      </c>
      <c r="Q450" s="47">
        <f ca="1">SUM($D$449:Q$449)</f>
        <v>34.846299999999999</v>
      </c>
      <c r="R450" s="47">
        <f ca="1">SUM($D$449:R$449)</f>
        <v>42.495389000000003</v>
      </c>
      <c r="S450" s="47">
        <f ca="1">SUM($D$449:S$449)</f>
        <v>50.373950670000006</v>
      </c>
      <c r="T450" s="47">
        <f ca="1">SUM($D$449:T$449)</f>
        <v>58.488869190100004</v>
      </c>
      <c r="U450" s="47">
        <f ca="1">SUM($D$449:U$449)</f>
        <v>66.847235265803008</v>
      </c>
      <c r="V450" s="47">
        <f ca="1">SUM($D$449:V$449)</f>
        <v>75.456352323777097</v>
      </c>
      <c r="W450" s="47">
        <f ca="1">SUM($D$449:W$449)</f>
        <v>84.323742893490405</v>
      </c>
      <c r="X450" s="47">
        <f ca="1">SUM($D$449:X$449)</f>
        <v>93.457155180295118</v>
      </c>
    </row>
    <row r="451" spans="1:24" x14ac:dyDescent="0.25">
      <c r="A451" s="9" t="s">
        <v>1083</v>
      </c>
      <c r="B451" s="10" t="str">
        <f t="shared" si="268"/>
        <v>From Fiscal Forecasts</v>
      </c>
      <c r="D451" s="42">
        <f>'Fiscal Forecasts'!D$132</f>
        <v>0</v>
      </c>
      <c r="E451" s="42">
        <f>'Fiscal Forecasts'!E$132</f>
        <v>0</v>
      </c>
      <c r="F451" s="42">
        <f>'Fiscal Forecasts'!F$132</f>
        <v>0</v>
      </c>
      <c r="G451" s="42">
        <f>'Fiscal Forecasts'!G$132</f>
        <v>0</v>
      </c>
      <c r="H451" s="42">
        <f>'Fiscal Forecasts'!H$132</f>
        <v>0</v>
      </c>
      <c r="I451" s="42">
        <f>'Fiscal Forecasts'!I$132</f>
        <v>0</v>
      </c>
      <c r="J451" s="43">
        <f>'Fiscal Forecasts'!J$132</f>
        <v>-1.5</v>
      </c>
      <c r="K451" s="43">
        <f>'Fiscal Forecasts'!K$132</f>
        <v>-2.4</v>
      </c>
      <c r="L451" s="43">
        <f>'Fiscal Forecasts'!L$132</f>
        <v>-2.5</v>
      </c>
      <c r="M451" s="43">
        <f>'Fiscal Forecasts'!M$132</f>
        <v>-2.6</v>
      </c>
      <c r="N451" s="43">
        <f>'Fiscal Forecasts'!N$132</f>
        <v>-2.7</v>
      </c>
      <c r="O451" s="47">
        <f t="shared" ref="O451:X451" si="270">N$451</f>
        <v>-2.7</v>
      </c>
      <c r="P451" s="47">
        <f t="shared" si="270"/>
        <v>-2.7</v>
      </c>
      <c r="Q451" s="47">
        <f t="shared" si="270"/>
        <v>-2.7</v>
      </c>
      <c r="R451" s="47">
        <f t="shared" si="270"/>
        <v>-2.7</v>
      </c>
      <c r="S451" s="47">
        <f t="shared" si="270"/>
        <v>-2.7</v>
      </c>
      <c r="T451" s="47">
        <f t="shared" si="270"/>
        <v>-2.7</v>
      </c>
      <c r="U451" s="47">
        <f t="shared" si="270"/>
        <v>-2.7</v>
      </c>
      <c r="V451" s="47">
        <f t="shared" si="270"/>
        <v>-2.7</v>
      </c>
      <c r="W451" s="47">
        <f t="shared" si="270"/>
        <v>-2.7</v>
      </c>
      <c r="X451" s="47">
        <f t="shared" si="270"/>
        <v>-2.7</v>
      </c>
    </row>
    <row r="453" spans="1:24" x14ac:dyDescent="0.25">
      <c r="A453" s="9" t="s">
        <v>632</v>
      </c>
    </row>
    <row r="454" spans="1:24" x14ac:dyDescent="0.25">
      <c r="A454" s="9" t="s">
        <v>1084</v>
      </c>
      <c r="B454" s="10" t="str">
        <f t="shared" ref="B454" si="271">$B$38</f>
        <v>From Fiscal Forecasts</v>
      </c>
      <c r="D454" s="42">
        <f>'Fiscal Forecasts'!D$134</f>
        <v>6.8129999999999997</v>
      </c>
      <c r="E454" s="42">
        <f>'Fiscal Forecasts'!E$134</f>
        <v>8.0220000000000002</v>
      </c>
      <c r="F454" s="42">
        <f>'Fiscal Forecasts'!F$134</f>
        <v>8.2560000000000002</v>
      </c>
      <c r="G454" s="42">
        <f>'Fiscal Forecasts'!G$134</f>
        <v>9.0609999999999999</v>
      </c>
      <c r="H454" s="42">
        <f>'Fiscal Forecasts'!H$134</f>
        <v>9.0020000000000007</v>
      </c>
      <c r="I454" s="42">
        <f>'Fiscal Forecasts'!I$134</f>
        <v>8.9770000000000003</v>
      </c>
      <c r="J454" s="43">
        <f>'Fiscal Forecasts'!J$134</f>
        <v>9.0660000000000007</v>
      </c>
      <c r="K454" s="43">
        <f>'Fiscal Forecasts'!K$134</f>
        <v>9.1560000000000006</v>
      </c>
      <c r="L454" s="43">
        <f>'Fiscal Forecasts'!L$134</f>
        <v>9.2479999999999993</v>
      </c>
      <c r="M454" s="43">
        <f>'Fiscal Forecasts'!M$134</f>
        <v>9.34</v>
      </c>
      <c r="N454" s="43">
        <f>'Fiscal Forecasts'!N$134</f>
        <v>9.4339999999999993</v>
      </c>
      <c r="O454" s="47">
        <f t="shared" ref="O454:X454" ca="1" si="272">N$454*(1+O$29)</f>
        <v>9.622679999999999</v>
      </c>
      <c r="P454" s="47">
        <f t="shared" ca="1" si="272"/>
        <v>9.8151335999999993</v>
      </c>
      <c r="Q454" s="47">
        <f t="shared" ca="1" si="272"/>
        <v>10.011436271999999</v>
      </c>
      <c r="R454" s="47">
        <f t="shared" ca="1" si="272"/>
        <v>10.21166499744</v>
      </c>
      <c r="S454" s="47">
        <f t="shared" ca="1" si="272"/>
        <v>10.4158982973888</v>
      </c>
      <c r="T454" s="47">
        <f t="shared" ca="1" si="272"/>
        <v>10.624216263336576</v>
      </c>
      <c r="U454" s="47">
        <f t="shared" ca="1" si="272"/>
        <v>10.836700588603309</v>
      </c>
      <c r="V454" s="47">
        <f t="shared" ca="1" si="272"/>
        <v>11.053434600375375</v>
      </c>
      <c r="W454" s="47">
        <f t="shared" ca="1" si="272"/>
        <v>11.274503292382883</v>
      </c>
      <c r="X454" s="47">
        <f t="shared" ca="1" si="272"/>
        <v>11.499993358230542</v>
      </c>
    </row>
    <row r="456" spans="1:24" x14ac:dyDescent="0.25">
      <c r="A456" s="9" t="s">
        <v>633</v>
      </c>
    </row>
    <row r="457" spans="1:24" x14ac:dyDescent="0.25">
      <c r="A457" s="11" t="s">
        <v>1085</v>
      </c>
      <c r="D457" s="35">
        <f t="shared" ref="D457:X457" si="273">D$394-D$73</f>
        <v>1.0880000000000001</v>
      </c>
      <c r="E457" s="35">
        <f t="shared" si="273"/>
        <v>1.5510000000000002</v>
      </c>
      <c r="F457" s="35">
        <f t="shared" si="273"/>
        <v>2.7319999999999998</v>
      </c>
      <c r="G457" s="35">
        <f t="shared" si="273"/>
        <v>-0.8879999999999999</v>
      </c>
      <c r="H457" s="35">
        <f t="shared" si="273"/>
        <v>0.40799999999999992</v>
      </c>
      <c r="I457" s="35">
        <f t="shared" si="273"/>
        <v>1.4810000000000003</v>
      </c>
      <c r="J457" s="17">
        <f t="shared" si="273"/>
        <v>1.3769999999999998</v>
      </c>
      <c r="K457" s="17">
        <f t="shared" si="273"/>
        <v>0.48899999999999988</v>
      </c>
      <c r="L457" s="17">
        <f t="shared" si="273"/>
        <v>0.53200000000000003</v>
      </c>
      <c r="M457" s="17">
        <f t="shared" si="273"/>
        <v>0.57600000000000051</v>
      </c>
      <c r="N457" s="17">
        <f t="shared" si="273"/>
        <v>0.59400000000000031</v>
      </c>
      <c r="O457" s="16">
        <f t="shared" ca="1" si="273"/>
        <v>3.3388721804007391</v>
      </c>
      <c r="P457" s="16">
        <f t="shared" ca="1" si="273"/>
        <v>3.5356306626569909</v>
      </c>
      <c r="Q457" s="16">
        <f t="shared" ca="1" si="273"/>
        <v>3.7392185619948295</v>
      </c>
      <c r="R457" s="16">
        <f t="shared" ca="1" si="273"/>
        <v>3.9482608185917343</v>
      </c>
      <c r="S457" s="16">
        <f t="shared" ca="1" si="273"/>
        <v>4.1620850005709489</v>
      </c>
      <c r="T457" s="16">
        <f t="shared" ca="1" si="273"/>
        <v>4.3812152050008422</v>
      </c>
      <c r="U457" s="16">
        <f t="shared" ca="1" si="273"/>
        <v>4.604439094198006</v>
      </c>
      <c r="V457" s="16">
        <f t="shared" ca="1" si="273"/>
        <v>4.8326373888600189</v>
      </c>
      <c r="W457" s="16">
        <f t="shared" ca="1" si="273"/>
        <v>5.0683028731462407</v>
      </c>
      <c r="X457" s="16">
        <f t="shared" ca="1" si="273"/>
        <v>5.314252651556342</v>
      </c>
    </row>
    <row r="458" spans="1:24" x14ac:dyDescent="0.25">
      <c r="A458" s="11" t="s">
        <v>789</v>
      </c>
      <c r="B458" s="10" t="str">
        <f t="shared" ref="B458:B461" si="274">$B$38</f>
        <v>From Fiscal Forecasts</v>
      </c>
      <c r="D458" s="35">
        <f>'Fiscal Forecasts'!D$371</f>
        <v>6.2930000000000001</v>
      </c>
      <c r="E458" s="35">
        <f>'Fiscal Forecasts'!E$371</f>
        <v>5.0430000000000001</v>
      </c>
      <c r="F458" s="35">
        <f>'Fiscal Forecasts'!F$371</f>
        <v>5.3979999999999997</v>
      </c>
      <c r="G458" s="35">
        <f>'Fiscal Forecasts'!G$371</f>
        <v>5.4870000000000001</v>
      </c>
      <c r="H458" s="35">
        <f>'Fiscal Forecasts'!H$371</f>
        <v>6.2060000000000004</v>
      </c>
      <c r="I458" s="35">
        <f>'Fiscal Forecasts'!I$371</f>
        <v>6.65</v>
      </c>
      <c r="J458" s="17">
        <f>'Fiscal Forecasts'!J$371</f>
        <v>7.2039999999999997</v>
      </c>
      <c r="K458" s="17">
        <f>'Fiscal Forecasts'!K$371</f>
        <v>7.3639999999999999</v>
      </c>
      <c r="L458" s="17">
        <f>'Fiscal Forecasts'!L$371</f>
        <v>6.9560000000000004</v>
      </c>
      <c r="M458" s="17">
        <f>'Fiscal Forecasts'!M$371</f>
        <v>7.1340000000000003</v>
      </c>
      <c r="N458" s="17">
        <f>'Fiscal Forecasts'!N$371</f>
        <v>7.3280000000000003</v>
      </c>
      <c r="O458" s="16">
        <f t="shared" ref="O458:X458" ca="1" si="275">N$458*O$142/N$142</f>
        <v>7.6089309288847353</v>
      </c>
      <c r="P458" s="16">
        <f t="shared" ca="1" si="275"/>
        <v>7.9212943020391924</v>
      </c>
      <c r="Q458" s="16">
        <f t="shared" ca="1" si="275"/>
        <v>8.2432910504739869</v>
      </c>
      <c r="R458" s="16">
        <f t="shared" ca="1" si="275"/>
        <v>8.5662228729633068</v>
      </c>
      <c r="S458" s="16">
        <f t="shared" ca="1" si="275"/>
        <v>8.8961970908025521</v>
      </c>
      <c r="T458" s="16">
        <f t="shared" ca="1" si="275"/>
        <v>9.2327054814816378</v>
      </c>
      <c r="U458" s="16">
        <f t="shared" ca="1" si="275"/>
        <v>9.5737320543799065</v>
      </c>
      <c r="V458" s="16">
        <f t="shared" ca="1" si="275"/>
        <v>9.9198768805508202</v>
      </c>
      <c r="W458" s="16">
        <f t="shared" ca="1" si="275"/>
        <v>10.271043105515879</v>
      </c>
      <c r="X458" s="16">
        <f t="shared" ca="1" si="275"/>
        <v>10.629894763076283</v>
      </c>
    </row>
    <row r="459" spans="1:24" x14ac:dyDescent="0.25">
      <c r="A459" s="11" t="s">
        <v>1086</v>
      </c>
      <c r="B459" s="10" t="str">
        <f t="shared" si="274"/>
        <v>From Fiscal Forecasts</v>
      </c>
      <c r="D459" s="35">
        <f>'Fiscal Forecasts'!D$192-SUM(D$457:D$458)</f>
        <v>3.0849999999999991</v>
      </c>
      <c r="E459" s="35">
        <f>'Fiscal Forecasts'!E$192-SUM(E$457:E$458)</f>
        <v>4.2559999999999993</v>
      </c>
      <c r="F459" s="35">
        <f>'Fiscal Forecasts'!F$192-SUM(F$457:F$458)</f>
        <v>3.9080000000000013</v>
      </c>
      <c r="G459" s="35">
        <f>'Fiscal Forecasts'!G$192-SUM(G$457:G$458)</f>
        <v>11.707999999999998</v>
      </c>
      <c r="H459" s="35">
        <f>'Fiscal Forecasts'!H$192-SUM(H$457:H$458)</f>
        <v>5.7219999999999995</v>
      </c>
      <c r="I459" s="35">
        <f>'Fiscal Forecasts'!I$192-SUM(I$457:I$458)</f>
        <v>4.6649999999999991</v>
      </c>
      <c r="J459" s="17">
        <f>'Fiscal Forecasts'!J$192-SUM(J$457:J$458)</f>
        <v>8.5300000000000011</v>
      </c>
      <c r="K459" s="17">
        <f>'Fiscal Forecasts'!K$192-SUM(K$457:K$458)</f>
        <v>8.9429999999999996</v>
      </c>
      <c r="L459" s="17">
        <f>'Fiscal Forecasts'!L$192-SUM(L$457:L$458)</f>
        <v>10.146000000000001</v>
      </c>
      <c r="M459" s="17">
        <f>'Fiscal Forecasts'!M$192-SUM(M$457:M$458)</f>
        <v>9.6720000000000006</v>
      </c>
      <c r="N459" s="17">
        <f>'Fiscal Forecasts'!N$192-SUM(N$457:N$458)</f>
        <v>9.4719999999999978</v>
      </c>
      <c r="O459" s="16">
        <f t="shared" ref="O459:X459" ca="1" si="276">N$459*(1+O$29)</f>
        <v>9.6614399999999971</v>
      </c>
      <c r="P459" s="16">
        <f t="shared" ca="1" si="276"/>
        <v>9.8546687999999971</v>
      </c>
      <c r="Q459" s="16">
        <f t="shared" ca="1" si="276"/>
        <v>10.051762175999997</v>
      </c>
      <c r="R459" s="16">
        <f t="shared" ca="1" si="276"/>
        <v>10.252797419519997</v>
      </c>
      <c r="S459" s="16">
        <f t="shared" ca="1" si="276"/>
        <v>10.457853367910397</v>
      </c>
      <c r="T459" s="16">
        <f t="shared" ca="1" si="276"/>
        <v>10.667010435268605</v>
      </c>
      <c r="U459" s="16">
        <f t="shared" ca="1" si="276"/>
        <v>10.880350643973976</v>
      </c>
      <c r="V459" s="16">
        <f t="shared" ca="1" si="276"/>
        <v>11.097957656853456</v>
      </c>
      <c r="W459" s="16">
        <f t="shared" ca="1" si="276"/>
        <v>11.319916809990525</v>
      </c>
      <c r="X459" s="16">
        <f t="shared" ca="1" si="276"/>
        <v>11.546315146190336</v>
      </c>
    </row>
    <row r="460" spans="1:24" x14ac:dyDescent="0.25">
      <c r="A460" s="9" t="s">
        <v>1087</v>
      </c>
      <c r="D460" s="65">
        <f t="shared" ref="D460:X460" si="277">SUM(D$457:D$459)</f>
        <v>10.465999999999999</v>
      </c>
      <c r="E460" s="65">
        <f t="shared" si="277"/>
        <v>10.85</v>
      </c>
      <c r="F460" s="65">
        <f t="shared" si="277"/>
        <v>12.038</v>
      </c>
      <c r="G460" s="65">
        <f t="shared" si="277"/>
        <v>16.306999999999999</v>
      </c>
      <c r="H460" s="65">
        <f t="shared" si="277"/>
        <v>12.336</v>
      </c>
      <c r="I460" s="65">
        <f t="shared" si="277"/>
        <v>12.795999999999999</v>
      </c>
      <c r="J460" s="66">
        <f t="shared" si="277"/>
        <v>17.111000000000001</v>
      </c>
      <c r="K460" s="66">
        <f t="shared" si="277"/>
        <v>16.795999999999999</v>
      </c>
      <c r="L460" s="66">
        <f t="shared" si="277"/>
        <v>17.634</v>
      </c>
      <c r="M460" s="66">
        <f t="shared" si="277"/>
        <v>17.382000000000001</v>
      </c>
      <c r="N460" s="66">
        <f t="shared" si="277"/>
        <v>17.393999999999998</v>
      </c>
      <c r="O460" s="67">
        <f t="shared" ca="1" si="277"/>
        <v>20.609243109285472</v>
      </c>
      <c r="P460" s="67">
        <f t="shared" ca="1" si="277"/>
        <v>21.31159376469618</v>
      </c>
      <c r="Q460" s="67">
        <f t="shared" ca="1" si="277"/>
        <v>22.034271788468814</v>
      </c>
      <c r="R460" s="67">
        <f t="shared" ca="1" si="277"/>
        <v>22.767281111075036</v>
      </c>
      <c r="S460" s="67">
        <f t="shared" ca="1" si="277"/>
        <v>23.516135459283898</v>
      </c>
      <c r="T460" s="67">
        <f t="shared" ca="1" si="277"/>
        <v>24.280931121751085</v>
      </c>
      <c r="U460" s="67">
        <f t="shared" ca="1" si="277"/>
        <v>25.05852179255189</v>
      </c>
      <c r="V460" s="67">
        <f t="shared" ca="1" si="277"/>
        <v>25.850471926264294</v>
      </c>
      <c r="W460" s="67">
        <f t="shared" ca="1" si="277"/>
        <v>26.659262788652647</v>
      </c>
      <c r="X460" s="67">
        <f t="shared" ca="1" si="277"/>
        <v>27.490462560822962</v>
      </c>
    </row>
    <row r="461" spans="1:24" x14ac:dyDescent="0.25">
      <c r="A461" s="9" t="s">
        <v>1088</v>
      </c>
      <c r="B461" s="10" t="str">
        <f t="shared" si="274"/>
        <v>From Fiscal Forecasts</v>
      </c>
      <c r="D461" s="42">
        <f>'Fiscal Forecasts'!D$135</f>
        <v>16.742000000000001</v>
      </c>
      <c r="E461" s="42">
        <f>'Fiscal Forecasts'!E$135</f>
        <v>16.971</v>
      </c>
      <c r="F461" s="42">
        <f>'Fiscal Forecasts'!F$135</f>
        <v>17.577000000000002</v>
      </c>
      <c r="G461" s="42">
        <f>'Fiscal Forecasts'!G$135</f>
        <v>21.42</v>
      </c>
      <c r="H461" s="42">
        <f>'Fiscal Forecasts'!H$135</f>
        <v>18.725999999999999</v>
      </c>
      <c r="I461" s="42">
        <f>'Fiscal Forecasts'!I$135</f>
        <v>19.863</v>
      </c>
      <c r="J461" s="43">
        <f>'Fiscal Forecasts'!J$135</f>
        <v>26.414999999999999</v>
      </c>
      <c r="K461" s="43">
        <f>'Fiscal Forecasts'!K$135</f>
        <v>26.925000000000001</v>
      </c>
      <c r="L461" s="43">
        <f>'Fiscal Forecasts'!L$135</f>
        <v>28.08</v>
      </c>
      <c r="M461" s="43">
        <f>'Fiscal Forecasts'!M$135</f>
        <v>28.029</v>
      </c>
      <c r="N461" s="43">
        <f>'Fiscal Forecasts'!N$135</f>
        <v>28.588999999999999</v>
      </c>
      <c r="O461" s="47">
        <f t="shared" ref="O461:X461" ca="1" si="278">O$460+(N$461-N$460)*(1+O$29)</f>
        <v>32.028143109285473</v>
      </c>
      <c r="P461" s="47">
        <f t="shared" ca="1" si="278"/>
        <v>32.958871764696184</v>
      </c>
      <c r="Q461" s="47">
        <f t="shared" ca="1" si="278"/>
        <v>33.914495348468819</v>
      </c>
      <c r="R461" s="47">
        <f t="shared" ca="1" si="278"/>
        <v>34.885109142275041</v>
      </c>
      <c r="S461" s="47">
        <f t="shared" ca="1" si="278"/>
        <v>35.876320051107903</v>
      </c>
      <c r="T461" s="47">
        <f t="shared" ca="1" si="278"/>
        <v>36.888319405411572</v>
      </c>
      <c r="U461" s="47">
        <f t="shared" ca="1" si="278"/>
        <v>37.918057841885584</v>
      </c>
      <c r="V461" s="47">
        <f t="shared" ca="1" si="278"/>
        <v>38.96719869658466</v>
      </c>
      <c r="W461" s="47">
        <f t="shared" ca="1" si="278"/>
        <v>40.038324094379419</v>
      </c>
      <c r="X461" s="47">
        <f t="shared" ca="1" si="278"/>
        <v>41.137105092664271</v>
      </c>
    </row>
    <row r="463" spans="1:24" x14ac:dyDescent="0.25">
      <c r="A463" s="9" t="s">
        <v>634</v>
      </c>
    </row>
    <row r="464" spans="1:24" x14ac:dyDescent="0.25">
      <c r="A464" s="9" t="s">
        <v>1089</v>
      </c>
      <c r="B464" s="10" t="str">
        <f t="shared" ref="B464:B465" si="279">$B$38</f>
        <v>From Fiscal Forecasts</v>
      </c>
      <c r="D464" s="42">
        <f>'Fiscal Forecasts'!D$193</f>
        <v>0.44900000000000001</v>
      </c>
      <c r="E464" s="42">
        <f>'Fiscal Forecasts'!E$193</f>
        <v>0.39800000000000002</v>
      </c>
      <c r="F464" s="42">
        <f>'Fiscal Forecasts'!F$193</f>
        <v>0.505</v>
      </c>
      <c r="G464" s="42">
        <f>'Fiscal Forecasts'!G$193</f>
        <v>0.56999999999999995</v>
      </c>
      <c r="H464" s="42">
        <f>'Fiscal Forecasts'!H$193</f>
        <v>0.504</v>
      </c>
      <c r="I464" s="42">
        <f>'Fiscal Forecasts'!I$193</f>
        <v>0.498</v>
      </c>
      <c r="J464" s="43">
        <f>'Fiscal Forecasts'!J$193</f>
        <v>0.47199999999999998</v>
      </c>
      <c r="K464" s="43">
        <f>'Fiscal Forecasts'!K$193</f>
        <v>0.47</v>
      </c>
      <c r="L464" s="43">
        <f>'Fiscal Forecasts'!L$193</f>
        <v>0.47</v>
      </c>
      <c r="M464" s="43">
        <f>'Fiscal Forecasts'!M$193</f>
        <v>0.47</v>
      </c>
      <c r="N464" s="43">
        <f>'Fiscal Forecasts'!N$193</f>
        <v>0.47</v>
      </c>
      <c r="O464" s="47">
        <f t="shared" ref="O464:X464" si="280">SUM(N$464,O$419-N$419,O$423-N$423)</f>
        <v>0.47</v>
      </c>
      <c r="P464" s="47">
        <f t="shared" si="280"/>
        <v>0.47</v>
      </c>
      <c r="Q464" s="47">
        <f t="shared" si="280"/>
        <v>0.47</v>
      </c>
      <c r="R464" s="47">
        <f t="shared" si="280"/>
        <v>0.47</v>
      </c>
      <c r="S464" s="47">
        <f t="shared" si="280"/>
        <v>0.47</v>
      </c>
      <c r="T464" s="47">
        <f t="shared" si="280"/>
        <v>0.47</v>
      </c>
      <c r="U464" s="47">
        <f t="shared" si="280"/>
        <v>0.47</v>
      </c>
      <c r="V464" s="47">
        <f t="shared" si="280"/>
        <v>0.47</v>
      </c>
      <c r="W464" s="47">
        <f t="shared" si="280"/>
        <v>0.47</v>
      </c>
      <c r="X464" s="47">
        <f t="shared" si="280"/>
        <v>0.47</v>
      </c>
    </row>
    <row r="465" spans="1:24" x14ac:dyDescent="0.25">
      <c r="A465" s="9" t="s">
        <v>1090</v>
      </c>
      <c r="B465" s="10" t="str">
        <f t="shared" si="279"/>
        <v>From Fiscal Forecasts</v>
      </c>
      <c r="D465" s="42">
        <f>'Fiscal Forecasts'!D$136</f>
        <v>2.5230000000000001</v>
      </c>
      <c r="E465" s="42">
        <f>'Fiscal Forecasts'!E$136</f>
        <v>2.59</v>
      </c>
      <c r="F465" s="42">
        <f>'Fiscal Forecasts'!F$136</f>
        <v>2.5489999999999999</v>
      </c>
      <c r="G465" s="42">
        <f>'Fiscal Forecasts'!G$136</f>
        <v>3.3679999999999999</v>
      </c>
      <c r="H465" s="42">
        <f>'Fiscal Forecasts'!H$136</f>
        <v>3.61</v>
      </c>
      <c r="I465" s="42">
        <f>'Fiscal Forecasts'!I$136</f>
        <v>3.4529999999999998</v>
      </c>
      <c r="J465" s="43">
        <f>'Fiscal Forecasts'!J$136</f>
        <v>3.6360000000000001</v>
      </c>
      <c r="K465" s="43">
        <f>'Fiscal Forecasts'!K$136</f>
        <v>3.6429999999999998</v>
      </c>
      <c r="L465" s="43">
        <f>'Fiscal Forecasts'!L$136</f>
        <v>3.734</v>
      </c>
      <c r="M465" s="43">
        <f>'Fiscal Forecasts'!M$136</f>
        <v>3.758</v>
      </c>
      <c r="N465" s="43">
        <f>'Fiscal Forecasts'!N$136</f>
        <v>3.8220000000000001</v>
      </c>
      <c r="O465" s="47">
        <f t="shared" ref="O465:X465" ca="1" si="281">SUM(N$465,O$420-N$420,O$424-N$424)</f>
        <v>3.9117600000000006</v>
      </c>
      <c r="P465" s="47">
        <f t="shared" ca="1" si="281"/>
        <v>4.0033151999999994</v>
      </c>
      <c r="Q465" s="47">
        <f t="shared" ca="1" si="281"/>
        <v>4.0967015039999994</v>
      </c>
      <c r="R465" s="47">
        <f t="shared" ca="1" si="281"/>
        <v>4.191955534079999</v>
      </c>
      <c r="S465" s="47">
        <f t="shared" ca="1" si="281"/>
        <v>4.2891146447615993</v>
      </c>
      <c r="T465" s="47">
        <f t="shared" ca="1" si="281"/>
        <v>4.3882169376568321</v>
      </c>
      <c r="U465" s="47">
        <f t="shared" ca="1" si="281"/>
        <v>4.4893012764099689</v>
      </c>
      <c r="V465" s="47">
        <f t="shared" ca="1" si="281"/>
        <v>4.5924073019381693</v>
      </c>
      <c r="W465" s="47">
        <f t="shared" ca="1" si="281"/>
        <v>4.6975754479769325</v>
      </c>
      <c r="X465" s="47">
        <f t="shared" ca="1" si="281"/>
        <v>4.8048469569364709</v>
      </c>
    </row>
    <row r="467" spans="1:24" x14ac:dyDescent="0.25">
      <c r="A467" s="9" t="s">
        <v>1091</v>
      </c>
    </row>
    <row r="468" spans="1:24" x14ac:dyDescent="0.25">
      <c r="A468" s="9" t="s">
        <v>1092</v>
      </c>
      <c r="B468" s="10" t="str">
        <f t="shared" ref="B468:B469" si="282">$B$38</f>
        <v>From Fiscal Forecasts</v>
      </c>
      <c r="D468" s="42">
        <f>'Fiscal Forecasts'!D$194</f>
        <v>2.8839999999999999</v>
      </c>
      <c r="E468" s="42">
        <f>'Fiscal Forecasts'!E$194</f>
        <v>3.8039999999999998</v>
      </c>
      <c r="F468" s="42">
        <f>'Fiscal Forecasts'!F$194</f>
        <v>5.8239999999999998</v>
      </c>
      <c r="G468" s="42">
        <f>'Fiscal Forecasts'!G$194</f>
        <v>11.461</v>
      </c>
      <c r="H468" s="42">
        <f>'Fiscal Forecasts'!H$194</f>
        <v>6.093</v>
      </c>
      <c r="I468" s="42">
        <f>'Fiscal Forecasts'!I$194</f>
        <v>6.8659999999999997</v>
      </c>
      <c r="J468" s="43">
        <f>'Fiscal Forecasts'!J$194</f>
        <v>6.77</v>
      </c>
      <c r="K468" s="43">
        <f>'Fiscal Forecasts'!K$194</f>
        <v>5.9660000000000002</v>
      </c>
      <c r="L468" s="43">
        <f>'Fiscal Forecasts'!L$194</f>
        <v>5.4269999999999996</v>
      </c>
      <c r="M468" s="43">
        <f>'Fiscal Forecasts'!M$194</f>
        <v>4.952</v>
      </c>
      <c r="N468" s="43">
        <f>'Fiscal Forecasts'!N$194</f>
        <v>4.4619999999999997</v>
      </c>
      <c r="O468" s="47">
        <f t="shared" ref="O468:X468" ca="1" si="283">SUM(N$468,-O$145,O$151,O$322)</f>
        <v>4.0529599999999997</v>
      </c>
      <c r="P468" s="47">
        <f t="shared" ca="1" si="283"/>
        <v>3.6734591999999999</v>
      </c>
      <c r="Q468" s="47">
        <f t="shared" ca="1" si="283"/>
        <v>3.324088384</v>
      </c>
      <c r="R468" s="47">
        <f t="shared" ca="1" si="283"/>
        <v>3.0054501516799998</v>
      </c>
      <c r="S468" s="47">
        <f t="shared" ca="1" si="283"/>
        <v>2.7181591547136001</v>
      </c>
      <c r="T468" s="47">
        <f t="shared" ca="1" si="283"/>
        <v>2.4628423378078725</v>
      </c>
      <c r="U468" s="47">
        <f t="shared" ca="1" si="283"/>
        <v>2.2401391845640299</v>
      </c>
      <c r="V468" s="47">
        <f t="shared" ca="1" si="283"/>
        <v>2.0507019682553107</v>
      </c>
      <c r="W468" s="47">
        <f t="shared" ca="1" si="283"/>
        <v>1.8951960076204171</v>
      </c>
      <c r="X468" s="47">
        <f t="shared" ca="1" si="283"/>
        <v>1.7742999277728255</v>
      </c>
    </row>
    <row r="469" spans="1:24" x14ac:dyDescent="0.25">
      <c r="A469" s="9" t="s">
        <v>1093</v>
      </c>
      <c r="B469" s="10" t="str">
        <f t="shared" si="282"/>
        <v>From Fiscal Forecasts</v>
      </c>
      <c r="D469" s="42">
        <f>'Fiscal Forecasts'!D$138</f>
        <v>2.8839999999999999</v>
      </c>
      <c r="E469" s="42">
        <f>'Fiscal Forecasts'!E$138</f>
        <v>3.8039999999999998</v>
      </c>
      <c r="F469" s="42">
        <f>'Fiscal Forecasts'!F$138</f>
        <v>5.8239999999999998</v>
      </c>
      <c r="G469" s="42">
        <f>'Fiscal Forecasts'!G$138</f>
        <v>11.308</v>
      </c>
      <c r="H469" s="42">
        <f>'Fiscal Forecasts'!H$138</f>
        <v>6.125</v>
      </c>
      <c r="I469" s="42">
        <f>'Fiscal Forecasts'!I$138</f>
        <v>6.6260000000000003</v>
      </c>
      <c r="J469" s="43">
        <f>'Fiscal Forecasts'!J$138</f>
        <v>6.556</v>
      </c>
      <c r="K469" s="43">
        <f>'Fiscal Forecasts'!K$138</f>
        <v>5.7409999999999997</v>
      </c>
      <c r="L469" s="43">
        <f>'Fiscal Forecasts'!L$138</f>
        <v>5.1379999999999999</v>
      </c>
      <c r="M469" s="43">
        <f>'Fiscal Forecasts'!M$138</f>
        <v>4.7249999999999996</v>
      </c>
      <c r="N469" s="43">
        <f>'Fiscal Forecasts'!N$138</f>
        <v>4.2530000000000001</v>
      </c>
      <c r="O469" s="47">
        <f t="shared" ref="O469:X469" ca="1" si="284">SUM(N$469,-O$145,O$151,O$322)</f>
        <v>3.84396</v>
      </c>
      <c r="P469" s="47">
        <f t="shared" ca="1" si="284"/>
        <v>3.4644592000000003</v>
      </c>
      <c r="Q469" s="47">
        <f t="shared" ca="1" si="284"/>
        <v>3.1150883840000003</v>
      </c>
      <c r="R469" s="47">
        <f t="shared" ca="1" si="284"/>
        <v>2.7964501516800002</v>
      </c>
      <c r="S469" s="47">
        <f t="shared" ca="1" si="284"/>
        <v>2.5091591547136005</v>
      </c>
      <c r="T469" s="47">
        <f t="shared" ca="1" si="284"/>
        <v>2.2538423378078729</v>
      </c>
      <c r="U469" s="47">
        <f t="shared" ca="1" si="284"/>
        <v>2.0311391845640303</v>
      </c>
      <c r="V469" s="47">
        <f t="shared" ca="1" si="284"/>
        <v>1.8417019682553111</v>
      </c>
      <c r="W469" s="47">
        <f t="shared" ca="1" si="284"/>
        <v>1.6861960076204174</v>
      </c>
      <c r="X469" s="47">
        <f t="shared" ca="1" si="284"/>
        <v>1.5652999277728259</v>
      </c>
    </row>
    <row r="471" spans="1:24" x14ac:dyDescent="0.25">
      <c r="A471" s="9" t="s">
        <v>637</v>
      </c>
    </row>
    <row r="472" spans="1:24" x14ac:dyDescent="0.25">
      <c r="A472" s="9" t="s">
        <v>1094</v>
      </c>
      <c r="B472" s="10" t="str">
        <f t="shared" ref="B472:B474" si="285">$B$38</f>
        <v>From Fiscal Forecasts</v>
      </c>
      <c r="D472" s="42">
        <f>'Fiscal Forecasts'!D$195</f>
        <v>4.0000000000000001E-3</v>
      </c>
      <c r="E472" s="42">
        <f>'Fiscal Forecasts'!E$195</f>
        <v>5.0000000000000001E-3</v>
      </c>
      <c r="F472" s="42">
        <f>'Fiscal Forecasts'!F$195</f>
        <v>4.0000000000000001E-3</v>
      </c>
      <c r="G472" s="42">
        <f>'Fiscal Forecasts'!G$195</f>
        <v>2E-3</v>
      </c>
      <c r="H472" s="42">
        <f>'Fiscal Forecasts'!H$195</f>
        <v>3.0000000000000001E-3</v>
      </c>
      <c r="I472" s="42">
        <f>'Fiscal Forecasts'!I$195</f>
        <v>2E-3</v>
      </c>
      <c r="J472" s="43">
        <f>'Fiscal Forecasts'!J$195</f>
        <v>2E-3</v>
      </c>
      <c r="K472" s="43">
        <f>'Fiscal Forecasts'!K$195</f>
        <v>2E-3</v>
      </c>
      <c r="L472" s="43">
        <f>'Fiscal Forecasts'!L$195</f>
        <v>2E-3</v>
      </c>
      <c r="M472" s="43">
        <f>'Fiscal Forecasts'!M$195</f>
        <v>2E-3</v>
      </c>
      <c r="N472" s="43">
        <f>'Fiscal Forecasts'!N$195</f>
        <v>2E-3</v>
      </c>
      <c r="O472" s="47">
        <f ca="1">IF(O$6=OFFSET(Assumptions!$B$8,0,$C$1),OFFSET(Assumptions!$B$9,0,$C$1),N$472)</f>
        <v>0</v>
      </c>
      <c r="P472" s="47">
        <f ca="1">IF(P$6=OFFSET(Assumptions!$B$8,0,$C$1),OFFSET(Assumptions!$B$9,0,$C$1),O$472)</f>
        <v>0</v>
      </c>
      <c r="Q472" s="47">
        <f ca="1">IF(Q$6=OFFSET(Assumptions!$B$8,0,$C$1),OFFSET(Assumptions!$B$9,0,$C$1),P$472)</f>
        <v>0</v>
      </c>
      <c r="R472" s="47">
        <f ca="1">IF(R$6=OFFSET(Assumptions!$B$8,0,$C$1),OFFSET(Assumptions!$B$9,0,$C$1),Q$472)</f>
        <v>0</v>
      </c>
      <c r="S472" s="47">
        <f ca="1">IF(S$6=OFFSET(Assumptions!$B$8,0,$C$1),OFFSET(Assumptions!$B$9,0,$C$1),R$472)</f>
        <v>0</v>
      </c>
      <c r="T472" s="47">
        <f ca="1">IF(T$6=OFFSET(Assumptions!$B$8,0,$C$1),OFFSET(Assumptions!$B$9,0,$C$1),S$472)</f>
        <v>0</v>
      </c>
      <c r="U472" s="47">
        <f ca="1">IF(U$6=OFFSET(Assumptions!$B$8,0,$C$1),OFFSET(Assumptions!$B$9,0,$C$1),T$472)</f>
        <v>0</v>
      </c>
      <c r="V472" s="47">
        <f ca="1">IF(V$6=OFFSET(Assumptions!$B$8,0,$C$1),OFFSET(Assumptions!$B$9,0,$C$1),U$472)</f>
        <v>0</v>
      </c>
      <c r="W472" s="47">
        <f ca="1">IF(W$6=OFFSET(Assumptions!$B$8,0,$C$1),OFFSET(Assumptions!$B$9,0,$C$1),V$472)</f>
        <v>0</v>
      </c>
      <c r="X472" s="47">
        <f ca="1">IF(X$6=OFFSET(Assumptions!$B$8,0,$C$1),OFFSET(Assumptions!$B$9,0,$C$1),W$472)</f>
        <v>0</v>
      </c>
    </row>
    <row r="473" spans="1:24" x14ac:dyDescent="0.25">
      <c r="A473" s="11" t="s">
        <v>1095</v>
      </c>
      <c r="B473" s="10" t="str">
        <f t="shared" si="285"/>
        <v>From Fiscal Forecasts</v>
      </c>
      <c r="D473" s="35">
        <f>'Fiscal Forecasts'!D$381</f>
        <v>56.610999999999997</v>
      </c>
      <c r="E473" s="35">
        <f>'Fiscal Forecasts'!E$381</f>
        <v>64.945999999999998</v>
      </c>
      <c r="F473" s="35">
        <f>'Fiscal Forecasts'!F$381</f>
        <v>59.133000000000003</v>
      </c>
      <c r="G473" s="35">
        <f>'Fiscal Forecasts'!G$381</f>
        <v>54.115000000000002</v>
      </c>
      <c r="H473" s="35">
        <f>'Fiscal Forecasts'!H$381</f>
        <v>55.664000000000001</v>
      </c>
      <c r="I473" s="35">
        <f>'Fiscal Forecasts'!I$381</f>
        <v>65.049000000000007</v>
      </c>
      <c r="J473" s="17">
        <f>'Fiscal Forecasts'!J$381</f>
        <v>68.626999999999995</v>
      </c>
      <c r="K473" s="17">
        <f>'Fiscal Forecasts'!K$381</f>
        <v>71.796999999999997</v>
      </c>
      <c r="L473" s="17">
        <f>'Fiscal Forecasts'!L$381</f>
        <v>75.256</v>
      </c>
      <c r="M473" s="17">
        <f>'Fiscal Forecasts'!M$381</f>
        <v>79.001999999999995</v>
      </c>
      <c r="N473" s="17">
        <f>'Fiscal Forecasts'!N$381</f>
        <v>82.98</v>
      </c>
      <c r="O473" s="16">
        <f>N$473*Exogenous!Z$31/Exogenous!Y$31</f>
        <v>87.232633748189329</v>
      </c>
      <c r="P473" s="16">
        <f>O$473*Exogenous!AA$31/Exogenous!Z$31</f>
        <v>91.859921600249137</v>
      </c>
      <c r="Q473" s="16">
        <f>P$473*Exogenous!AB$31/Exogenous!AA$31</f>
        <v>96.802667925117291</v>
      </c>
      <c r="R473" s="16">
        <f>Q$473*Exogenous!AC$31/Exogenous!AB$31</f>
        <v>102.02138967233698</v>
      </c>
      <c r="S473" s="16">
        <f>R$473*Exogenous!AD$31/Exogenous!AC$31</f>
        <v>107.5116608182833</v>
      </c>
      <c r="T473" s="16">
        <f>S$473*Exogenous!AE$31/Exogenous!AD$31</f>
        <v>113.29291750429732</v>
      </c>
      <c r="U473" s="16">
        <f>T$473*Exogenous!AF$31/Exogenous!AE$31</f>
        <v>119.32125172654598</v>
      </c>
      <c r="V473" s="16">
        <f>U$473*Exogenous!AG$31/Exogenous!AF$31</f>
        <v>125.57045233176501</v>
      </c>
      <c r="W473" s="16">
        <f>V$473*Exogenous!AH$31/Exogenous!AG$31</f>
        <v>132.05084530239904</v>
      </c>
      <c r="X473" s="16">
        <f>W$473*Exogenous!AI$31/Exogenous!AH$31</f>
        <v>138.76543147139884</v>
      </c>
    </row>
    <row r="474" spans="1:24" x14ac:dyDescent="0.25">
      <c r="A474" s="11" t="s">
        <v>1096</v>
      </c>
      <c r="B474" s="10" t="str">
        <f t="shared" si="285"/>
        <v>From Fiscal Forecasts</v>
      </c>
      <c r="D474" s="35">
        <f>SUM('Fiscal Forecasts'!D$382:D$383)-D$472</f>
        <v>1.601</v>
      </c>
      <c r="E474" s="35">
        <f>SUM('Fiscal Forecasts'!E$382:E$383)-E$472</f>
        <v>1.7390000000000001</v>
      </c>
      <c r="F474" s="35">
        <f>SUM('Fiscal Forecasts'!F$382:F$383)-F$472</f>
        <v>1.1990000000000001</v>
      </c>
      <c r="G474" s="35">
        <f>SUM('Fiscal Forecasts'!G$382:G$383)-G$472</f>
        <v>1.1839999999999999</v>
      </c>
      <c r="H474" s="35">
        <f>SUM('Fiscal Forecasts'!H$382:H$383)-H$472</f>
        <v>1.8440000000000001</v>
      </c>
      <c r="I474" s="35">
        <f>SUM('Fiscal Forecasts'!I$382:I$383)-I$472</f>
        <v>1.524</v>
      </c>
      <c r="J474" s="17">
        <f>SUM('Fiscal Forecasts'!J$382:J$383)-J$472</f>
        <v>1.2989999999999999</v>
      </c>
      <c r="K474" s="17">
        <f>SUM('Fiscal Forecasts'!K$382:K$383)-K$472</f>
        <v>1.165</v>
      </c>
      <c r="L474" s="17">
        <f>SUM('Fiscal Forecasts'!L$382:L$383)-L$472</f>
        <v>1.03</v>
      </c>
      <c r="M474" s="17">
        <f>SUM('Fiscal Forecasts'!M$382:M$383)-M$472</f>
        <v>0.97499999999999998</v>
      </c>
      <c r="N474" s="17">
        <f>SUM('Fiscal Forecasts'!N$382:N$383)-N$472</f>
        <v>0.84699999999999998</v>
      </c>
      <c r="O474" s="16">
        <f t="shared" ref="O474:X474" si="286">N$474*O$473/N$473</f>
        <v>0.89040781856732165</v>
      </c>
      <c r="P474" s="16">
        <f t="shared" si="286"/>
        <v>0.93763983604978329</v>
      </c>
      <c r="Q474" s="16">
        <f t="shared" si="286"/>
        <v>0.98809182613369895</v>
      </c>
      <c r="R474" s="16">
        <f t="shared" si="286"/>
        <v>1.0413607743127189</v>
      </c>
      <c r="S474" s="16">
        <f t="shared" si="286"/>
        <v>1.0974015029294522</v>
      </c>
      <c r="T474" s="16">
        <f t="shared" si="286"/>
        <v>1.1564124020985755</v>
      </c>
      <c r="U474" s="16">
        <f t="shared" si="286"/>
        <v>1.2179452905806749</v>
      </c>
      <c r="V474" s="16">
        <f t="shared" si="286"/>
        <v>1.2817326238250772</v>
      </c>
      <c r="W474" s="16">
        <f t="shared" si="286"/>
        <v>1.3478798020141229</v>
      </c>
      <c r="X474" s="16">
        <f t="shared" si="286"/>
        <v>1.4164174554865601</v>
      </c>
    </row>
    <row r="475" spans="1:24" x14ac:dyDescent="0.25">
      <c r="A475" s="9" t="s">
        <v>1097</v>
      </c>
      <c r="D475" s="65">
        <f t="shared" ref="D475:X475" si="287">SUM(D$472:D$474)</f>
        <v>58.215999999999994</v>
      </c>
      <c r="E475" s="65">
        <f t="shared" si="287"/>
        <v>66.69</v>
      </c>
      <c r="F475" s="65">
        <f t="shared" si="287"/>
        <v>60.335999999999999</v>
      </c>
      <c r="G475" s="65">
        <f t="shared" si="287"/>
        <v>55.301000000000002</v>
      </c>
      <c r="H475" s="65">
        <f t="shared" si="287"/>
        <v>57.511000000000003</v>
      </c>
      <c r="I475" s="65">
        <f t="shared" si="287"/>
        <v>66.575000000000003</v>
      </c>
      <c r="J475" s="66">
        <f t="shared" si="287"/>
        <v>69.927999999999997</v>
      </c>
      <c r="K475" s="66">
        <f t="shared" si="287"/>
        <v>72.963999999999999</v>
      </c>
      <c r="L475" s="66">
        <f t="shared" si="287"/>
        <v>76.287999999999997</v>
      </c>
      <c r="M475" s="66">
        <f t="shared" si="287"/>
        <v>79.978999999999985</v>
      </c>
      <c r="N475" s="66">
        <f t="shared" si="287"/>
        <v>83.828999999999994</v>
      </c>
      <c r="O475" s="67">
        <f t="shared" ca="1" si="287"/>
        <v>88.123041566756655</v>
      </c>
      <c r="P475" s="67">
        <f t="shared" ca="1" si="287"/>
        <v>92.797561436298921</v>
      </c>
      <c r="Q475" s="67">
        <f t="shared" ca="1" si="287"/>
        <v>97.790759751250988</v>
      </c>
      <c r="R475" s="67">
        <f t="shared" ca="1" si="287"/>
        <v>103.0627504466497</v>
      </c>
      <c r="S475" s="67">
        <f t="shared" ca="1" si="287"/>
        <v>108.60906232121276</v>
      </c>
      <c r="T475" s="67">
        <f t="shared" ca="1" si="287"/>
        <v>114.4493299063959</v>
      </c>
      <c r="U475" s="67">
        <f t="shared" ca="1" si="287"/>
        <v>120.53919701712665</v>
      </c>
      <c r="V475" s="67">
        <f t="shared" ca="1" si="287"/>
        <v>126.85218495559009</v>
      </c>
      <c r="W475" s="67">
        <f t="shared" ca="1" si="287"/>
        <v>133.39872510441316</v>
      </c>
      <c r="X475" s="67">
        <f t="shared" ca="1" si="287"/>
        <v>140.18184892688541</v>
      </c>
    </row>
    <row r="477" spans="1:24" x14ac:dyDescent="0.25">
      <c r="A477" s="9" t="s">
        <v>1109</v>
      </c>
    </row>
    <row r="478" spans="1:24" x14ac:dyDescent="0.25">
      <c r="A478" s="9" t="s">
        <v>1110</v>
      </c>
      <c r="B478" s="10" t="str">
        <f t="shared" ref="B478:B479" si="288">$B$38</f>
        <v>From Fiscal Forecasts</v>
      </c>
      <c r="D478" s="42">
        <f>'Fiscal Forecasts'!D$196</f>
        <v>13.164999999999999</v>
      </c>
      <c r="E478" s="42">
        <f>'Fiscal Forecasts'!E$196</f>
        <v>13.976000000000001</v>
      </c>
      <c r="F478" s="42">
        <f>'Fiscal Forecasts'!F$196</f>
        <v>11.039</v>
      </c>
      <c r="G478" s="42">
        <f>'Fiscal Forecasts'!G$196</f>
        <v>8.7650000000000006</v>
      </c>
      <c r="H478" s="42">
        <f>'Fiscal Forecasts'!H$196</f>
        <v>8.0380000000000003</v>
      </c>
      <c r="I478" s="42">
        <f>'Fiscal Forecasts'!I$196</f>
        <v>7.3339999999999996</v>
      </c>
      <c r="J478" s="43">
        <f>'Fiscal Forecasts'!J$196</f>
        <v>6.532</v>
      </c>
      <c r="K478" s="43">
        <f>'Fiscal Forecasts'!K$196</f>
        <v>6.0250000000000004</v>
      </c>
      <c r="L478" s="43">
        <f>'Fiscal Forecasts'!L$196</f>
        <v>5.5129999999999999</v>
      </c>
      <c r="M478" s="43">
        <f>'Fiscal Forecasts'!M$196</f>
        <v>5.0270000000000001</v>
      </c>
      <c r="N478" s="43">
        <f>'Fiscal Forecasts'!N$196</f>
        <v>4.5670000000000002</v>
      </c>
      <c r="O478" s="16">
        <f>N$478*Exogenous!Z$35/Exogenous!Y$35</f>
        <v>4.3797723516949159</v>
      </c>
      <c r="P478" s="16">
        <f>O$478*Exogenous!AA$35/Exogenous!Z$35</f>
        <v>4.187706779661017</v>
      </c>
      <c r="Q478" s="16">
        <f>P$478*Exogenous!AB$35/Exogenous!AA$35</f>
        <v>3.9932222457627118</v>
      </c>
      <c r="R478" s="16">
        <f>Q$478*Exogenous!AC$35/Exogenous!AB$35</f>
        <v>3.7943835805084745</v>
      </c>
      <c r="S478" s="16">
        <f>R$478*Exogenous!AD$35/Exogenous!AC$35</f>
        <v>3.5940935381355934</v>
      </c>
      <c r="T478" s="16">
        <f>S$478*Exogenous!AE$35/Exogenous!AD$35</f>
        <v>3.3933197033898308</v>
      </c>
      <c r="U478" s="16">
        <f>T$478*Exogenous!AF$35/Exogenous!AE$35</f>
        <v>3.1993189618644076</v>
      </c>
      <c r="V478" s="16">
        <f>U$478*Exogenous!AG$35/Exogenous!AF$35</f>
        <v>3.0077371822033903</v>
      </c>
      <c r="W478" s="16">
        <f>V$478*Exogenous!AH$35/Exogenous!AG$35</f>
        <v>2.8190581567796613</v>
      </c>
      <c r="X478" s="16">
        <f>W$478*Exogenous!AI$35/Exogenous!AH$35</f>
        <v>2.6337656779661018</v>
      </c>
    </row>
    <row r="479" spans="1:24" x14ac:dyDescent="0.25">
      <c r="A479" s="11" t="s">
        <v>1111</v>
      </c>
      <c r="B479" s="10" t="str">
        <f t="shared" si="288"/>
        <v>From Fiscal Forecasts</v>
      </c>
      <c r="D479" s="35">
        <f>'Fiscal Forecasts'!D$140-D$478</f>
        <v>1.4000000000001123E-2</v>
      </c>
      <c r="E479" s="35">
        <f>'Fiscal Forecasts'!E$140-E$478</f>
        <v>6.9999999999996732E-3</v>
      </c>
      <c r="F479" s="35">
        <f>'Fiscal Forecasts'!F$140-F$478</f>
        <v>-9.9999999999944578E-4</v>
      </c>
      <c r="G479" s="35">
        <f>'Fiscal Forecasts'!G$140-G$478</f>
        <v>3.9999999999995595E-3</v>
      </c>
      <c r="H479" s="35">
        <f>'Fiscal Forecasts'!H$140-H$478</f>
        <v>9.9999999999944578E-4</v>
      </c>
      <c r="I479" s="35">
        <f>'Fiscal Forecasts'!I$140-I$478</f>
        <v>3.0000000000001137E-3</v>
      </c>
      <c r="J479" s="17">
        <f>'Fiscal Forecasts'!J$140-J$478</f>
        <v>3.0000000000001137E-3</v>
      </c>
      <c r="K479" s="17">
        <f>'Fiscal Forecasts'!K$140-K$478</f>
        <v>2.9999999999992255E-3</v>
      </c>
      <c r="L479" s="17">
        <f>'Fiscal Forecasts'!L$140-L$478</f>
        <v>3.0000000000001137E-3</v>
      </c>
      <c r="M479" s="17">
        <f>'Fiscal Forecasts'!M$140-M$478</f>
        <v>3.0000000000001137E-3</v>
      </c>
      <c r="N479" s="17">
        <f>'Fiscal Forecasts'!N$140-N$478</f>
        <v>3.0000000000001137E-3</v>
      </c>
      <c r="O479" s="16">
        <f ca="1">IF(O$6=OFFSET(Assumptions!$B$8,0,$C$1),OFFSET(Assumptions!$B$9,0,$C$1),N$479)</f>
        <v>0</v>
      </c>
      <c r="P479" s="16">
        <f ca="1">IF(P$6=OFFSET(Assumptions!$B$8,0,$C$1),OFFSET(Assumptions!$B$9,0,$C$1),O$479)</f>
        <v>0</v>
      </c>
      <c r="Q479" s="16">
        <f ca="1">IF(Q$6=OFFSET(Assumptions!$B$8,0,$C$1),OFFSET(Assumptions!$B$9,0,$C$1),P$479)</f>
        <v>0</v>
      </c>
      <c r="R479" s="16">
        <f ca="1">IF(R$6=OFFSET(Assumptions!$B$8,0,$C$1),OFFSET(Assumptions!$B$9,0,$C$1),Q$479)</f>
        <v>0</v>
      </c>
      <c r="S479" s="16">
        <f ca="1">IF(S$6=OFFSET(Assumptions!$B$8,0,$C$1),OFFSET(Assumptions!$B$9,0,$C$1),R$479)</f>
        <v>0</v>
      </c>
      <c r="T479" s="16">
        <f ca="1">IF(T$6=OFFSET(Assumptions!$B$8,0,$C$1),OFFSET(Assumptions!$B$9,0,$C$1),S$479)</f>
        <v>0</v>
      </c>
      <c r="U479" s="16">
        <f ca="1">IF(U$6=OFFSET(Assumptions!$B$8,0,$C$1),OFFSET(Assumptions!$B$9,0,$C$1),T$479)</f>
        <v>0</v>
      </c>
      <c r="V479" s="16">
        <f ca="1">IF(V$6=OFFSET(Assumptions!$B$8,0,$C$1),OFFSET(Assumptions!$B$9,0,$C$1),U$479)</f>
        <v>0</v>
      </c>
      <c r="W479" s="16">
        <f ca="1">IF(W$6=OFFSET(Assumptions!$B$8,0,$C$1),OFFSET(Assumptions!$B$9,0,$C$1),V$479)</f>
        <v>0</v>
      </c>
      <c r="X479" s="16">
        <f ca="1">IF(X$6=OFFSET(Assumptions!$B$8,0,$C$1),OFFSET(Assumptions!$B$9,0,$C$1),W$479)</f>
        <v>0</v>
      </c>
    </row>
    <row r="480" spans="1:24" x14ac:dyDescent="0.25">
      <c r="A480" s="9" t="s">
        <v>1112</v>
      </c>
      <c r="D480" s="65">
        <f t="shared" ref="D480:X480" si="289">SUM(D$478:D$479)</f>
        <v>13.179</v>
      </c>
      <c r="E480" s="65">
        <f t="shared" si="289"/>
        <v>13.983000000000001</v>
      </c>
      <c r="F480" s="65">
        <f t="shared" si="289"/>
        <v>11.038</v>
      </c>
      <c r="G480" s="65">
        <f t="shared" si="289"/>
        <v>8.7690000000000001</v>
      </c>
      <c r="H480" s="65">
        <f t="shared" si="289"/>
        <v>8.0389999999999997</v>
      </c>
      <c r="I480" s="65">
        <f t="shared" si="289"/>
        <v>7.3369999999999997</v>
      </c>
      <c r="J480" s="66">
        <f t="shared" si="289"/>
        <v>6.5350000000000001</v>
      </c>
      <c r="K480" s="66">
        <f t="shared" si="289"/>
        <v>6.0279999999999996</v>
      </c>
      <c r="L480" s="66">
        <f t="shared" si="289"/>
        <v>5.516</v>
      </c>
      <c r="M480" s="66">
        <f t="shared" si="289"/>
        <v>5.03</v>
      </c>
      <c r="N480" s="66">
        <f t="shared" si="289"/>
        <v>4.57</v>
      </c>
      <c r="O480" s="67">
        <f t="shared" ca="1" si="289"/>
        <v>4.3797723516949159</v>
      </c>
      <c r="P480" s="67">
        <f t="shared" ca="1" si="289"/>
        <v>4.187706779661017</v>
      </c>
      <c r="Q480" s="67">
        <f t="shared" ca="1" si="289"/>
        <v>3.9932222457627118</v>
      </c>
      <c r="R480" s="67">
        <f t="shared" ca="1" si="289"/>
        <v>3.7943835805084745</v>
      </c>
      <c r="S480" s="67">
        <f t="shared" ca="1" si="289"/>
        <v>3.5940935381355934</v>
      </c>
      <c r="T480" s="67">
        <f t="shared" ca="1" si="289"/>
        <v>3.3933197033898308</v>
      </c>
      <c r="U480" s="67">
        <f t="shared" ca="1" si="289"/>
        <v>3.1993189618644076</v>
      </c>
      <c r="V480" s="67">
        <f t="shared" ca="1" si="289"/>
        <v>3.0077371822033903</v>
      </c>
      <c r="W480" s="67">
        <f t="shared" ca="1" si="289"/>
        <v>2.8190581567796613</v>
      </c>
      <c r="X480" s="67">
        <f t="shared" ca="1" si="289"/>
        <v>2.6337656779661018</v>
      </c>
    </row>
    <row r="482" spans="1:24" x14ac:dyDescent="0.25">
      <c r="A482" s="9" t="s">
        <v>639</v>
      </c>
    </row>
    <row r="483" spans="1:24" x14ac:dyDescent="0.25">
      <c r="A483" s="11" t="s">
        <v>1113</v>
      </c>
      <c r="D483" s="35">
        <f t="shared" ref="D483:N483" si="290">-D$395</f>
        <v>0</v>
      </c>
      <c r="E483" s="35">
        <f t="shared" si="290"/>
        <v>-2E-3</v>
      </c>
      <c r="F483" s="35">
        <f t="shared" si="290"/>
        <v>-2E-3</v>
      </c>
      <c r="G483" s="35">
        <f t="shared" si="290"/>
        <v>9.9000000000000005E-2</v>
      </c>
      <c r="H483" s="35">
        <f t="shared" si="290"/>
        <v>0.06</v>
      </c>
      <c r="I483" s="35">
        <f t="shared" si="290"/>
        <v>4.0000000000000001E-3</v>
      </c>
      <c r="J483" s="17">
        <f t="shared" si="290"/>
        <v>2.4E-2</v>
      </c>
      <c r="K483" s="17">
        <f t="shared" si="290"/>
        <v>5.5E-2</v>
      </c>
      <c r="L483" s="17">
        <f t="shared" si="290"/>
        <v>4.4999999999999998E-2</v>
      </c>
      <c r="M483" s="17">
        <f t="shared" si="290"/>
        <v>5.1999999999999998E-2</v>
      </c>
      <c r="N483" s="17">
        <f t="shared" si="290"/>
        <v>0.06</v>
      </c>
      <c r="O483" s="16">
        <f ca="1">IF(O$6=OFFSET(Assumptions!$B$8,0,$C$1),OFFSET(Assumptions!$B$9,0,$C$1),N$483)</f>
        <v>0</v>
      </c>
      <c r="P483" s="16">
        <f ca="1">IF(P$6=OFFSET(Assumptions!$B$8,0,$C$1),OFFSET(Assumptions!$B$9,0,$C$1),O$483)</f>
        <v>0</v>
      </c>
      <c r="Q483" s="16">
        <f ca="1">IF(Q$6=OFFSET(Assumptions!$B$8,0,$C$1),OFFSET(Assumptions!$B$9,0,$C$1),P$483)</f>
        <v>0</v>
      </c>
      <c r="R483" s="16">
        <f ca="1">IF(R$6=OFFSET(Assumptions!$B$8,0,$C$1),OFFSET(Assumptions!$B$9,0,$C$1),Q$483)</f>
        <v>0</v>
      </c>
      <c r="S483" s="16">
        <f ca="1">IF(S$6=OFFSET(Assumptions!$B$8,0,$C$1),OFFSET(Assumptions!$B$9,0,$C$1),R$483)</f>
        <v>0</v>
      </c>
      <c r="T483" s="16">
        <f ca="1">IF(T$6=OFFSET(Assumptions!$B$8,0,$C$1),OFFSET(Assumptions!$B$9,0,$C$1),S$483)</f>
        <v>0</v>
      </c>
      <c r="U483" s="16">
        <f ca="1">IF(U$6=OFFSET(Assumptions!$B$8,0,$C$1),OFFSET(Assumptions!$B$9,0,$C$1),T$483)</f>
        <v>0</v>
      </c>
      <c r="V483" s="16">
        <f ca="1">IF(V$6=OFFSET(Assumptions!$B$8,0,$C$1),OFFSET(Assumptions!$B$9,0,$C$1),U$483)</f>
        <v>0</v>
      </c>
      <c r="W483" s="16">
        <f ca="1">IF(W$6=OFFSET(Assumptions!$B$8,0,$C$1),OFFSET(Assumptions!$B$9,0,$C$1),V$483)</f>
        <v>0</v>
      </c>
      <c r="X483" s="16">
        <f ca="1">IF(X$6=OFFSET(Assumptions!$B$8,0,$C$1),OFFSET(Assumptions!$B$9,0,$C$1),W$483)</f>
        <v>0</v>
      </c>
    </row>
    <row r="484" spans="1:24" x14ac:dyDescent="0.25">
      <c r="A484" s="11" t="s">
        <v>1114</v>
      </c>
      <c r="B484" s="10" t="str">
        <f t="shared" ref="B484:B486" si="291">$B$38</f>
        <v>From Fiscal Forecasts</v>
      </c>
      <c r="D484" s="35">
        <f>'Fiscal Forecasts'!D$197-D$483</f>
        <v>7.5890000000000004</v>
      </c>
      <c r="E484" s="35">
        <f>'Fiscal Forecasts'!E$197-E$483</f>
        <v>9.3109999999999999</v>
      </c>
      <c r="F484" s="35">
        <f>'Fiscal Forecasts'!F$197-F$483</f>
        <v>8.6100000000000012</v>
      </c>
      <c r="G484" s="35">
        <f>'Fiscal Forecasts'!G$197-G$483</f>
        <v>8.7850000000000001</v>
      </c>
      <c r="H484" s="35">
        <f>'Fiscal Forecasts'!H$197-H$483</f>
        <v>8.2880000000000003</v>
      </c>
      <c r="I484" s="35">
        <f>'Fiscal Forecasts'!I$197-I$483</f>
        <v>8.875</v>
      </c>
      <c r="J484" s="17">
        <f>'Fiscal Forecasts'!J$197-J$483</f>
        <v>11.777000000000001</v>
      </c>
      <c r="K484" s="17">
        <f>'Fiscal Forecasts'!K$197-K$483</f>
        <v>11.204000000000001</v>
      </c>
      <c r="L484" s="17">
        <f>'Fiscal Forecasts'!L$197-L$483</f>
        <v>11.087</v>
      </c>
      <c r="M484" s="17">
        <f>'Fiscal Forecasts'!M$197-M$483</f>
        <v>10.794</v>
      </c>
      <c r="N484" s="17">
        <f>'Fiscal Forecasts'!N$197-N$483</f>
        <v>10.699</v>
      </c>
      <c r="O484" s="16">
        <f t="shared" ref="O484:X484" ca="1" si="292">N$484*(1+O$29)</f>
        <v>10.912979999999999</v>
      </c>
      <c r="P484" s="16">
        <f t="shared" ca="1" si="292"/>
        <v>11.131239599999999</v>
      </c>
      <c r="Q484" s="16">
        <f t="shared" ca="1" si="292"/>
        <v>11.353864391999998</v>
      </c>
      <c r="R484" s="16">
        <f t="shared" ca="1" si="292"/>
        <v>11.580941679839999</v>
      </c>
      <c r="S484" s="16">
        <f t="shared" ca="1" si="292"/>
        <v>11.812560513436798</v>
      </c>
      <c r="T484" s="16">
        <f t="shared" ca="1" si="292"/>
        <v>12.048811723705535</v>
      </c>
      <c r="U484" s="16">
        <f t="shared" ca="1" si="292"/>
        <v>12.289787958179646</v>
      </c>
      <c r="V484" s="16">
        <f t="shared" ca="1" si="292"/>
        <v>12.53558371734324</v>
      </c>
      <c r="W484" s="16">
        <f t="shared" ca="1" si="292"/>
        <v>12.786295391690105</v>
      </c>
      <c r="X484" s="16">
        <f t="shared" ca="1" si="292"/>
        <v>13.042021299523908</v>
      </c>
    </row>
    <row r="485" spans="1:24" x14ac:dyDescent="0.25">
      <c r="A485" s="9" t="s">
        <v>1115</v>
      </c>
      <c r="D485" s="65">
        <f t="shared" ref="D485:X485" si="293">SUM(D$483:D$484)</f>
        <v>7.5890000000000004</v>
      </c>
      <c r="E485" s="65">
        <f t="shared" si="293"/>
        <v>9.3089999999999993</v>
      </c>
      <c r="F485" s="65">
        <f t="shared" si="293"/>
        <v>8.6080000000000005</v>
      </c>
      <c r="G485" s="65">
        <f t="shared" si="293"/>
        <v>8.8840000000000003</v>
      </c>
      <c r="H485" s="65">
        <f t="shared" si="293"/>
        <v>8.3480000000000008</v>
      </c>
      <c r="I485" s="65">
        <f t="shared" si="293"/>
        <v>8.8789999999999996</v>
      </c>
      <c r="J485" s="66">
        <f t="shared" si="293"/>
        <v>11.801</v>
      </c>
      <c r="K485" s="66">
        <f t="shared" si="293"/>
        <v>11.259</v>
      </c>
      <c r="L485" s="66">
        <f t="shared" si="293"/>
        <v>11.132</v>
      </c>
      <c r="M485" s="66">
        <f t="shared" si="293"/>
        <v>10.846</v>
      </c>
      <c r="N485" s="66">
        <f t="shared" si="293"/>
        <v>10.759</v>
      </c>
      <c r="O485" s="67">
        <f t="shared" ca="1" si="293"/>
        <v>10.912979999999999</v>
      </c>
      <c r="P485" s="67">
        <f t="shared" ca="1" si="293"/>
        <v>11.131239599999999</v>
      </c>
      <c r="Q485" s="67">
        <f t="shared" ca="1" si="293"/>
        <v>11.353864391999998</v>
      </c>
      <c r="R485" s="67">
        <f t="shared" ca="1" si="293"/>
        <v>11.580941679839999</v>
      </c>
      <c r="S485" s="67">
        <f t="shared" ca="1" si="293"/>
        <v>11.812560513436798</v>
      </c>
      <c r="T485" s="67">
        <f t="shared" ca="1" si="293"/>
        <v>12.048811723705535</v>
      </c>
      <c r="U485" s="67">
        <f t="shared" ca="1" si="293"/>
        <v>12.289787958179646</v>
      </c>
      <c r="V485" s="67">
        <f t="shared" ca="1" si="293"/>
        <v>12.53558371734324</v>
      </c>
      <c r="W485" s="67">
        <f t="shared" ca="1" si="293"/>
        <v>12.786295391690105</v>
      </c>
      <c r="X485" s="67">
        <f t="shared" ca="1" si="293"/>
        <v>13.042021299523908</v>
      </c>
    </row>
    <row r="486" spans="1:24" x14ac:dyDescent="0.25">
      <c r="A486" s="9" t="s">
        <v>1116</v>
      </c>
      <c r="B486" s="10" t="str">
        <f t="shared" si="291"/>
        <v>From Fiscal Forecasts</v>
      </c>
      <c r="D486" s="42">
        <f>'Fiscal Forecasts'!D$141</f>
        <v>10.708</v>
      </c>
      <c r="E486" s="42">
        <f>'Fiscal Forecasts'!E$141</f>
        <v>12.68</v>
      </c>
      <c r="F486" s="42">
        <f>'Fiscal Forecasts'!F$141</f>
        <v>13.263</v>
      </c>
      <c r="G486" s="42">
        <f>'Fiscal Forecasts'!G$141</f>
        <v>14.333</v>
      </c>
      <c r="H486" s="42">
        <f>'Fiscal Forecasts'!H$141</f>
        <v>15.426</v>
      </c>
      <c r="I486" s="42">
        <f>'Fiscal Forecasts'!I$141</f>
        <v>16.045000000000002</v>
      </c>
      <c r="J486" s="43">
        <f>'Fiscal Forecasts'!J$141</f>
        <v>17.672000000000001</v>
      </c>
      <c r="K486" s="43">
        <f>'Fiscal Forecasts'!K$141</f>
        <v>16.707000000000001</v>
      </c>
      <c r="L486" s="43">
        <f>'Fiscal Forecasts'!L$141</f>
        <v>16.04</v>
      </c>
      <c r="M486" s="43">
        <f>'Fiscal Forecasts'!M$141</f>
        <v>15.742000000000001</v>
      </c>
      <c r="N486" s="43">
        <f>'Fiscal Forecasts'!N$141</f>
        <v>15.646000000000001</v>
      </c>
      <c r="O486" s="47">
        <f t="shared" ref="O486:X486" ca="1" si="294">O$485+(N$486-N$485)*(1+O$29)</f>
        <v>15.89772</v>
      </c>
      <c r="P486" s="47">
        <f t="shared" ca="1" si="294"/>
        <v>16.215674399999997</v>
      </c>
      <c r="Q486" s="47">
        <f t="shared" ca="1" si="294"/>
        <v>16.539987887999999</v>
      </c>
      <c r="R486" s="47">
        <f t="shared" ca="1" si="294"/>
        <v>16.87078764576</v>
      </c>
      <c r="S486" s="47">
        <f t="shared" ca="1" si="294"/>
        <v>17.208203398675199</v>
      </c>
      <c r="T486" s="47">
        <f t="shared" ca="1" si="294"/>
        <v>17.552367466648704</v>
      </c>
      <c r="U486" s="47">
        <f t="shared" ca="1" si="294"/>
        <v>17.903414815981677</v>
      </c>
      <c r="V486" s="47">
        <f t="shared" ca="1" si="294"/>
        <v>18.26148311230131</v>
      </c>
      <c r="W486" s="47">
        <f t="shared" ca="1" si="294"/>
        <v>18.626712774547336</v>
      </c>
      <c r="X486" s="47">
        <f t="shared" ca="1" si="294"/>
        <v>18.999247030038283</v>
      </c>
    </row>
    <row r="488" spans="1:24" x14ac:dyDescent="0.25">
      <c r="A488" s="9" t="s">
        <v>1117</v>
      </c>
    </row>
    <row r="489" spans="1:24" x14ac:dyDescent="0.25">
      <c r="A489" s="11" t="s">
        <v>801</v>
      </c>
      <c r="B489" s="10" t="str">
        <f t="shared" ref="B489:B495" si="295">$B$38</f>
        <v>From Fiscal Forecasts</v>
      </c>
      <c r="D489" s="35">
        <f>'Fiscal Forecasts'!D$387</f>
        <v>83.715999999999994</v>
      </c>
      <c r="E489" s="35">
        <f>'Fiscal Forecasts'!E$387</f>
        <v>84.31</v>
      </c>
      <c r="F489" s="35">
        <f>'Fiscal Forecasts'!F$387</f>
        <v>96.551000000000002</v>
      </c>
      <c r="G489" s="35">
        <f>'Fiscal Forecasts'!G$387</f>
        <v>105.48699999999999</v>
      </c>
      <c r="H489" s="35">
        <f>'Fiscal Forecasts'!H$387</f>
        <v>111.292</v>
      </c>
      <c r="I489" s="35">
        <f>'Fiscal Forecasts'!I$387</f>
        <v>116.73699999999999</v>
      </c>
      <c r="J489" s="17">
        <f>'Fiscal Forecasts'!J$387</f>
        <v>123.553</v>
      </c>
      <c r="K489" s="17">
        <f>'Fiscal Forecasts'!K$387</f>
        <v>125.956</v>
      </c>
      <c r="L489" s="17">
        <f>'Fiscal Forecasts'!L$387</f>
        <v>133.53399999999999</v>
      </c>
      <c r="M489" s="17">
        <f>'Fiscal Forecasts'!M$387</f>
        <v>140.86500000000001</v>
      </c>
      <c r="N489" s="17">
        <f>'Fiscal Forecasts'!N$387</f>
        <v>148.369</v>
      </c>
      <c r="O489" s="16">
        <f t="shared" ref="O489:X489" ca="1" si="296">SUM(O$142,O$385,O$458-N$458)-SUM(O$360-N$360,O$282)</f>
        <v>154.03058814526557</v>
      </c>
      <c r="P489" s="16">
        <f t="shared" ca="1" si="296"/>
        <v>160.35372371483743</v>
      </c>
      <c r="Q489" s="16">
        <f t="shared" ca="1" si="296"/>
        <v>166.91393222973528</v>
      </c>
      <c r="R489" s="16">
        <f t="shared" ca="1" si="296"/>
        <v>173.51239362483147</v>
      </c>
      <c r="S489" s="16">
        <f t="shared" ca="1" si="296"/>
        <v>180.2441093860904</v>
      </c>
      <c r="T489" s="16">
        <f t="shared" ca="1" si="296"/>
        <v>187.11080442961128</v>
      </c>
      <c r="U489" s="16">
        <f t="shared" ca="1" si="296"/>
        <v>194.0746238970938</v>
      </c>
      <c r="V489" s="16">
        <f t="shared" ca="1" si="296"/>
        <v>201.1427007210402</v>
      </c>
      <c r="W489" s="16">
        <f t="shared" ca="1" si="296"/>
        <v>208.31532460548382</v>
      </c>
      <c r="X489" s="16">
        <f t="shared" ca="1" si="296"/>
        <v>215.64250245858591</v>
      </c>
    </row>
    <row r="490" spans="1:24" x14ac:dyDescent="0.25">
      <c r="A490" s="11" t="s">
        <v>575</v>
      </c>
      <c r="B490" s="10" t="str">
        <f t="shared" si="295"/>
        <v>From Fiscal Forecasts</v>
      </c>
      <c r="D490" s="35">
        <f>'Fiscal Forecasts'!D$388</f>
        <v>1.359</v>
      </c>
      <c r="E490" s="35">
        <f>'Fiscal Forecasts'!E$388</f>
        <v>1.226</v>
      </c>
      <c r="F490" s="35">
        <f>'Fiscal Forecasts'!F$388</f>
        <v>2.2869999999999999</v>
      </c>
      <c r="G490" s="35">
        <f>'Fiscal Forecasts'!G$388</f>
        <v>3.3639999999999999</v>
      </c>
      <c r="H490" s="35">
        <f>'Fiscal Forecasts'!H$388</f>
        <v>2.492</v>
      </c>
      <c r="I490" s="35">
        <f>'Fiscal Forecasts'!I$388</f>
        <v>1.79</v>
      </c>
      <c r="J490" s="17">
        <f>'Fiscal Forecasts'!J$388</f>
        <v>1.9770000000000001</v>
      </c>
      <c r="K490" s="17">
        <f>'Fiscal Forecasts'!K$388</f>
        <v>2.2309999999999999</v>
      </c>
      <c r="L490" s="17">
        <f>'Fiscal Forecasts'!L$388</f>
        <v>2.371</v>
      </c>
      <c r="M490" s="17">
        <f>'Fiscal Forecasts'!M$388</f>
        <v>2.367</v>
      </c>
      <c r="N490" s="17">
        <f>'Fiscal Forecasts'!N$388</f>
        <v>2.35</v>
      </c>
      <c r="O490" s="16">
        <f t="shared" ref="O490:X490" ca="1" si="297">SUM(O$146,O$151)</f>
        <v>2.6429340481804928</v>
      </c>
      <c r="P490" s="16">
        <f t="shared" ca="1" si="297"/>
        <v>2.7216053594266576</v>
      </c>
      <c r="Q490" s="16">
        <f t="shared" ca="1" si="297"/>
        <v>2.8012224425256846</v>
      </c>
      <c r="R490" s="16">
        <f t="shared" ca="1" si="297"/>
        <v>2.8810709463860236</v>
      </c>
      <c r="S490" s="16">
        <f t="shared" ca="1" si="297"/>
        <v>2.9615746880905123</v>
      </c>
      <c r="T490" s="16">
        <f t="shared" ca="1" si="297"/>
        <v>3.0425449995930327</v>
      </c>
      <c r="U490" s="16">
        <f t="shared" ca="1" si="297"/>
        <v>3.1250404675093675</v>
      </c>
      <c r="V490" s="16">
        <f t="shared" ca="1" si="297"/>
        <v>3.2086487064120868</v>
      </c>
      <c r="W490" s="16">
        <f t="shared" ca="1" si="297"/>
        <v>3.2921789269818311</v>
      </c>
      <c r="X490" s="16">
        <f t="shared" ca="1" si="297"/>
        <v>3.3765125193692844</v>
      </c>
    </row>
    <row r="491" spans="1:24" x14ac:dyDescent="0.25">
      <c r="A491" s="11" t="s">
        <v>802</v>
      </c>
      <c r="B491" s="10" t="str">
        <f t="shared" si="295"/>
        <v>From Fiscal Forecasts</v>
      </c>
      <c r="D491" s="35">
        <f>'Fiscal Forecasts'!D$389</f>
        <v>0.71199999999999997</v>
      </c>
      <c r="E491" s="35">
        <f>'Fiscal Forecasts'!E$389</f>
        <v>0.42799999999999999</v>
      </c>
      <c r="F491" s="35">
        <f>'Fiscal Forecasts'!F$389</f>
        <v>0.249</v>
      </c>
      <c r="G491" s="35">
        <f>'Fiscal Forecasts'!G$389</f>
        <v>0.39300000000000002</v>
      </c>
      <c r="H491" s="35">
        <f>'Fiscal Forecasts'!H$389</f>
        <v>0.98199999999999998</v>
      </c>
      <c r="I491" s="35">
        <f>'Fiscal Forecasts'!I$389</f>
        <v>1.8779999999999999</v>
      </c>
      <c r="J491" s="17">
        <f>'Fiscal Forecasts'!J$389</f>
        <v>2.7080000000000002</v>
      </c>
      <c r="K491" s="17">
        <f>'Fiscal Forecasts'!K$389</f>
        <v>2.2959999999999998</v>
      </c>
      <c r="L491" s="17">
        <f>'Fiscal Forecasts'!L$389</f>
        <v>1.3180000000000001</v>
      </c>
      <c r="M491" s="17">
        <f>'Fiscal Forecasts'!M$389</f>
        <v>1.2809999999999999</v>
      </c>
      <c r="N491" s="17">
        <f>'Fiscal Forecasts'!N$389</f>
        <v>1.3220000000000001</v>
      </c>
      <c r="O491" s="16">
        <f t="shared" ref="O491:X491" ca="1" si="298">SUM(O$154,O$169,O$177)</f>
        <v>4.4155915525049076</v>
      </c>
      <c r="P491" s="16">
        <f t="shared" ca="1" si="298"/>
        <v>4.5564632751770393</v>
      </c>
      <c r="Q491" s="16">
        <f t="shared" ca="1" si="298"/>
        <v>4.699028531464629</v>
      </c>
      <c r="R491" s="16">
        <f t="shared" ca="1" si="298"/>
        <v>4.8420081782179638</v>
      </c>
      <c r="S491" s="16">
        <f t="shared" ca="1" si="298"/>
        <v>4.9861611177816423</v>
      </c>
      <c r="T491" s="16">
        <f t="shared" ca="1" si="298"/>
        <v>5.1311495142628969</v>
      </c>
      <c r="U491" s="16">
        <f t="shared" ca="1" si="298"/>
        <v>5.278868911511208</v>
      </c>
      <c r="V491" s="16">
        <f t="shared" ca="1" si="298"/>
        <v>5.4285808771215862</v>
      </c>
      <c r="W491" s="16">
        <f t="shared" ca="1" si="298"/>
        <v>5.5781531402560294</v>
      </c>
      <c r="X491" s="16">
        <f t="shared" ca="1" si="298"/>
        <v>5.7291639503031178</v>
      </c>
    </row>
    <row r="492" spans="1:24" x14ac:dyDescent="0.25">
      <c r="A492" s="11" t="s">
        <v>576</v>
      </c>
      <c r="B492" s="10" t="str">
        <f t="shared" si="295"/>
        <v>From Fiscal Forecasts</v>
      </c>
      <c r="D492" s="35">
        <f>'Fiscal Forecasts'!D$390</f>
        <v>3.2</v>
      </c>
      <c r="E492" s="35">
        <f>'Fiscal Forecasts'!E$390</f>
        <v>3.2429999999999999</v>
      </c>
      <c r="F492" s="35">
        <f>'Fiscal Forecasts'!F$390</f>
        <v>2.98</v>
      </c>
      <c r="G492" s="35">
        <f>'Fiscal Forecasts'!G$390</f>
        <v>2.883</v>
      </c>
      <c r="H492" s="35">
        <f>'Fiscal Forecasts'!H$390</f>
        <v>3.9540000000000002</v>
      </c>
      <c r="I492" s="35">
        <f>'Fiscal Forecasts'!I$390</f>
        <v>3.7789999999999999</v>
      </c>
      <c r="J492" s="17">
        <f>'Fiscal Forecasts'!J$390</f>
        <v>3.89</v>
      </c>
      <c r="K492" s="17">
        <f>'Fiscal Forecasts'!K$390</f>
        <v>4.1050000000000004</v>
      </c>
      <c r="L492" s="17">
        <f>'Fiscal Forecasts'!L$390</f>
        <v>4.0579999999999998</v>
      </c>
      <c r="M492" s="17">
        <f>'Fiscal Forecasts'!M$390</f>
        <v>4.1710000000000003</v>
      </c>
      <c r="N492" s="17">
        <f>'Fiscal Forecasts'!N$390</f>
        <v>4.2569999999999997</v>
      </c>
      <c r="O492" s="16">
        <f t="shared" ref="O492:X492" ca="1" si="299">SUM(O$160,O$341)</f>
        <v>3.1799687142148629</v>
      </c>
      <c r="P492" s="16">
        <f t="shared" ca="1" si="299"/>
        <v>3.2225883059503575</v>
      </c>
      <c r="Q492" s="16">
        <f t="shared" ca="1" si="299"/>
        <v>3.2656212012352208</v>
      </c>
      <c r="R492" s="16">
        <f t="shared" ca="1" si="299"/>
        <v>3.309055477854896</v>
      </c>
      <c r="S492" s="16">
        <f t="shared" ca="1" si="299"/>
        <v>3.3530554434049047</v>
      </c>
      <c r="T492" s="16">
        <f t="shared" ca="1" si="299"/>
        <v>3.3921354471533838</v>
      </c>
      <c r="U492" s="16">
        <f t="shared" ca="1" si="299"/>
        <v>3.4316313478063689</v>
      </c>
      <c r="V492" s="16">
        <f t="shared" ca="1" si="299"/>
        <v>3.4715606234926826</v>
      </c>
      <c r="W492" s="16">
        <f t="shared" ca="1" si="299"/>
        <v>3.5119261722492077</v>
      </c>
      <c r="X492" s="16">
        <f t="shared" ca="1" si="299"/>
        <v>3.5527904360154672</v>
      </c>
    </row>
    <row r="493" spans="1:24" x14ac:dyDescent="0.25">
      <c r="A493" s="11" t="s">
        <v>534</v>
      </c>
      <c r="B493" s="10" t="str">
        <f t="shared" si="295"/>
        <v>From Fiscal Forecasts</v>
      </c>
      <c r="D493" s="35">
        <f>'Fiscal Forecasts'!D$391</f>
        <v>28.91</v>
      </c>
      <c r="E493" s="35">
        <f>'Fiscal Forecasts'!E$391</f>
        <v>43.915999999999997</v>
      </c>
      <c r="F493" s="35">
        <f>'Fiscal Forecasts'!F$391</f>
        <v>36.573999999999998</v>
      </c>
      <c r="G493" s="35">
        <f>'Fiscal Forecasts'!G$391</f>
        <v>45.44</v>
      </c>
      <c r="H493" s="35">
        <f>'Fiscal Forecasts'!H$391</f>
        <v>40.417000000000002</v>
      </c>
      <c r="I493" s="35">
        <f>'Fiscal Forecasts'!I$391</f>
        <v>43.494999999999997</v>
      </c>
      <c r="J493" s="17">
        <f>'Fiscal Forecasts'!J$391</f>
        <v>47.723999999999997</v>
      </c>
      <c r="K493" s="17">
        <f>'Fiscal Forecasts'!K$391</f>
        <v>49.08</v>
      </c>
      <c r="L493" s="17">
        <f>'Fiscal Forecasts'!L$391</f>
        <v>50.116</v>
      </c>
      <c r="M493" s="17">
        <f>'Fiscal Forecasts'!M$391</f>
        <v>51.552</v>
      </c>
      <c r="N493" s="17">
        <f>'Fiscal Forecasts'!N$391</f>
        <v>53.042000000000002</v>
      </c>
      <c r="O493" s="16">
        <f t="shared" ref="O493:X493" ca="1" si="300">O$195</f>
        <v>52.716537878014769</v>
      </c>
      <c r="P493" s="16">
        <f t="shared" ca="1" si="300"/>
        <v>54.97496932655698</v>
      </c>
      <c r="Q493" s="16">
        <f t="shared" ca="1" si="300"/>
        <v>57.336481433380918</v>
      </c>
      <c r="R493" s="16">
        <f t="shared" ca="1" si="300"/>
        <v>59.784834344606928</v>
      </c>
      <c r="S493" s="16">
        <f t="shared" ca="1" si="300"/>
        <v>62.321710620668796</v>
      </c>
      <c r="T493" s="16">
        <f t="shared" ca="1" si="300"/>
        <v>64.903902206045629</v>
      </c>
      <c r="U493" s="16">
        <f t="shared" ca="1" si="300"/>
        <v>67.58738423613697</v>
      </c>
      <c r="V493" s="16">
        <f t="shared" ca="1" si="300"/>
        <v>70.30501559046796</v>
      </c>
      <c r="W493" s="16">
        <f t="shared" ca="1" si="300"/>
        <v>72.993209551386627</v>
      </c>
      <c r="X493" s="16">
        <f t="shared" ca="1" si="300"/>
        <v>75.659959432481941</v>
      </c>
    </row>
    <row r="494" spans="1:24" x14ac:dyDescent="0.25">
      <c r="A494" s="11" t="s">
        <v>1124</v>
      </c>
      <c r="B494" s="10" t="str">
        <f t="shared" si="295"/>
        <v>From Fiscal Forecasts</v>
      </c>
      <c r="D494" s="35">
        <f>'Fiscal Forecasts'!D$392</f>
        <v>50.591000000000001</v>
      </c>
      <c r="E494" s="35">
        <f>'Fiscal Forecasts'!E$392</f>
        <v>56.582999999999998</v>
      </c>
      <c r="F494" s="35">
        <f>'Fiscal Forecasts'!F$392</f>
        <v>63.893999999999998</v>
      </c>
      <c r="G494" s="35">
        <f>'Fiscal Forecasts'!G$392</f>
        <v>71.98</v>
      </c>
      <c r="H494" s="35">
        <f>'Fiscal Forecasts'!H$392</f>
        <v>76.433999999999997</v>
      </c>
      <c r="I494" s="35">
        <f>'Fiscal Forecasts'!I$392</f>
        <v>79.747</v>
      </c>
      <c r="J494" s="17">
        <f ca="1">'Fiscal Forecasts'!J$392+IF(OFFSET(Assumptions!$B$56,0,$C$1)="Yes",SUM(Allocation!C$14:C$24),0)</f>
        <v>81.527999999999992</v>
      </c>
      <c r="K494" s="17">
        <f ca="1">'Fiscal Forecasts'!K$392+IF(OFFSET(Assumptions!$B$56,0,$C$1)="Yes",SUM(Allocation!D$14:D$24),0)</f>
        <v>84.724999999999994</v>
      </c>
      <c r="L494" s="17">
        <f ca="1">'Fiscal Forecasts'!L$392+IF(OFFSET(Assumptions!$B$56,0,$C$1)="Yes",SUM(Allocation!E$14:E$24),0)</f>
        <v>86.301000000000002</v>
      </c>
      <c r="M494" s="17">
        <f ca="1">'Fiscal Forecasts'!M$392+IF(OFFSET(Assumptions!$B$56,0,$C$1)="Yes",SUM(Allocation!F$14:F$24),0)</f>
        <v>87.373000000000005</v>
      </c>
      <c r="N494" s="17">
        <f ca="1">'Fiscal Forecasts'!N$392+IF(OFFSET(Assumptions!$B$56,0,$C$1)="Yes",SUM(Allocation!G$14:G$24),0)</f>
        <v>89.774999999999991</v>
      </c>
      <c r="O494" s="16">
        <f t="shared" ref="O494:X494" ca="1" si="301">SUM(O$208,O$222,O$237)-SUM(O$219,O$272,O$280,O$282,O$322,O$472-N$472,O$478-N$478)</f>
        <v>96.995571543597094</v>
      </c>
      <c r="P494" s="16">
        <f t="shared" ca="1" si="301"/>
        <v>101.92705291161288</v>
      </c>
      <c r="Q494" s="16">
        <f t="shared" ca="1" si="301"/>
        <v>107.11780707612571</v>
      </c>
      <c r="R494" s="16">
        <f t="shared" ca="1" si="301"/>
        <v>112.36589294709907</v>
      </c>
      <c r="S494" s="16">
        <f t="shared" ca="1" si="301"/>
        <v>117.58756612742113</v>
      </c>
      <c r="T494" s="16">
        <f t="shared" ca="1" si="301"/>
        <v>122.97461488196738</v>
      </c>
      <c r="U494" s="16">
        <f t="shared" ca="1" si="301"/>
        <v>128.25093834114563</v>
      </c>
      <c r="V494" s="16">
        <f t="shared" ca="1" si="301"/>
        <v>133.58201030556145</v>
      </c>
      <c r="W494" s="16">
        <f t="shared" ca="1" si="301"/>
        <v>139.01912686392515</v>
      </c>
      <c r="X494" s="16">
        <f t="shared" ca="1" si="301"/>
        <v>144.59545927961534</v>
      </c>
    </row>
    <row r="495" spans="1:24" x14ac:dyDescent="0.25">
      <c r="A495" s="11" t="s">
        <v>580</v>
      </c>
      <c r="B495" s="10" t="str">
        <f t="shared" si="295"/>
        <v>From Fiscal Forecasts</v>
      </c>
      <c r="D495" s="35">
        <f>'Fiscal Forecasts'!D$393</f>
        <v>3.45</v>
      </c>
      <c r="E495" s="35">
        <f>'Fiscal Forecasts'!E$393</f>
        <v>3.016</v>
      </c>
      <c r="F495" s="35">
        <f>'Fiscal Forecasts'!F$393</f>
        <v>2.6419999999999999</v>
      </c>
      <c r="G495" s="35">
        <f>'Fiscal Forecasts'!G$393</f>
        <v>2.8410000000000002</v>
      </c>
      <c r="H495" s="35">
        <f>'Fiscal Forecasts'!H$393</f>
        <v>5.3049999999999997</v>
      </c>
      <c r="I495" s="35">
        <f>'Fiscal Forecasts'!I$393</f>
        <v>7.0439999999999996</v>
      </c>
      <c r="J495" s="17">
        <f>'Fiscal Forecasts'!J$393</f>
        <v>6.9340000000000002</v>
      </c>
      <c r="K495" s="17">
        <f>'Fiscal Forecasts'!K$393</f>
        <v>7.6150000000000002</v>
      </c>
      <c r="L495" s="17">
        <f>'Fiscal Forecasts'!L$393</f>
        <v>8.6690000000000005</v>
      </c>
      <c r="M495" s="17">
        <f>'Fiscal Forecasts'!M$393</f>
        <v>9.2949999999999999</v>
      </c>
      <c r="N495" s="17">
        <f>'Fiscal Forecasts'!N$393</f>
        <v>10.396000000000001</v>
      </c>
      <c r="O495" s="16">
        <f t="shared" ref="O495:X495" ca="1" si="302">(2*N$71-SUM(O$489:O$492,O$503,O$509)+SUM(O$493,O$494,O$496,O$508,O$354-N$354))/(2/O$234-1)</f>
        <v>13.111774965059245</v>
      </c>
      <c r="P495" s="16">
        <f t="shared" ca="1" si="302"/>
        <v>13.546456430893876</v>
      </c>
      <c r="Q495" s="16">
        <f t="shared" ca="1" si="302"/>
        <v>14.105694699797938</v>
      </c>
      <c r="R495" s="16">
        <f t="shared" ca="1" si="302"/>
        <v>14.729993688034973</v>
      </c>
      <c r="S495" s="16">
        <f t="shared" ca="1" si="302"/>
        <v>15.42206662881741</v>
      </c>
      <c r="T495" s="16">
        <f t="shared" ca="1" si="302"/>
        <v>16.128125077608392</v>
      </c>
      <c r="U495" s="16">
        <f t="shared" ca="1" si="302"/>
        <v>16.900052122993142</v>
      </c>
      <c r="V495" s="16">
        <f t="shared" ca="1" si="302"/>
        <v>17.737668535879934</v>
      </c>
      <c r="W495" s="16">
        <f t="shared" ca="1" si="302"/>
        <v>18.645256465651677</v>
      </c>
      <c r="X495" s="16">
        <f t="shared" ca="1" si="302"/>
        <v>19.628312419686196</v>
      </c>
    </row>
    <row r="496" spans="1:24" x14ac:dyDescent="0.25">
      <c r="A496" s="11" t="s">
        <v>1125</v>
      </c>
      <c r="D496" s="35">
        <f t="shared" ref="D496:X496" si="303">SUM(D$245,D$248)</f>
        <v>0</v>
      </c>
      <c r="E496" s="35">
        <f t="shared" si="303"/>
        <v>0</v>
      </c>
      <c r="F496" s="35">
        <f t="shared" si="303"/>
        <v>0</v>
      </c>
      <c r="G496" s="35">
        <f t="shared" si="303"/>
        <v>0</v>
      </c>
      <c r="H496" s="35">
        <f t="shared" si="303"/>
        <v>0</v>
      </c>
      <c r="I496" s="35">
        <f t="shared" si="303"/>
        <v>0</v>
      </c>
      <c r="J496" s="17">
        <f t="shared" ca="1" si="303"/>
        <v>0</v>
      </c>
      <c r="K496" s="17">
        <f t="shared" ca="1" si="303"/>
        <v>0</v>
      </c>
      <c r="L496" s="17">
        <f t="shared" ca="1" si="303"/>
        <v>0</v>
      </c>
      <c r="M496" s="17">
        <f t="shared" ca="1" si="303"/>
        <v>0</v>
      </c>
      <c r="N496" s="17">
        <f t="shared" ca="1" si="303"/>
        <v>0</v>
      </c>
      <c r="O496" s="16">
        <f t="shared" ca="1" si="303"/>
        <v>0</v>
      </c>
      <c r="P496" s="16">
        <f t="shared" ca="1" si="303"/>
        <v>0</v>
      </c>
      <c r="Q496" s="16">
        <f t="shared" ca="1" si="303"/>
        <v>0</v>
      </c>
      <c r="R496" s="16">
        <f t="shared" ca="1" si="303"/>
        <v>0</v>
      </c>
      <c r="S496" s="16">
        <f t="shared" ca="1" si="303"/>
        <v>0</v>
      </c>
      <c r="T496" s="16">
        <f t="shared" ca="1" si="303"/>
        <v>0</v>
      </c>
      <c r="U496" s="16">
        <f t="shared" ca="1" si="303"/>
        <v>0</v>
      </c>
      <c r="V496" s="16">
        <f t="shared" ca="1" si="303"/>
        <v>0</v>
      </c>
      <c r="W496" s="16">
        <f t="shared" ca="1" si="303"/>
        <v>0</v>
      </c>
      <c r="X496" s="16">
        <f t="shared" ca="1" si="303"/>
        <v>0</v>
      </c>
    </row>
    <row r="497" spans="1:24" x14ac:dyDescent="0.25">
      <c r="A497" s="9" t="s">
        <v>1118</v>
      </c>
      <c r="D497" s="65">
        <f t="shared" ref="D497:I497" si="304">SUM(D$489:D$492)-SUM(D$493:D$496)</f>
        <v>6.0359999999999872</v>
      </c>
      <c r="E497" s="65">
        <f t="shared" si="304"/>
        <v>-14.308000000000007</v>
      </c>
      <c r="F497" s="65">
        <f t="shared" si="304"/>
        <v>-1.0429999999999779</v>
      </c>
      <c r="G497" s="65">
        <f t="shared" si="304"/>
        <v>-8.1340000000000003</v>
      </c>
      <c r="H497" s="65">
        <f t="shared" si="304"/>
        <v>-3.436000000000007</v>
      </c>
      <c r="I497" s="65">
        <f t="shared" si="304"/>
        <v>-6.1020000000000039</v>
      </c>
      <c r="J497" s="66">
        <f t="shared" ref="J497:N497" ca="1" si="305">SUM(J$489:J$492)-SUM(J$493:J$496)</f>
        <v>-4.0579999999999927</v>
      </c>
      <c r="K497" s="66">
        <f t="shared" ca="1" si="305"/>
        <v>-6.8320000000000221</v>
      </c>
      <c r="L497" s="66">
        <f t="shared" ca="1" si="305"/>
        <v>-3.8050000000000068</v>
      </c>
      <c r="M497" s="66">
        <f t="shared" ca="1" si="305"/>
        <v>0.46399999999999864</v>
      </c>
      <c r="N497" s="66">
        <f t="shared" ca="1" si="305"/>
        <v>3.0849999999999795</v>
      </c>
      <c r="O497" s="67">
        <f t="shared" ref="O497:X497" ca="1" si="306">SUM(O$489:O$492)-SUM(O$493:O$496)</f>
        <v>1.4451980734946801</v>
      </c>
      <c r="P497" s="67">
        <f t="shared" ca="1" si="306"/>
        <v>0.40590198632776264</v>
      </c>
      <c r="Q497" s="67">
        <f t="shared" ca="1" si="306"/>
        <v>-0.88017880434375684</v>
      </c>
      <c r="R497" s="67">
        <f t="shared" ca="1" si="306"/>
        <v>-2.3361927524506427</v>
      </c>
      <c r="S497" s="67">
        <f t="shared" ca="1" si="306"/>
        <v>-3.7864427415398723</v>
      </c>
      <c r="T497" s="67">
        <f t="shared" ca="1" si="306"/>
        <v>-5.330007775000837</v>
      </c>
      <c r="U497" s="67">
        <f t="shared" ca="1" si="306"/>
        <v>-6.8282100763550204</v>
      </c>
      <c r="V497" s="67">
        <f t="shared" ca="1" si="306"/>
        <v>-8.3732035038428023</v>
      </c>
      <c r="W497" s="67">
        <f t="shared" ca="1" si="306"/>
        <v>-9.9600100359925534</v>
      </c>
      <c r="X497" s="67">
        <f t="shared" ca="1" si="306"/>
        <v>-11.58276176750968</v>
      </c>
    </row>
    <row r="498" spans="1:24" x14ac:dyDescent="0.25">
      <c r="A498" s="11" t="s">
        <v>1126</v>
      </c>
      <c r="B498" s="10" t="str">
        <f t="shared" ref="B498:B500" si="307">$B$38</f>
        <v>From Fiscal Forecasts</v>
      </c>
      <c r="D498" s="35">
        <f>-'Fiscal Forecasts'!D$395</f>
        <v>3.0019999999999998</v>
      </c>
      <c r="E498" s="35">
        <f>-'Fiscal Forecasts'!E$395</f>
        <v>2.9550000000000001</v>
      </c>
      <c r="F498" s="35">
        <f>-'Fiscal Forecasts'!F$395</f>
        <v>3.137</v>
      </c>
      <c r="G498" s="35">
        <f>-'Fiscal Forecasts'!G$395</f>
        <v>3.4740000000000002</v>
      </c>
      <c r="H498" s="35">
        <f>-'Fiscal Forecasts'!H$395</f>
        <v>4.4349999999999996</v>
      </c>
      <c r="I498" s="35">
        <f>-'Fiscal Forecasts'!I$395</f>
        <v>4.7009999999999996</v>
      </c>
      <c r="J498" s="17">
        <f>-'Fiscal Forecasts'!J$395</f>
        <v>4.242</v>
      </c>
      <c r="K498" s="17">
        <f>-'Fiscal Forecasts'!K$395</f>
        <v>4.3230000000000004</v>
      </c>
      <c r="L498" s="17">
        <f>-'Fiscal Forecasts'!L$395</f>
        <v>3.5950000000000002</v>
      </c>
      <c r="M498" s="17">
        <f>-'Fiscal Forecasts'!M$395</f>
        <v>2.7170000000000001</v>
      </c>
      <c r="N498" s="17">
        <f>-'Fiscal Forecasts'!N$395</f>
        <v>2.4750000000000001</v>
      </c>
      <c r="O498" s="16">
        <f t="shared" ref="O498:X498" ca="1" si="308">SUM(O$427-N$427,O$215,O$441-N$441,O$219)</f>
        <v>3.403850728053635</v>
      </c>
      <c r="P498" s="16">
        <f t="shared" ca="1" si="308"/>
        <v>3.403850728053635</v>
      </c>
      <c r="Q498" s="16">
        <f t="shared" ca="1" si="308"/>
        <v>3.403850728053635</v>
      </c>
      <c r="R498" s="16">
        <f t="shared" ca="1" si="308"/>
        <v>3.403850728053635</v>
      </c>
      <c r="S498" s="16">
        <f t="shared" ca="1" si="308"/>
        <v>3.403850728053635</v>
      </c>
      <c r="T498" s="16">
        <f t="shared" ca="1" si="308"/>
        <v>3.403850728053635</v>
      </c>
      <c r="U498" s="16">
        <f t="shared" ca="1" si="308"/>
        <v>3.403850728053635</v>
      </c>
      <c r="V498" s="16">
        <f t="shared" ca="1" si="308"/>
        <v>3.403850728053635</v>
      </c>
      <c r="W498" s="16">
        <f t="shared" ca="1" si="308"/>
        <v>3.403850728053635</v>
      </c>
      <c r="X498" s="16">
        <f t="shared" ca="1" si="308"/>
        <v>3.403850728053635</v>
      </c>
    </row>
    <row r="499" spans="1:24" x14ac:dyDescent="0.25">
      <c r="A499" s="11" t="s">
        <v>1127</v>
      </c>
      <c r="B499" s="10" t="str">
        <f t="shared" si="307"/>
        <v>From Fiscal Forecasts</v>
      </c>
      <c r="D499" s="35">
        <f>-'Fiscal Forecasts'!D$396</f>
        <v>8.5999999999999993E-2</v>
      </c>
      <c r="E499" s="35">
        <f>-'Fiscal Forecasts'!E$396</f>
        <v>1.798</v>
      </c>
      <c r="F499" s="35">
        <f>-'Fiscal Forecasts'!F$396</f>
        <v>3.8679999999999999</v>
      </c>
      <c r="G499" s="35">
        <f>-'Fiscal Forecasts'!G$396</f>
        <v>9.1920000000000002</v>
      </c>
      <c r="H499" s="35">
        <f>-'Fiscal Forecasts'!H$396</f>
        <v>9.1590000000000007</v>
      </c>
      <c r="I499" s="35">
        <f>-'Fiscal Forecasts'!I$396</f>
        <v>2.5329999999999999</v>
      </c>
      <c r="J499" s="17">
        <f>-'Fiscal Forecasts'!J$396</f>
        <v>-5.3380000000000001</v>
      </c>
      <c r="K499" s="17">
        <f>-'Fiscal Forecasts'!K$396</f>
        <v>-4.7889999999999997</v>
      </c>
      <c r="L499" s="17">
        <f>-'Fiscal Forecasts'!L$396</f>
        <v>2.992</v>
      </c>
      <c r="M499" s="17">
        <f>-'Fiscal Forecasts'!M$396</f>
        <v>1.8180000000000001</v>
      </c>
      <c r="N499" s="17">
        <f>-'Fiscal Forecasts'!N$396</f>
        <v>1.944</v>
      </c>
      <c r="O499" s="16">
        <f t="shared" ref="O499:X499" si="309">SUM(O$401-N$401-O$413+O$411,O$402-N$402)</f>
        <v>8.599999999999941E-2</v>
      </c>
      <c r="P499" s="16">
        <f t="shared" si="309"/>
        <v>6.399999999999928E-2</v>
      </c>
      <c r="Q499" s="16">
        <f t="shared" si="309"/>
        <v>4.8999999999999044E-2</v>
      </c>
      <c r="R499" s="16">
        <f t="shared" si="309"/>
        <v>3.6000000000001808E-2</v>
      </c>
      <c r="S499" s="16">
        <f t="shared" si="309"/>
        <v>2.49999999999998E-2</v>
      </c>
      <c r="T499" s="16">
        <f t="shared" si="309"/>
        <v>7.9999999999985638E-3</v>
      </c>
      <c r="U499" s="16">
        <f t="shared" si="309"/>
        <v>-1.0000000000014442E-3</v>
      </c>
      <c r="V499" s="16">
        <f t="shared" si="309"/>
        <v>-1.0999999999998678E-2</v>
      </c>
      <c r="W499" s="16">
        <f t="shared" si="309"/>
        <v>-1.8999999999998907E-2</v>
      </c>
      <c r="X499" s="16">
        <f t="shared" si="309"/>
        <v>-2.2000000000001463E-2</v>
      </c>
    </row>
    <row r="500" spans="1:24" x14ac:dyDescent="0.25">
      <c r="A500" s="11" t="s">
        <v>1128</v>
      </c>
      <c r="B500" s="10" t="str">
        <f t="shared" si="307"/>
        <v>From Fiscal Forecasts</v>
      </c>
      <c r="D500" s="35">
        <f>-'Fiscal Forecasts'!D$397</f>
        <v>2.6579999999999999</v>
      </c>
      <c r="E500" s="35">
        <f>-'Fiscal Forecasts'!E$397</f>
        <v>3.1709999999999998</v>
      </c>
      <c r="F500" s="35">
        <f>-'Fiscal Forecasts'!F$397</f>
        <v>3.5990000000000002</v>
      </c>
      <c r="G500" s="35">
        <f>-'Fiscal Forecasts'!G$397</f>
        <v>3.823</v>
      </c>
      <c r="H500" s="35">
        <f>-'Fiscal Forecasts'!H$397</f>
        <v>6.06</v>
      </c>
      <c r="I500" s="35">
        <f>-'Fiscal Forecasts'!I$397</f>
        <v>4.3520000000000003</v>
      </c>
      <c r="J500" s="17">
        <f>-'Fiscal Forecasts'!J$397</f>
        <v>7.649</v>
      </c>
      <c r="K500" s="17">
        <f>-'Fiscal Forecasts'!K$397</f>
        <v>6.5069999999999997</v>
      </c>
      <c r="L500" s="17">
        <f>-'Fiscal Forecasts'!L$397</f>
        <v>4.774</v>
      </c>
      <c r="M500" s="17">
        <f>-'Fiscal Forecasts'!M$397</f>
        <v>3.9990000000000001</v>
      </c>
      <c r="N500" s="17">
        <f>-'Fiscal Forecasts'!N$397</f>
        <v>2.8170000000000002</v>
      </c>
      <c r="O500" s="16">
        <f t="shared" ref="O500:X500" ca="1" si="310">SUM(O$437-N$437,-O$349)</f>
        <v>0.97069985849933604</v>
      </c>
      <c r="P500" s="16">
        <f t="shared" ca="1" si="310"/>
        <v>0.96592899551477984</v>
      </c>
      <c r="Q500" s="16">
        <f t="shared" ca="1" si="310"/>
        <v>0.9977620719770075</v>
      </c>
      <c r="R500" s="16">
        <f t="shared" ca="1" si="310"/>
        <v>1.0370504504875699</v>
      </c>
      <c r="S500" s="16">
        <f t="shared" ca="1" si="310"/>
        <v>1.0772051244262628</v>
      </c>
      <c r="T500" s="16">
        <f t="shared" ca="1" si="310"/>
        <v>1.1181648141704357</v>
      </c>
      <c r="U500" s="16">
        <f t="shared" ca="1" si="310"/>
        <v>1.15967062159209</v>
      </c>
      <c r="V500" s="16">
        <f t="shared" ca="1" si="310"/>
        <v>1.201800460819205</v>
      </c>
      <c r="W500" s="16">
        <f t="shared" ca="1" si="310"/>
        <v>1.2445527622419963</v>
      </c>
      <c r="X500" s="16">
        <f t="shared" ca="1" si="310"/>
        <v>1.2882496870846063</v>
      </c>
    </row>
    <row r="501" spans="1:24" x14ac:dyDescent="0.25">
      <c r="A501" s="11" t="s">
        <v>1129</v>
      </c>
      <c r="D501" s="35">
        <f t="shared" ref="D501:X501" si="311">D$389</f>
        <v>1</v>
      </c>
      <c r="E501" s="35">
        <f t="shared" si="311"/>
        <v>1.46</v>
      </c>
      <c r="F501" s="35">
        <f t="shared" si="311"/>
        <v>2.12</v>
      </c>
      <c r="G501" s="35">
        <f t="shared" si="311"/>
        <v>2.42</v>
      </c>
      <c r="H501" s="35">
        <f t="shared" si="311"/>
        <v>2.5579999999999998</v>
      </c>
      <c r="I501" s="35">
        <f t="shared" si="311"/>
        <v>1.6140000000000001</v>
      </c>
      <c r="J501" s="17">
        <f t="shared" si="311"/>
        <v>0.879</v>
      </c>
      <c r="K501" s="17">
        <f t="shared" si="311"/>
        <v>0</v>
      </c>
      <c r="L501" s="17">
        <f t="shared" si="311"/>
        <v>4.0000000000000001E-3</v>
      </c>
      <c r="M501" s="17">
        <f t="shared" si="311"/>
        <v>-3.2000000000000001E-2</v>
      </c>
      <c r="N501" s="17">
        <f t="shared" si="311"/>
        <v>6.3E-2</v>
      </c>
      <c r="O501" s="16">
        <f t="shared" si="311"/>
        <v>7.8931226568819568E-2</v>
      </c>
      <c r="P501" s="16">
        <f t="shared" si="311"/>
        <v>-3.7546449235872359E-2</v>
      </c>
      <c r="Q501" s="16">
        <f t="shared" si="311"/>
        <v>-0.19270640692964491</v>
      </c>
      <c r="R501" s="16">
        <f t="shared" si="311"/>
        <v>-0.40499215635222185</v>
      </c>
      <c r="S501" s="16">
        <f t="shared" si="311"/>
        <v>-0.64923682824001006</v>
      </c>
      <c r="T501" s="16">
        <f t="shared" si="311"/>
        <v>-0.88575870240245536</v>
      </c>
      <c r="U501" s="16">
        <f t="shared" si="311"/>
        <v>-1.1712854524337715</v>
      </c>
      <c r="V501" s="16">
        <f t="shared" si="311"/>
        <v>-1.4363342055452506</v>
      </c>
      <c r="W501" s="16">
        <f t="shared" si="311"/>
        <v>-1.6308417389458754</v>
      </c>
      <c r="X501" s="16">
        <f t="shared" si="311"/>
        <v>-1.7491417757201475</v>
      </c>
    </row>
    <row r="502" spans="1:24" x14ac:dyDescent="0.25">
      <c r="A502" s="11" t="s">
        <v>1130</v>
      </c>
      <c r="D502" s="35">
        <f t="shared" ref="D502:X502" si="312">SUM(D$450-C$450,D$451-C$451)</f>
        <v>0</v>
      </c>
      <c r="E502" s="35">
        <f t="shared" si="312"/>
        <v>0</v>
      </c>
      <c r="F502" s="35">
        <f t="shared" si="312"/>
        <v>0</v>
      </c>
      <c r="G502" s="35">
        <f t="shared" si="312"/>
        <v>0</v>
      </c>
      <c r="H502" s="35">
        <f t="shared" si="312"/>
        <v>0</v>
      </c>
      <c r="I502" s="35">
        <f t="shared" si="312"/>
        <v>0</v>
      </c>
      <c r="J502" s="17">
        <f t="shared" si="312"/>
        <v>-1.5</v>
      </c>
      <c r="K502" s="17">
        <f t="shared" si="312"/>
        <v>1.6600000000000001</v>
      </c>
      <c r="L502" s="17">
        <f t="shared" si="312"/>
        <v>3.0419999999999998</v>
      </c>
      <c r="M502" s="17">
        <f t="shared" si="312"/>
        <v>3.3770000000000002</v>
      </c>
      <c r="N502" s="17">
        <f t="shared" si="312"/>
        <v>3.9310000000000005</v>
      </c>
      <c r="O502" s="16">
        <f t="shared" ca="1" si="312"/>
        <v>7</v>
      </c>
      <c r="P502" s="16">
        <f t="shared" ca="1" si="312"/>
        <v>7.2100000000000009</v>
      </c>
      <c r="Q502" s="16">
        <f t="shared" ca="1" si="312"/>
        <v>7.4262999999999977</v>
      </c>
      <c r="R502" s="16">
        <f t="shared" ca="1" si="312"/>
        <v>7.6490890000000036</v>
      </c>
      <c r="S502" s="16">
        <f t="shared" ca="1" si="312"/>
        <v>7.8785616700000034</v>
      </c>
      <c r="T502" s="16">
        <f t="shared" ca="1" si="312"/>
        <v>8.114918520099998</v>
      </c>
      <c r="U502" s="16">
        <f t="shared" ca="1" si="312"/>
        <v>8.3583660757030032</v>
      </c>
      <c r="V502" s="16">
        <f t="shared" ca="1" si="312"/>
        <v>8.609117057974089</v>
      </c>
      <c r="W502" s="16">
        <f t="shared" ca="1" si="312"/>
        <v>8.867390569713308</v>
      </c>
      <c r="X502" s="16">
        <f t="shared" ca="1" si="312"/>
        <v>9.1334122868047132</v>
      </c>
    </row>
    <row r="503" spans="1:24" x14ac:dyDescent="0.25">
      <c r="A503" s="9" t="s">
        <v>1119</v>
      </c>
      <c r="D503" s="65">
        <f t="shared" ref="D503:I503" si="313">-SUM(D$498:D$502)</f>
        <v>-6.7459999999999996</v>
      </c>
      <c r="E503" s="65">
        <f t="shared" si="313"/>
        <v>-9.3840000000000003</v>
      </c>
      <c r="F503" s="65">
        <f t="shared" si="313"/>
        <v>-12.724</v>
      </c>
      <c r="G503" s="65">
        <f t="shared" si="313"/>
        <v>-18.908999999999999</v>
      </c>
      <c r="H503" s="65">
        <f t="shared" si="313"/>
        <v>-22.212</v>
      </c>
      <c r="I503" s="65">
        <f t="shared" si="313"/>
        <v>-13.200000000000001</v>
      </c>
      <c r="J503" s="66">
        <f t="shared" ref="J503:N503" si="314">-SUM(J$498:J$502)</f>
        <v>-5.9320000000000004</v>
      </c>
      <c r="K503" s="66">
        <f t="shared" si="314"/>
        <v>-7.7010000000000005</v>
      </c>
      <c r="L503" s="66">
        <f t="shared" si="314"/>
        <v>-14.407</v>
      </c>
      <c r="M503" s="66">
        <f t="shared" si="314"/>
        <v>-11.879000000000001</v>
      </c>
      <c r="N503" s="66">
        <f t="shared" si="314"/>
        <v>-11.23</v>
      </c>
      <c r="O503" s="67">
        <f t="shared" ref="O503:X503" ca="1" si="315">-SUM(O$498:O$502)</f>
        <v>-11.539481813121789</v>
      </c>
      <c r="P503" s="67">
        <f t="shared" ca="1" si="315"/>
        <v>-11.606233274332542</v>
      </c>
      <c r="Q503" s="67">
        <f t="shared" ca="1" si="315"/>
        <v>-11.684206393100993</v>
      </c>
      <c r="R503" s="67">
        <f t="shared" ca="1" si="315"/>
        <v>-11.720998022188988</v>
      </c>
      <c r="S503" s="67">
        <f t="shared" ca="1" si="315"/>
        <v>-11.735380694239891</v>
      </c>
      <c r="T503" s="67">
        <f t="shared" ca="1" si="315"/>
        <v>-11.759175359921612</v>
      </c>
      <c r="U503" s="67">
        <f t="shared" ca="1" si="315"/>
        <v>-11.749601972914956</v>
      </c>
      <c r="V503" s="67">
        <f t="shared" ca="1" si="315"/>
        <v>-11.76743404130168</v>
      </c>
      <c r="W503" s="67">
        <f t="shared" ca="1" si="315"/>
        <v>-11.865952321063066</v>
      </c>
      <c r="X503" s="67">
        <f t="shared" ca="1" si="315"/>
        <v>-12.054370926222806</v>
      </c>
    </row>
    <row r="504" spans="1:24" x14ac:dyDescent="0.25">
      <c r="A504" s="9" t="s">
        <v>1120</v>
      </c>
      <c r="D504" s="65">
        <f t="shared" ref="D504:X504" si="316">SUM(D$497,D$503)</f>
        <v>-0.7100000000000124</v>
      </c>
      <c r="E504" s="65">
        <f t="shared" si="316"/>
        <v>-23.692000000000007</v>
      </c>
      <c r="F504" s="65">
        <f t="shared" si="316"/>
        <v>-13.766999999999978</v>
      </c>
      <c r="G504" s="65">
        <f t="shared" si="316"/>
        <v>-27.042999999999999</v>
      </c>
      <c r="H504" s="65">
        <f t="shared" si="316"/>
        <v>-25.648000000000007</v>
      </c>
      <c r="I504" s="65">
        <f t="shared" si="316"/>
        <v>-19.302000000000007</v>
      </c>
      <c r="J504" s="66">
        <f t="shared" ca="1" si="316"/>
        <v>-9.9899999999999931</v>
      </c>
      <c r="K504" s="66">
        <f t="shared" ca="1" si="316"/>
        <v>-14.533000000000023</v>
      </c>
      <c r="L504" s="66">
        <f t="shared" ca="1" si="316"/>
        <v>-18.212000000000007</v>
      </c>
      <c r="M504" s="66">
        <f t="shared" ca="1" si="316"/>
        <v>-11.415000000000003</v>
      </c>
      <c r="N504" s="66">
        <f t="shared" ca="1" si="316"/>
        <v>-8.1450000000000209</v>
      </c>
      <c r="O504" s="67">
        <f t="shared" ca="1" si="316"/>
        <v>-10.094283739627109</v>
      </c>
      <c r="P504" s="67">
        <f t="shared" ca="1" si="316"/>
        <v>-11.200331288004779</v>
      </c>
      <c r="Q504" s="67">
        <f t="shared" ca="1" si="316"/>
        <v>-12.56438519744475</v>
      </c>
      <c r="R504" s="67">
        <f t="shared" ca="1" si="316"/>
        <v>-14.057190774639631</v>
      </c>
      <c r="S504" s="67">
        <f t="shared" ca="1" si="316"/>
        <v>-15.521823435779764</v>
      </c>
      <c r="T504" s="67">
        <f t="shared" ca="1" si="316"/>
        <v>-17.08918313492245</v>
      </c>
      <c r="U504" s="67">
        <f t="shared" ca="1" si="316"/>
        <v>-18.577812049269976</v>
      </c>
      <c r="V504" s="67">
        <f t="shared" ca="1" si="316"/>
        <v>-20.140637545144482</v>
      </c>
      <c r="W504" s="67">
        <f t="shared" ca="1" si="316"/>
        <v>-21.825962357055619</v>
      </c>
      <c r="X504" s="67">
        <f t="shared" ca="1" si="316"/>
        <v>-23.637132693732486</v>
      </c>
    </row>
    <row r="505" spans="1:24" x14ac:dyDescent="0.25">
      <c r="A505" s="9" t="s">
        <v>1121</v>
      </c>
      <c r="B505" s="10" t="str">
        <f>$B$62</f>
        <v>Projected Years only</v>
      </c>
      <c r="O505" s="91" t="str">
        <f t="shared" ref="O505:X505" ca="1" si="317">IF(ROUND(SUM(O$504,O$78-N$78,O$509),3)=0,"OK","ERROR")</f>
        <v>OK</v>
      </c>
      <c r="P505" s="91" t="str">
        <f t="shared" ca="1" si="317"/>
        <v>OK</v>
      </c>
      <c r="Q505" s="91" t="str">
        <f t="shared" ca="1" si="317"/>
        <v>OK</v>
      </c>
      <c r="R505" s="91" t="str">
        <f t="shared" ca="1" si="317"/>
        <v>OK</v>
      </c>
      <c r="S505" s="91" t="str">
        <f t="shared" ca="1" si="317"/>
        <v>OK</v>
      </c>
      <c r="T505" s="91" t="str">
        <f t="shared" ca="1" si="317"/>
        <v>OK</v>
      </c>
      <c r="U505" s="91" t="str">
        <f t="shared" ca="1" si="317"/>
        <v>OK</v>
      </c>
      <c r="V505" s="91" t="str">
        <f t="shared" ca="1" si="317"/>
        <v>OK</v>
      </c>
      <c r="W505" s="91" t="str">
        <f t="shared" ca="1" si="317"/>
        <v>OK</v>
      </c>
      <c r="X505" s="91" t="str">
        <f t="shared" ca="1" si="317"/>
        <v>OK</v>
      </c>
    </row>
    <row r="506" spans="1:24" x14ac:dyDescent="0.25">
      <c r="A506" s="9"/>
    </row>
    <row r="507" spans="1:24" x14ac:dyDescent="0.25">
      <c r="A507" s="9" t="s">
        <v>813</v>
      </c>
      <c r="B507" s="10" t="str">
        <f t="shared" ref="B507:B510" si="318">$B$38</f>
        <v>From Fiscal Forecasts</v>
      </c>
      <c r="D507" s="42">
        <f>'Fiscal Forecasts'!D$401</f>
        <v>-4.9580000000000002</v>
      </c>
      <c r="E507" s="42">
        <f>'Fiscal Forecasts'!E$401</f>
        <v>33.061999999999998</v>
      </c>
      <c r="F507" s="42">
        <f>'Fiscal Forecasts'!F$401</f>
        <v>3.8090000000000002</v>
      </c>
      <c r="G507" s="42">
        <f>'Fiscal Forecasts'!G$401</f>
        <v>28.693999999999999</v>
      </c>
      <c r="H507" s="42">
        <f>'Fiscal Forecasts'!H$401</f>
        <v>22.715</v>
      </c>
      <c r="I507" s="42">
        <f>'Fiscal Forecasts'!I$401</f>
        <v>25.202999999999999</v>
      </c>
      <c r="J507" s="43">
        <f>'Fiscal Forecasts'!J$401</f>
        <v>22.451000000000001</v>
      </c>
      <c r="K507" s="43">
        <f>'Fiscal Forecasts'!K$401</f>
        <v>20.768000000000001</v>
      </c>
      <c r="L507" s="43">
        <f>'Fiscal Forecasts'!L$401</f>
        <v>15.787000000000001</v>
      </c>
      <c r="M507" s="43">
        <f>'Fiscal Forecasts'!M$401</f>
        <v>10.113</v>
      </c>
      <c r="N507" s="43">
        <f>'Fiscal Forecasts'!N$401</f>
        <v>6.9329999999999998</v>
      </c>
      <c r="O507" s="47">
        <f t="shared" ref="O507:X507" ca="1" si="319">-SUM(O$497,O$503,O$511)</f>
        <v>9.9056037396271091</v>
      </c>
      <c r="P507" s="47">
        <f t="shared" ca="1" si="319"/>
        <v>11.007877688004779</v>
      </c>
      <c r="Q507" s="47">
        <f t="shared" ca="1" si="319"/>
        <v>12.36808252544475</v>
      </c>
      <c r="R507" s="47">
        <f t="shared" ca="1" si="319"/>
        <v>13.85696204919963</v>
      </c>
      <c r="S507" s="47">
        <f t="shared" ca="1" si="319"/>
        <v>15.317590135830963</v>
      </c>
      <c r="T507" s="47">
        <f t="shared" ca="1" si="319"/>
        <v>16.880865168974672</v>
      </c>
      <c r="U507" s="47">
        <f t="shared" ca="1" si="319"/>
        <v>18.365327724003244</v>
      </c>
      <c r="V507" s="47">
        <f t="shared" ca="1" si="319"/>
        <v>19.923903533372417</v>
      </c>
      <c r="W507" s="47">
        <f t="shared" ca="1" si="319"/>
        <v>21.60489366504811</v>
      </c>
      <c r="X507" s="47">
        <f t="shared" ca="1" si="319"/>
        <v>23.411642627884827</v>
      </c>
    </row>
    <row r="508" spans="1:24" x14ac:dyDescent="0.25">
      <c r="A508" s="11" t="s">
        <v>1131</v>
      </c>
      <c r="B508" s="10" t="str">
        <f t="shared" si="318"/>
        <v>From Fiscal Forecasts</v>
      </c>
      <c r="D508" s="35">
        <f>-'Fiscal Forecasts'!D$402</f>
        <v>-5.1630000000000003</v>
      </c>
      <c r="E508" s="35">
        <f>-'Fiscal Forecasts'!E$402</f>
        <v>14.911</v>
      </c>
      <c r="F508" s="35">
        <f>-'Fiscal Forecasts'!F$402</f>
        <v>-6.0419999999999998</v>
      </c>
      <c r="G508" s="35">
        <f>-'Fiscal Forecasts'!G$402</f>
        <v>2.8000000000000001E-2</v>
      </c>
      <c r="H508" s="35">
        <f>-'Fiscal Forecasts'!H$402</f>
        <v>-2.7749999999999999</v>
      </c>
      <c r="I508" s="35">
        <f>-'Fiscal Forecasts'!I$402</f>
        <v>8.4169999999999998</v>
      </c>
      <c r="J508" s="17">
        <f>-'Fiscal Forecasts'!J$402</f>
        <v>5.7210000000000001</v>
      </c>
      <c r="K508" s="17">
        <f>-'Fiscal Forecasts'!K$402</f>
        <v>6.3159999999999998</v>
      </c>
      <c r="L508" s="17">
        <f>-'Fiscal Forecasts'!L$402</f>
        <v>-2.339</v>
      </c>
      <c r="M508" s="17">
        <f>-'Fiscal Forecasts'!M$402</f>
        <v>-1.2090000000000001</v>
      </c>
      <c r="N508" s="17">
        <f>-'Fiscal Forecasts'!N$402</f>
        <v>-1.113</v>
      </c>
      <c r="O508" s="16">
        <f t="shared" ref="O508:X508" ca="1" si="320">SUM(O$367-N$367,O$376-N$376)</f>
        <v>0</v>
      </c>
      <c r="P508" s="16">
        <f t="shared" ca="1" si="320"/>
        <v>0</v>
      </c>
      <c r="Q508" s="16">
        <f t="shared" ca="1" si="320"/>
        <v>0</v>
      </c>
      <c r="R508" s="16">
        <f t="shared" ca="1" si="320"/>
        <v>0</v>
      </c>
      <c r="S508" s="16">
        <f t="shared" ca="1" si="320"/>
        <v>0</v>
      </c>
      <c r="T508" s="16">
        <f t="shared" ca="1" si="320"/>
        <v>0</v>
      </c>
      <c r="U508" s="16">
        <f t="shared" ca="1" si="320"/>
        <v>0</v>
      </c>
      <c r="V508" s="16">
        <f t="shared" ca="1" si="320"/>
        <v>0</v>
      </c>
      <c r="W508" s="16">
        <f t="shared" ca="1" si="320"/>
        <v>0</v>
      </c>
      <c r="X508" s="16">
        <f t="shared" ca="1" si="320"/>
        <v>0</v>
      </c>
    </row>
    <row r="509" spans="1:24" x14ac:dyDescent="0.25">
      <c r="A509" s="11" t="s">
        <v>590</v>
      </c>
      <c r="D509" s="35">
        <f>D$107</f>
        <v>0.437</v>
      </c>
      <c r="E509" s="35">
        <f t="shared" ref="E509:X509" si="321">E$107</f>
        <v>1.2090000000000001</v>
      </c>
      <c r="F509" s="35">
        <f t="shared" si="321"/>
        <v>0.23400000000000001</v>
      </c>
      <c r="G509" s="35">
        <f t="shared" si="321"/>
        <v>0.80500000000000005</v>
      </c>
      <c r="H509" s="35">
        <f t="shared" si="321"/>
        <v>-5.8999999999999997E-2</v>
      </c>
      <c r="I509" s="35">
        <f t="shared" si="321"/>
        <v>-2.4E-2</v>
      </c>
      <c r="J509" s="17">
        <f t="shared" si="321"/>
        <v>8.8999999999999996E-2</v>
      </c>
      <c r="K509" s="17">
        <f t="shared" si="321"/>
        <v>9.0999999999999998E-2</v>
      </c>
      <c r="L509" s="17">
        <f t="shared" si="321"/>
        <v>9.1999999999999998E-2</v>
      </c>
      <c r="M509" s="17">
        <f t="shared" si="321"/>
        <v>9.1999999999999998E-2</v>
      </c>
      <c r="N509" s="17">
        <f t="shared" si="321"/>
        <v>9.2999999999999999E-2</v>
      </c>
      <c r="O509" s="16">
        <f t="shared" ca="1" si="321"/>
        <v>0.18867999999999974</v>
      </c>
      <c r="P509" s="16">
        <f t="shared" ca="1" si="321"/>
        <v>0.19245360000000034</v>
      </c>
      <c r="Q509" s="16">
        <f t="shared" ca="1" si="321"/>
        <v>0.19630267199999984</v>
      </c>
      <c r="R509" s="16">
        <f t="shared" ca="1" si="321"/>
        <v>0.20022872544000059</v>
      </c>
      <c r="S509" s="16">
        <f t="shared" ca="1" si="321"/>
        <v>0.20423329994880035</v>
      </c>
      <c r="T509" s="16">
        <f t="shared" ca="1" si="321"/>
        <v>0.20831796594777607</v>
      </c>
      <c r="U509" s="16">
        <f t="shared" ca="1" si="321"/>
        <v>0.21248432526673255</v>
      </c>
      <c r="V509" s="16">
        <f t="shared" ca="1" si="321"/>
        <v>0.21673401177206664</v>
      </c>
      <c r="W509" s="16">
        <f t="shared" ca="1" si="321"/>
        <v>0.22106869200750801</v>
      </c>
      <c r="X509" s="16">
        <f t="shared" ca="1" si="321"/>
        <v>0.22549006584765863</v>
      </c>
    </row>
    <row r="510" spans="1:24" x14ac:dyDescent="0.25">
      <c r="A510" s="11" t="s">
        <v>597</v>
      </c>
      <c r="B510" s="10" t="str">
        <f t="shared" si="318"/>
        <v>From Fiscal Forecasts</v>
      </c>
      <c r="D510" s="35">
        <f>-'Fiscal Forecasts'!D$403</f>
        <v>-6.8000000000000005E-2</v>
      </c>
      <c r="E510" s="35">
        <f>-'Fiscal Forecasts'!E$403</f>
        <v>-4.3319999999999999</v>
      </c>
      <c r="F510" s="35">
        <f>-'Fiscal Forecasts'!F$403</f>
        <v>-3.6819999999999999</v>
      </c>
      <c r="G510" s="35">
        <f>-'Fiscal Forecasts'!G$403</f>
        <v>2.4279999999999999</v>
      </c>
      <c r="H510" s="35">
        <f>-'Fiscal Forecasts'!H$403</f>
        <v>-0.217</v>
      </c>
      <c r="I510" s="35">
        <f>-'Fiscal Forecasts'!I$403</f>
        <v>-2.54</v>
      </c>
      <c r="J510" s="17">
        <f>-'Fiscal Forecasts'!J$403</f>
        <v>6.8289999999999997</v>
      </c>
      <c r="K510" s="17">
        <f>-'Fiscal Forecasts'!K$403</f>
        <v>0.01</v>
      </c>
      <c r="L510" s="17">
        <f>-'Fiscal Forecasts'!L$403</f>
        <v>6.0000000000000001E-3</v>
      </c>
      <c r="M510" s="17">
        <f>-'Fiscal Forecasts'!M$403</f>
        <v>-1E-3</v>
      </c>
      <c r="N510" s="17">
        <f>-'Fiscal Forecasts'!N$403</f>
        <v>-6.0000000000000001E-3</v>
      </c>
      <c r="O510" s="16">
        <f t="shared" ref="O510:X510" ca="1" si="322">O$354-N$354</f>
        <v>0</v>
      </c>
      <c r="P510" s="16">
        <f t="shared" ca="1" si="322"/>
        <v>0</v>
      </c>
      <c r="Q510" s="16">
        <f t="shared" ca="1" si="322"/>
        <v>0</v>
      </c>
      <c r="R510" s="16">
        <f t="shared" ca="1" si="322"/>
        <v>0</v>
      </c>
      <c r="S510" s="16">
        <f t="shared" ca="1" si="322"/>
        <v>0</v>
      </c>
      <c r="T510" s="16">
        <f t="shared" ca="1" si="322"/>
        <v>0</v>
      </c>
      <c r="U510" s="16">
        <f t="shared" ca="1" si="322"/>
        <v>0</v>
      </c>
      <c r="V510" s="16">
        <f t="shared" ca="1" si="322"/>
        <v>0</v>
      </c>
      <c r="W510" s="16">
        <f t="shared" ca="1" si="322"/>
        <v>0</v>
      </c>
      <c r="X510" s="16">
        <f t="shared" ca="1" si="322"/>
        <v>0</v>
      </c>
    </row>
    <row r="511" spans="1:24" x14ac:dyDescent="0.25">
      <c r="A511" s="9" t="s">
        <v>1122</v>
      </c>
      <c r="D511" s="65">
        <f t="shared" ref="D511:X511" si="323">SUM(-D$508,D$509,-D$510)</f>
        <v>5.6680000000000001</v>
      </c>
      <c r="E511" s="65">
        <f t="shared" si="323"/>
        <v>-9.370000000000001</v>
      </c>
      <c r="F511" s="65">
        <f t="shared" si="323"/>
        <v>9.9580000000000002</v>
      </c>
      <c r="G511" s="65">
        <f t="shared" si="323"/>
        <v>-1.6509999999999998</v>
      </c>
      <c r="H511" s="65">
        <f t="shared" si="323"/>
        <v>2.9329999999999998</v>
      </c>
      <c r="I511" s="65">
        <f t="shared" si="323"/>
        <v>-5.9009999999999989</v>
      </c>
      <c r="J511" s="66">
        <f t="shared" si="323"/>
        <v>-12.460999999999999</v>
      </c>
      <c r="K511" s="66">
        <f t="shared" si="323"/>
        <v>-6.2349999999999994</v>
      </c>
      <c r="L511" s="66">
        <f t="shared" si="323"/>
        <v>2.4250000000000003</v>
      </c>
      <c r="M511" s="66">
        <f t="shared" si="323"/>
        <v>1.302</v>
      </c>
      <c r="N511" s="66">
        <f t="shared" si="323"/>
        <v>1.212</v>
      </c>
      <c r="O511" s="67">
        <f t="shared" ca="1" si="323"/>
        <v>0.18867999999999974</v>
      </c>
      <c r="P511" s="67">
        <f t="shared" ca="1" si="323"/>
        <v>0.19245360000000034</v>
      </c>
      <c r="Q511" s="67">
        <f t="shared" ca="1" si="323"/>
        <v>0.19630267199999984</v>
      </c>
      <c r="R511" s="67">
        <f t="shared" ca="1" si="323"/>
        <v>0.20022872544000059</v>
      </c>
      <c r="S511" s="67">
        <f t="shared" ca="1" si="323"/>
        <v>0.20423329994880035</v>
      </c>
      <c r="T511" s="67">
        <f t="shared" ca="1" si="323"/>
        <v>0.20831796594777607</v>
      </c>
      <c r="U511" s="67">
        <f t="shared" ca="1" si="323"/>
        <v>0.21248432526673255</v>
      </c>
      <c r="V511" s="67">
        <f t="shared" ca="1" si="323"/>
        <v>0.21673401177206664</v>
      </c>
      <c r="W511" s="67">
        <f t="shared" ca="1" si="323"/>
        <v>0.22106869200750801</v>
      </c>
      <c r="X511" s="67">
        <f t="shared" ca="1" si="323"/>
        <v>0.22549006584765863</v>
      </c>
    </row>
    <row r="512" spans="1:24" x14ac:dyDescent="0.25">
      <c r="A512" s="9" t="s">
        <v>1123</v>
      </c>
      <c r="D512" s="91" t="str">
        <f t="shared" ref="D512:X512" si="324">IF(ROUND(SUM(D$504,D$507,D$511),3)=0,"OK","ERROR")</f>
        <v>OK</v>
      </c>
      <c r="E512" s="91" t="str">
        <f t="shared" si="324"/>
        <v>OK</v>
      </c>
      <c r="F512" s="91" t="str">
        <f t="shared" si="324"/>
        <v>OK</v>
      </c>
      <c r="G512" s="91" t="str">
        <f t="shared" si="324"/>
        <v>OK</v>
      </c>
      <c r="H512" s="91" t="str">
        <f t="shared" si="324"/>
        <v>OK</v>
      </c>
      <c r="I512" s="91" t="str">
        <f t="shared" si="324"/>
        <v>OK</v>
      </c>
      <c r="J512" s="91" t="str">
        <f t="shared" ca="1" si="324"/>
        <v>OK</v>
      </c>
      <c r="K512" s="91" t="str">
        <f t="shared" ca="1" si="324"/>
        <v>OK</v>
      </c>
      <c r="L512" s="91" t="str">
        <f t="shared" ca="1" si="324"/>
        <v>OK</v>
      </c>
      <c r="M512" s="91" t="str">
        <f t="shared" ca="1" si="324"/>
        <v>OK</v>
      </c>
      <c r="N512" s="91" t="str">
        <f t="shared" ca="1" si="324"/>
        <v>OK</v>
      </c>
      <c r="O512" s="91" t="str">
        <f t="shared" ca="1" si="324"/>
        <v>OK</v>
      </c>
      <c r="P512" s="91" t="str">
        <f t="shared" ca="1" si="324"/>
        <v>OK</v>
      </c>
      <c r="Q512" s="91" t="str">
        <f t="shared" ca="1" si="324"/>
        <v>OK</v>
      </c>
      <c r="R512" s="91" t="str">
        <f t="shared" ca="1" si="324"/>
        <v>OK</v>
      </c>
      <c r="S512" s="91" t="str">
        <f t="shared" ca="1" si="324"/>
        <v>OK</v>
      </c>
      <c r="T512" s="91" t="str">
        <f t="shared" ca="1" si="324"/>
        <v>OK</v>
      </c>
      <c r="U512" s="91" t="str">
        <f t="shared" ca="1" si="324"/>
        <v>OK</v>
      </c>
      <c r="V512" s="91" t="str">
        <f t="shared" ca="1" si="324"/>
        <v>OK</v>
      </c>
      <c r="W512" s="91" t="str">
        <f t="shared" ca="1" si="324"/>
        <v>OK</v>
      </c>
      <c r="X512" s="91" t="str">
        <f t="shared" ca="1" si="324"/>
        <v>OK</v>
      </c>
    </row>
    <row r="514" spans="1:24" x14ac:dyDescent="0.25">
      <c r="A514" s="12" t="s">
        <v>1145</v>
      </c>
      <c r="B514" s="10" t="str">
        <f>$B$62</f>
        <v>Projected Years only</v>
      </c>
    </row>
    <row r="515" spans="1:24" x14ac:dyDescent="0.25">
      <c r="A515" s="11" t="s">
        <v>1137</v>
      </c>
      <c r="O515" s="16">
        <f ca="1">O$497-O$385+O$384-O$386</f>
        <v>1.3399014736220987</v>
      </c>
      <c r="P515" s="16">
        <f t="shared" ref="P515:X515" ca="1" si="325">P$497-P$385+P$384-P$386</f>
        <v>0.29433693790224402</v>
      </c>
      <c r="Q515" s="16">
        <f t="shared" ca="1" si="325"/>
        <v>-0.99824799592089053</v>
      </c>
      <c r="R515" s="16">
        <f t="shared" ca="1" si="325"/>
        <v>-2.4609680474223912</v>
      </c>
      <c r="S515" s="16">
        <f t="shared" ca="1" si="325"/>
        <v>-3.9180917214896573</v>
      </c>
      <c r="T515" s="16">
        <f t="shared" ca="1" si="325"/>
        <v>-5.4686937997286602</v>
      </c>
      <c r="U515" s="16">
        <f t="shared" ca="1" si="325"/>
        <v>-6.9740879304823942</v>
      </c>
      <c r="V515" s="16">
        <f t="shared" ca="1" si="325"/>
        <v>-8.5264194130863853</v>
      </c>
      <c r="W515" s="16">
        <f t="shared" ca="1" si="325"/>
        <v>-10.120762683983436</v>
      </c>
      <c r="X515" s="16">
        <f t="shared" ca="1" si="325"/>
        <v>-11.751335750662752</v>
      </c>
    </row>
    <row r="516" spans="1:24" x14ac:dyDescent="0.25">
      <c r="A516" s="11" t="s">
        <v>1138</v>
      </c>
      <c r="O516" s="16">
        <f t="shared" ref="O516:X516" ca="1" si="326">O$503+O$501-SUM(O$366-N$366,O$375-N$375,O$397-N$397,O$400-N$400,-O$340)</f>
        <v>-9.9231527346074397</v>
      </c>
      <c r="P516" s="16">
        <f t="shared" ca="1" si="326"/>
        <v>-11.483340038215404</v>
      </c>
      <c r="Q516" s="16">
        <f t="shared" ca="1" si="326"/>
        <v>-11.554415816458302</v>
      </c>
      <c r="R516" s="16">
        <f t="shared" ca="1" si="326"/>
        <v>-11.584187312575617</v>
      </c>
      <c r="S516" s="16">
        <f t="shared" ca="1" si="326"/>
        <v>-11.591420984715976</v>
      </c>
      <c r="T516" s="16">
        <f t="shared" ca="1" si="326"/>
        <v>-11.607873116283068</v>
      </c>
      <c r="U516" s="16">
        <f t="shared" ca="1" si="326"/>
        <v>-11.590872209761452</v>
      </c>
      <c r="V516" s="16">
        <f t="shared" ca="1" si="326"/>
        <v>-11.601079826236669</v>
      </c>
      <c r="W516" s="16">
        <f t="shared" ca="1" si="326"/>
        <v>-11.691631450712375</v>
      </c>
      <c r="X516" s="16">
        <f t="shared" ca="1" si="326"/>
        <v>-11.871636611984677</v>
      </c>
    </row>
    <row r="517" spans="1:24" x14ac:dyDescent="0.25">
      <c r="A517" s="11" t="s">
        <v>590</v>
      </c>
      <c r="O517" s="16">
        <f t="shared" ref="O517:X517" ca="1" si="327">O$509</f>
        <v>0.18867999999999974</v>
      </c>
      <c r="P517" s="16">
        <f t="shared" ca="1" si="327"/>
        <v>0.19245360000000034</v>
      </c>
      <c r="Q517" s="16">
        <f t="shared" ca="1" si="327"/>
        <v>0.19630267199999984</v>
      </c>
      <c r="R517" s="16">
        <f t="shared" ca="1" si="327"/>
        <v>0.20022872544000059</v>
      </c>
      <c r="S517" s="16">
        <f t="shared" ca="1" si="327"/>
        <v>0.20423329994880035</v>
      </c>
      <c r="T517" s="16">
        <f t="shared" ca="1" si="327"/>
        <v>0.20831796594777607</v>
      </c>
      <c r="U517" s="16">
        <f t="shared" ca="1" si="327"/>
        <v>0.21248432526673255</v>
      </c>
      <c r="V517" s="16">
        <f t="shared" ca="1" si="327"/>
        <v>0.21673401177206664</v>
      </c>
      <c r="W517" s="16">
        <f t="shared" ca="1" si="327"/>
        <v>0.22106869200750801</v>
      </c>
      <c r="X517" s="16">
        <f t="shared" ca="1" si="327"/>
        <v>0.22549006584765863</v>
      </c>
    </row>
    <row r="518" spans="1:24" x14ac:dyDescent="0.25">
      <c r="A518" s="11" t="s">
        <v>1139</v>
      </c>
      <c r="O518" s="16">
        <f t="shared" ref="O518:U518" ca="1" si="328">SUM(O$510,O$353-N$353)-SUM(O$515:O$517)</f>
        <v>8.5789120102282297</v>
      </c>
      <c r="P518" s="16">
        <f t="shared" ca="1" si="328"/>
        <v>11.303015411389161</v>
      </c>
      <c r="Q518" s="16">
        <f t="shared" ca="1" si="328"/>
        <v>12.673464374451513</v>
      </c>
      <c r="R518" s="16">
        <f t="shared" ca="1" si="328"/>
        <v>14.170525434094987</v>
      </c>
      <c r="S518" s="16">
        <f t="shared" ca="1" si="328"/>
        <v>15.638326408799763</v>
      </c>
      <c r="T518" s="16">
        <f t="shared" ca="1" si="328"/>
        <v>17.209560475619504</v>
      </c>
      <c r="U518" s="16">
        <f t="shared" ca="1" si="328"/>
        <v>18.700163557799002</v>
      </c>
      <c r="V518" s="16">
        <f t="shared" ref="V518:X518" ca="1" si="329">SUM(V$510,V$353-U$353)-SUM(V$515:V$517)</f>
        <v>20.266200975365429</v>
      </c>
      <c r="W518" s="16">
        <f t="shared" ca="1" si="329"/>
        <v>21.958391891477444</v>
      </c>
      <c r="X518" s="16">
        <f t="shared" ca="1" si="329"/>
        <v>23.780567295499978</v>
      </c>
    </row>
    <row r="519" spans="1:24" x14ac:dyDescent="0.25">
      <c r="A519" s="9" t="s">
        <v>1140</v>
      </c>
      <c r="O519" s="67">
        <f t="shared" ref="O519:X519" ca="1" si="330">SUM(O$515:O$518)</f>
        <v>0.18434074924288879</v>
      </c>
      <c r="P519" s="67">
        <f t="shared" ca="1" si="330"/>
        <v>0.30646591107600152</v>
      </c>
      <c r="Q519" s="67">
        <f t="shared" ca="1" si="330"/>
        <v>0.31710323407232011</v>
      </c>
      <c r="R519" s="67">
        <f t="shared" ca="1" si="330"/>
        <v>0.32559879953698001</v>
      </c>
      <c r="S519" s="67">
        <f t="shared" ca="1" si="330"/>
        <v>0.33304700254292996</v>
      </c>
      <c r="T519" s="67">
        <f t="shared" ca="1" si="330"/>
        <v>0.34131152555555389</v>
      </c>
      <c r="U519" s="67">
        <f t="shared" ca="1" si="330"/>
        <v>0.3476877428218863</v>
      </c>
      <c r="V519" s="67">
        <f t="shared" ca="1" si="330"/>
        <v>0.35543574781443965</v>
      </c>
      <c r="W519" s="67">
        <f t="shared" ca="1" si="330"/>
        <v>0.36706644878914219</v>
      </c>
      <c r="X519" s="67">
        <f t="shared" ca="1" si="330"/>
        <v>0.3830849987002054</v>
      </c>
    </row>
    <row r="520" spans="1:24" x14ac:dyDescent="0.25">
      <c r="A520" s="12" t="s">
        <v>1141</v>
      </c>
    </row>
    <row r="521" spans="1:24" x14ac:dyDescent="0.25">
      <c r="A521" s="9" t="s">
        <v>1142</v>
      </c>
      <c r="O521" s="47">
        <f t="shared" ref="O521:X521" ca="1" si="331">O$515</f>
        <v>1.3399014736220987</v>
      </c>
      <c r="P521" s="47">
        <f t="shared" ca="1" si="331"/>
        <v>0.29433693790224402</v>
      </c>
      <c r="Q521" s="47">
        <f t="shared" ca="1" si="331"/>
        <v>-0.99824799592089053</v>
      </c>
      <c r="R521" s="47">
        <f t="shared" ca="1" si="331"/>
        <v>-2.4609680474223912</v>
      </c>
      <c r="S521" s="47">
        <f t="shared" ca="1" si="331"/>
        <v>-3.9180917214896573</v>
      </c>
      <c r="T521" s="47">
        <f t="shared" ca="1" si="331"/>
        <v>-5.4686937997286602</v>
      </c>
      <c r="U521" s="47">
        <f t="shared" ca="1" si="331"/>
        <v>-6.9740879304823942</v>
      </c>
      <c r="V521" s="47">
        <f t="shared" ca="1" si="331"/>
        <v>-8.5264194130863853</v>
      </c>
      <c r="W521" s="47">
        <f t="shared" ca="1" si="331"/>
        <v>-10.120762683983436</v>
      </c>
      <c r="X521" s="47">
        <f t="shared" ca="1" si="331"/>
        <v>-11.751335750662752</v>
      </c>
    </row>
    <row r="522" spans="1:24" x14ac:dyDescent="0.25">
      <c r="A522" s="9" t="s">
        <v>545</v>
      </c>
      <c r="O522" s="47">
        <f t="shared" ref="O522:X522" ca="1" si="332">O$342</f>
        <v>6.4300877252816813</v>
      </c>
      <c r="P522" s="47">
        <f t="shared" ca="1" si="332"/>
        <v>6.8100267661178</v>
      </c>
      <c r="Q522" s="47">
        <f t="shared" ca="1" si="332"/>
        <v>7.2039962197330922</v>
      </c>
      <c r="R522" s="47">
        <f t="shared" ca="1" si="332"/>
        <v>7.609973899810373</v>
      </c>
      <c r="S522" s="47">
        <f t="shared" ca="1" si="332"/>
        <v>8.0260754913435619</v>
      </c>
      <c r="T522" s="47">
        <f t="shared" ca="1" si="332"/>
        <v>8.4520386954492732</v>
      </c>
      <c r="U522" s="47">
        <f t="shared" ca="1" si="332"/>
        <v>8.8873060251010578</v>
      </c>
      <c r="V522" s="47">
        <f t="shared" ca="1" si="332"/>
        <v>9.3313828777468473</v>
      </c>
      <c r="W522" s="47">
        <f t="shared" ca="1" si="332"/>
        <v>9.7873881931389697</v>
      </c>
      <c r="X522" s="47">
        <f t="shared" ca="1" si="332"/>
        <v>10.260489701068273</v>
      </c>
    </row>
    <row r="523" spans="1:24" x14ac:dyDescent="0.25">
      <c r="A523" s="11" t="s">
        <v>1148</v>
      </c>
      <c r="O523" s="16">
        <f t="shared" ref="O523:X523" ca="1" si="333">SUM(O$215,O$219)</f>
        <v>3.403850728053635</v>
      </c>
      <c r="P523" s="16">
        <f t="shared" ca="1" si="333"/>
        <v>3.403850728053635</v>
      </c>
      <c r="Q523" s="16">
        <f t="shared" ca="1" si="333"/>
        <v>3.403850728053635</v>
      </c>
      <c r="R523" s="16">
        <f t="shared" ca="1" si="333"/>
        <v>3.403850728053635</v>
      </c>
      <c r="S523" s="16">
        <f t="shared" ca="1" si="333"/>
        <v>3.403850728053635</v>
      </c>
      <c r="T523" s="16">
        <f t="shared" ca="1" si="333"/>
        <v>3.403850728053635</v>
      </c>
      <c r="U523" s="16">
        <f t="shared" ca="1" si="333"/>
        <v>3.403850728053635</v>
      </c>
      <c r="V523" s="16">
        <f t="shared" ca="1" si="333"/>
        <v>3.403850728053635</v>
      </c>
      <c r="W523" s="16">
        <f t="shared" ca="1" si="333"/>
        <v>3.403850728053635</v>
      </c>
      <c r="X523" s="16">
        <f t="shared" ca="1" si="333"/>
        <v>3.403850728053635</v>
      </c>
    </row>
    <row r="524" spans="1:24" x14ac:dyDescent="0.25">
      <c r="A524" s="11" t="s">
        <v>1149</v>
      </c>
      <c r="O524" s="16">
        <f t="shared" ref="O524:X524" si="334">O$411</f>
        <v>0.65600000000000003</v>
      </c>
      <c r="P524" s="16">
        <f t="shared" si="334"/>
        <v>0.67400000000000004</v>
      </c>
      <c r="Q524" s="16">
        <f t="shared" si="334"/>
        <v>0.69299999999999995</v>
      </c>
      <c r="R524" s="16">
        <f t="shared" si="334"/>
        <v>0.71099999999999997</v>
      </c>
      <c r="S524" s="16">
        <f t="shared" si="334"/>
        <v>0.72699999999999998</v>
      </c>
      <c r="T524" s="16">
        <f t="shared" si="334"/>
        <v>0.74199999999999999</v>
      </c>
      <c r="U524" s="16">
        <f t="shared" si="334"/>
        <v>0.75600000000000001</v>
      </c>
      <c r="V524" s="16">
        <f t="shared" si="334"/>
        <v>0.76900000000000002</v>
      </c>
      <c r="W524" s="16">
        <f t="shared" si="334"/>
        <v>0.78300000000000003</v>
      </c>
      <c r="X524" s="16">
        <f t="shared" si="334"/>
        <v>0.79700000000000004</v>
      </c>
    </row>
    <row r="525" spans="1:24" x14ac:dyDescent="0.25">
      <c r="A525" s="11" t="s">
        <v>1150</v>
      </c>
      <c r="O525" s="16">
        <f t="shared" ref="O525:X525" ca="1" si="335">O$472-N$472</f>
        <v>-2E-3</v>
      </c>
      <c r="P525" s="16">
        <f t="shared" ca="1" si="335"/>
        <v>0</v>
      </c>
      <c r="Q525" s="16">
        <f t="shared" ca="1" si="335"/>
        <v>0</v>
      </c>
      <c r="R525" s="16">
        <f t="shared" ca="1" si="335"/>
        <v>0</v>
      </c>
      <c r="S525" s="16">
        <f t="shared" ca="1" si="335"/>
        <v>0</v>
      </c>
      <c r="T525" s="16">
        <f t="shared" ca="1" si="335"/>
        <v>0</v>
      </c>
      <c r="U525" s="16">
        <f t="shared" ca="1" si="335"/>
        <v>0</v>
      </c>
      <c r="V525" s="16">
        <f t="shared" ca="1" si="335"/>
        <v>0</v>
      </c>
      <c r="W525" s="16">
        <f t="shared" ca="1" si="335"/>
        <v>0</v>
      </c>
      <c r="X525" s="16">
        <f t="shared" ca="1" si="335"/>
        <v>0</v>
      </c>
    </row>
    <row r="526" spans="1:24" x14ac:dyDescent="0.25">
      <c r="A526" s="11" t="s">
        <v>568</v>
      </c>
      <c r="O526" s="16">
        <f t="shared" ref="O526:X526" ca="1" si="336">-O$349</f>
        <v>-1.460406561262434E-2</v>
      </c>
      <c r="P526" s="16">
        <f t="shared" ca="1" si="336"/>
        <v>-1.522693132596236E-2</v>
      </c>
      <c r="Q526" s="16">
        <f t="shared" ca="1" si="336"/>
        <v>-1.5851149450938101E-2</v>
      </c>
      <c r="R526" s="16">
        <f t="shared" ca="1" si="336"/>
        <v>-1.6475312241794576E-2</v>
      </c>
      <c r="S526" s="16">
        <f t="shared" ca="1" si="336"/>
        <v>-1.711323761060992E-2</v>
      </c>
      <c r="T526" s="16">
        <f t="shared" ca="1" si="336"/>
        <v>-1.7763952026234663E-2</v>
      </c>
      <c r="U526" s="16">
        <f t="shared" ca="1" si="336"/>
        <v>-1.8423342451066884E-2</v>
      </c>
      <c r="V526" s="16">
        <f t="shared" ca="1" si="336"/>
        <v>-1.9092646683697919E-2</v>
      </c>
      <c r="W526" s="16">
        <f t="shared" ca="1" si="336"/>
        <v>-1.9771839788203904E-2</v>
      </c>
      <c r="X526" s="16">
        <f t="shared" ca="1" si="336"/>
        <v>-2.0466039844189283E-2</v>
      </c>
    </row>
    <row r="527" spans="1:24" x14ac:dyDescent="0.25">
      <c r="A527" s="9" t="s">
        <v>1143</v>
      </c>
      <c r="O527" s="67">
        <f t="shared" ref="O527:X527" ca="1" si="337">-SUM(O$523:O$526)</f>
        <v>-4.0432466624410113</v>
      </c>
      <c r="P527" s="67">
        <f t="shared" ca="1" si="337"/>
        <v>-4.0626237967276726</v>
      </c>
      <c r="Q527" s="67">
        <f t="shared" ca="1" si="337"/>
        <v>-4.0809995786026967</v>
      </c>
      <c r="R527" s="67">
        <f t="shared" ca="1" si="337"/>
        <v>-4.09837541581184</v>
      </c>
      <c r="S527" s="67">
        <f t="shared" ca="1" si="337"/>
        <v>-4.1137374904430253</v>
      </c>
      <c r="T527" s="67">
        <f t="shared" ca="1" si="337"/>
        <v>-4.1280867760274003</v>
      </c>
      <c r="U527" s="67">
        <f t="shared" ca="1" si="337"/>
        <v>-4.1414273856025678</v>
      </c>
      <c r="V527" s="67">
        <f t="shared" ca="1" si="337"/>
        <v>-4.1537580813699364</v>
      </c>
      <c r="W527" s="67">
        <f t="shared" ca="1" si="337"/>
        <v>-4.167078888265431</v>
      </c>
      <c r="X527" s="67">
        <f t="shared" ca="1" si="337"/>
        <v>-4.180384688209446</v>
      </c>
    </row>
    <row r="528" spans="1:24" x14ac:dyDescent="0.25">
      <c r="A528" s="11" t="s">
        <v>609</v>
      </c>
      <c r="O528" s="16">
        <f t="shared" ref="O528:X528" ca="1" si="338">O$362-N$362</f>
        <v>3.8786021011101823</v>
      </c>
      <c r="P528" s="16">
        <f t="shared" ca="1" si="338"/>
        <v>1.4869819992839766</v>
      </c>
      <c r="Q528" s="16">
        <f t="shared" ca="1" si="338"/>
        <v>1.5291416253322794</v>
      </c>
      <c r="R528" s="16">
        <f t="shared" ca="1" si="338"/>
        <v>1.5456208797442059</v>
      </c>
      <c r="S528" s="16">
        <f t="shared" ca="1" si="338"/>
        <v>1.5787765978032127</v>
      </c>
      <c r="T528" s="16">
        <f t="shared" ca="1" si="338"/>
        <v>1.6111979353659791</v>
      </c>
      <c r="U528" s="16">
        <f t="shared" ca="1" si="338"/>
        <v>1.6369102559980746</v>
      </c>
      <c r="V528" s="16">
        <f t="shared" ca="1" si="338"/>
        <v>1.6653695699137927</v>
      </c>
      <c r="W528" s="16">
        <f t="shared" ca="1" si="338"/>
        <v>1.6962309252601528</v>
      </c>
      <c r="X528" s="16">
        <f t="shared" ca="1" si="338"/>
        <v>1.7375891589895289</v>
      </c>
    </row>
    <row r="529" spans="1:24" x14ac:dyDescent="0.25">
      <c r="A529" s="11" t="s">
        <v>610</v>
      </c>
      <c r="O529" s="16">
        <f t="shared" ref="O529:X529" ca="1" si="339">O$413-O$341</f>
        <v>0.33801009791106412</v>
      </c>
      <c r="P529" s="16">
        <f t="shared" ca="1" si="339"/>
        <v>0.35180265179958148</v>
      </c>
      <c r="Q529" s="16">
        <f t="shared" ca="1" si="339"/>
        <v>0.35957955635343375</v>
      </c>
      <c r="R529" s="16">
        <f t="shared" ca="1" si="339"/>
        <v>0.36235710120209463</v>
      </c>
      <c r="S529" s="16">
        <f t="shared" ca="1" si="339"/>
        <v>0.35997539336294582</v>
      </c>
      <c r="T529" s="16">
        <f t="shared" ca="1" si="339"/>
        <v>0.35144569798214537</v>
      </c>
      <c r="U529" s="16">
        <f t="shared" ca="1" si="339"/>
        <v>0.33481560878051553</v>
      </c>
      <c r="V529" s="16">
        <f t="shared" ca="1" si="339"/>
        <v>0.31307080266007081</v>
      </c>
      <c r="W529" s="16">
        <f t="shared" ca="1" si="339"/>
        <v>0.28921156816507315</v>
      </c>
      <c r="X529" s="16">
        <f t="shared" ca="1" si="339"/>
        <v>0.26117868180295678</v>
      </c>
    </row>
    <row r="530" spans="1:24" x14ac:dyDescent="0.25">
      <c r="A530" s="11" t="s">
        <v>611</v>
      </c>
      <c r="O530" s="16">
        <f t="shared" ref="O530:X530" si="340">O$419-N$419</f>
        <v>0</v>
      </c>
      <c r="P530" s="16">
        <f t="shared" si="340"/>
        <v>0</v>
      </c>
      <c r="Q530" s="16">
        <f t="shared" si="340"/>
        <v>0</v>
      </c>
      <c r="R530" s="16">
        <f t="shared" si="340"/>
        <v>0</v>
      </c>
      <c r="S530" s="16">
        <f t="shared" si="340"/>
        <v>0</v>
      </c>
      <c r="T530" s="16">
        <f t="shared" si="340"/>
        <v>0</v>
      </c>
      <c r="U530" s="16">
        <f t="shared" si="340"/>
        <v>0</v>
      </c>
      <c r="V530" s="16">
        <f t="shared" si="340"/>
        <v>0</v>
      </c>
      <c r="W530" s="16">
        <f t="shared" si="340"/>
        <v>0</v>
      </c>
      <c r="X530" s="16">
        <f t="shared" si="340"/>
        <v>0</v>
      </c>
    </row>
    <row r="531" spans="1:24" x14ac:dyDescent="0.25">
      <c r="A531" s="11" t="s">
        <v>612</v>
      </c>
      <c r="O531" s="16">
        <f t="shared" ref="O531:X531" si="341">O$423-N$423</f>
        <v>0</v>
      </c>
      <c r="P531" s="16">
        <f t="shared" si="341"/>
        <v>0</v>
      </c>
      <c r="Q531" s="16">
        <f t="shared" si="341"/>
        <v>0</v>
      </c>
      <c r="R531" s="16">
        <f t="shared" si="341"/>
        <v>0</v>
      </c>
      <c r="S531" s="16">
        <f t="shared" si="341"/>
        <v>0</v>
      </c>
      <c r="T531" s="16">
        <f t="shared" si="341"/>
        <v>0</v>
      </c>
      <c r="U531" s="16">
        <f t="shared" si="341"/>
        <v>0</v>
      </c>
      <c r="V531" s="16">
        <f t="shared" si="341"/>
        <v>0</v>
      </c>
      <c r="W531" s="16">
        <f t="shared" si="341"/>
        <v>0</v>
      </c>
      <c r="X531" s="16">
        <f t="shared" si="341"/>
        <v>0</v>
      </c>
    </row>
    <row r="532" spans="1:24" x14ac:dyDescent="0.25">
      <c r="A532" s="11" t="s">
        <v>1151</v>
      </c>
      <c r="O532" s="16">
        <f t="shared" ref="O532:X532" si="342">O$464-N$464</f>
        <v>0</v>
      </c>
      <c r="P532" s="16">
        <f t="shared" si="342"/>
        <v>0</v>
      </c>
      <c r="Q532" s="16">
        <f t="shared" si="342"/>
        <v>0</v>
      </c>
      <c r="R532" s="16">
        <f t="shared" si="342"/>
        <v>0</v>
      </c>
      <c r="S532" s="16">
        <f t="shared" si="342"/>
        <v>0</v>
      </c>
      <c r="T532" s="16">
        <f t="shared" si="342"/>
        <v>0</v>
      </c>
      <c r="U532" s="16">
        <f t="shared" si="342"/>
        <v>0</v>
      </c>
      <c r="V532" s="16">
        <f t="shared" si="342"/>
        <v>0</v>
      </c>
      <c r="W532" s="16">
        <f t="shared" si="342"/>
        <v>0</v>
      </c>
      <c r="X532" s="16">
        <f t="shared" si="342"/>
        <v>0</v>
      </c>
    </row>
    <row r="533" spans="1:24" x14ac:dyDescent="0.25">
      <c r="A533" s="11" t="s">
        <v>1152</v>
      </c>
      <c r="O533" s="16">
        <f t="shared" ref="O533:X533" ca="1" si="343">SUM(O$460-N$460,O$468-N$468,O$485-N$485)</f>
        <v>2.9601831092854729</v>
      </c>
      <c r="P533" s="16">
        <f t="shared" ca="1" si="343"/>
        <v>0.54110945541070787</v>
      </c>
      <c r="Q533" s="16">
        <f t="shared" ca="1" si="343"/>
        <v>0.59593199977263334</v>
      </c>
      <c r="R533" s="16">
        <f t="shared" ca="1" si="343"/>
        <v>0.64144837812622191</v>
      </c>
      <c r="S533" s="16">
        <f t="shared" ca="1" si="343"/>
        <v>0.69318218483926231</v>
      </c>
      <c r="T533" s="16">
        <f t="shared" ca="1" si="343"/>
        <v>0.74573005583019558</v>
      </c>
      <c r="U533" s="16">
        <f t="shared" ca="1" si="343"/>
        <v>0.79586375203107362</v>
      </c>
      <c r="V533" s="16">
        <f t="shared" ca="1" si="343"/>
        <v>0.84830867656727893</v>
      </c>
      <c r="W533" s="16">
        <f t="shared" ca="1" si="343"/>
        <v>0.90399657610032458</v>
      </c>
      <c r="X533" s="16">
        <f t="shared" ca="1" si="343"/>
        <v>0.96602960015652628</v>
      </c>
    </row>
    <row r="534" spans="1:24" x14ac:dyDescent="0.25">
      <c r="A534" s="11" t="s">
        <v>1153</v>
      </c>
      <c r="O534" s="16">
        <f t="shared" ref="O534:X534" si="344">O$478-N$478</f>
        <v>-0.18722764830508432</v>
      </c>
      <c r="P534" s="16">
        <f t="shared" si="344"/>
        <v>-0.19206557203389885</v>
      </c>
      <c r="Q534" s="16">
        <f t="shared" si="344"/>
        <v>-0.19448453389830522</v>
      </c>
      <c r="R534" s="16">
        <f t="shared" si="344"/>
        <v>-0.19883866525423732</v>
      </c>
      <c r="S534" s="16">
        <f t="shared" si="344"/>
        <v>-0.20029004237288106</v>
      </c>
      <c r="T534" s="16">
        <f t="shared" si="344"/>
        <v>-0.2007738347457626</v>
      </c>
      <c r="U534" s="16">
        <f t="shared" si="344"/>
        <v>-0.19400074152542324</v>
      </c>
      <c r="V534" s="16">
        <f t="shared" si="344"/>
        <v>-0.1915817796610173</v>
      </c>
      <c r="W534" s="16">
        <f t="shared" si="344"/>
        <v>-0.18867902542372894</v>
      </c>
      <c r="X534" s="16">
        <f t="shared" si="344"/>
        <v>-0.18529247881355948</v>
      </c>
    </row>
    <row r="535" spans="1:24" x14ac:dyDescent="0.25">
      <c r="A535" s="9" t="s">
        <v>615</v>
      </c>
      <c r="O535" s="67">
        <f t="shared" ref="O535:X535" ca="1" si="345">SUM(O$528:O$531)-SUM(O$532:O$534)</f>
        <v>1.4436567380408576</v>
      </c>
      <c r="P535" s="67">
        <f t="shared" ca="1" si="345"/>
        <v>1.4897407677067491</v>
      </c>
      <c r="Q535" s="67">
        <f t="shared" ca="1" si="345"/>
        <v>1.4872737158113849</v>
      </c>
      <c r="R535" s="67">
        <f t="shared" ca="1" si="345"/>
        <v>1.4653682680743159</v>
      </c>
      <c r="S535" s="67">
        <f t="shared" ca="1" si="345"/>
        <v>1.4458598486997771</v>
      </c>
      <c r="T535" s="67">
        <f t="shared" ca="1" si="345"/>
        <v>1.4176874122636915</v>
      </c>
      <c r="U535" s="67">
        <f t="shared" ca="1" si="345"/>
        <v>1.3698628542729399</v>
      </c>
      <c r="V535" s="67">
        <f t="shared" ca="1" si="345"/>
        <v>1.3217134756676019</v>
      </c>
      <c r="W535" s="67">
        <f t="shared" ca="1" si="345"/>
        <v>1.2701249427486303</v>
      </c>
      <c r="X535" s="67">
        <f t="shared" ca="1" si="345"/>
        <v>1.218030719449519</v>
      </c>
    </row>
    <row r="536" spans="1:24" x14ac:dyDescent="0.25">
      <c r="A536" s="9" t="s">
        <v>1144</v>
      </c>
      <c r="O536" s="67">
        <f t="shared" ref="O536:X536" ca="1" si="346">SUM(O$521,O$522,O$527,O$535)</f>
        <v>5.1703992745036258</v>
      </c>
      <c r="P536" s="67">
        <f t="shared" ca="1" si="346"/>
        <v>4.5314806749991208</v>
      </c>
      <c r="Q536" s="67">
        <f t="shared" ca="1" si="346"/>
        <v>3.6120223610208897</v>
      </c>
      <c r="R536" s="67">
        <f t="shared" ca="1" si="346"/>
        <v>2.5159987046504573</v>
      </c>
      <c r="S536" s="67">
        <f t="shared" ca="1" si="346"/>
        <v>1.440106128110656</v>
      </c>
      <c r="T536" s="67">
        <f t="shared" ca="1" si="346"/>
        <v>0.2729455319569043</v>
      </c>
      <c r="U536" s="67">
        <f t="shared" ca="1" si="346"/>
        <v>-0.85834643671096433</v>
      </c>
      <c r="V536" s="67">
        <f t="shared" ca="1" si="346"/>
        <v>-2.0270811410418723</v>
      </c>
      <c r="W536" s="67">
        <f t="shared" ca="1" si="346"/>
        <v>-3.2303284363612672</v>
      </c>
      <c r="X536" s="67">
        <f t="shared" ca="1" si="346"/>
        <v>-4.4532000183544058</v>
      </c>
    </row>
    <row r="537" spans="1:24" x14ac:dyDescent="0.25">
      <c r="A537" s="55" t="s">
        <v>1154</v>
      </c>
      <c r="O537" s="91" t="str">
        <f t="shared" ref="O537:X537" ca="1" si="347">IF(ROUND(O$49-O$536,3)=0,"OK","ERROR")</f>
        <v>OK</v>
      </c>
      <c r="P537" s="91" t="str">
        <f t="shared" ca="1" si="347"/>
        <v>OK</v>
      </c>
      <c r="Q537" s="91" t="str">
        <f t="shared" ca="1" si="347"/>
        <v>OK</v>
      </c>
      <c r="R537" s="91" t="str">
        <f t="shared" ca="1" si="347"/>
        <v>OK</v>
      </c>
      <c r="S537" s="91" t="str">
        <f t="shared" ca="1" si="347"/>
        <v>OK</v>
      </c>
      <c r="T537" s="91" t="str">
        <f t="shared" ca="1" si="347"/>
        <v>OK</v>
      </c>
      <c r="U537" s="91" t="str">
        <f t="shared" ca="1" si="347"/>
        <v>OK</v>
      </c>
      <c r="V537" s="91" t="str">
        <f t="shared" ca="1" si="347"/>
        <v>OK</v>
      </c>
      <c r="W537" s="91" t="str">
        <f t="shared" ca="1" si="347"/>
        <v>OK</v>
      </c>
      <c r="X537" s="91" t="str">
        <f t="shared" ca="1" si="347"/>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5889"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mc:AlternateContent xmlns:mc="http://schemas.openxmlformats.org/markup-compatibility/2006">
          <mc:Choice Requires="x14">
            <control shapeId="165890" r:id="rId5" name="Drop Down 2">
              <controlPr defaultSize="0" autoLine="0" autoPict="0">
                <anchor moveWithCells="1">
                  <from>
                    <xdr:col>0</xdr:col>
                    <xdr:colOff>47625</xdr:colOff>
                    <xdr:row>6</xdr:row>
                    <xdr:rowOff>0</xdr:rowOff>
                  </from>
                  <to>
                    <xdr:col>1</xdr:col>
                    <xdr:colOff>19050</xdr:colOff>
                    <xdr:row>7</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78A91-2ACE-438A-9DBD-2013ED157F3D}">
  <dimension ref="A1:X537"/>
  <sheetViews>
    <sheetView zoomScaleNormal="100" workbookViewId="0">
      <pane xSplit="2" ySplit="8" topLeftCell="C9" activePane="bottomRight" state="frozen"/>
      <selection pane="topRight" activeCell="C1" sqref="C1"/>
      <selection pane="bottomLeft" activeCell="A9" sqref="A9"/>
      <selection pane="bottomRight"/>
    </sheetView>
  </sheetViews>
  <sheetFormatPr defaultRowHeight="15" x14ac:dyDescent="0.25"/>
  <cols>
    <col min="1" max="1" width="85.7109375" customWidth="1"/>
    <col min="2" max="2" width="25.7109375" customWidth="1"/>
    <col min="3" max="3" width="7.7109375" customWidth="1"/>
    <col min="4" max="24" width="10.7109375" customWidth="1"/>
  </cols>
  <sheetData>
    <row r="1" spans="1:24" x14ac:dyDescent="0.25">
      <c r="A1" s="9" t="s">
        <v>141</v>
      </c>
      <c r="B1" s="13" t="s">
        <v>1474</v>
      </c>
      <c r="C1" s="13">
        <f>MATCH($B$1,Assumptions!$C$7:$L$7,0)</f>
        <v>1</v>
      </c>
      <c r="D1" s="10" t="s">
        <v>142</v>
      </c>
      <c r="E1" s="11"/>
      <c r="F1" s="11"/>
      <c r="G1" s="11"/>
      <c r="H1" s="11"/>
      <c r="I1" s="11"/>
      <c r="J1" s="11"/>
      <c r="K1" s="11"/>
      <c r="L1" s="11"/>
      <c r="M1" s="11"/>
      <c r="N1" s="11"/>
      <c r="O1" s="11"/>
      <c r="P1" s="11"/>
    </row>
    <row r="2" spans="1:24" x14ac:dyDescent="0.25">
      <c r="A2" s="10" t="s">
        <v>143</v>
      </c>
      <c r="B2" s="100" t="s">
        <v>1197</v>
      </c>
      <c r="C2" s="13" t="s">
        <v>823</v>
      </c>
      <c r="D2" s="10"/>
      <c r="E2" s="11"/>
      <c r="F2" s="11"/>
      <c r="G2" s="11"/>
      <c r="H2" s="11"/>
      <c r="I2" s="11"/>
      <c r="J2" s="11"/>
      <c r="K2" s="11"/>
      <c r="L2" s="11"/>
      <c r="M2" s="11"/>
      <c r="N2" s="11"/>
      <c r="O2" s="11"/>
      <c r="P2" s="11"/>
    </row>
    <row r="3" spans="1:24" x14ac:dyDescent="0.25">
      <c r="A3" s="10"/>
      <c r="B3" s="100" t="s">
        <v>1198</v>
      </c>
      <c r="C3" s="13" t="s">
        <v>823</v>
      </c>
      <c r="D3" s="32" t="s">
        <v>144</v>
      </c>
      <c r="E3" s="32" t="s">
        <v>144</v>
      </c>
      <c r="F3" s="32" t="s">
        <v>144</v>
      </c>
      <c r="G3" s="32" t="s">
        <v>144</v>
      </c>
      <c r="H3" s="32" t="s">
        <v>144</v>
      </c>
      <c r="I3" s="32" t="s">
        <v>144</v>
      </c>
      <c r="J3" s="15" t="s">
        <v>1424</v>
      </c>
      <c r="K3" s="11"/>
      <c r="L3" s="11"/>
      <c r="M3" s="11"/>
      <c r="N3" s="9"/>
      <c r="O3" s="9" t="s">
        <v>1425</v>
      </c>
      <c r="P3" s="11"/>
    </row>
    <row r="4" spans="1:24" x14ac:dyDescent="0.25">
      <c r="A4" s="11"/>
      <c r="B4" s="11"/>
      <c r="C4" s="13"/>
      <c r="D4" s="32" t="s">
        <v>145</v>
      </c>
      <c r="E4" s="32" t="s">
        <v>145</v>
      </c>
      <c r="F4" s="32" t="s">
        <v>145</v>
      </c>
      <c r="G4" s="32" t="s">
        <v>145</v>
      </c>
      <c r="H4" s="32" t="s">
        <v>145</v>
      </c>
      <c r="I4" s="32" t="s">
        <v>145</v>
      </c>
      <c r="J4" s="33" t="s">
        <v>146</v>
      </c>
      <c r="K4" s="11"/>
      <c r="L4" s="11"/>
      <c r="M4" s="11"/>
      <c r="N4" s="11"/>
      <c r="O4" s="11" t="s">
        <v>147</v>
      </c>
      <c r="P4" s="11"/>
    </row>
    <row r="5" spans="1:24" x14ac:dyDescent="0.25">
      <c r="A5" s="9" t="s">
        <v>826</v>
      </c>
      <c r="B5" s="9"/>
      <c r="C5" s="13"/>
      <c r="D5" s="34" t="s">
        <v>37</v>
      </c>
      <c r="E5" s="34" t="s">
        <v>38</v>
      </c>
      <c r="F5" s="34" t="s">
        <v>39</v>
      </c>
      <c r="G5" s="34" t="s">
        <v>40</v>
      </c>
      <c r="H5" s="34" t="s">
        <v>41</v>
      </c>
      <c r="I5" s="34" t="s">
        <v>42</v>
      </c>
      <c r="J5" s="14" t="s">
        <v>43</v>
      </c>
      <c r="K5" s="14" t="s">
        <v>44</v>
      </c>
      <c r="L5" s="14" t="s">
        <v>45</v>
      </c>
      <c r="M5" s="14" t="s">
        <v>46</v>
      </c>
      <c r="N5" s="14" t="s">
        <v>47</v>
      </c>
      <c r="O5" s="13" t="s">
        <v>48</v>
      </c>
      <c r="P5" s="13" t="s">
        <v>49</v>
      </c>
      <c r="Q5" s="13" t="s">
        <v>50</v>
      </c>
      <c r="R5" s="13" t="s">
        <v>51</v>
      </c>
      <c r="S5" s="13" t="s">
        <v>52</v>
      </c>
      <c r="T5" s="13" t="s">
        <v>53</v>
      </c>
      <c r="U5" s="13" t="s">
        <v>54</v>
      </c>
      <c r="V5" s="13" t="s">
        <v>55</v>
      </c>
      <c r="W5" s="13" t="s">
        <v>56</v>
      </c>
      <c r="X5" s="13" t="s">
        <v>57</v>
      </c>
    </row>
    <row r="6" spans="1:24" x14ac:dyDescent="0.25">
      <c r="A6" s="11"/>
      <c r="B6" s="11"/>
      <c r="C6" s="13"/>
      <c r="D6" s="32">
        <v>2019</v>
      </c>
      <c r="E6" s="32">
        <v>2020</v>
      </c>
      <c r="F6" s="32">
        <v>2021</v>
      </c>
      <c r="G6" s="32">
        <v>2022</v>
      </c>
      <c r="H6" s="32">
        <v>2023</v>
      </c>
      <c r="I6" s="32">
        <v>2024</v>
      </c>
      <c r="J6" s="15">
        <v>2025</v>
      </c>
      <c r="K6" s="15">
        <v>2026</v>
      </c>
      <c r="L6" s="15">
        <v>2027</v>
      </c>
      <c r="M6" s="15">
        <v>2028</v>
      </c>
      <c r="N6" s="15">
        <v>2029</v>
      </c>
      <c r="O6" s="9">
        <v>2030</v>
      </c>
      <c r="P6" s="9">
        <v>2031</v>
      </c>
      <c r="Q6" s="9">
        <v>2032</v>
      </c>
      <c r="R6" s="9">
        <v>2033</v>
      </c>
      <c r="S6" s="9">
        <v>2034</v>
      </c>
      <c r="T6" s="9">
        <v>2035</v>
      </c>
      <c r="U6" s="9">
        <v>2036</v>
      </c>
      <c r="V6" s="9">
        <v>2037</v>
      </c>
      <c r="W6" s="9">
        <v>2038</v>
      </c>
      <c r="X6" s="9">
        <v>2039</v>
      </c>
    </row>
    <row r="7" spans="1:24" x14ac:dyDescent="0.25">
      <c r="A7" s="11"/>
      <c r="B7" s="11"/>
      <c r="C7" s="13"/>
      <c r="D7" s="42">
        <f ca="1">OFFSET(D$1,Display!$C$1-1,0)</f>
        <v>8.5039999999999907</v>
      </c>
      <c r="E7" s="42">
        <f ca="1">OFFSET(E$1,Display!$C$1-1,0)</f>
        <v>-20.901999999999965</v>
      </c>
      <c r="F7" s="42">
        <f ca="1">OFFSET(F$1,Display!$C$1-1,0)</f>
        <v>-2.5590000000000295</v>
      </c>
      <c r="G7" s="42">
        <f ca="1">OFFSET(G$1,Display!$C$1-1,0)</f>
        <v>-8.6639999999999802</v>
      </c>
      <c r="H7" s="42">
        <f ca="1">OFFSET(H$1,Display!$C$1-1,0)</f>
        <v>-7.1990000000000061</v>
      </c>
      <c r="I7" s="42">
        <f ca="1">OFFSET(I$1,Display!$C$1-1,0)</f>
        <v>-8.7730000000000281</v>
      </c>
      <c r="J7" s="43">
        <f ca="1">OFFSET(J$1,Display!$C$1-1,0)</f>
        <v>-10.175000000000042</v>
      </c>
      <c r="K7" s="43">
        <f ca="1">OFFSET(K$1,Display!$C$1-1,0)</f>
        <v>-12.07500000000001</v>
      </c>
      <c r="L7" s="43">
        <f ca="1">OFFSET(L$1,Display!$C$1-1,0)</f>
        <v>-8.1450000000000031</v>
      </c>
      <c r="M7" s="43">
        <f ca="1">OFFSET(M$1,Display!$C$1-1,0)</f>
        <v>-3.0930000000000701</v>
      </c>
      <c r="N7" s="43">
        <f ca="1">OFFSET(N$1,Display!$C$1-1,0)</f>
        <v>0.21399999999995023</v>
      </c>
      <c r="O7" s="47">
        <f ca="1">OFFSET(O$1,Display!$C$1-1,0)</f>
        <v>1.3639991508059399</v>
      </c>
      <c r="P7" s="47">
        <f ca="1">OFFSET(P$1,Display!$C$1-1,0)</f>
        <v>3.4753252607249721</v>
      </c>
      <c r="Q7" s="47">
        <f ca="1">OFFSET(Q$1,Display!$C$1-1,0)</f>
        <v>5.4607525724479302</v>
      </c>
      <c r="R7" s="47">
        <f ca="1">OFFSET(R$1,Display!$C$1-1,0)</f>
        <v>7.3523612452816476</v>
      </c>
      <c r="S7" s="47">
        <f ca="1">OFFSET(S$1,Display!$C$1-1,0)</f>
        <v>9.3360434485712993</v>
      </c>
      <c r="T7" s="47">
        <f ca="1">OFFSET(T$1,Display!$C$1-1,0)</f>
        <v>11.49436284890052</v>
      </c>
      <c r="U7" s="47">
        <f ca="1">OFFSET(U$1,Display!$C$1-1,0)</f>
        <v>13.667958786125785</v>
      </c>
      <c r="V7" s="47">
        <f ca="1">OFFSET(V$1,Display!$C$1-1,0)</f>
        <v>15.767020308422106</v>
      </c>
      <c r="W7" s="47">
        <f ca="1">OFFSET(W$1,Display!$C$1-1,0)</f>
        <v>17.93730434535663</v>
      </c>
      <c r="X7" s="47">
        <f ca="1">OFFSET(X$1,Display!$C$1-1,0)</f>
        <v>20.297807681902285</v>
      </c>
    </row>
    <row r="8" spans="1:24" x14ac:dyDescent="0.25">
      <c r="A8" s="63" t="s">
        <v>841</v>
      </c>
      <c r="B8" s="11"/>
      <c r="C8" s="13"/>
      <c r="D8" s="93">
        <f t="shared" ref="D8:X8" ca="1" si="0">D$7/D$13</f>
        <v>2.7387025300149401E-2</v>
      </c>
      <c r="E8" s="93">
        <f t="shared" ca="1" si="0"/>
        <v>-6.5805919447409003E-2</v>
      </c>
      <c r="F8" s="93">
        <f t="shared" ca="1" si="0"/>
        <v>-7.4521029840446066E-3</v>
      </c>
      <c r="G8" s="93">
        <f t="shared" ca="1" si="0"/>
        <v>-2.3690513950715801E-2</v>
      </c>
      <c r="H8" s="93">
        <f t="shared" ca="1" si="0"/>
        <v>-1.7928162830254005E-2</v>
      </c>
      <c r="I8" s="93">
        <f t="shared" ca="1" si="0"/>
        <v>-2.0857206708160839E-2</v>
      </c>
      <c r="J8" s="94">
        <f t="shared" ca="1" si="0"/>
        <v>-2.3382849053655404E-2</v>
      </c>
      <c r="K8" s="94">
        <f t="shared" ca="1" si="0"/>
        <v>-2.6453345718391835E-2</v>
      </c>
      <c r="L8" s="94">
        <f t="shared" ca="1" si="0"/>
        <v>-1.7047951943403736E-2</v>
      </c>
      <c r="M8" s="94">
        <f t="shared" ca="1" si="0"/>
        <v>-6.1753043728264055E-3</v>
      </c>
      <c r="N8" s="94">
        <f t="shared" ca="1" si="0"/>
        <v>4.0830188391242927E-4</v>
      </c>
      <c r="O8" s="95">
        <f t="shared" ca="1" si="0"/>
        <v>2.4948013510729828E-3</v>
      </c>
      <c r="P8" s="95">
        <f t="shared" ca="1" si="0"/>
        <v>6.0964738335392713E-3</v>
      </c>
      <c r="Q8" s="95">
        <f t="shared" ca="1" si="0"/>
        <v>9.2021092375680884E-3</v>
      </c>
      <c r="R8" s="95">
        <f t="shared" ca="1" si="0"/>
        <v>1.1920345114445932E-2</v>
      </c>
      <c r="S8" s="95">
        <f t="shared" ca="1" si="0"/>
        <v>1.4572240488789816E-2</v>
      </c>
      <c r="T8" s="95">
        <f t="shared" ca="1" si="0"/>
        <v>1.7283868645656175E-2</v>
      </c>
      <c r="U8" s="95">
        <f t="shared" ca="1" si="0"/>
        <v>1.9816679335358946E-2</v>
      </c>
      <c r="V8" s="95">
        <f t="shared" ca="1" si="0"/>
        <v>2.2058660532503507E-2</v>
      </c>
      <c r="W8" s="95">
        <f t="shared" ca="1" si="0"/>
        <v>2.4232919540899043E-2</v>
      </c>
      <c r="X8" s="95">
        <f t="shared" ca="1" si="0"/>
        <v>2.6491769283907469E-2</v>
      </c>
    </row>
    <row r="9" spans="1:24" ht="16.5" x14ac:dyDescent="0.25">
      <c r="A9" s="41" t="s">
        <v>825</v>
      </c>
      <c r="B9" s="9"/>
      <c r="C9" s="13"/>
      <c r="N9" s="47"/>
    </row>
    <row r="10" spans="1:24" x14ac:dyDescent="0.25">
      <c r="A10" s="12" t="s">
        <v>148</v>
      </c>
      <c r="B10" s="9"/>
      <c r="C10" s="13"/>
    </row>
    <row r="11" spans="1:24" x14ac:dyDescent="0.25">
      <c r="A11" s="9" t="s">
        <v>149</v>
      </c>
      <c r="B11" s="9"/>
      <c r="C11" s="13"/>
      <c r="D11" s="35">
        <f>'Economic Forecasts'!Q$6</f>
        <v>254.887</v>
      </c>
      <c r="E11" s="35">
        <f>'Economic Forecasts'!R$6</f>
        <v>252.81299999999999</v>
      </c>
      <c r="F11" s="35">
        <f>'Economic Forecasts'!S$6</f>
        <v>268.59800000000001</v>
      </c>
      <c r="G11" s="35">
        <f>'Economic Forecasts'!T$6</f>
        <v>270.51100000000002</v>
      </c>
      <c r="H11" s="35">
        <f>'Economic Forecasts'!U$6</f>
        <v>281.255</v>
      </c>
      <c r="I11" s="35">
        <f>'Economic Forecasts'!V$6</f>
        <v>283.03100000000001</v>
      </c>
      <c r="J11" s="17">
        <f>'Economic Forecasts'!W$6</f>
        <v>280.76</v>
      </c>
      <c r="K11" s="17">
        <f>'Economic Forecasts'!X$6</f>
        <v>288.976</v>
      </c>
      <c r="L11" s="17">
        <f>'Economic Forecasts'!Y$6</f>
        <v>297.50799999999998</v>
      </c>
      <c r="M11" s="17">
        <f>'Economic Forecasts'!Z$6</f>
        <v>306.02300000000002</v>
      </c>
      <c r="N11" s="17">
        <f>'Economic Forecasts'!AA$6</f>
        <v>313.94099999999997</v>
      </c>
      <c r="O11" s="16">
        <f t="shared" ref="O11:X11" ca="1" si="1">N$11*O$16*(1-O$23)*O$24/(N$16*(1-N$23)*N$24)*(1+O$25)</f>
        <v>321.06547356392304</v>
      </c>
      <c r="P11" s="16">
        <f t="shared" ca="1" si="1"/>
        <v>328.19506559316949</v>
      </c>
      <c r="Q11" s="16">
        <f t="shared" ca="1" si="1"/>
        <v>334.95020430738737</v>
      </c>
      <c r="R11" s="16">
        <f t="shared" ca="1" si="1"/>
        <v>341.31310894354965</v>
      </c>
      <c r="S11" s="16">
        <f t="shared" ca="1" si="1"/>
        <v>347.57723432799349</v>
      </c>
      <c r="T11" s="16">
        <f t="shared" ca="1" si="1"/>
        <v>353.71914183142206</v>
      </c>
      <c r="U11" s="16">
        <f t="shared" ca="1" si="1"/>
        <v>359.65592896560497</v>
      </c>
      <c r="V11" s="16">
        <f t="shared" ca="1" si="1"/>
        <v>365.41364749828614</v>
      </c>
      <c r="W11" s="16">
        <f t="shared" ca="1" si="1"/>
        <v>370.9928489415197</v>
      </c>
      <c r="X11" s="16">
        <f t="shared" ca="1" si="1"/>
        <v>376.48883312198507</v>
      </c>
    </row>
    <row r="12" spans="1:24" x14ac:dyDescent="0.25">
      <c r="A12" s="10" t="s">
        <v>150</v>
      </c>
      <c r="B12" s="9"/>
      <c r="C12" s="13"/>
      <c r="D12" s="35"/>
      <c r="E12" s="36">
        <f>E$11/D$11-1</f>
        <v>-8.1369391141957736E-3</v>
      </c>
      <c r="F12" s="36">
        <f t="shared" ref="F12:X12" si="2">F$11/E$11-1</f>
        <v>6.2437453770177953E-2</v>
      </c>
      <c r="G12" s="36">
        <f t="shared" si="2"/>
        <v>7.1221677004296158E-3</v>
      </c>
      <c r="H12" s="36">
        <f t="shared" si="2"/>
        <v>3.9717423690718512E-2</v>
      </c>
      <c r="I12" s="36">
        <f t="shared" si="2"/>
        <v>6.3145544079217242E-3</v>
      </c>
      <c r="J12" s="19">
        <f t="shared" si="2"/>
        <v>-8.0238560440376583E-3</v>
      </c>
      <c r="K12" s="19">
        <f t="shared" si="2"/>
        <v>2.9263427838723599E-2</v>
      </c>
      <c r="L12" s="19">
        <f t="shared" si="2"/>
        <v>2.9524943247882129E-2</v>
      </c>
      <c r="M12" s="19">
        <f t="shared" si="2"/>
        <v>2.8621079097032931E-2</v>
      </c>
      <c r="N12" s="19">
        <f t="shared" si="2"/>
        <v>2.5873872225290029E-2</v>
      </c>
      <c r="O12" s="18">
        <f t="shared" ca="1" si="2"/>
        <v>2.2693670351827455E-2</v>
      </c>
      <c r="P12" s="18">
        <f t="shared" ca="1" si="2"/>
        <v>2.2206037759544328E-2</v>
      </c>
      <c r="Q12" s="18">
        <f t="shared" ca="1" si="2"/>
        <v>2.0582694325427697E-2</v>
      </c>
      <c r="R12" s="18">
        <f t="shared" ca="1" si="2"/>
        <v>1.8996568905875311E-2</v>
      </c>
      <c r="S12" s="18">
        <f t="shared" ca="1" si="2"/>
        <v>1.8353017274469474E-2</v>
      </c>
      <c r="T12" s="18">
        <f t="shared" ca="1" si="2"/>
        <v>1.7670626545214674E-2</v>
      </c>
      <c r="U12" s="18">
        <f t="shared" ca="1" si="2"/>
        <v>1.6783901214518782E-2</v>
      </c>
      <c r="V12" s="18">
        <f t="shared" ca="1" si="2"/>
        <v>1.6008963203361537E-2</v>
      </c>
      <c r="W12" s="18">
        <f t="shared" ca="1" si="2"/>
        <v>1.5268180270305187E-2</v>
      </c>
      <c r="X12" s="18">
        <f t="shared" ca="1" si="2"/>
        <v>1.4814259078432368E-2</v>
      </c>
    </row>
    <row r="13" spans="1:24" x14ac:dyDescent="0.25">
      <c r="A13" s="9" t="s">
        <v>151</v>
      </c>
      <c r="B13" s="9"/>
      <c r="C13" s="13"/>
      <c r="D13" s="42">
        <f>'Economic Forecasts'!Q$7</f>
        <v>310.512</v>
      </c>
      <c r="E13" s="42">
        <f>'Economic Forecasts'!R$7</f>
        <v>317.63099999999997</v>
      </c>
      <c r="F13" s="42">
        <f>'Economic Forecasts'!S$7</f>
        <v>343.39299999999997</v>
      </c>
      <c r="G13" s="42">
        <f>'Economic Forecasts'!T$7</f>
        <v>365.71600000000001</v>
      </c>
      <c r="H13" s="42">
        <f>'Economic Forecasts'!U$7</f>
        <v>401.54700000000003</v>
      </c>
      <c r="I13" s="42">
        <f>'Economic Forecasts'!V$7</f>
        <v>420.62200000000001</v>
      </c>
      <c r="J13" s="43">
        <f>'Economic Forecasts'!W$7</f>
        <v>435.14800000000002</v>
      </c>
      <c r="K13" s="43">
        <f>'Economic Forecasts'!X$7</f>
        <v>456.464</v>
      </c>
      <c r="L13" s="43">
        <f>'Economic Forecasts'!Y$7</f>
        <v>477.77</v>
      </c>
      <c r="M13" s="43">
        <f>'Economic Forecasts'!Z$7</f>
        <v>500.86599999999999</v>
      </c>
      <c r="N13" s="43">
        <f>'Economic Forecasts'!AA$7</f>
        <v>524.12199999999996</v>
      </c>
      <c r="O13" s="47">
        <f t="shared" ref="O13:X13" ca="1" si="3">N$13*O$11/N$11*(1+O$29)</f>
        <v>546.73657692998324</v>
      </c>
      <c r="P13" s="47">
        <f t="shared" ca="1" si="3"/>
        <v>570.05497860185073</v>
      </c>
      <c r="Q13" s="47">
        <f t="shared" ca="1" si="3"/>
        <v>593.42401089460282</v>
      </c>
      <c r="R13" s="47">
        <f t="shared" ca="1" si="3"/>
        <v>616.79097162812229</v>
      </c>
      <c r="S13" s="47">
        <f t="shared" ca="1" si="3"/>
        <v>640.67316592485304</v>
      </c>
      <c r="T13" s="47">
        <f t="shared" ca="1" si="3"/>
        <v>665.03414742100063</v>
      </c>
      <c r="U13" s="47">
        <f t="shared" ca="1" si="3"/>
        <v>689.71993515270822</v>
      </c>
      <c r="V13" s="47">
        <f t="shared" ca="1" si="3"/>
        <v>714.77686893949658</v>
      </c>
      <c r="W13" s="47">
        <f t="shared" ca="1" si="3"/>
        <v>740.20401524805936</v>
      </c>
      <c r="X13" s="47">
        <f t="shared" ca="1" si="3"/>
        <v>766.19298108685666</v>
      </c>
    </row>
    <row r="14" spans="1:24" x14ac:dyDescent="0.25">
      <c r="A14" s="10" t="str">
        <f>$A$12</f>
        <v>Annual percentage growth</v>
      </c>
      <c r="B14" s="9"/>
      <c r="C14" s="13"/>
      <c r="D14" s="36"/>
      <c r="E14" s="36">
        <f>E$13/D$13-1</f>
        <v>2.2926650177770735E-2</v>
      </c>
      <c r="F14" s="36">
        <f t="shared" ref="F14:X14" si="4">F$13/E$13-1</f>
        <v>8.1106692986515849E-2</v>
      </c>
      <c r="G14" s="36">
        <f t="shared" si="4"/>
        <v>6.5007149242995776E-2</v>
      </c>
      <c r="H14" s="36">
        <f t="shared" si="4"/>
        <v>9.7974931367509344E-2</v>
      </c>
      <c r="I14" s="36">
        <f t="shared" si="4"/>
        <v>4.7503779134198565E-2</v>
      </c>
      <c r="J14" s="19">
        <f t="shared" si="4"/>
        <v>3.4534570231704587E-2</v>
      </c>
      <c r="K14" s="19">
        <f t="shared" si="4"/>
        <v>4.898563247446841E-2</v>
      </c>
      <c r="L14" s="19">
        <f t="shared" si="4"/>
        <v>4.6676189140874236E-2</v>
      </c>
      <c r="M14" s="19">
        <f t="shared" si="4"/>
        <v>4.8341252066894214E-2</v>
      </c>
      <c r="N14" s="19">
        <f t="shared" si="4"/>
        <v>4.6431580502569458E-2</v>
      </c>
      <c r="O14" s="18">
        <f t="shared" ca="1" si="4"/>
        <v>4.3147543758863982E-2</v>
      </c>
      <c r="P14" s="18">
        <f t="shared" ca="1" si="4"/>
        <v>4.2650158514735192E-2</v>
      </c>
      <c r="Q14" s="18">
        <f t="shared" ca="1" si="4"/>
        <v>4.0994348211936149E-2</v>
      </c>
      <c r="R14" s="18">
        <f t="shared" ca="1" si="4"/>
        <v>3.9376500283992755E-2</v>
      </c>
      <c r="S14" s="18">
        <f t="shared" ca="1" si="4"/>
        <v>3.872007761995877E-2</v>
      </c>
      <c r="T14" s="18">
        <f t="shared" ca="1" si="4"/>
        <v>3.8024039076119065E-2</v>
      </c>
      <c r="U14" s="18">
        <f t="shared" ca="1" si="4"/>
        <v>3.7119579238809042E-2</v>
      </c>
      <c r="V14" s="18">
        <f t="shared" ca="1" si="4"/>
        <v>3.6329142467428577E-2</v>
      </c>
      <c r="W14" s="18">
        <f t="shared" ca="1" si="4"/>
        <v>3.5573543875711433E-2</v>
      </c>
      <c r="X14" s="18">
        <f t="shared" ca="1" si="4"/>
        <v>3.511054426000082E-2</v>
      </c>
    </row>
    <row r="15" spans="1:24" x14ac:dyDescent="0.25">
      <c r="A15" s="12" t="s">
        <v>152</v>
      </c>
      <c r="B15" s="9"/>
      <c r="C15" s="13"/>
      <c r="D15" s="35"/>
    </row>
    <row r="16" spans="1:24" x14ac:dyDescent="0.25">
      <c r="A16" s="9" t="s">
        <v>153</v>
      </c>
      <c r="B16" s="9"/>
      <c r="C16" s="13"/>
      <c r="D16" s="35">
        <f>'Economic Forecasts'!Q$8</f>
        <v>2.7963</v>
      </c>
      <c r="E16" s="35">
        <f>'Economic Forecasts'!R$8</f>
        <v>2.8405</v>
      </c>
      <c r="F16" s="35">
        <f>'Economic Forecasts'!S$8</f>
        <v>2.875</v>
      </c>
      <c r="G16" s="35">
        <f>'Economic Forecasts'!T$8</f>
        <v>2.9104999999999999</v>
      </c>
      <c r="H16" s="35">
        <f>'Economic Forecasts'!U$8</f>
        <v>2.9918</v>
      </c>
      <c r="I16" s="35">
        <f>'Economic Forecasts'!V$8</f>
        <v>3.0680000000000001</v>
      </c>
      <c r="J16" s="17">
        <f>'Economic Forecasts'!W$8</f>
        <v>3.0784000000000002</v>
      </c>
      <c r="K16" s="17">
        <f>'Economic Forecasts'!X$8</f>
        <v>3.1261000000000001</v>
      </c>
      <c r="L16" s="17">
        <f>'Economic Forecasts'!Y$8</f>
        <v>3.1818</v>
      </c>
      <c r="M16" s="17">
        <f>'Economic Forecasts'!Z$8</f>
        <v>3.2342</v>
      </c>
      <c r="N16" s="17">
        <f>'Economic Forecasts'!AA$8</f>
        <v>3.2824</v>
      </c>
      <c r="O16" s="16">
        <f>N$16*'Labour Force Treasury'!L$4/'Labour Force Treasury'!K$4</f>
        <v>3.318559068561679</v>
      </c>
      <c r="P16" s="16">
        <f>O$16*'Labour Force Treasury'!M$4/'Labour Force Treasury'!L$4</f>
        <v>3.3528826048258424</v>
      </c>
      <c r="Q16" s="16">
        <f>P$16*'Labour Force Treasury'!N$4/'Labour Force Treasury'!M$4</f>
        <v>3.3853211958213336</v>
      </c>
      <c r="R16" s="16">
        <f>Q$16*'Labour Force Treasury'!O$4/'Labour Force Treasury'!N$4</f>
        <v>3.415814123364961</v>
      </c>
      <c r="S16" s="16">
        <f>R$16*'Labour Force Treasury'!P$4/'Labour Force Treasury'!O$4</f>
        <v>3.4440639791855983</v>
      </c>
      <c r="T16" s="16">
        <f>S$16*'Labour Force Treasury'!Q$4/'Labour Force Treasury'!P$4</f>
        <v>3.4702205421382302</v>
      </c>
      <c r="U16" s="16">
        <f>T$16*'Labour Force Treasury'!R$4/'Labour Force Treasury'!Q$4</f>
        <v>3.4945670802318225</v>
      </c>
      <c r="V16" s="16">
        <f>U$16*'Labour Force Treasury'!S$4/'Labour Force Treasury'!R$4</f>
        <v>3.517447469814674</v>
      </c>
      <c r="W16" s="16">
        <f>V$16*'Labour Force Treasury'!T$4/'Labour Force Treasury'!S$4</f>
        <v>3.5389480644882889</v>
      </c>
      <c r="X16" s="16">
        <f>W$16*'Labour Force Treasury'!U$4/'Labour Force Treasury'!T$4</f>
        <v>3.5593408899709962</v>
      </c>
    </row>
    <row r="17" spans="1:24" x14ac:dyDescent="0.25">
      <c r="A17" s="10" t="str">
        <f>$A$12</f>
        <v>Annual percentage growth</v>
      </c>
      <c r="B17" s="9"/>
      <c r="C17" s="13"/>
      <c r="D17" s="38"/>
      <c r="E17" s="36">
        <f>E$16/D$16-1</f>
        <v>1.5806601580660162E-2</v>
      </c>
      <c r="F17" s="36">
        <f t="shared" ref="F17:X17" si="5">F$16/E$16-1</f>
        <v>1.2145748987854255E-2</v>
      </c>
      <c r="G17" s="36">
        <f t="shared" si="5"/>
        <v>1.2347826086956504E-2</v>
      </c>
      <c r="H17" s="36">
        <f t="shared" si="5"/>
        <v>2.7933344786119196E-2</v>
      </c>
      <c r="I17" s="36">
        <f t="shared" si="5"/>
        <v>2.546961695300487E-2</v>
      </c>
      <c r="J17" s="19">
        <f t="shared" si="5"/>
        <v>3.3898305084747449E-3</v>
      </c>
      <c r="K17" s="19">
        <f t="shared" si="5"/>
        <v>1.5495062370062263E-2</v>
      </c>
      <c r="L17" s="19">
        <f t="shared" si="5"/>
        <v>1.7817728159687851E-2</v>
      </c>
      <c r="M17" s="19">
        <f t="shared" si="5"/>
        <v>1.6468665535231741E-2</v>
      </c>
      <c r="N17" s="19">
        <f t="shared" si="5"/>
        <v>1.4903221816832568E-2</v>
      </c>
      <c r="O17" s="18">
        <f t="shared" si="5"/>
        <v>1.1016045747525904E-2</v>
      </c>
      <c r="P17" s="18">
        <f t="shared" si="5"/>
        <v>1.0342903517772895E-2</v>
      </c>
      <c r="Q17" s="18">
        <f t="shared" si="5"/>
        <v>9.6748364970493661E-3</v>
      </c>
      <c r="R17" s="18">
        <f t="shared" si="5"/>
        <v>9.0073956885587947E-3</v>
      </c>
      <c r="S17" s="18">
        <f t="shared" si="5"/>
        <v>8.2703141331379459E-3</v>
      </c>
      <c r="T17" s="18">
        <f t="shared" si="5"/>
        <v>7.5946797477370875E-3</v>
      </c>
      <c r="U17" s="18">
        <f t="shared" si="5"/>
        <v>7.0158474938284421E-3</v>
      </c>
      <c r="V17" s="18">
        <f t="shared" si="5"/>
        <v>6.5474174790582929E-3</v>
      </c>
      <c r="W17" s="18">
        <f t="shared" si="5"/>
        <v>6.1125560106083388E-3</v>
      </c>
      <c r="X17" s="18">
        <f t="shared" si="5"/>
        <v>5.7623975009239992E-3</v>
      </c>
    </row>
    <row r="18" spans="1:24" x14ac:dyDescent="0.25">
      <c r="A18" s="9" t="s">
        <v>154</v>
      </c>
      <c r="B18" s="9"/>
      <c r="C18" s="13"/>
      <c r="D18" s="35">
        <f>'Economic Forecasts'!Q$9</f>
        <v>3.9466000000000001</v>
      </c>
      <c r="E18" s="35">
        <f>'Economic Forecasts'!R$9</f>
        <v>4.0335999999999999</v>
      </c>
      <c r="F18" s="35">
        <f>'Economic Forecasts'!S$9</f>
        <v>4.0891999999999999</v>
      </c>
      <c r="G18" s="35">
        <f>'Economic Forecasts'!T$9</f>
        <v>4.1008000000000004</v>
      </c>
      <c r="H18" s="35">
        <f>'Economic Forecasts'!U$9</f>
        <v>4.1555</v>
      </c>
      <c r="I18" s="35">
        <f>'Economic Forecasts'!V$9</f>
        <v>4.2751000000000001</v>
      </c>
      <c r="J18" s="17">
        <f>'Economic Forecasts'!W$9</f>
        <v>4.3324999999999996</v>
      </c>
      <c r="K18" s="17">
        <f>'Economic Forecasts'!X$9</f>
        <v>4.3881999999999994</v>
      </c>
      <c r="L18" s="17">
        <f>'Economic Forecasts'!Y$9</f>
        <v>4.4468000000000005</v>
      </c>
      <c r="M18" s="17">
        <f>'Economic Forecasts'!Z$9</f>
        <v>4.5060000000000002</v>
      </c>
      <c r="N18" s="17">
        <f>'Economic Forecasts'!AA$9</f>
        <v>4.5653000000000006</v>
      </c>
      <c r="O18" s="16">
        <f>N$18*'Population Treasury'!Z$6/'Population Treasury'!Y$6</f>
        <v>4.6218546614438232</v>
      </c>
      <c r="P18" s="16">
        <f>O$18*'Population Treasury'!AA$6/'Population Treasury'!Z$6</f>
        <v>4.6757910271716634</v>
      </c>
      <c r="Q18" s="16">
        <f>P$18*'Population Treasury'!AB$6/'Population Treasury'!AA$6</f>
        <v>4.7275390971835236</v>
      </c>
      <c r="R18" s="16">
        <f>Q$18*'Population Treasury'!AC$6/'Population Treasury'!AB$6</f>
        <v>4.7758688714794006</v>
      </c>
      <c r="S18" s="16">
        <f>R$18*'Population Treasury'!AD$6/'Population Treasury'!AC$6</f>
        <v>4.8216203500592991</v>
      </c>
      <c r="T18" s="16">
        <f>S$18*'Population Treasury'!AE$6/'Population Treasury'!AD$6</f>
        <v>4.8645335329232227</v>
      </c>
      <c r="U18" s="16">
        <f>T$18*'Population Treasury'!AF$6/'Population Treasury'!AE$6</f>
        <v>4.9064484200711611</v>
      </c>
      <c r="V18" s="16">
        <f>U$18*'Population Treasury'!AG$6/'Population Treasury'!AF$6</f>
        <v>4.9466650115031188</v>
      </c>
      <c r="W18" s="16">
        <f>V$18*'Population Treasury'!AH$6/'Population Treasury'!AG$6</f>
        <v>4.9832933072191006</v>
      </c>
      <c r="X18" s="16">
        <f>W$18*'Population Treasury'!AI$6/'Population Treasury'!AH$6</f>
        <v>5.0178433072191009</v>
      </c>
    </row>
    <row r="19" spans="1:24" x14ac:dyDescent="0.25">
      <c r="A19" s="10" t="str">
        <f>$A$12</f>
        <v>Annual percentage growth</v>
      </c>
      <c r="B19" s="9"/>
      <c r="C19" s="13"/>
      <c r="D19" s="36"/>
      <c r="E19" s="36">
        <f>E$18/D$18-1</f>
        <v>2.2044291288704221E-2</v>
      </c>
      <c r="F19" s="36">
        <f t="shared" ref="F19:X19" si="6">F$18/E$18-1</f>
        <v>1.3784212614042168E-2</v>
      </c>
      <c r="G19" s="36">
        <f t="shared" si="6"/>
        <v>2.8367406827742858E-3</v>
      </c>
      <c r="H19" s="36">
        <f t="shared" si="6"/>
        <v>1.333886071010526E-2</v>
      </c>
      <c r="I19" s="36">
        <f t="shared" si="6"/>
        <v>2.8781133437612905E-2</v>
      </c>
      <c r="J19" s="19">
        <f t="shared" si="6"/>
        <v>1.3426586512595984E-2</v>
      </c>
      <c r="K19" s="19">
        <f t="shared" si="6"/>
        <v>1.2856318522792787E-2</v>
      </c>
      <c r="L19" s="19">
        <f t="shared" si="6"/>
        <v>1.3353994804248037E-2</v>
      </c>
      <c r="M19" s="19">
        <f t="shared" si="6"/>
        <v>1.3312944139606042E-2</v>
      </c>
      <c r="N19" s="19">
        <f t="shared" si="6"/>
        <v>1.3160230803373363E-2</v>
      </c>
      <c r="O19" s="18">
        <f t="shared" si="6"/>
        <v>1.2387939772593892E-2</v>
      </c>
      <c r="P19" s="18">
        <f t="shared" si="6"/>
        <v>1.166985326859904E-2</v>
      </c>
      <c r="Q19" s="18">
        <f t="shared" si="6"/>
        <v>1.1067233268370114E-2</v>
      </c>
      <c r="R19" s="18">
        <f t="shared" si="6"/>
        <v>1.0223030059057558E-2</v>
      </c>
      <c r="S19" s="18">
        <f t="shared" si="6"/>
        <v>9.5797183321171264E-3</v>
      </c>
      <c r="T19" s="18">
        <f t="shared" si="6"/>
        <v>8.9001579859757651E-3</v>
      </c>
      <c r="U19" s="18">
        <f t="shared" si="6"/>
        <v>8.616424753629115E-3</v>
      </c>
      <c r="V19" s="18">
        <f t="shared" si="6"/>
        <v>8.1966807737019476E-3</v>
      </c>
      <c r="W19" s="18">
        <f t="shared" si="6"/>
        <v>7.4046444687088098E-3</v>
      </c>
      <c r="X19" s="18">
        <f t="shared" si="6"/>
        <v>6.933166055056228E-3</v>
      </c>
    </row>
    <row r="20" spans="1:24" x14ac:dyDescent="0.25">
      <c r="A20" s="9" t="s">
        <v>155</v>
      </c>
      <c r="B20" s="9"/>
      <c r="C20" s="13"/>
      <c r="D20" s="36">
        <f>D$16/D$18</f>
        <v>0.70853392793797187</v>
      </c>
      <c r="E20" s="36">
        <f t="shared" ref="E20:X20" si="7">E$16/E$18</f>
        <v>0.70420963903213019</v>
      </c>
      <c r="F20" s="36">
        <f t="shared" si="7"/>
        <v>0.70307150542893482</v>
      </c>
      <c r="G20" s="36">
        <f t="shared" si="7"/>
        <v>0.70973956301209506</v>
      </c>
      <c r="H20" s="36">
        <f t="shared" si="7"/>
        <v>0.71996149681145472</v>
      </c>
      <c r="I20" s="36">
        <f t="shared" si="7"/>
        <v>0.71764403171855629</v>
      </c>
      <c r="J20" s="19">
        <f t="shared" si="7"/>
        <v>0.71053664166185815</v>
      </c>
      <c r="K20" s="19">
        <f t="shared" si="7"/>
        <v>0.71238776719383812</v>
      </c>
      <c r="L20" s="19">
        <f t="shared" si="7"/>
        <v>0.71552577134118911</v>
      </c>
      <c r="M20" s="19">
        <f t="shared" si="7"/>
        <v>0.71775410563692854</v>
      </c>
      <c r="N20" s="19">
        <f t="shared" si="7"/>
        <v>0.71898889448667114</v>
      </c>
      <c r="O20" s="18">
        <f t="shared" si="7"/>
        <v>0.71801458757359382</v>
      </c>
      <c r="P20" s="18">
        <f t="shared" si="7"/>
        <v>0.71707280871659607</v>
      </c>
      <c r="Q20" s="18">
        <f t="shared" si="7"/>
        <v>0.7160852879753381</v>
      </c>
      <c r="R20" s="18">
        <f t="shared" si="7"/>
        <v>0.71522359915775047</v>
      </c>
      <c r="S20" s="18">
        <f t="shared" si="7"/>
        <v>0.71429596881124024</v>
      </c>
      <c r="T20" s="18">
        <f t="shared" si="7"/>
        <v>0.71337169713226045</v>
      </c>
      <c r="U20" s="18">
        <f t="shared" si="7"/>
        <v>0.71223964485927249</v>
      </c>
      <c r="V20" s="18">
        <f t="shared" si="7"/>
        <v>0.71107452427748785</v>
      </c>
      <c r="W20" s="18">
        <f t="shared" si="7"/>
        <v>0.71016250626098099</v>
      </c>
      <c r="X20" s="18">
        <f t="shared" si="7"/>
        <v>0.70933679512276171</v>
      </c>
    </row>
    <row r="21" spans="1:24" x14ac:dyDescent="0.25">
      <c r="A21" s="9" t="s">
        <v>64</v>
      </c>
      <c r="B21" s="9"/>
      <c r="C21" s="13"/>
      <c r="D21" s="35">
        <f>'Economic Forecasts'!Q$10</f>
        <v>4.9516999999999998</v>
      </c>
      <c r="E21" s="35">
        <f>'Economic Forecasts'!R$10</f>
        <v>5.0551000000000004</v>
      </c>
      <c r="F21" s="35">
        <f>'Economic Forecasts'!S$10</f>
        <v>5.1053999999999995</v>
      </c>
      <c r="G21" s="35">
        <f>'Economic Forecasts'!T$10</f>
        <v>5.1158999999999999</v>
      </c>
      <c r="H21" s="35">
        <f>'Economic Forecasts'!U$10</f>
        <v>5.1861000000000006</v>
      </c>
      <c r="I21" s="35">
        <f>'Economic Forecasts'!V$10</f>
        <v>5.3128000000000002</v>
      </c>
      <c r="J21" s="17">
        <f>'Economic Forecasts'!W$10</f>
        <v>5.3654999999999999</v>
      </c>
      <c r="K21" s="17">
        <f>'Economic Forecasts'!X$10</f>
        <v>5.4257</v>
      </c>
      <c r="L21" s="17">
        <f>'Economic Forecasts'!Y$10</f>
        <v>5.4906999999999995</v>
      </c>
      <c r="M21" s="17">
        <f>'Economic Forecasts'!Z$10</f>
        <v>5.5564</v>
      </c>
      <c r="N21" s="17">
        <f>'Economic Forecasts'!AA$10</f>
        <v>5.6223999999999998</v>
      </c>
      <c r="O21" s="16">
        <f>N$21*'Population Treasury'!Z$4/'Population Treasury'!Y$4</f>
        <v>5.6789399842283865</v>
      </c>
      <c r="P21" s="16">
        <f>O$21*'Population Treasury'!AA$4/'Population Treasury'!Z$4</f>
        <v>5.7330099702091735</v>
      </c>
      <c r="Q21" s="16">
        <f>P$21*'Population Treasury'!AB$4/'Population Treasury'!AA$4</f>
        <v>5.7845499579423612</v>
      </c>
      <c r="R21" s="16">
        <f>Q$21*'Population Treasury'!AC$4/'Population Treasury'!AB$4</f>
        <v>5.8338099474279499</v>
      </c>
      <c r="S21" s="16">
        <f>R$21*'Population Treasury'!AD$4/'Population Treasury'!AC$4</f>
        <v>5.8805699386659374</v>
      </c>
      <c r="T21" s="16">
        <f>S$21*'Population Treasury'!AE$4/'Population Treasury'!AD$4</f>
        <v>5.9250499316563294</v>
      </c>
      <c r="U21" s="16">
        <f>T$21*'Population Treasury'!AF$4/'Population Treasury'!AE$4</f>
        <v>5.9671399263991258</v>
      </c>
      <c r="V21" s="16">
        <f>U$21*'Population Treasury'!AG$4/'Population Treasury'!AF$4</f>
        <v>6.0070199228943171</v>
      </c>
      <c r="W21" s="16">
        <f>V$21*'Population Treasury'!AH$4/'Population Treasury'!AG$4</f>
        <v>6.0447099211419184</v>
      </c>
      <c r="X21" s="16">
        <f>W$21*'Population Treasury'!AI$4/'Population Treasury'!AH$4</f>
        <v>6.0802299211419184</v>
      </c>
    </row>
    <row r="22" spans="1:24" x14ac:dyDescent="0.25">
      <c r="A22" s="10" t="str">
        <f>$A$12</f>
        <v>Annual percentage growth</v>
      </c>
      <c r="B22" s="12"/>
      <c r="C22" s="13"/>
      <c r="D22" s="40"/>
      <c r="E22" s="36">
        <f>E$21/D$21-1</f>
        <v>2.0881717389987342E-2</v>
      </c>
      <c r="F22" s="36">
        <f t="shared" ref="F22:X22" si="8">F$21/E$21-1</f>
        <v>9.9503471741408944E-3</v>
      </c>
      <c r="G22" s="36">
        <f t="shared" si="8"/>
        <v>2.0566459043367402E-3</v>
      </c>
      <c r="H22" s="36">
        <f t="shared" si="8"/>
        <v>1.3721925760863396E-2</v>
      </c>
      <c r="I22" s="36">
        <f t="shared" si="8"/>
        <v>2.4430689728312194E-2</v>
      </c>
      <c r="J22" s="19">
        <f t="shared" si="8"/>
        <v>9.9194398433970488E-3</v>
      </c>
      <c r="K22" s="19">
        <f t="shared" si="8"/>
        <v>1.1219830397912522E-2</v>
      </c>
      <c r="L22" s="19">
        <f t="shared" si="8"/>
        <v>1.1980021011113617E-2</v>
      </c>
      <c r="M22" s="19">
        <f t="shared" si="8"/>
        <v>1.1965687435117722E-2</v>
      </c>
      <c r="N22" s="19">
        <f t="shared" si="8"/>
        <v>1.1878194514433726E-2</v>
      </c>
      <c r="O22" s="18">
        <f t="shared" si="8"/>
        <v>1.0056200951263916E-2</v>
      </c>
      <c r="P22" s="18">
        <f t="shared" si="8"/>
        <v>9.5211405880235578E-3</v>
      </c>
      <c r="Q22" s="18">
        <f t="shared" si="8"/>
        <v>8.9900397873035054E-3</v>
      </c>
      <c r="R22" s="18">
        <f t="shared" si="8"/>
        <v>8.5157859891853427E-3</v>
      </c>
      <c r="S22" s="18">
        <f t="shared" si="8"/>
        <v>8.0153436021006552E-3</v>
      </c>
      <c r="T22" s="18">
        <f t="shared" si="8"/>
        <v>7.5638915027482767E-3</v>
      </c>
      <c r="U22" s="18">
        <f t="shared" si="8"/>
        <v>7.1037367158575115E-3</v>
      </c>
      <c r="V22" s="18">
        <f t="shared" si="8"/>
        <v>6.6832681966713103E-3</v>
      </c>
      <c r="W22" s="18">
        <f t="shared" si="8"/>
        <v>6.274325494402877E-3</v>
      </c>
      <c r="X22" s="18">
        <f t="shared" si="8"/>
        <v>5.8762125004154786E-3</v>
      </c>
    </row>
    <row r="23" spans="1:24" x14ac:dyDescent="0.25">
      <c r="A23" s="9" t="s">
        <v>65</v>
      </c>
      <c r="B23" s="9"/>
      <c r="C23" s="13"/>
      <c r="D23" s="36">
        <f>'Economic Forecasts'!Q$11</f>
        <v>4.1299999999999996E-2</v>
      </c>
      <c r="E23" s="36">
        <f>'Economic Forecasts'!R$11</f>
        <v>4.1299999999999996E-2</v>
      </c>
      <c r="F23" s="36">
        <f>'Economic Forecasts'!S$11</f>
        <v>4.6799999999999994E-2</v>
      </c>
      <c r="G23" s="36">
        <f>'Economic Forecasts'!T$11</f>
        <v>3.2500000000000001E-2</v>
      </c>
      <c r="H23" s="36">
        <f>'Economic Forecasts'!U$11</f>
        <v>3.4300000000000004E-2</v>
      </c>
      <c r="I23" s="36">
        <f>'Economic Forecasts'!V$11</f>
        <v>4.2300000000000004E-2</v>
      </c>
      <c r="J23" s="19">
        <f>'Economic Forecasts'!W$11</f>
        <v>5.16E-2</v>
      </c>
      <c r="K23" s="19">
        <f>'Economic Forecasts'!X$11</f>
        <v>5.1900000000000002E-2</v>
      </c>
      <c r="L23" s="19">
        <f>'Economic Forecasts'!Y$11</f>
        <v>4.8799999999999996E-2</v>
      </c>
      <c r="M23" s="19">
        <f>'Economic Forecasts'!Z$11</f>
        <v>4.5599999999999995E-2</v>
      </c>
      <c r="N23" s="19">
        <f>'Economic Forecasts'!AA$11</f>
        <v>4.3799999999999999E-2</v>
      </c>
      <c r="O23" s="18">
        <f ca="1">N$23+MIN(ABS(OFFSET(Assumptions!$B$12,0,$C$1)-N$23),OFFSET(Assumptions!$B$18,0,$C$1))*SIGN(OFFSET(Assumptions!$B$12,0,$C$1)-N$23)</f>
        <v>4.3099999999999999E-2</v>
      </c>
      <c r="P23" s="18">
        <f ca="1">O$23+MIN(ABS(OFFSET(Assumptions!$B$12,0,$C$1)-O$23),OFFSET(Assumptions!$B$18,0,$C$1))*SIGN(OFFSET(Assumptions!$B$12,0,$C$1)-O$23)</f>
        <v>4.2500000000000003E-2</v>
      </c>
      <c r="Q23" s="18">
        <f ca="1">P$23+MIN(ABS(OFFSET(Assumptions!$B$12,0,$C$1)-P$23),OFFSET(Assumptions!$B$18,0,$C$1))*SIGN(OFFSET(Assumptions!$B$12,0,$C$1)-P$23)</f>
        <v>4.2500000000000003E-2</v>
      </c>
      <c r="R23" s="18">
        <f ca="1">Q$23+MIN(ABS(OFFSET(Assumptions!$B$12,0,$C$1)-Q$23),OFFSET(Assumptions!$B$18,0,$C$1))*SIGN(OFFSET(Assumptions!$B$12,0,$C$1)-Q$23)</f>
        <v>4.2500000000000003E-2</v>
      </c>
      <c r="S23" s="18">
        <f ca="1">R$23+MIN(ABS(OFFSET(Assumptions!$B$12,0,$C$1)-R$23),OFFSET(Assumptions!$B$18,0,$C$1))*SIGN(OFFSET(Assumptions!$B$12,0,$C$1)-R$23)</f>
        <v>4.2500000000000003E-2</v>
      </c>
      <c r="T23" s="18">
        <f ca="1">S$23+MIN(ABS(OFFSET(Assumptions!$B$12,0,$C$1)-S$23),OFFSET(Assumptions!$B$18,0,$C$1))*SIGN(OFFSET(Assumptions!$B$12,0,$C$1)-S$23)</f>
        <v>4.2500000000000003E-2</v>
      </c>
      <c r="U23" s="18">
        <f ca="1">T$23+MIN(ABS(OFFSET(Assumptions!$B$12,0,$C$1)-T$23),OFFSET(Assumptions!$B$18,0,$C$1))*SIGN(OFFSET(Assumptions!$B$12,0,$C$1)-T$23)</f>
        <v>4.2500000000000003E-2</v>
      </c>
      <c r="V23" s="18">
        <f ca="1">U$23+MIN(ABS(OFFSET(Assumptions!$B$12,0,$C$1)-U$23),OFFSET(Assumptions!$B$18,0,$C$1))*SIGN(OFFSET(Assumptions!$B$12,0,$C$1)-U$23)</f>
        <v>4.2500000000000003E-2</v>
      </c>
      <c r="W23" s="18">
        <f ca="1">V$23+MIN(ABS(OFFSET(Assumptions!$B$12,0,$C$1)-V$23),OFFSET(Assumptions!$B$18,0,$C$1))*SIGN(OFFSET(Assumptions!$B$12,0,$C$1)-V$23)</f>
        <v>4.2500000000000003E-2</v>
      </c>
      <c r="X23" s="18">
        <f ca="1">W$23+MIN(ABS(OFFSET(Assumptions!$B$12,0,$C$1)-W$23),OFFSET(Assumptions!$B$18,0,$C$1))*SIGN(OFFSET(Assumptions!$B$12,0,$C$1)-W$23)</f>
        <v>4.2500000000000003E-2</v>
      </c>
    </row>
    <row r="24" spans="1:24" x14ac:dyDescent="0.25">
      <c r="A24" s="9" t="s">
        <v>66</v>
      </c>
      <c r="B24" s="9"/>
      <c r="C24" s="13"/>
      <c r="D24" s="37">
        <f>'Economic Forecasts'!Q$12</f>
        <v>34.119999999999997</v>
      </c>
      <c r="E24" s="37">
        <f>'Economic Forecasts'!R$12</f>
        <v>33.18</v>
      </c>
      <c r="F24" s="37">
        <f>'Economic Forecasts'!S$12</f>
        <v>34.119999999999997</v>
      </c>
      <c r="G24" s="37">
        <f>'Economic Forecasts'!T$12</f>
        <v>32.94</v>
      </c>
      <c r="H24" s="37">
        <f>'Economic Forecasts'!U$12</f>
        <v>33.729999999999997</v>
      </c>
      <c r="I24" s="37">
        <f>'Economic Forecasts'!V$12</f>
        <v>33.549999999999997</v>
      </c>
      <c r="J24" s="21">
        <f>'Economic Forecasts'!W$12</f>
        <v>33.29</v>
      </c>
      <c r="K24" s="21">
        <f>'Economic Forecasts'!X$12</f>
        <v>33.380000000000003</v>
      </c>
      <c r="L24" s="21">
        <f>'Economic Forecasts'!Y$12</f>
        <v>33.409999999999997</v>
      </c>
      <c r="M24" s="21">
        <f>'Economic Forecasts'!Z$12</f>
        <v>33.44</v>
      </c>
      <c r="N24" s="21">
        <f>'Economic Forecasts'!AA$12</f>
        <v>33.44</v>
      </c>
      <c r="O24" s="20">
        <f ca="1">N$24+MIN(ABS(OFFSET(Assumptions!$B$13,0,$C$1)-N$24),OFFSET(Assumptions!$B$19,0,$C$1))*SIGN(OFFSET(Assumptions!$B$13,0,$C$1)-N$24)</f>
        <v>33.5</v>
      </c>
      <c r="P24" s="20">
        <f ca="1">O$24+MIN(ABS(OFFSET(Assumptions!$B$13,0,$C$1)-O$24),OFFSET(Assumptions!$B$19,0,$C$1))*SIGN(OFFSET(Assumptions!$B$13,0,$C$1)-O$24)</f>
        <v>33.56</v>
      </c>
      <c r="Q24" s="20">
        <f ca="1">P$24+MIN(ABS(OFFSET(Assumptions!$B$13,0,$C$1)-P$24),OFFSET(Assumptions!$B$19,0,$C$1))*SIGN(OFFSET(Assumptions!$B$13,0,$C$1)-P$24)</f>
        <v>33.6</v>
      </c>
      <c r="R24" s="20">
        <f ca="1">Q$24+MIN(ABS(OFFSET(Assumptions!$B$13,0,$C$1)-Q$24),OFFSET(Assumptions!$B$19,0,$C$1))*SIGN(OFFSET(Assumptions!$B$13,0,$C$1)-Q$24)</f>
        <v>33.6</v>
      </c>
      <c r="S24" s="20">
        <f ca="1">R$24+MIN(ABS(OFFSET(Assumptions!$B$13,0,$C$1)-R$24),OFFSET(Assumptions!$B$19,0,$C$1))*SIGN(OFFSET(Assumptions!$B$13,0,$C$1)-R$24)</f>
        <v>33.6</v>
      </c>
      <c r="T24" s="20">
        <f ca="1">S$24+MIN(ABS(OFFSET(Assumptions!$B$13,0,$C$1)-S$24),OFFSET(Assumptions!$B$19,0,$C$1))*SIGN(OFFSET(Assumptions!$B$13,0,$C$1)-S$24)</f>
        <v>33.6</v>
      </c>
      <c r="U24" s="20">
        <f ca="1">T$24+MIN(ABS(OFFSET(Assumptions!$B$13,0,$C$1)-T$24),OFFSET(Assumptions!$B$19,0,$C$1))*SIGN(OFFSET(Assumptions!$B$13,0,$C$1)-T$24)</f>
        <v>33.6</v>
      </c>
      <c r="V24" s="20">
        <f ca="1">U$24+MIN(ABS(OFFSET(Assumptions!$B$13,0,$C$1)-U$24),OFFSET(Assumptions!$B$19,0,$C$1))*SIGN(OFFSET(Assumptions!$B$13,0,$C$1)-U$24)</f>
        <v>33.6</v>
      </c>
      <c r="W24" s="20">
        <f ca="1">V$24+MIN(ABS(OFFSET(Assumptions!$B$13,0,$C$1)-V$24),OFFSET(Assumptions!$B$19,0,$C$1))*SIGN(OFFSET(Assumptions!$B$13,0,$C$1)-V$24)</f>
        <v>33.6</v>
      </c>
      <c r="X24" s="20">
        <f ca="1">W$24+MIN(ABS(OFFSET(Assumptions!$B$13,0,$C$1)-W$24),OFFSET(Assumptions!$B$19,0,$C$1))*SIGN(OFFSET(Assumptions!$B$13,0,$C$1)-W$24)</f>
        <v>33.6</v>
      </c>
    </row>
    <row r="25" spans="1:24" x14ac:dyDescent="0.25">
      <c r="A25" s="9" t="s">
        <v>67</v>
      </c>
      <c r="B25" s="9"/>
      <c r="C25" s="13"/>
      <c r="D25" s="36">
        <f>'Economic Forecasts'!Q$13</f>
        <v>6.7000000000000002E-3</v>
      </c>
      <c r="E25" s="36">
        <f>'Economic Forecasts'!R$13</f>
        <v>3.7000000000000002E-3</v>
      </c>
      <c r="F25" s="36">
        <f>'Economic Forecasts'!S$13</f>
        <v>2.6800000000000001E-2</v>
      </c>
      <c r="G25" s="36">
        <f>'Economic Forecasts'!T$13</f>
        <v>1.54E-2</v>
      </c>
      <c r="H25" s="36">
        <f>'Economic Forecasts'!U$13</f>
        <v>-1.0500000000000001E-2</v>
      </c>
      <c r="I25" s="36">
        <f>'Economic Forecasts'!V$13</f>
        <v>-5.4000000000000003E-3</v>
      </c>
      <c r="J25" s="19">
        <f>'Economic Forecasts'!W$13</f>
        <v>6.3E-3</v>
      </c>
      <c r="K25" s="19">
        <f>'Economic Forecasts'!X$13</f>
        <v>1.0999999999999999E-2</v>
      </c>
      <c r="L25" s="19">
        <f>'Economic Forecasts'!Y$13</f>
        <v>7.3000000000000001E-3</v>
      </c>
      <c r="M25" s="19">
        <f>'Economic Forecasts'!Z$13</f>
        <v>8.0000000000000002E-3</v>
      </c>
      <c r="N25" s="19">
        <f>'Economic Forecasts'!AA$13</f>
        <v>8.6999999999999994E-3</v>
      </c>
      <c r="O25" s="18">
        <f ca="1">N$25+IF(O$6&lt;OFFSET(Assumptions!$B$8,0,$C$1)+OFFSET(Assumptions!$B$24,0,$C$1),MIN(ABS(OFFSET(Assumptions!$B$14,0,$C$1)+OFFSET(Assumptions!$B$25,0,$C$1)-N$25),OFFSET(Assumptions!$B$20,0,$C$1))*SIGN(OFFSET(Assumptions!$B$14,0,$C$1)+OFFSET(Assumptions!$B$25,0,$C$1)-N$25),MIN(ABS(OFFSET(Assumptions!$B$14,0,$C$1)-N$25),OFFSET(Assumptions!$B$20,0,$C$1))*SIGN(OFFSET(Assumptions!$B$14,0,$C$1)-N$25))</f>
        <v>8.9999999999999993E-3</v>
      </c>
      <c r="P25" s="18">
        <f ca="1">O$25+IF(P$6&lt;OFFSET(Assumptions!$B$8,0,$C$1)+OFFSET(Assumptions!$B$24,0,$C$1),MIN(ABS(OFFSET(Assumptions!$B$14,0,$C$1)+OFFSET(Assumptions!$B$25,0,$C$1)-O$25),OFFSET(Assumptions!$B$20,0,$C$1))*SIGN(OFFSET(Assumptions!$B$14,0,$C$1)+OFFSET(Assumptions!$B$25,0,$C$1)-O$25),MIN(ABS(OFFSET(Assumptions!$B$14,0,$C$1)-O$25),OFFSET(Assumptions!$B$20,0,$C$1))*SIGN(OFFSET(Assumptions!$B$14,0,$C$1)-O$25))</f>
        <v>9.2999999999999992E-3</v>
      </c>
      <c r="Q25" s="18">
        <f ca="1">P$25+IF(Q$6&lt;OFFSET(Assumptions!$B$8,0,$C$1)+OFFSET(Assumptions!$B$24,0,$C$1),MIN(ABS(OFFSET(Assumptions!$B$14,0,$C$1)+OFFSET(Assumptions!$B$25,0,$C$1)-P$25),OFFSET(Assumptions!$B$20,0,$C$1))*SIGN(OFFSET(Assumptions!$B$14,0,$C$1)+OFFSET(Assumptions!$B$25,0,$C$1)-P$25),MIN(ABS(OFFSET(Assumptions!$B$14,0,$C$1)-P$25),OFFSET(Assumptions!$B$20,0,$C$1))*SIGN(OFFSET(Assumptions!$B$14,0,$C$1)-P$25))</f>
        <v>9.5999999999999992E-3</v>
      </c>
      <c r="R25" s="18">
        <f ca="1">Q$25+IF(R$6&lt;OFFSET(Assumptions!$B$8,0,$C$1)+OFFSET(Assumptions!$B$24,0,$C$1),MIN(ABS(OFFSET(Assumptions!$B$14,0,$C$1)+OFFSET(Assumptions!$B$25,0,$C$1)-Q$25),OFFSET(Assumptions!$B$20,0,$C$1))*SIGN(OFFSET(Assumptions!$B$14,0,$C$1)+OFFSET(Assumptions!$B$25,0,$C$1)-Q$25),MIN(ABS(OFFSET(Assumptions!$B$14,0,$C$1)-Q$25),OFFSET(Assumptions!$B$20,0,$C$1))*SIGN(OFFSET(Assumptions!$B$14,0,$C$1)-Q$25))</f>
        <v>9.8999999999999991E-3</v>
      </c>
      <c r="S25" s="18">
        <f ca="1">R$25+IF(S$6&lt;OFFSET(Assumptions!$B$8,0,$C$1)+OFFSET(Assumptions!$B$24,0,$C$1),MIN(ABS(OFFSET(Assumptions!$B$14,0,$C$1)+OFFSET(Assumptions!$B$25,0,$C$1)-R$25),OFFSET(Assumptions!$B$20,0,$C$1))*SIGN(OFFSET(Assumptions!$B$14,0,$C$1)+OFFSET(Assumptions!$B$25,0,$C$1)-R$25),MIN(ABS(OFFSET(Assumptions!$B$14,0,$C$1)-R$25),OFFSET(Assumptions!$B$20,0,$C$1))*SIGN(OFFSET(Assumptions!$B$14,0,$C$1)-R$25))</f>
        <v>9.9999999999999985E-3</v>
      </c>
      <c r="T25" s="18">
        <f ca="1">S$25+IF(T$6&lt;OFFSET(Assumptions!$B$8,0,$C$1)+OFFSET(Assumptions!$B$24,0,$C$1),MIN(ABS(OFFSET(Assumptions!$B$14,0,$C$1)+OFFSET(Assumptions!$B$25,0,$C$1)-S$25),OFFSET(Assumptions!$B$20,0,$C$1))*SIGN(OFFSET(Assumptions!$B$14,0,$C$1)+OFFSET(Assumptions!$B$25,0,$C$1)-S$25),MIN(ABS(OFFSET(Assumptions!$B$14,0,$C$1)-S$25),OFFSET(Assumptions!$B$20,0,$C$1))*SIGN(OFFSET(Assumptions!$B$14,0,$C$1)-S$25))</f>
        <v>9.9999999999999985E-3</v>
      </c>
      <c r="U25" s="18">
        <f ca="1">T$25+IF(U$6&lt;OFFSET(Assumptions!$B$8,0,$C$1)+OFFSET(Assumptions!$B$24,0,$C$1),MIN(ABS(OFFSET(Assumptions!$B$14,0,$C$1)+OFFSET(Assumptions!$B$25,0,$C$1)-T$25),OFFSET(Assumptions!$B$20,0,$C$1))*SIGN(OFFSET(Assumptions!$B$14,0,$C$1)+OFFSET(Assumptions!$B$25,0,$C$1)-T$25),MIN(ABS(OFFSET(Assumptions!$B$14,0,$C$1)-T$25),OFFSET(Assumptions!$B$20,0,$C$1))*SIGN(OFFSET(Assumptions!$B$14,0,$C$1)-T$25))</f>
        <v>9.6999999999999986E-3</v>
      </c>
      <c r="V25" s="18">
        <f ca="1">U$25+IF(V$6&lt;OFFSET(Assumptions!$B$8,0,$C$1)+OFFSET(Assumptions!$B$24,0,$C$1),MIN(ABS(OFFSET(Assumptions!$B$14,0,$C$1)+OFFSET(Assumptions!$B$25,0,$C$1)-U$25),OFFSET(Assumptions!$B$20,0,$C$1))*SIGN(OFFSET(Assumptions!$B$14,0,$C$1)+OFFSET(Assumptions!$B$25,0,$C$1)-U$25),MIN(ABS(OFFSET(Assumptions!$B$14,0,$C$1)-U$25),OFFSET(Assumptions!$B$20,0,$C$1))*SIGN(OFFSET(Assumptions!$B$14,0,$C$1)-U$25))</f>
        <v>9.3999999999999986E-3</v>
      </c>
      <c r="W25" s="18">
        <f ca="1">V$25+IF(W$6&lt;OFFSET(Assumptions!$B$8,0,$C$1)+OFFSET(Assumptions!$B$24,0,$C$1),MIN(ABS(OFFSET(Assumptions!$B$14,0,$C$1)+OFFSET(Assumptions!$B$25,0,$C$1)-V$25),OFFSET(Assumptions!$B$20,0,$C$1))*SIGN(OFFSET(Assumptions!$B$14,0,$C$1)+OFFSET(Assumptions!$B$25,0,$C$1)-V$25),MIN(ABS(OFFSET(Assumptions!$B$14,0,$C$1)-V$25),OFFSET(Assumptions!$B$20,0,$C$1))*SIGN(OFFSET(Assumptions!$B$14,0,$C$1)-V$25))</f>
        <v>9.0999999999999987E-3</v>
      </c>
      <c r="X25" s="18">
        <f ca="1">W$25+IF(X$6&lt;OFFSET(Assumptions!$B$8,0,$C$1)+OFFSET(Assumptions!$B$24,0,$C$1),MIN(ABS(OFFSET(Assumptions!$B$14,0,$C$1)+OFFSET(Assumptions!$B$25,0,$C$1)-W$25),OFFSET(Assumptions!$B$20,0,$C$1))*SIGN(OFFSET(Assumptions!$B$14,0,$C$1)+OFFSET(Assumptions!$B$25,0,$C$1)-W$25),MIN(ABS(OFFSET(Assumptions!$B$14,0,$C$1)-W$25),OFFSET(Assumptions!$B$20,0,$C$1))*SIGN(OFFSET(Assumptions!$B$14,0,$C$1)-W$25))</f>
        <v>8.9999999999999993E-3</v>
      </c>
    </row>
    <row r="26" spans="1:24" x14ac:dyDescent="0.25">
      <c r="A26" s="9" t="s">
        <v>69</v>
      </c>
      <c r="B26" s="12"/>
      <c r="C26" s="13"/>
      <c r="D26" s="36">
        <f>'Economic Forecasts'!Q$15</f>
        <v>3.3700000000000001E-2</v>
      </c>
      <c r="E26" s="36">
        <f>'Economic Forecasts'!R$15</f>
        <v>3.3300000000000003E-2</v>
      </c>
      <c r="F26" s="36">
        <f>'Economic Forecasts'!S$15</f>
        <v>4.1200000000000001E-2</v>
      </c>
      <c r="G26" s="36">
        <f>'Economic Forecasts'!T$15</f>
        <v>4.6100000000000002E-2</v>
      </c>
      <c r="H26" s="36">
        <f>'Economic Forecasts'!U$15</f>
        <v>7.2900000000000006E-2</v>
      </c>
      <c r="I26" s="36">
        <f>'Economic Forecasts'!V$15</f>
        <v>5.96E-2</v>
      </c>
      <c r="J26" s="19">
        <f>'Economic Forecasts'!W$15</f>
        <v>4.1200000000000001E-2</v>
      </c>
      <c r="K26" s="19">
        <f>'Economic Forecasts'!X$15</f>
        <v>3.0099999999999998E-2</v>
      </c>
      <c r="L26" s="19">
        <f>'Economic Forecasts'!Y$15</f>
        <v>2.6499999999999999E-2</v>
      </c>
      <c r="M26" s="19">
        <f>'Economic Forecasts'!Z$15</f>
        <v>2.6800000000000001E-2</v>
      </c>
      <c r="N26" s="19">
        <f>'Economic Forecasts'!AA$15</f>
        <v>2.7199999999999998E-2</v>
      </c>
      <c r="O26" s="18">
        <f t="shared" ref="O26:X26" ca="1" si="9">(1+O$25)*(1+O$29)-1</f>
        <v>2.9179999999999984E-2</v>
      </c>
      <c r="P26" s="18">
        <f t="shared" ca="1" si="9"/>
        <v>2.9486000000000123E-2</v>
      </c>
      <c r="Q26" s="18">
        <f t="shared" ca="1" si="9"/>
        <v>2.9792000000000041E-2</v>
      </c>
      <c r="R26" s="18">
        <f t="shared" ca="1" si="9"/>
        <v>3.0097999999999958E-2</v>
      </c>
      <c r="S26" s="18">
        <f t="shared" ca="1" si="9"/>
        <v>3.0200000000000005E-2</v>
      </c>
      <c r="T26" s="18">
        <f t="shared" ca="1" si="9"/>
        <v>3.0200000000000005E-2</v>
      </c>
      <c r="U26" s="18">
        <f t="shared" ca="1" si="9"/>
        <v>2.9894000000000087E-2</v>
      </c>
      <c r="V26" s="18">
        <f t="shared" ca="1" si="9"/>
        <v>2.958800000000017E-2</v>
      </c>
      <c r="W26" s="18">
        <f t="shared" ca="1" si="9"/>
        <v>2.928200000000003E-2</v>
      </c>
      <c r="X26" s="18">
        <f t="shared" ca="1" si="9"/>
        <v>2.9179999999999984E-2</v>
      </c>
    </row>
    <row r="27" spans="1:24" x14ac:dyDescent="0.25">
      <c r="A27" s="12" t="s">
        <v>156</v>
      </c>
      <c r="B27" s="9"/>
      <c r="C27" s="13"/>
    </row>
    <row r="28" spans="1:24" x14ac:dyDescent="0.25">
      <c r="A28" s="9" t="s">
        <v>157</v>
      </c>
      <c r="B28" s="9"/>
      <c r="C28" s="13"/>
      <c r="D28" s="44">
        <f>'Economic Forecasts'!Q$14</f>
        <v>1032</v>
      </c>
      <c r="E28" s="44">
        <f>'Economic Forecasts'!R$14</f>
        <v>1047</v>
      </c>
      <c r="F28" s="44">
        <f>'Economic Forecasts'!S$14</f>
        <v>1082</v>
      </c>
      <c r="G28" s="44">
        <f>'Economic Forecasts'!T$14</f>
        <v>1161</v>
      </c>
      <c r="H28" s="44">
        <f>'Economic Forecasts'!U$14</f>
        <v>1231</v>
      </c>
      <c r="I28" s="44">
        <f>'Economic Forecasts'!V$14</f>
        <v>1272</v>
      </c>
      <c r="J28" s="45">
        <f>'Economic Forecasts'!W$14</f>
        <v>1299.5999999999999</v>
      </c>
      <c r="K28" s="45">
        <f>'Economic Forecasts'!X$14</f>
        <v>1326.7</v>
      </c>
      <c r="L28" s="45">
        <f>'Economic Forecasts'!Y$14</f>
        <v>1352.9</v>
      </c>
      <c r="M28" s="45">
        <f>'Economic Forecasts'!Z$14</f>
        <v>1379.7</v>
      </c>
      <c r="N28" s="45">
        <f>'Economic Forecasts'!AA$14</f>
        <v>1407.3</v>
      </c>
      <c r="O28" s="46">
        <f t="shared" ref="O28:X28" ca="1" si="10">N$28*(1+O$29)</f>
        <v>1435.4459999999999</v>
      </c>
      <c r="P28" s="46">
        <f t="shared" ca="1" si="10"/>
        <v>1464.1549199999999</v>
      </c>
      <c r="Q28" s="46">
        <f t="shared" ca="1" si="10"/>
        <v>1493.4380183999999</v>
      </c>
      <c r="R28" s="46">
        <f t="shared" ca="1" si="10"/>
        <v>1523.306778768</v>
      </c>
      <c r="S28" s="46">
        <f t="shared" ca="1" si="10"/>
        <v>1553.7729143433601</v>
      </c>
      <c r="T28" s="46">
        <f t="shared" ca="1" si="10"/>
        <v>1584.8483726302272</v>
      </c>
      <c r="U28" s="46">
        <f t="shared" ca="1" si="10"/>
        <v>1616.5453400828319</v>
      </c>
      <c r="V28" s="46">
        <f t="shared" ca="1" si="10"/>
        <v>1648.8762468844886</v>
      </c>
      <c r="W28" s="46">
        <f t="shared" ca="1" si="10"/>
        <v>1681.8537718221785</v>
      </c>
      <c r="X28" s="46">
        <f t="shared" ca="1" si="10"/>
        <v>1715.4908472586221</v>
      </c>
    </row>
    <row r="29" spans="1:24" x14ac:dyDescent="0.25">
      <c r="A29" s="10" t="str">
        <f>$A$12</f>
        <v>Annual percentage growth</v>
      </c>
      <c r="B29" s="9"/>
      <c r="C29" s="13"/>
      <c r="D29" s="39"/>
      <c r="E29" s="36">
        <f>E$28/D$28-1</f>
        <v>1.4534883720930258E-2</v>
      </c>
      <c r="F29" s="36">
        <f t="shared" ref="F29:N29" si="11">F$28/E$28-1</f>
        <v>3.3428844317096473E-2</v>
      </c>
      <c r="G29" s="36">
        <f t="shared" si="11"/>
        <v>7.3012939001848354E-2</v>
      </c>
      <c r="H29" s="36">
        <f t="shared" si="11"/>
        <v>6.0292850990525393E-2</v>
      </c>
      <c r="I29" s="36">
        <f t="shared" si="11"/>
        <v>3.3306255077172997E-2</v>
      </c>
      <c r="J29" s="19">
        <f t="shared" si="11"/>
        <v>2.1698113207547109E-2</v>
      </c>
      <c r="K29" s="19">
        <f t="shared" si="11"/>
        <v>2.0852570021545169E-2</v>
      </c>
      <c r="L29" s="19">
        <f t="shared" si="11"/>
        <v>1.9748247531469199E-2</v>
      </c>
      <c r="M29" s="19">
        <f t="shared" si="11"/>
        <v>1.9809298543868703E-2</v>
      </c>
      <c r="N29" s="19">
        <f t="shared" si="11"/>
        <v>2.0004348771472058E-2</v>
      </c>
      <c r="O29" s="18">
        <f ca="1">N$29+MIN(ABS(OFFSET(Assumptions!$B$15,0,$C$1)-N$29),OFFSET(Assumptions!$B$21,0,$C$1))*SIGN(OFFSET(Assumptions!$B$15,0,$C$1)-N$29)</f>
        <v>0.02</v>
      </c>
      <c r="P29" s="18">
        <f ca="1">O$29+MIN(ABS(OFFSET(Assumptions!$B$15,0,$C$1)-O$29),OFFSET(Assumptions!$B$21,0,$C$1))*SIGN(OFFSET(Assumptions!$B$15,0,$C$1)-O$29)</f>
        <v>0.02</v>
      </c>
      <c r="Q29" s="18">
        <f ca="1">P$29+MIN(ABS(OFFSET(Assumptions!$B$15,0,$C$1)-P$29),OFFSET(Assumptions!$B$21,0,$C$1))*SIGN(OFFSET(Assumptions!$B$15,0,$C$1)-P$29)</f>
        <v>0.02</v>
      </c>
      <c r="R29" s="18">
        <f ca="1">Q$29+MIN(ABS(OFFSET(Assumptions!$B$15,0,$C$1)-Q$29),OFFSET(Assumptions!$B$21,0,$C$1))*SIGN(OFFSET(Assumptions!$B$15,0,$C$1)-Q$29)</f>
        <v>0.02</v>
      </c>
      <c r="S29" s="18">
        <f ca="1">R$29+MIN(ABS(OFFSET(Assumptions!$B$15,0,$C$1)-R$29),OFFSET(Assumptions!$B$21,0,$C$1))*SIGN(OFFSET(Assumptions!$B$15,0,$C$1)-R$29)</f>
        <v>0.02</v>
      </c>
      <c r="T29" s="18">
        <f ca="1">S$29+MIN(ABS(OFFSET(Assumptions!$B$15,0,$C$1)-S$29),OFFSET(Assumptions!$B$21,0,$C$1))*SIGN(OFFSET(Assumptions!$B$15,0,$C$1)-S$29)</f>
        <v>0.02</v>
      </c>
      <c r="U29" s="18">
        <f ca="1">T$29+MIN(ABS(OFFSET(Assumptions!$B$15,0,$C$1)-T$29),OFFSET(Assumptions!$B$21,0,$C$1))*SIGN(OFFSET(Assumptions!$B$15,0,$C$1)-T$29)</f>
        <v>0.02</v>
      </c>
      <c r="V29" s="18">
        <f ca="1">U$29+MIN(ABS(OFFSET(Assumptions!$B$15,0,$C$1)-U$29),OFFSET(Assumptions!$B$21,0,$C$1))*SIGN(OFFSET(Assumptions!$B$15,0,$C$1)-U$29)</f>
        <v>0.02</v>
      </c>
      <c r="W29" s="18">
        <f ca="1">V$29+MIN(ABS(OFFSET(Assumptions!$B$15,0,$C$1)-V$29),OFFSET(Assumptions!$B$21,0,$C$1))*SIGN(OFFSET(Assumptions!$B$15,0,$C$1)-V$29)</f>
        <v>0.02</v>
      </c>
      <c r="X29" s="18">
        <f ca="1">W$29+MIN(ABS(OFFSET(Assumptions!$B$15,0,$C$1)-W$29),OFFSET(Assumptions!$B$21,0,$C$1))*SIGN(OFFSET(Assumptions!$B$15,0,$C$1)-W$29)</f>
        <v>0.02</v>
      </c>
    </row>
    <row r="30" spans="1:24" x14ac:dyDescent="0.25">
      <c r="A30" s="9" t="s">
        <v>70</v>
      </c>
      <c r="B30" s="9"/>
      <c r="C30" s="13"/>
      <c r="D30" s="36">
        <f>'Economic Forecasts'!Q$16</f>
        <v>2.3099999999999999E-2</v>
      </c>
      <c r="E30" s="36">
        <f>'Economic Forecasts'!R$16</f>
        <v>1.18E-2</v>
      </c>
      <c r="F30" s="36">
        <f>'Economic Forecasts'!S$16</f>
        <v>1.1599999999999999E-2</v>
      </c>
      <c r="G30" s="36">
        <f>'Economic Forecasts'!T$16</f>
        <v>2.6499999999999999E-2</v>
      </c>
      <c r="H30" s="36">
        <f>'Economic Forecasts'!U$16</f>
        <v>4.1500000000000002E-2</v>
      </c>
      <c r="I30" s="36">
        <f>'Economic Forecasts'!V$16</f>
        <v>4.8499999999999995E-2</v>
      </c>
      <c r="J30" s="19">
        <f>'Economic Forecasts'!W$16</f>
        <v>4.4400000000000002E-2</v>
      </c>
      <c r="K30" s="19">
        <f>'Economic Forecasts'!X$16</f>
        <v>4.2999999999999997E-2</v>
      </c>
      <c r="L30" s="19">
        <f>'Economic Forecasts'!Y$16</f>
        <v>4.2900000000000001E-2</v>
      </c>
      <c r="M30" s="19">
        <f>'Economic Forecasts'!Z$16</f>
        <v>4.24E-2</v>
      </c>
      <c r="N30" s="19">
        <f>'Economic Forecasts'!AA$16</f>
        <v>4.2599999999999999E-2</v>
      </c>
      <c r="O30" s="18">
        <f ca="1">N$30+MIN(ABS(OFFSET(Assumptions!$B$16,0,$C$1)-N$30),OFFSET(Assumptions!$B$22,0,$C$1))*SIGN(OFFSET(Assumptions!$B$16,0,$C$1)-N$30)</f>
        <v>4.2999999999999997E-2</v>
      </c>
      <c r="P30" s="18">
        <f ca="1">O$30+MIN(ABS(OFFSET(Assumptions!$B$16,0,$C$1)-O$30),OFFSET(Assumptions!$B$22,0,$C$1))*SIGN(OFFSET(Assumptions!$B$16,0,$C$1)-O$30)</f>
        <v>4.2999999999999997E-2</v>
      </c>
      <c r="Q30" s="18">
        <f ca="1">P$30+MIN(ABS(OFFSET(Assumptions!$B$16,0,$C$1)-P$30),OFFSET(Assumptions!$B$22,0,$C$1))*SIGN(OFFSET(Assumptions!$B$16,0,$C$1)-P$30)</f>
        <v>4.2999999999999997E-2</v>
      </c>
      <c r="R30" s="18">
        <f ca="1">Q$30+MIN(ABS(OFFSET(Assumptions!$B$16,0,$C$1)-Q$30),OFFSET(Assumptions!$B$22,0,$C$1))*SIGN(OFFSET(Assumptions!$B$16,0,$C$1)-Q$30)</f>
        <v>4.2999999999999997E-2</v>
      </c>
      <c r="S30" s="18">
        <f ca="1">R$30+MIN(ABS(OFFSET(Assumptions!$B$16,0,$C$1)-R$30),OFFSET(Assumptions!$B$22,0,$C$1))*SIGN(OFFSET(Assumptions!$B$16,0,$C$1)-R$30)</f>
        <v>4.2999999999999997E-2</v>
      </c>
      <c r="T30" s="18">
        <f ca="1">S$30+MIN(ABS(OFFSET(Assumptions!$B$16,0,$C$1)-S$30),OFFSET(Assumptions!$B$22,0,$C$1))*SIGN(OFFSET(Assumptions!$B$16,0,$C$1)-S$30)</f>
        <v>4.2999999999999997E-2</v>
      </c>
      <c r="U30" s="18">
        <f ca="1">T$30+MIN(ABS(OFFSET(Assumptions!$B$16,0,$C$1)-T$30),OFFSET(Assumptions!$B$22,0,$C$1))*SIGN(OFFSET(Assumptions!$B$16,0,$C$1)-T$30)</f>
        <v>4.2999999999999997E-2</v>
      </c>
      <c r="V30" s="18">
        <f ca="1">U$30+MIN(ABS(OFFSET(Assumptions!$B$16,0,$C$1)-U$30),OFFSET(Assumptions!$B$22,0,$C$1))*SIGN(OFFSET(Assumptions!$B$16,0,$C$1)-U$30)</f>
        <v>4.2999999999999997E-2</v>
      </c>
      <c r="W30" s="18">
        <f ca="1">V$30+MIN(ABS(OFFSET(Assumptions!$B$16,0,$C$1)-V$30),OFFSET(Assumptions!$B$22,0,$C$1))*SIGN(OFFSET(Assumptions!$B$16,0,$C$1)-V$30)</f>
        <v>4.2999999999999997E-2</v>
      </c>
      <c r="X30" s="18">
        <f ca="1">W$30+MIN(ABS(OFFSET(Assumptions!$B$16,0,$C$1)-W$30),OFFSET(Assumptions!$B$22,0,$C$1))*SIGN(OFFSET(Assumptions!$B$16,0,$C$1)-W$30)</f>
        <v>4.2999999999999997E-2</v>
      </c>
    </row>
    <row r="31" spans="1:24" x14ac:dyDescent="0.25">
      <c r="A31" s="9"/>
      <c r="B31" s="9"/>
      <c r="C31" s="13"/>
      <c r="D31" s="36"/>
      <c r="E31" s="36"/>
      <c r="F31" s="36"/>
      <c r="G31" s="36"/>
      <c r="H31" s="36"/>
      <c r="I31" s="36"/>
      <c r="J31" s="19"/>
      <c r="K31" s="19"/>
      <c r="L31" s="19"/>
      <c r="M31" s="19"/>
      <c r="N31" s="18"/>
      <c r="O31" s="18"/>
      <c r="P31" s="18"/>
      <c r="Q31" s="18"/>
      <c r="R31" s="18"/>
      <c r="S31" s="18"/>
      <c r="T31" s="18"/>
      <c r="U31" s="18"/>
      <c r="V31" s="18"/>
      <c r="W31" s="18"/>
      <c r="X31" s="18"/>
    </row>
    <row r="32" spans="1:24" ht="16.5" x14ac:dyDescent="0.25">
      <c r="A32" s="41" t="s">
        <v>842</v>
      </c>
      <c r="B32" s="9"/>
      <c r="C32" s="13"/>
      <c r="D32" s="36"/>
      <c r="E32" s="36"/>
      <c r="F32" s="36"/>
      <c r="G32" s="36"/>
      <c r="H32" s="36"/>
      <c r="I32" s="36"/>
      <c r="J32" s="19"/>
      <c r="K32" s="19"/>
      <c r="L32" s="19"/>
      <c r="M32" s="19"/>
      <c r="N32" s="18"/>
      <c r="O32" s="18"/>
      <c r="P32" s="18"/>
      <c r="Q32" s="18"/>
      <c r="R32" s="18"/>
      <c r="S32" s="18"/>
      <c r="T32" s="18"/>
      <c r="U32" s="18"/>
      <c r="V32" s="18"/>
      <c r="W32" s="18"/>
      <c r="X32" s="18"/>
    </row>
    <row r="33" spans="1:24" x14ac:dyDescent="0.25">
      <c r="A33" s="12" t="s">
        <v>843</v>
      </c>
      <c r="B33" s="9"/>
      <c r="C33" s="13"/>
      <c r="D33" s="36"/>
      <c r="E33" s="36"/>
      <c r="F33" s="36"/>
      <c r="G33" s="36"/>
      <c r="H33" s="36"/>
      <c r="I33" s="36"/>
      <c r="J33" s="19"/>
      <c r="K33" s="19"/>
      <c r="L33" s="19"/>
      <c r="M33" s="19"/>
      <c r="N33" s="18"/>
      <c r="O33" s="18"/>
      <c r="P33" s="18"/>
      <c r="Q33" s="18"/>
      <c r="R33" s="18"/>
      <c r="S33" s="18"/>
      <c r="T33" s="18"/>
      <c r="U33" s="18"/>
      <c r="V33" s="18"/>
      <c r="W33" s="18"/>
      <c r="X33" s="18"/>
    </row>
    <row r="34" spans="1:24" x14ac:dyDescent="0.25">
      <c r="A34" s="9" t="s">
        <v>844</v>
      </c>
      <c r="B34" s="9"/>
      <c r="C34" s="13"/>
      <c r="D34" s="42">
        <f t="shared" ref="D34:X34" ca="1" si="12">SUM(D$140,D$150,D$155,D$165,D$173,D$179)</f>
        <v>119.142</v>
      </c>
      <c r="E34" s="42">
        <f t="shared" ca="1" si="12"/>
        <v>116.003</v>
      </c>
      <c r="F34" s="42">
        <f t="shared" ca="1" si="12"/>
        <v>129.33500000000001</v>
      </c>
      <c r="G34" s="42">
        <f t="shared" ca="1" si="12"/>
        <v>141.62700000000001</v>
      </c>
      <c r="H34" s="42">
        <f t="shared" ca="1" si="12"/>
        <v>153.011</v>
      </c>
      <c r="I34" s="42">
        <f t="shared" ca="1" si="12"/>
        <v>167.34699999999998</v>
      </c>
      <c r="J34" s="43">
        <f t="shared" ca="1" si="12"/>
        <v>169.65100000000001</v>
      </c>
      <c r="K34" s="43">
        <f t="shared" ca="1" si="12"/>
        <v>175.864</v>
      </c>
      <c r="L34" s="43">
        <f t="shared" ca="1" si="12"/>
        <v>184.02299999999997</v>
      </c>
      <c r="M34" s="43">
        <f t="shared" ca="1" si="12"/>
        <v>193.79</v>
      </c>
      <c r="N34" s="43">
        <f t="shared" ca="1" si="12"/>
        <v>203.01099999999997</v>
      </c>
      <c r="O34" s="47">
        <f t="shared" ca="1" si="12"/>
        <v>211.17920690259692</v>
      </c>
      <c r="P34" s="47">
        <f t="shared" ca="1" si="12"/>
        <v>219.86184176463124</v>
      </c>
      <c r="Q34" s="47">
        <f t="shared" ca="1" si="12"/>
        <v>228.82739556661315</v>
      </c>
      <c r="R34" s="47">
        <f t="shared" ca="1" si="12"/>
        <v>237.85179127235949</v>
      </c>
      <c r="S34" s="47">
        <f t="shared" ca="1" si="12"/>
        <v>247.11854101072922</v>
      </c>
      <c r="T34" s="47">
        <f t="shared" ca="1" si="12"/>
        <v>256.57139092455259</v>
      </c>
      <c r="U34" s="47">
        <f t="shared" ca="1" si="12"/>
        <v>266.20661124961805</v>
      </c>
      <c r="V34" s="47">
        <f t="shared" ca="1" si="12"/>
        <v>275.8348465170555</v>
      </c>
      <c r="W34" s="47">
        <f t="shared" ca="1" si="12"/>
        <v>285.35910341546219</v>
      </c>
      <c r="X34" s="47">
        <f t="shared" ca="1" si="12"/>
        <v>295.01516492302488</v>
      </c>
    </row>
    <row r="35" spans="1:24" x14ac:dyDescent="0.25">
      <c r="A35" s="9" t="s">
        <v>914</v>
      </c>
      <c r="B35" s="9"/>
      <c r="C35" s="13"/>
      <c r="D35" s="42">
        <f t="shared" ref="D35:X35" si="13">SUM(D$194,D$212,D$218,D$226,D$233,D$240,D$245,D$248)</f>
        <v>111.376</v>
      </c>
      <c r="E35" s="42">
        <f t="shared" si="13"/>
        <v>138.91599999999997</v>
      </c>
      <c r="F35" s="42">
        <f t="shared" si="13"/>
        <v>133.72200000000004</v>
      </c>
      <c r="G35" s="42">
        <f t="shared" si="13"/>
        <v>150.95599999999999</v>
      </c>
      <c r="H35" s="42">
        <f t="shared" si="13"/>
        <v>161.822</v>
      </c>
      <c r="I35" s="42">
        <f t="shared" si="13"/>
        <v>180.06100000000001</v>
      </c>
      <c r="J35" s="43">
        <f t="shared" ca="1" si="13"/>
        <v>184.11200000000005</v>
      </c>
      <c r="K35" s="43">
        <f t="shared" ca="1" si="13"/>
        <v>191.15800000000002</v>
      </c>
      <c r="L35" s="43">
        <f t="shared" ca="1" si="13"/>
        <v>195.33299999999997</v>
      </c>
      <c r="M35" s="43">
        <f t="shared" ca="1" si="13"/>
        <v>199.89400000000006</v>
      </c>
      <c r="N35" s="43">
        <f t="shared" ca="1" si="13"/>
        <v>205.57500000000002</v>
      </c>
      <c r="O35" s="47">
        <f t="shared" ca="1" si="13"/>
        <v>212.52686913706492</v>
      </c>
      <c r="P35" s="47">
        <f t="shared" ca="1" si="13"/>
        <v>219.02523592908622</v>
      </c>
      <c r="Q35" s="47">
        <f t="shared" ca="1" si="13"/>
        <v>225.84305888619355</v>
      </c>
      <c r="R35" s="47">
        <f t="shared" ca="1" si="13"/>
        <v>232.75445912078402</v>
      </c>
      <c r="S35" s="47">
        <f t="shared" ca="1" si="13"/>
        <v>239.73663633927873</v>
      </c>
      <c r="T35" s="47">
        <f t="shared" ca="1" si="13"/>
        <v>246.6522418820874</v>
      </c>
      <c r="U35" s="47">
        <f t="shared" ca="1" si="13"/>
        <v>253.68517224937645</v>
      </c>
      <c r="V35" s="47">
        <f t="shared" ca="1" si="13"/>
        <v>260.89810294115205</v>
      </c>
      <c r="W35" s="47">
        <f t="shared" ca="1" si="13"/>
        <v>268.164313626308</v>
      </c>
      <c r="X35" s="47">
        <f t="shared" ca="1" si="13"/>
        <v>275.44329358252492</v>
      </c>
    </row>
    <row r="36" spans="1:24" x14ac:dyDescent="0.25">
      <c r="A36" s="11" t="s">
        <v>845</v>
      </c>
      <c r="B36" s="9"/>
      <c r="C36" s="13"/>
      <c r="D36" s="35">
        <f t="shared" ref="D36:X36" si="14">D$346</f>
        <v>-7.1309999999999993</v>
      </c>
      <c r="E36" s="35">
        <f t="shared" si="14"/>
        <v>-8.7219999999999995</v>
      </c>
      <c r="F36" s="35">
        <f t="shared" si="14"/>
        <v>21.023</v>
      </c>
      <c r="G36" s="35">
        <f t="shared" si="14"/>
        <v>-6.7219999999999995</v>
      </c>
      <c r="H36" s="35">
        <f t="shared" si="14"/>
        <v>14.658000000000001</v>
      </c>
      <c r="I36" s="35">
        <f t="shared" si="14"/>
        <v>4.6669999999999998</v>
      </c>
      <c r="J36" s="17">
        <f t="shared" si="14"/>
        <v>9.0810000000000013</v>
      </c>
      <c r="K36" s="17">
        <f t="shared" si="14"/>
        <v>5.6920000000000002</v>
      </c>
      <c r="L36" s="17">
        <f t="shared" si="14"/>
        <v>6.0170000000000003</v>
      </c>
      <c r="M36" s="17">
        <f t="shared" si="14"/>
        <v>6.4740000000000002</v>
      </c>
      <c r="N36" s="17">
        <f t="shared" si="14"/>
        <v>6.9139999999999997</v>
      </c>
      <c r="O36" s="16">
        <f t="shared" ca="1" si="14"/>
        <v>7.2847494645998649</v>
      </c>
      <c r="P36" s="16">
        <f t="shared" ca="1" si="14"/>
        <v>7.6939267867362133</v>
      </c>
      <c r="Q36" s="16">
        <f t="shared" ca="1" si="14"/>
        <v>8.1241988488925561</v>
      </c>
      <c r="R36" s="16">
        <f t="shared" ca="1" si="14"/>
        <v>8.5743334068974093</v>
      </c>
      <c r="S36" s="16">
        <f t="shared" ca="1" si="14"/>
        <v>9.0435037297867016</v>
      </c>
      <c r="T36" s="16">
        <f t="shared" ca="1" si="14"/>
        <v>9.5329538582273425</v>
      </c>
      <c r="U36" s="16">
        <f t="shared" ca="1" si="14"/>
        <v>10.043607348466466</v>
      </c>
      <c r="V36" s="16">
        <f t="shared" ca="1" si="14"/>
        <v>10.571049809250679</v>
      </c>
      <c r="W36" s="16">
        <f t="shared" ca="1" si="14"/>
        <v>11.114002484351417</v>
      </c>
      <c r="X36" s="16">
        <f t="shared" ca="1" si="14"/>
        <v>11.676614644841319</v>
      </c>
    </row>
    <row r="37" spans="1:24" x14ac:dyDescent="0.25">
      <c r="A37" s="11" t="s">
        <v>546</v>
      </c>
      <c r="B37" s="10"/>
      <c r="C37" s="13"/>
      <c r="D37" s="35">
        <f t="shared" ref="D37:X37" si="15">D$350</f>
        <v>0.20599999999999999</v>
      </c>
      <c r="E37" s="35">
        <f t="shared" si="15"/>
        <v>1.1930000000000001</v>
      </c>
      <c r="F37" s="35">
        <f t="shared" si="15"/>
        <v>-0.36</v>
      </c>
      <c r="G37" s="35">
        <f t="shared" si="15"/>
        <v>-0.126</v>
      </c>
      <c r="H37" s="35">
        <f t="shared" si="15"/>
        <v>2.9000000000000001E-2</v>
      </c>
      <c r="I37" s="35">
        <f t="shared" si="15"/>
        <v>0.12</v>
      </c>
      <c r="J37" s="17">
        <f t="shared" si="15"/>
        <v>0.192</v>
      </c>
      <c r="K37" s="17">
        <f t="shared" si="15"/>
        <v>7.0999999999999994E-2</v>
      </c>
      <c r="L37" s="17">
        <f t="shared" si="15"/>
        <v>0.114</v>
      </c>
      <c r="M37" s="17">
        <f t="shared" si="15"/>
        <v>0.14799999999999999</v>
      </c>
      <c r="N37" s="17">
        <f t="shared" si="15"/>
        <v>0.21099999999999999</v>
      </c>
      <c r="O37" s="16">
        <f t="shared" ca="1" si="15"/>
        <v>0.2201041317331203</v>
      </c>
      <c r="P37" s="16">
        <f t="shared" ca="1" si="15"/>
        <v>0.22949160784128603</v>
      </c>
      <c r="Q37" s="16">
        <f t="shared" ca="1" si="15"/>
        <v>0.2388994667248488</v>
      </c>
      <c r="R37" s="16">
        <f t="shared" ca="1" si="15"/>
        <v>0.24830649164418553</v>
      </c>
      <c r="S37" s="16">
        <f t="shared" ca="1" si="15"/>
        <v>0.25792093827418805</v>
      </c>
      <c r="T37" s="16">
        <f t="shared" ca="1" si="15"/>
        <v>0.26772813410967505</v>
      </c>
      <c r="U37" s="16">
        <f t="shared" ca="1" si="15"/>
        <v>0.27766608979821761</v>
      </c>
      <c r="V37" s="16">
        <f t="shared" ca="1" si="15"/>
        <v>0.28775346073287089</v>
      </c>
      <c r="W37" s="16">
        <f t="shared" ca="1" si="15"/>
        <v>0.2979898710936395</v>
      </c>
      <c r="X37" s="16">
        <f t="shared" ca="1" si="15"/>
        <v>0.30845245765170465</v>
      </c>
    </row>
    <row r="38" spans="1:24" x14ac:dyDescent="0.25">
      <c r="A38" s="11" t="s">
        <v>915</v>
      </c>
      <c r="B38" s="10" t="s">
        <v>846</v>
      </c>
      <c r="C38" s="13"/>
      <c r="D38" s="35">
        <f>'Fiscal Forecasts'!D$28</f>
        <v>0.45200000000000001</v>
      </c>
      <c r="E38" s="35">
        <f>'Fiscal Forecasts'!E$28</f>
        <v>-0.40200000000000002</v>
      </c>
      <c r="F38" s="35">
        <f>'Fiscal Forecasts'!F$28</f>
        <v>0.11700000000000001</v>
      </c>
      <c r="G38" s="35">
        <f>'Fiscal Forecasts'!G$28</f>
        <v>0.755</v>
      </c>
      <c r="H38" s="35">
        <f>'Fiscal Forecasts'!H$28</f>
        <v>0.55500000000000005</v>
      </c>
      <c r="I38" s="35">
        <f>'Fiscal Forecasts'!I$28</f>
        <v>0.438</v>
      </c>
      <c r="J38" s="17">
        <f>'Fiscal Forecasts'!J$28</f>
        <v>0.30499999999999999</v>
      </c>
      <c r="K38" s="17">
        <f>'Fiscal Forecasts'!K$28</f>
        <v>0.35299999999999998</v>
      </c>
      <c r="L38" s="17">
        <f>'Fiscal Forecasts'!L$28</f>
        <v>0.48599999999999999</v>
      </c>
      <c r="M38" s="17">
        <f>'Fiscal Forecasts'!M$28</f>
        <v>0.55700000000000005</v>
      </c>
      <c r="N38" s="17">
        <f>'Fiscal Forecasts'!N$28</f>
        <v>0.49</v>
      </c>
      <c r="O38" s="16">
        <f t="shared" ref="O38:X38" ca="1" si="16">N$38*O$59/N$59</f>
        <v>0.51811714493247085</v>
      </c>
      <c r="P38" s="16">
        <f t="shared" ca="1" si="16"/>
        <v>0.54005240882414562</v>
      </c>
      <c r="Q38" s="16">
        <f t="shared" ca="1" si="16"/>
        <v>0.56203530016669512</v>
      </c>
      <c r="R38" s="16">
        <f t="shared" ca="1" si="16"/>
        <v>0.58401624282515063</v>
      </c>
      <c r="S38" s="16">
        <f t="shared" ca="1" si="16"/>
        <v>0.60648185781809638</v>
      </c>
      <c r="T38" s="16">
        <f t="shared" ca="1" si="16"/>
        <v>0.62939786060841152</v>
      </c>
      <c r="U38" s="16">
        <f t="shared" ca="1" si="16"/>
        <v>0.6526194036579146</v>
      </c>
      <c r="V38" s="16">
        <f t="shared" ca="1" si="16"/>
        <v>0.67619007812624776</v>
      </c>
      <c r="W38" s="16">
        <f t="shared" ca="1" si="16"/>
        <v>0.70010900585290448</v>
      </c>
      <c r="X38" s="16">
        <f t="shared" ca="1" si="16"/>
        <v>0.72455642862088554</v>
      </c>
    </row>
    <row r="39" spans="1:24" x14ac:dyDescent="0.25">
      <c r="A39" s="9" t="s">
        <v>835</v>
      </c>
      <c r="B39" s="9"/>
      <c r="C39" s="13"/>
      <c r="D39" s="65">
        <f t="shared" ref="D39:X39" ca="1" si="17">SUM(D$34,D$36,D$37)-SUM(D$35,D$38)</f>
        <v>0.38899999999999579</v>
      </c>
      <c r="E39" s="65">
        <f t="shared" ca="1" si="17"/>
        <v>-30.039999999999978</v>
      </c>
      <c r="F39" s="65">
        <f t="shared" ca="1" si="17"/>
        <v>16.158999999999963</v>
      </c>
      <c r="G39" s="65">
        <f t="shared" ca="1" si="17"/>
        <v>-16.931999999999988</v>
      </c>
      <c r="H39" s="65">
        <f t="shared" ca="1" si="17"/>
        <v>5.3209999999999695</v>
      </c>
      <c r="I39" s="65">
        <f t="shared" ca="1" si="17"/>
        <v>-8.3650000000000091</v>
      </c>
      <c r="J39" s="66">
        <f t="shared" ca="1" si="17"/>
        <v>-5.4930000000000518</v>
      </c>
      <c r="K39" s="66">
        <f t="shared" ca="1" si="17"/>
        <v>-9.8840000000000146</v>
      </c>
      <c r="L39" s="66">
        <f t="shared" ca="1" si="17"/>
        <v>-5.664999999999992</v>
      </c>
      <c r="M39" s="66">
        <f t="shared" ca="1" si="17"/>
        <v>-3.9000000000072532E-2</v>
      </c>
      <c r="N39" s="66">
        <f t="shared" ca="1" si="17"/>
        <v>4.0709999999999411</v>
      </c>
      <c r="O39" s="67">
        <f t="shared" ca="1" si="17"/>
        <v>5.6390742169324994</v>
      </c>
      <c r="P39" s="67">
        <f t="shared" ca="1" si="17"/>
        <v>8.2199718212983726</v>
      </c>
      <c r="Q39" s="67">
        <f t="shared" ca="1" si="17"/>
        <v>10.785399695870325</v>
      </c>
      <c r="R39" s="67">
        <f t="shared" ca="1" si="17"/>
        <v>13.335955807291896</v>
      </c>
      <c r="S39" s="67">
        <f t="shared" ca="1" si="17"/>
        <v>16.076847481693278</v>
      </c>
      <c r="T39" s="67">
        <f t="shared" ca="1" si="17"/>
        <v>19.090433174193834</v>
      </c>
      <c r="U39" s="67">
        <f t="shared" ca="1" si="17"/>
        <v>22.190093034848388</v>
      </c>
      <c r="V39" s="67">
        <f t="shared" ca="1" si="17"/>
        <v>25.119356767760735</v>
      </c>
      <c r="W39" s="67">
        <f t="shared" ca="1" si="17"/>
        <v>27.906673138746385</v>
      </c>
      <c r="X39" s="67">
        <f t="shared" ca="1" si="17"/>
        <v>30.832382014372115</v>
      </c>
    </row>
    <row r="40" spans="1:24" x14ac:dyDescent="0.25">
      <c r="A40" s="11" t="s">
        <v>551</v>
      </c>
      <c r="B40" s="10" t="str">
        <f>$B$38</f>
        <v>From Fiscal Forecasts</v>
      </c>
      <c r="C40" s="13"/>
      <c r="D40" s="35">
        <f>'Fiscal Forecasts'!D$32</f>
        <v>0.115</v>
      </c>
      <c r="E40" s="35">
        <f>'Fiscal Forecasts'!E$32</f>
        <v>-0.54600000000000004</v>
      </c>
      <c r="F40" s="35">
        <f>'Fiscal Forecasts'!F$32</f>
        <v>-5.6000000000000001E-2</v>
      </c>
      <c r="G40" s="35">
        <f>'Fiscal Forecasts'!G$32</f>
        <v>0.39300000000000002</v>
      </c>
      <c r="H40" s="35">
        <f>'Fiscal Forecasts'!H$32</f>
        <v>-0.08</v>
      </c>
      <c r="I40" s="35">
        <f>'Fiscal Forecasts'!I$32</f>
        <v>0.29799999999999999</v>
      </c>
      <c r="J40" s="17">
        <f>'Fiscal Forecasts'!J$32</f>
        <v>2.5999999999999999E-2</v>
      </c>
      <c r="K40" s="17">
        <f>'Fiscal Forecasts'!K$32</f>
        <v>4.4999999999999998E-2</v>
      </c>
      <c r="L40" s="17">
        <f>'Fiscal Forecasts'!L$32</f>
        <v>4.1000000000000002E-2</v>
      </c>
      <c r="M40" s="17">
        <f>'Fiscal Forecasts'!M$32</f>
        <v>4.2000000000000003E-2</v>
      </c>
      <c r="N40" s="17">
        <f>'Fiscal Forecasts'!N$32</f>
        <v>4.3999999999999997E-2</v>
      </c>
      <c r="O40" s="16">
        <f ca="1">IF(O$6=OFFSET(Assumptions!$B$8,0,$C$1),AVERAGE(L$40/L$38,M$40/M$38,N$40/N$38),N$40/N$38)*O$38</f>
        <v>4.3100785025576988E-2</v>
      </c>
      <c r="P40" s="16">
        <f ca="1">IF(P$6=OFFSET(Assumptions!$B$8,0,$C$1),AVERAGE(M$40/M$38,N$40/N$38,O$40/O$38),O$40/O$38)*P$38</f>
        <v>4.4925521193297513E-2</v>
      </c>
      <c r="Q40" s="16">
        <f ca="1">IF(Q$6=OFFSET(Assumptions!$B$8,0,$C$1),AVERAGE(N$40/N$38,O$40/O$38,P$40/P$38),P$40/P$38)*Q$38</f>
        <v>4.6754219361777025E-2</v>
      </c>
      <c r="R40" s="16">
        <f ca="1">IF(R$6=OFFSET(Assumptions!$B$8,0,$C$1),AVERAGE(O$40/O$38,P$40/P$38,Q$40/Q$38),Q$40/Q$38)*R$38</f>
        <v>4.8582755424418041E-2</v>
      </c>
      <c r="S40" s="16">
        <f ca="1">IF(S$6=OFFSET(Assumptions!$B$8,0,$C$1),AVERAGE(P$40/P$38,Q$40/Q$38,R$40/R$38),R$40/R$38)*S$38</f>
        <v>5.0451610087400747E-2</v>
      </c>
      <c r="T40" s="16">
        <f ca="1">IF(T$6=OFFSET(Assumptions!$B$8,0,$C$1),AVERAGE(Q$40/Q$38,R$40/R$38,S$40/S$38),S$40/S$38)*T$38</f>
        <v>5.2357931311415883E-2</v>
      </c>
      <c r="U40" s="16">
        <f ca="1">IF(U$6=OFFSET(Assumptions!$B$8,0,$C$1),AVERAGE(R$40/R$38,S$40/S$38,T$40/T$38),T$40/T$38)*U$38</f>
        <v>5.4289669615635215E-2</v>
      </c>
      <c r="V40" s="16">
        <f ca="1">IF(V$6=OFFSET(Assumptions!$B$8,0,$C$1),AVERAGE(S$40/S$38,T$40/T$38,U$40/U$38),U$40/U$38)*V$38</f>
        <v>5.625045123250276E-2</v>
      </c>
      <c r="W40" s="16">
        <f ca="1">IF(W$6=OFFSET(Assumptions!$B$8,0,$C$1),AVERAGE(T$40/T$38,U$40/U$38,V$40/V$38),V$40/V$38)*W$38</f>
        <v>5.8240203110185379E-2</v>
      </c>
      <c r="X40" s="16">
        <f ca="1">IF(X$6=OFFSET(Assumptions!$B$8,0,$C$1),AVERAGE(U$40/U$38,V$40/V$38,W$40/W$38),W$40/W$38)*X$38</f>
        <v>6.0273919082447759E-2</v>
      </c>
    </row>
    <row r="41" spans="1:24" x14ac:dyDescent="0.25">
      <c r="A41" s="9" t="s">
        <v>922</v>
      </c>
      <c r="B41" s="9"/>
      <c r="C41" s="13"/>
      <c r="D41" s="65">
        <f t="shared" ref="D41:X41" ca="1" si="18">D$34-D$35-(D$38-D$40)</f>
        <v>7.4289999999999914</v>
      </c>
      <c r="E41" s="65">
        <f t="shared" ca="1" si="18"/>
        <v>-23.056999999999967</v>
      </c>
      <c r="F41" s="65">
        <f t="shared" ca="1" si="18"/>
        <v>-4.5600000000000289</v>
      </c>
      <c r="G41" s="65">
        <f t="shared" ca="1" si="18"/>
        <v>-9.6909999999999794</v>
      </c>
      <c r="H41" s="65">
        <f t="shared" ca="1" si="18"/>
        <v>-9.4460000000000068</v>
      </c>
      <c r="I41" s="65">
        <f t="shared" ca="1" si="18"/>
        <v>-12.854000000000028</v>
      </c>
      <c r="J41" s="66">
        <f t="shared" ca="1" si="18"/>
        <v>-14.740000000000041</v>
      </c>
      <c r="K41" s="66">
        <f t="shared" ca="1" si="18"/>
        <v>-15.602000000000011</v>
      </c>
      <c r="L41" s="66">
        <f t="shared" ca="1" si="18"/>
        <v>-11.755000000000003</v>
      </c>
      <c r="M41" s="66">
        <f t="shared" ca="1" si="18"/>
        <v>-6.6190000000000699</v>
      </c>
      <c r="N41" s="66">
        <f t="shared" ca="1" si="18"/>
        <v>-3.01000000000005</v>
      </c>
      <c r="O41" s="67">
        <f t="shared" ca="1" si="18"/>
        <v>-1.8226785943748975</v>
      </c>
      <c r="P41" s="67">
        <f t="shared" ca="1" si="18"/>
        <v>0.34147894791416689</v>
      </c>
      <c r="Q41" s="67">
        <f t="shared" ca="1" si="18"/>
        <v>2.4690555996146841</v>
      </c>
      <c r="R41" s="67">
        <f t="shared" ca="1" si="18"/>
        <v>4.5618986641747394</v>
      </c>
      <c r="S41" s="67">
        <f t="shared" ca="1" si="18"/>
        <v>6.8258744237197897</v>
      </c>
      <c r="T41" s="67">
        <f t="shared" ca="1" si="18"/>
        <v>9.3421091131681973</v>
      </c>
      <c r="U41" s="67">
        <f t="shared" ca="1" si="18"/>
        <v>11.923109266199321</v>
      </c>
      <c r="V41" s="67">
        <f t="shared" ca="1" si="18"/>
        <v>14.316803949009705</v>
      </c>
      <c r="W41" s="67">
        <f t="shared" ca="1" si="18"/>
        <v>16.552920986411465</v>
      </c>
      <c r="X41" s="67">
        <f t="shared" ca="1" si="18"/>
        <v>18.907588830961529</v>
      </c>
    </row>
    <row r="42" spans="1:24" x14ac:dyDescent="0.25">
      <c r="A42" s="55" t="s">
        <v>916</v>
      </c>
      <c r="B42" s="10" t="s">
        <v>1047</v>
      </c>
      <c r="C42" s="13"/>
      <c r="D42" s="91" t="str">
        <f ca="1">IF(ROUND('Fiscal Forecasts'!D$33-D$41,3)=0,"OK","ERROR")</f>
        <v>OK</v>
      </c>
      <c r="E42" s="91" t="str">
        <f ca="1">IF(ROUND('Fiscal Forecasts'!E$33-E$41,3)=0,"OK","ERROR")</f>
        <v>OK</v>
      </c>
      <c r="F42" s="91" t="str">
        <f ca="1">IF(ROUND('Fiscal Forecasts'!F$33-F$41,3)=0,"OK","ERROR")</f>
        <v>OK</v>
      </c>
      <c r="G42" s="91" t="str">
        <f ca="1">IF(ROUND('Fiscal Forecasts'!G$33-G$41,3)=0,"OK","ERROR")</f>
        <v>OK</v>
      </c>
      <c r="H42" s="91" t="str">
        <f ca="1">IF(ROUND('Fiscal Forecasts'!H$33-H$41,3)=0,"OK","ERROR")</f>
        <v>OK</v>
      </c>
      <c r="I42" s="91" t="str">
        <f ca="1">IF(ROUND('Fiscal Forecasts'!I$33-I$41,3)=0,"OK","ERROR")</f>
        <v>OK</v>
      </c>
      <c r="J42" s="91" t="str">
        <f ca="1">IF(ROUND('Fiscal Forecasts'!J$33-J$41+IF($C$2="Yes",('Fiscal Forecast Adjuster'!C$14-SUM('Fiscal Forecast Adjuster'!C$25,'Fiscal Forecast Adjuster'!C$26,'Fiscal Forecast Adjuster'!C$29,'Fiscal Forecast Adjuster'!C$37))/1000,0)+IF($C$3="Yes",'NZSF Adjuster'!U$21-'NZSF Adjuster'!U$23-('NZSF Adjuster'!U$14-'NZSF Adjuster'!U$15)-'NZSF Adjuster'!U$9,0),3)=0,"OK","ERROR")</f>
        <v>OK</v>
      </c>
      <c r="K42" s="91" t="str">
        <f ca="1">IF(ROUND('Fiscal Forecasts'!K$33-K$41+IF($C$2="Yes",('Fiscal Forecast Adjuster'!D$14-SUM('Fiscal Forecast Adjuster'!D$25,'Fiscal Forecast Adjuster'!D$26,'Fiscal Forecast Adjuster'!D$29,'Fiscal Forecast Adjuster'!D$37))/1000,0)+IF($C$3="Yes",'NZSF Adjuster'!V$21-'NZSF Adjuster'!V$23-('NZSF Adjuster'!V$14-'NZSF Adjuster'!V$15)-'NZSF Adjuster'!V$9,0),3)=0,"OK","ERROR")</f>
        <v>OK</v>
      </c>
      <c r="L42" s="91" t="str">
        <f ca="1">IF(ROUND('Fiscal Forecasts'!L$33-L$41+IF($C$2="Yes",('Fiscal Forecast Adjuster'!E$14-SUM('Fiscal Forecast Adjuster'!E$25,'Fiscal Forecast Adjuster'!E$26,'Fiscal Forecast Adjuster'!E$29,'Fiscal Forecast Adjuster'!E$37))/1000,0)+IF($C$3="Yes",'NZSF Adjuster'!W$21-'NZSF Adjuster'!W$23-('NZSF Adjuster'!W$14-'NZSF Adjuster'!W$15)-'NZSF Adjuster'!W$9,0),3)=0,"OK","ERROR")</f>
        <v>OK</v>
      </c>
      <c r="M42" s="91" t="str">
        <f ca="1">IF(ROUND('Fiscal Forecasts'!M$33-M$41+IF($C$2="Yes",('Fiscal Forecast Adjuster'!F$14-SUM('Fiscal Forecast Adjuster'!F$25,'Fiscal Forecast Adjuster'!F$26,'Fiscal Forecast Adjuster'!F$29,'Fiscal Forecast Adjuster'!F$37))/1000,0)+IF($C$3="Yes",'NZSF Adjuster'!X$21-'NZSF Adjuster'!X$23-('NZSF Adjuster'!X$14-'NZSF Adjuster'!X$15)-'NZSF Adjuster'!X$9,0),3)=0,"OK","ERROR")</f>
        <v>OK</v>
      </c>
      <c r="N42" s="91" t="str">
        <f ca="1">IF(ROUND('Fiscal Forecasts'!N$33-N$41+IF($C$2="Yes",('Fiscal Forecast Adjuster'!G$14-SUM('Fiscal Forecast Adjuster'!G$25,'Fiscal Forecast Adjuster'!G$26,'Fiscal Forecast Adjuster'!G$29,'Fiscal Forecast Adjuster'!G$37))/1000,0)+IF($C$3="Yes",'NZSF Adjuster'!Y$21-'NZSF Adjuster'!Y$23-('NZSF Adjuster'!Y$14-'NZSF Adjuster'!Y$15)-'NZSF Adjuster'!Y$9,0),3)=0,"OK","ERROR")</f>
        <v>OK</v>
      </c>
      <c r="O42" s="18"/>
      <c r="P42" s="18"/>
      <c r="Q42" s="18"/>
      <c r="R42" s="18"/>
      <c r="S42" s="18"/>
      <c r="T42" s="18"/>
      <c r="U42" s="18"/>
      <c r="V42" s="18"/>
      <c r="W42" s="18"/>
      <c r="X42" s="18"/>
    </row>
    <row r="43" spans="1:24" x14ac:dyDescent="0.25">
      <c r="A43" s="11" t="s">
        <v>1236</v>
      </c>
      <c r="B43" s="10" t="str">
        <f>$B$38</f>
        <v>From Fiscal Forecasts</v>
      </c>
      <c r="C43" s="13"/>
      <c r="D43" s="35">
        <f>'Fiscal Forecasts'!D$35</f>
        <v>5.827</v>
      </c>
      <c r="E43" s="35">
        <f>'Fiscal Forecasts'!E$35</f>
        <v>5.73</v>
      </c>
      <c r="F43" s="35">
        <f>'Fiscal Forecasts'!F$35</f>
        <v>6.1950000000000003</v>
      </c>
      <c r="G43" s="35">
        <f>'Fiscal Forecasts'!G$35</f>
        <v>6.625</v>
      </c>
      <c r="H43" s="35">
        <f>'Fiscal Forecasts'!H$35</f>
        <v>7.39</v>
      </c>
      <c r="I43" s="35">
        <f>'Fiscal Forecasts'!I$35</f>
        <v>7.9290000000000003</v>
      </c>
      <c r="J43" s="17">
        <f>'Fiscal Forecasts'!J$35</f>
        <v>8.5640000000000001</v>
      </c>
      <c r="K43" s="17">
        <f>'Fiscal Forecasts'!K$35</f>
        <v>9.0779999999999994</v>
      </c>
      <c r="L43" s="17">
        <f>'Fiscal Forecasts'!L$35</f>
        <v>9.76</v>
      </c>
      <c r="M43" s="17">
        <f>'Fiscal Forecasts'!M$35</f>
        <v>10.48</v>
      </c>
      <c r="N43" s="17">
        <f>'Fiscal Forecasts'!N$35</f>
        <v>11.268000000000001</v>
      </c>
      <c r="O43" s="16">
        <f>O$148+(N$43-N$148)*(1+Exogenous!Z$29/Exogenous!Y$30)</f>
        <v>12.079439766907566</v>
      </c>
      <c r="P43" s="16">
        <f>P$148+(O$43-O$148)*(1+Exogenous!AA$29/Exogenous!Z$30)</f>
        <v>12.946989239229504</v>
      </c>
      <c r="Q43" s="16">
        <f>Q$148+(P$43-P$148)*(1+Exogenous!AB$29/Exogenous!AA$30)</f>
        <v>13.922100932853603</v>
      </c>
      <c r="R43" s="16">
        <f>R$148+(Q$43-Q$148)*(1+Exogenous!AC$29/Exogenous!AB$30)</f>
        <v>14.959085505266426</v>
      </c>
      <c r="S43" s="16">
        <f>S$148+(R$43-R$148)*(1+Exogenous!AD$29/Exogenous!AC$30)</f>
        <v>16.086716885741083</v>
      </c>
      <c r="T43" s="16">
        <f>T$148+(S$43-S$148)*(1+Exogenous!AE$29/Exogenous!AD$30)</f>
        <v>17.277595530225824</v>
      </c>
      <c r="U43" s="16">
        <f>U$148+(T$43-T$148)*(1+Exogenous!AF$29/Exogenous!AE$30)</f>
        <v>18.56750333007993</v>
      </c>
      <c r="V43" s="16">
        <f>V$148+(U$43-U$148)*(1+Exogenous!AG$29/Exogenous!AF$30)</f>
        <v>19.751970130083862</v>
      </c>
      <c r="W43" s="16">
        <f>W$148+(V$43-V$148)*(1+Exogenous!AH$29/Exogenous!AG$30)</f>
        <v>20.736391036530534</v>
      </c>
      <c r="X43" s="16">
        <f>X$148+(W$43-W$148)*(1+Exogenous!AI$29/Exogenous!AH$30)</f>
        <v>21.688573679744984</v>
      </c>
    </row>
    <row r="44" spans="1:24" x14ac:dyDescent="0.25">
      <c r="A44" s="11" t="s">
        <v>1237</v>
      </c>
      <c r="B44" s="10" t="str">
        <f>$B$38</f>
        <v>From Fiscal Forecasts</v>
      </c>
      <c r="C44" s="13"/>
      <c r="D44" s="35">
        <f>'Fiscal Forecasts'!D$36</f>
        <v>6.9020000000000001</v>
      </c>
      <c r="E44" s="35">
        <f>'Fiscal Forecasts'!E$36</f>
        <v>7.8849999999999998</v>
      </c>
      <c r="F44" s="35">
        <f>'Fiscal Forecasts'!F$36</f>
        <v>8.1959999999999997</v>
      </c>
      <c r="G44" s="35">
        <f>'Fiscal Forecasts'!G$36</f>
        <v>7.6520000000000001</v>
      </c>
      <c r="H44" s="35">
        <f>'Fiscal Forecasts'!H$36</f>
        <v>9.6370000000000005</v>
      </c>
      <c r="I44" s="35">
        <f>'Fiscal Forecasts'!I$36</f>
        <v>12.01</v>
      </c>
      <c r="J44" s="17">
        <f>'Fiscal Forecasts'!J$36</f>
        <v>13.129</v>
      </c>
      <c r="K44" s="17">
        <f>'Fiscal Forecasts'!K$36</f>
        <v>12.605</v>
      </c>
      <c r="L44" s="17">
        <f>'Fiscal Forecasts'!L$36</f>
        <v>13.37</v>
      </c>
      <c r="M44" s="17">
        <f>'Fiscal Forecasts'!M$36</f>
        <v>14.006</v>
      </c>
      <c r="N44" s="17">
        <f>'Fiscal Forecasts'!N$36</f>
        <v>14.492000000000001</v>
      </c>
      <c r="O44" s="16">
        <f ca="1">O$241+(N$44-N$241)*(1+O$19)*(1+O$29)</f>
        <v>15.266117512088403</v>
      </c>
      <c r="P44" s="16">
        <f t="shared" ref="P44:X44" ca="1" si="19">P$241+(O$44-O$241)*(1+P$19)*(1+P$29)</f>
        <v>16.080835552040309</v>
      </c>
      <c r="Q44" s="16">
        <f t="shared" ca="1" si="19"/>
        <v>16.913797905686849</v>
      </c>
      <c r="R44" s="16">
        <f t="shared" ca="1" si="19"/>
        <v>17.749548086373334</v>
      </c>
      <c r="S44" s="16">
        <f t="shared" ca="1" si="19"/>
        <v>18.596885910592594</v>
      </c>
      <c r="T44" s="16">
        <f t="shared" ca="1" si="19"/>
        <v>19.429849265958147</v>
      </c>
      <c r="U44" s="16">
        <f t="shared" ca="1" si="19"/>
        <v>20.312352850006395</v>
      </c>
      <c r="V44" s="16">
        <f t="shared" ca="1" si="19"/>
        <v>21.202186489496263</v>
      </c>
      <c r="W44" s="16">
        <f t="shared" ca="1" si="19"/>
        <v>22.120774395475699</v>
      </c>
      <c r="X44" s="16">
        <f t="shared" ca="1" si="19"/>
        <v>23.078792530685739</v>
      </c>
    </row>
    <row r="45" spans="1:24" x14ac:dyDescent="0.25">
      <c r="A45" s="9" t="s">
        <v>1238</v>
      </c>
      <c r="B45" s="10"/>
      <c r="C45" s="13"/>
      <c r="D45" s="65">
        <f t="shared" ref="D45:X45" ca="1" si="20">D$41-(D$43-D$44)</f>
        <v>8.5039999999999907</v>
      </c>
      <c r="E45" s="65">
        <f t="shared" ca="1" si="20"/>
        <v>-20.901999999999965</v>
      </c>
      <c r="F45" s="65">
        <f t="shared" ca="1" si="20"/>
        <v>-2.5590000000000295</v>
      </c>
      <c r="G45" s="65">
        <f t="shared" ca="1" si="20"/>
        <v>-8.6639999999999802</v>
      </c>
      <c r="H45" s="65">
        <f t="shared" ca="1" si="20"/>
        <v>-7.1990000000000061</v>
      </c>
      <c r="I45" s="65">
        <f t="shared" ca="1" si="20"/>
        <v>-8.7730000000000281</v>
      </c>
      <c r="J45" s="66">
        <f t="shared" ca="1" si="20"/>
        <v>-10.175000000000042</v>
      </c>
      <c r="K45" s="66">
        <f t="shared" ca="1" si="20"/>
        <v>-12.07500000000001</v>
      </c>
      <c r="L45" s="66">
        <f t="shared" ca="1" si="20"/>
        <v>-8.1450000000000031</v>
      </c>
      <c r="M45" s="66">
        <f t="shared" ca="1" si="20"/>
        <v>-3.0930000000000701</v>
      </c>
      <c r="N45" s="66">
        <f t="shared" ca="1" si="20"/>
        <v>0.21399999999995023</v>
      </c>
      <c r="O45" s="67">
        <f t="shared" ca="1" si="20"/>
        <v>1.3639991508059399</v>
      </c>
      <c r="P45" s="67">
        <f t="shared" ca="1" si="20"/>
        <v>3.4753252607249721</v>
      </c>
      <c r="Q45" s="67">
        <f t="shared" ca="1" si="20"/>
        <v>5.4607525724479302</v>
      </c>
      <c r="R45" s="67">
        <f t="shared" ca="1" si="20"/>
        <v>7.3523612452816476</v>
      </c>
      <c r="S45" s="67">
        <f t="shared" ca="1" si="20"/>
        <v>9.3360434485712993</v>
      </c>
      <c r="T45" s="67">
        <f t="shared" ca="1" si="20"/>
        <v>11.49436284890052</v>
      </c>
      <c r="U45" s="67">
        <f t="shared" ca="1" si="20"/>
        <v>13.667958786125785</v>
      </c>
      <c r="V45" s="67">
        <f t="shared" ca="1" si="20"/>
        <v>15.767020308422106</v>
      </c>
      <c r="W45" s="67">
        <f t="shared" ca="1" si="20"/>
        <v>17.93730434535663</v>
      </c>
      <c r="X45" s="67">
        <f t="shared" ca="1" si="20"/>
        <v>20.297807681902285</v>
      </c>
    </row>
    <row r="46" spans="1:24" x14ac:dyDescent="0.25">
      <c r="A46" s="55" t="s">
        <v>917</v>
      </c>
      <c r="B46" s="9"/>
      <c r="C46" s="13"/>
      <c r="D46" s="91" t="str">
        <f t="shared" ref="D46:X46" si="21">IF(ROUND(D$35-SUM(D$200,D$233,D$245,D$248,D$252,D$264,D$277,D$285,D$289,D$296,D$303,D$307,D$311,D$315,D$319,D$325,D$329),3)=0,"OK","ERROR")</f>
        <v>OK</v>
      </c>
      <c r="E46" s="91" t="str">
        <f t="shared" si="21"/>
        <v>OK</v>
      </c>
      <c r="F46" s="91" t="str">
        <f t="shared" si="21"/>
        <v>OK</v>
      </c>
      <c r="G46" s="91" t="str">
        <f t="shared" si="21"/>
        <v>OK</v>
      </c>
      <c r="H46" s="91" t="str">
        <f t="shared" si="21"/>
        <v>OK</v>
      </c>
      <c r="I46" s="91" t="str">
        <f t="shared" si="21"/>
        <v>OK</v>
      </c>
      <c r="J46" s="91" t="str">
        <f t="shared" ca="1" si="21"/>
        <v>OK</v>
      </c>
      <c r="K46" s="91" t="str">
        <f t="shared" ca="1" si="21"/>
        <v>OK</v>
      </c>
      <c r="L46" s="91" t="str">
        <f t="shared" ca="1" si="21"/>
        <v>OK</v>
      </c>
      <c r="M46" s="91" t="str">
        <f t="shared" ca="1" si="21"/>
        <v>OK</v>
      </c>
      <c r="N46" s="91" t="str">
        <f t="shared" ca="1" si="21"/>
        <v>OK</v>
      </c>
      <c r="O46" s="91" t="str">
        <f t="shared" ca="1" si="21"/>
        <v>OK</v>
      </c>
      <c r="P46" s="91" t="str">
        <f t="shared" ca="1" si="21"/>
        <v>OK</v>
      </c>
      <c r="Q46" s="91" t="str">
        <f t="shared" ca="1" si="21"/>
        <v>OK</v>
      </c>
      <c r="R46" s="91" t="str">
        <f t="shared" ca="1" si="21"/>
        <v>OK</v>
      </c>
      <c r="S46" s="91" t="str">
        <f t="shared" ca="1" si="21"/>
        <v>OK</v>
      </c>
      <c r="T46" s="91" t="str">
        <f t="shared" ca="1" si="21"/>
        <v>OK</v>
      </c>
      <c r="U46" s="91" t="str">
        <f t="shared" ca="1" si="21"/>
        <v>OK</v>
      </c>
      <c r="V46" s="91" t="str">
        <f t="shared" ca="1" si="21"/>
        <v>OK</v>
      </c>
      <c r="W46" s="91" t="str">
        <f t="shared" ca="1" si="21"/>
        <v>OK</v>
      </c>
      <c r="X46" s="91" t="str">
        <f t="shared" ca="1" si="21"/>
        <v>OK</v>
      </c>
    </row>
    <row r="47" spans="1:24" x14ac:dyDescent="0.25">
      <c r="A47" s="9" t="s">
        <v>918</v>
      </c>
      <c r="B47" s="9"/>
      <c r="C47" s="13"/>
      <c r="D47" s="42">
        <f t="shared" ref="D47:X47" ca="1" si="22">SUM(D$142,D$147,D$154,D$161,D$170,D$178)</f>
        <v>93.474000000000004</v>
      </c>
      <c r="E47" s="42">
        <f t="shared" ca="1" si="22"/>
        <v>91.923000000000002</v>
      </c>
      <c r="F47" s="42">
        <f t="shared" ca="1" si="22"/>
        <v>104.968</v>
      </c>
      <c r="G47" s="42">
        <f t="shared" ca="1" si="22"/>
        <v>117.515</v>
      </c>
      <c r="H47" s="42">
        <f t="shared" ca="1" si="22"/>
        <v>123.398</v>
      </c>
      <c r="I47" s="42">
        <f t="shared" ca="1" si="22"/>
        <v>133.22</v>
      </c>
      <c r="J47" s="43">
        <f t="shared" ca="1" si="22"/>
        <v>134.18799999999999</v>
      </c>
      <c r="K47" s="43">
        <f t="shared" ca="1" si="22"/>
        <v>139.726</v>
      </c>
      <c r="L47" s="43">
        <f t="shared" ca="1" si="22"/>
        <v>146.42300000000003</v>
      </c>
      <c r="M47" s="43">
        <f t="shared" ca="1" si="22"/>
        <v>154.37099999999998</v>
      </c>
      <c r="N47" s="43">
        <f t="shared" ca="1" si="22"/>
        <v>162.505</v>
      </c>
      <c r="O47" s="47">
        <f t="shared" ca="1" si="22"/>
        <v>168.58762263816709</v>
      </c>
      <c r="P47" s="47">
        <f t="shared" ca="1" si="22"/>
        <v>175.31431810391663</v>
      </c>
      <c r="Q47" s="47">
        <f t="shared" ca="1" si="22"/>
        <v>182.23789608391752</v>
      </c>
      <c r="R47" s="47">
        <f t="shared" ca="1" si="22"/>
        <v>189.18073595333851</v>
      </c>
      <c r="S47" s="47">
        <f t="shared" ca="1" si="22"/>
        <v>196.26680555539977</v>
      </c>
      <c r="T47" s="47">
        <f t="shared" ca="1" si="22"/>
        <v>203.47873585415908</v>
      </c>
      <c r="U47" s="47">
        <f t="shared" ca="1" si="22"/>
        <v>210.7819107258903</v>
      </c>
      <c r="V47" s="47">
        <f t="shared" ca="1" si="22"/>
        <v>218.19013585372778</v>
      </c>
      <c r="W47" s="47">
        <f t="shared" ca="1" si="22"/>
        <v>225.70225035567739</v>
      </c>
      <c r="X47" s="47">
        <f t="shared" ca="1" si="22"/>
        <v>233.37442457734994</v>
      </c>
    </row>
    <row r="48" spans="1:24" x14ac:dyDescent="0.25">
      <c r="A48" s="9" t="s">
        <v>919</v>
      </c>
      <c r="B48" s="9"/>
      <c r="C48" s="13"/>
      <c r="D48" s="42">
        <f t="shared" ref="D48:X48" si="23">SUM(D$195,D$208,D$215,D$222,D$229,D$237,D$245,D$248)</f>
        <v>86.959000000000003</v>
      </c>
      <c r="E48" s="42">
        <f t="shared" si="23"/>
        <v>108.83199999999999</v>
      </c>
      <c r="F48" s="42">
        <f t="shared" si="23"/>
        <v>107.76500000000001</v>
      </c>
      <c r="G48" s="42">
        <f t="shared" si="23"/>
        <v>125.64100000000001</v>
      </c>
      <c r="H48" s="42">
        <f t="shared" si="23"/>
        <v>127.57400000000001</v>
      </c>
      <c r="I48" s="42">
        <f t="shared" si="23"/>
        <v>139.00000000000003</v>
      </c>
      <c r="J48" s="43">
        <f t="shared" ca="1" si="23"/>
        <v>142.208</v>
      </c>
      <c r="K48" s="43">
        <f t="shared" ca="1" si="23"/>
        <v>150.34899999999999</v>
      </c>
      <c r="L48" s="43">
        <f t="shared" ca="1" si="23"/>
        <v>153.142</v>
      </c>
      <c r="M48" s="43">
        <f t="shared" ca="1" si="23"/>
        <v>156.82700000000003</v>
      </c>
      <c r="N48" s="43">
        <f t="shared" ca="1" si="23"/>
        <v>161.95899999999997</v>
      </c>
      <c r="O48" s="47">
        <f t="shared" ca="1" si="23"/>
        <v>167.05925421276194</v>
      </c>
      <c r="P48" s="47">
        <f t="shared" ca="1" si="23"/>
        <v>172.00021058418787</v>
      </c>
      <c r="Q48" s="47">
        <f t="shared" ca="1" si="23"/>
        <v>177.30732835872027</v>
      </c>
      <c r="R48" s="47">
        <f t="shared" ca="1" si="23"/>
        <v>182.74694688537596</v>
      </c>
      <c r="S48" s="47">
        <f t="shared" ca="1" si="23"/>
        <v>188.28782908692469</v>
      </c>
      <c r="T48" s="47">
        <f t="shared" ca="1" si="23"/>
        <v>193.83965016770483</v>
      </c>
      <c r="U48" s="47">
        <f t="shared" ca="1" si="23"/>
        <v>199.50229648118491</v>
      </c>
      <c r="V48" s="47">
        <f t="shared" ca="1" si="23"/>
        <v>205.20976664182896</v>
      </c>
      <c r="W48" s="47">
        <f t="shared" ca="1" si="23"/>
        <v>210.90139481453139</v>
      </c>
      <c r="X48" s="47">
        <f t="shared" ca="1" si="23"/>
        <v>216.58683336394478</v>
      </c>
    </row>
    <row r="49" spans="1:24" x14ac:dyDescent="0.25">
      <c r="A49" s="9" t="s">
        <v>669</v>
      </c>
      <c r="B49" s="9"/>
      <c r="C49" s="13"/>
      <c r="D49" s="42">
        <f t="shared" ref="D49:X49" ca="1" si="24">SUM(D$47,-D$48,D$342,D$349)</f>
        <v>9.7070000000000007</v>
      </c>
      <c r="E49" s="42">
        <f t="shared" ca="1" si="24"/>
        <v>-20.882999999999992</v>
      </c>
      <c r="F49" s="42">
        <f t="shared" ca="1" si="24"/>
        <v>4.7029999999999887</v>
      </c>
      <c r="G49" s="42">
        <f t="shared" ca="1" si="24"/>
        <v>-19.532000000000004</v>
      </c>
      <c r="H49" s="42">
        <f t="shared" ca="1" si="24"/>
        <v>8.2929999999999833</v>
      </c>
      <c r="I49" s="42">
        <f t="shared" ca="1" si="24"/>
        <v>2.1039999999999708</v>
      </c>
      <c r="J49" s="43">
        <f t="shared" ca="1" si="24"/>
        <v>-0.77400000000000979</v>
      </c>
      <c r="K49" s="43">
        <f t="shared" ca="1" si="24"/>
        <v>-5.4479999999999906</v>
      </c>
      <c r="L49" s="43">
        <f t="shared" ca="1" si="24"/>
        <v>-1.2689999999999655</v>
      </c>
      <c r="M49" s="43">
        <f t="shared" ca="1" si="24"/>
        <v>3.3019999999999543</v>
      </c>
      <c r="N49" s="43">
        <f t="shared" ca="1" si="24"/>
        <v>6.6430000000000211</v>
      </c>
      <c r="O49" s="47">
        <f t="shared" ca="1" si="24"/>
        <v>7.9730602162994533</v>
      </c>
      <c r="P49" s="47">
        <f t="shared" ca="1" si="24"/>
        <v>10.139361217172528</v>
      </c>
      <c r="Q49" s="47">
        <f t="shared" ca="1" si="24"/>
        <v>12.15041509438128</v>
      </c>
      <c r="R49" s="47">
        <f t="shared" ca="1" si="24"/>
        <v>14.060238280014719</v>
      </c>
      <c r="S49" s="47">
        <f t="shared" ca="1" si="24"/>
        <v>16.022165197429253</v>
      </c>
      <c r="T49" s="47">
        <f t="shared" ca="1" si="24"/>
        <v>18.108888333929762</v>
      </c>
      <c r="U49" s="47">
        <f t="shared" ca="1" si="24"/>
        <v>20.185343612257508</v>
      </c>
      <c r="V49" s="47">
        <f t="shared" ca="1" si="24"/>
        <v>22.330844736329365</v>
      </c>
      <c r="W49" s="47">
        <f t="shared" ca="1" si="24"/>
        <v>24.608015574073182</v>
      </c>
      <c r="X49" s="47">
        <f t="shared" ca="1" si="24"/>
        <v>27.068546954317629</v>
      </c>
    </row>
    <row r="50" spans="1:24" x14ac:dyDescent="0.25">
      <c r="A50" s="9" t="s">
        <v>832</v>
      </c>
      <c r="B50" s="9"/>
      <c r="C50" s="13"/>
      <c r="D50" s="42">
        <f t="shared" ref="D50:X50" ca="1" si="25">(D$47-D$161)-(D$48-D$229)</f>
        <v>9.144999999999996</v>
      </c>
      <c r="E50" s="42">
        <f t="shared" ca="1" si="25"/>
        <v>-14.530999999999992</v>
      </c>
      <c r="F50" s="42">
        <f t="shared" ca="1" si="25"/>
        <v>-1.5949999999999989</v>
      </c>
      <c r="G50" s="42">
        <f t="shared" ca="1" si="25"/>
        <v>-6.1000000000000085</v>
      </c>
      <c r="H50" s="42">
        <f t="shared" ca="1" si="25"/>
        <v>-0.4690000000000083</v>
      </c>
      <c r="I50" s="42">
        <f t="shared" ca="1" si="25"/>
        <v>-1.27800000000002</v>
      </c>
      <c r="J50" s="43">
        <f t="shared" ca="1" si="25"/>
        <v>-3.2600000000000193</v>
      </c>
      <c r="K50" s="43">
        <f t="shared" ca="1" si="25"/>
        <v>-4.8259999999999934</v>
      </c>
      <c r="L50" s="43">
        <f t="shared" ca="1" si="25"/>
        <v>8.0000000000381988E-3</v>
      </c>
      <c r="M50" s="43">
        <f t="shared" ca="1" si="25"/>
        <v>5.1669999999999732</v>
      </c>
      <c r="N50" s="43">
        <f t="shared" ca="1" si="25"/>
        <v>8.8270000000000266</v>
      </c>
      <c r="O50" s="47">
        <f t="shared" ca="1" si="25"/>
        <v>10.003993923096715</v>
      </c>
      <c r="P50" s="47">
        <f t="shared" ca="1" si="25"/>
        <v>11.784062266639552</v>
      </c>
      <c r="Q50" s="47">
        <f t="shared" ca="1" si="25"/>
        <v>13.393671900666391</v>
      </c>
      <c r="R50" s="47">
        <f t="shared" ca="1" si="25"/>
        <v>14.822917128830795</v>
      </c>
      <c r="S50" s="47">
        <f t="shared" ca="1" si="25"/>
        <v>16.226213094795526</v>
      </c>
      <c r="T50" s="47">
        <f t="shared" ca="1" si="25"/>
        <v>17.633078853573409</v>
      </c>
      <c r="U50" s="47">
        <f t="shared" ca="1" si="25"/>
        <v>18.948567127970421</v>
      </c>
      <c r="V50" s="47">
        <f t="shared" ca="1" si="25"/>
        <v>20.247936064898369</v>
      </c>
      <c r="W50" s="47">
        <f t="shared" ca="1" si="25"/>
        <v>21.585461656175738</v>
      </c>
      <c r="X50" s="47">
        <f t="shared" ca="1" si="25"/>
        <v>23.006254315394813</v>
      </c>
    </row>
    <row r="51" spans="1:24" x14ac:dyDescent="0.25">
      <c r="A51" s="9" t="s">
        <v>831</v>
      </c>
      <c r="B51" s="9"/>
      <c r="C51" s="13"/>
      <c r="D51" s="42">
        <f t="shared" ref="D51:X51" si="26">D$504</f>
        <v>-0.7100000000000124</v>
      </c>
      <c r="E51" s="42">
        <f t="shared" si="26"/>
        <v>-23.692000000000007</v>
      </c>
      <c r="F51" s="42">
        <f t="shared" si="26"/>
        <v>-13.766999999999978</v>
      </c>
      <c r="G51" s="42">
        <f t="shared" si="26"/>
        <v>-27.042999999999999</v>
      </c>
      <c r="H51" s="42">
        <f t="shared" si="26"/>
        <v>-25.648000000000007</v>
      </c>
      <c r="I51" s="42">
        <f t="shared" si="26"/>
        <v>-19.302000000000007</v>
      </c>
      <c r="J51" s="43">
        <f t="shared" ca="1" si="26"/>
        <v>-9.9900000000000215</v>
      </c>
      <c r="K51" s="43">
        <f t="shared" ca="1" si="26"/>
        <v>-14.533000000000023</v>
      </c>
      <c r="L51" s="43">
        <f t="shared" ca="1" si="26"/>
        <v>-18.212000000000007</v>
      </c>
      <c r="M51" s="43">
        <f t="shared" ca="1" si="26"/>
        <v>-11.415000000000003</v>
      </c>
      <c r="N51" s="43">
        <f t="shared" ca="1" si="26"/>
        <v>-8.1450000000000209</v>
      </c>
      <c r="O51" s="47">
        <f t="shared" ca="1" si="26"/>
        <v>-3.9166227978313017</v>
      </c>
      <c r="P51" s="47">
        <f t="shared" ca="1" si="26"/>
        <v>-2.1162007458313745</v>
      </c>
      <c r="Q51" s="47">
        <f t="shared" ca="1" si="26"/>
        <v>-0.44545496408439789</v>
      </c>
      <c r="R51" s="47">
        <f t="shared" ca="1" si="26"/>
        <v>1.1750024257246015</v>
      </c>
      <c r="S51" s="47">
        <f t="shared" ca="1" si="26"/>
        <v>2.8588278672888432</v>
      </c>
      <c r="T51" s="47">
        <f t="shared" ca="1" si="26"/>
        <v>4.6593096678128507</v>
      </c>
      <c r="U51" s="47">
        <f t="shared" ca="1" si="26"/>
        <v>6.4958045004838469</v>
      </c>
      <c r="V51" s="47">
        <f t="shared" ca="1" si="26"/>
        <v>8.3681126280356501</v>
      </c>
      <c r="W51" s="47">
        <f t="shared" ca="1" si="26"/>
        <v>10.287730678062015</v>
      </c>
      <c r="X51" s="47">
        <f t="shared" ca="1" si="26"/>
        <v>12.288223774363235</v>
      </c>
    </row>
    <row r="52" spans="1:24" x14ac:dyDescent="0.25">
      <c r="A52" s="55" t="s">
        <v>920</v>
      </c>
      <c r="B52" s="10" t="str">
        <f>$B$42</f>
        <v>Outturn &amp; Forecast only</v>
      </c>
      <c r="C52" s="13"/>
      <c r="D52" s="91" t="str">
        <f ca="1">IF(ROUND('Fiscal Forecasts'!D$178-D$49,3)=0,"OK","ERROR")</f>
        <v>OK</v>
      </c>
      <c r="E52" s="91" t="str">
        <f ca="1">IF(ROUND('Fiscal Forecasts'!E$178-E$49,3)=0,"OK","ERROR")</f>
        <v>OK</v>
      </c>
      <c r="F52" s="91" t="str">
        <f ca="1">IF(ROUND('Fiscal Forecasts'!F$178-F$49,3)-0.001=0,"OK","ERROR")</f>
        <v>OK</v>
      </c>
      <c r="G52" s="91" t="str">
        <f ca="1">IF(ROUND('Fiscal Forecasts'!G$178-G$49,3)=0,"OK","ERROR")</f>
        <v>OK</v>
      </c>
      <c r="H52" s="91" t="str">
        <f ca="1">IF(ROUND('Fiscal Forecasts'!H$178-H$49,3)=0,"OK","ERROR")</f>
        <v>OK</v>
      </c>
      <c r="I52" s="91" t="str">
        <f ca="1">IF(ROUND('Fiscal Forecasts'!I$178-I$49-0.002,3)=0,"OK","ERROR")</f>
        <v>OK</v>
      </c>
      <c r="J52" s="91" t="str">
        <f ca="1">IF(ROUND('Fiscal Forecasts'!J$178-J$49+IF($C$2="Yes",('Fiscal Forecast Adjuster'!C$14-SUM('Fiscal Forecast Adjuster'!C$25,'Fiscal Forecast Adjuster'!C$26,'Fiscal Forecast Adjuster'!C$29,'Fiscal Forecast Adjuster'!C$37))/1000,0)+IF($C$3="Yes",'NZSF Adjuster'!U$21-'NZSF Adjuster'!U$23+'NZSF Adjuster'!U$24-('NZSF Adjuster'!U$14-'NZSF Adjuster'!U$15+'NZSF Adjuster'!U$16)-'NZSF Adjuster'!U$9,0),3)=0,"OK","ERROR")</f>
        <v>OK</v>
      </c>
      <c r="K52" s="91" t="str">
        <f ca="1">IF(ROUND('Fiscal Forecasts'!K$178-K$49+IF($C$2="Yes",('Fiscal Forecast Adjuster'!D$14-SUM('Fiscal Forecast Adjuster'!D$25,'Fiscal Forecast Adjuster'!D$26,'Fiscal Forecast Adjuster'!D$29,'Fiscal Forecast Adjuster'!D$37))/1000,0)+IF($C$3="Yes",'NZSF Adjuster'!V$21-'NZSF Adjuster'!V$23+'NZSF Adjuster'!V$24-('NZSF Adjuster'!V$14-'NZSF Adjuster'!V$15+'NZSF Adjuster'!V$16)-'NZSF Adjuster'!V$9,0),3)=0,"OK","ERROR")</f>
        <v>OK</v>
      </c>
      <c r="L52" s="91" t="str">
        <f ca="1">IF(ROUND('Fiscal Forecasts'!L$178-L$49+IF($C$2="Yes",('Fiscal Forecast Adjuster'!E$14-SUM('Fiscal Forecast Adjuster'!E$25,'Fiscal Forecast Adjuster'!E$26,'Fiscal Forecast Adjuster'!E$29,'Fiscal Forecast Adjuster'!E$37))/1000,0)+IF($C$3="Yes",'NZSF Adjuster'!W$21-'NZSF Adjuster'!W$23+'NZSF Adjuster'!W$24-('NZSF Adjuster'!W$14-'NZSF Adjuster'!W$15+'NZSF Adjuster'!W$16)-'NZSF Adjuster'!W$9,0),3)=0,"OK","ERROR")</f>
        <v>OK</v>
      </c>
      <c r="M52" s="91" t="str">
        <f ca="1">IF(ROUND('Fiscal Forecasts'!M$178-M$49+IF($C$2="Yes",('Fiscal Forecast Adjuster'!F$14-SUM('Fiscal Forecast Adjuster'!F$25,'Fiscal Forecast Adjuster'!F$26,'Fiscal Forecast Adjuster'!F$29,'Fiscal Forecast Adjuster'!F$37))/1000,0)+IF($C$3="Yes",'NZSF Adjuster'!X$21-'NZSF Adjuster'!X$23+'NZSF Adjuster'!X$24-('NZSF Adjuster'!X$14-'NZSF Adjuster'!X$15+'NZSF Adjuster'!X$16)-'NZSF Adjuster'!X$9,0),3)=0,"OK","ERROR")</f>
        <v>OK</v>
      </c>
      <c r="N52" s="91" t="str">
        <f ca="1">IF(ROUND('Fiscal Forecasts'!N$178-N$49+IF($C$2="Yes",('Fiscal Forecast Adjuster'!G$14-SUM('Fiscal Forecast Adjuster'!G$25,'Fiscal Forecast Adjuster'!G$26,'Fiscal Forecast Adjuster'!G$29,'Fiscal Forecast Adjuster'!G$37))/1000,0)+IF($C$3="Yes",'NZSF Adjuster'!Y$21-'NZSF Adjuster'!Y$23+'NZSF Adjuster'!Y$24-('NZSF Adjuster'!Y$14-'NZSF Adjuster'!Y$15+'NZSF Adjuster'!Y$16)-'NZSF Adjuster'!Y$9,0),3)=0,"OK","ERROR")</f>
        <v>OK</v>
      </c>
      <c r="O52" s="18"/>
      <c r="P52" s="18"/>
      <c r="Q52" s="18"/>
      <c r="R52" s="18"/>
      <c r="S52" s="18"/>
      <c r="T52" s="18"/>
      <c r="U52" s="18"/>
      <c r="V52" s="18"/>
      <c r="W52" s="18"/>
      <c r="X52" s="18"/>
    </row>
    <row r="53" spans="1:24" x14ac:dyDescent="0.25">
      <c r="A53" s="55" t="s">
        <v>921</v>
      </c>
      <c r="B53" s="9"/>
      <c r="C53" s="13"/>
      <c r="D53" s="91" t="str">
        <f>IF(ROUND(D$48-SUM(D$197,D$229,D$245,D$248,D$251,D$261,D$274,D$284,D$288,D$292,D$302,D$306,D$310,D$314,D$318,D$324,D$328),3)-0.001=0,"OK","ERROR")</f>
        <v>OK</v>
      </c>
      <c r="E53" s="91" t="str">
        <f>IF(ROUND(E$48-SUM(E$197,E$229,E$245,E$248,E$251,E$261,E$274,E$284,E$288,E$292,E$302,E$306,E$310,E$314,E$318,E$324,E$328),3)=0,"OK","ERROR")</f>
        <v>OK</v>
      </c>
      <c r="F53" s="91" t="str">
        <f>IF(ROUND(F$48-SUM(F$197,F$229,F$245,F$248,F$251,F$261,F$274,F$284,F$288,F$292,F$302,F$306,F$310,F$314,F$318,F$324,F$328),3)-0.001=0,"OK","ERROR")</f>
        <v>OK</v>
      </c>
      <c r="G53" s="91" t="str">
        <f t="shared" ref="G53:H53" si="27">IF(ROUND(G$48-SUM(G$197,G$229,G$245,G$248,G$251,G$261,G$274,G$284,G$288,G$292,G$302,G$306,G$310,G$314,G$318,G$324,G$328),3)=0,"OK","ERROR")</f>
        <v>OK</v>
      </c>
      <c r="H53" s="91" t="str">
        <f t="shared" si="27"/>
        <v>OK</v>
      </c>
      <c r="I53" s="91" t="str">
        <f>IF(ROUND(I$48-SUM(I$197,I$229,I$245,I$248,I$251,I$261,I$274,I$284,I$288,I$292,I$302,I$306,I$310,I$314,I$318,I$324,I$328)-0.002,3)=0,"OK","ERROR")</f>
        <v>OK</v>
      </c>
      <c r="J53" s="91" t="str">
        <f t="shared" ref="J53:X53" ca="1" si="28">IF(ROUND(J$48-SUM(J$197,J$229,J$245,J$248,J$251,J$261,J$274,J$284,J$288,J$292,J$302,J$306,J$310,J$314,J$318,J$324,J$328),3)=0,"OK","ERROR")</f>
        <v>OK</v>
      </c>
      <c r="K53" s="91" t="str">
        <f t="shared" ca="1" si="28"/>
        <v>OK</v>
      </c>
      <c r="L53" s="91" t="str">
        <f t="shared" ca="1" si="28"/>
        <v>OK</v>
      </c>
      <c r="M53" s="91" t="str">
        <f t="shared" ca="1" si="28"/>
        <v>OK</v>
      </c>
      <c r="N53" s="91" t="str">
        <f t="shared" ca="1" si="28"/>
        <v>OK</v>
      </c>
      <c r="O53" s="91" t="str">
        <f t="shared" ca="1" si="28"/>
        <v>OK</v>
      </c>
      <c r="P53" s="91" t="str">
        <f t="shared" ca="1" si="28"/>
        <v>OK</v>
      </c>
      <c r="Q53" s="91" t="str">
        <f t="shared" ca="1" si="28"/>
        <v>OK</v>
      </c>
      <c r="R53" s="91" t="str">
        <f t="shared" ca="1" si="28"/>
        <v>OK</v>
      </c>
      <c r="S53" s="91" t="str">
        <f t="shared" ca="1" si="28"/>
        <v>OK</v>
      </c>
      <c r="T53" s="91" t="str">
        <f t="shared" ca="1" si="28"/>
        <v>OK</v>
      </c>
      <c r="U53" s="91" t="str">
        <f t="shared" ca="1" si="28"/>
        <v>OK</v>
      </c>
      <c r="V53" s="91" t="str">
        <f t="shared" ca="1" si="28"/>
        <v>OK</v>
      </c>
      <c r="W53" s="91" t="str">
        <f t="shared" ca="1" si="28"/>
        <v>OK</v>
      </c>
      <c r="X53" s="91" t="str">
        <f t="shared" ca="1" si="28"/>
        <v>OK</v>
      </c>
    </row>
    <row r="54" spans="1:24" x14ac:dyDescent="0.25">
      <c r="A54" s="9"/>
      <c r="B54" s="9"/>
      <c r="C54" s="13"/>
      <c r="D54" s="13"/>
      <c r="E54" s="13"/>
      <c r="F54" s="13"/>
      <c r="G54" s="13"/>
      <c r="H54" s="13"/>
      <c r="I54" s="13"/>
      <c r="J54" s="13"/>
      <c r="K54" s="13"/>
      <c r="L54" s="13"/>
      <c r="M54" s="13"/>
      <c r="N54" s="13"/>
      <c r="O54" s="42"/>
      <c r="P54" s="42"/>
      <c r="Q54" s="42"/>
      <c r="R54" s="42"/>
      <c r="S54" s="42"/>
      <c r="T54" s="42"/>
      <c r="U54" s="42"/>
      <c r="V54" s="42"/>
      <c r="W54" s="42"/>
      <c r="X54" s="42"/>
    </row>
    <row r="55" spans="1:24" x14ac:dyDescent="0.25">
      <c r="A55" s="12" t="s">
        <v>1132</v>
      </c>
      <c r="B55" s="9"/>
      <c r="C55" s="13"/>
      <c r="D55" s="114"/>
      <c r="E55" s="114"/>
      <c r="F55" s="114"/>
      <c r="G55" s="114"/>
      <c r="H55" s="114"/>
      <c r="I55" s="114"/>
      <c r="J55" s="114"/>
      <c r="K55" s="114"/>
      <c r="L55" s="114"/>
      <c r="M55" s="114"/>
      <c r="N55" s="114"/>
      <c r="O55" s="18"/>
      <c r="P55" s="18"/>
      <c r="Q55" s="18"/>
      <c r="R55" s="18"/>
      <c r="S55" s="18"/>
      <c r="T55" s="18"/>
      <c r="U55" s="18"/>
      <c r="V55" s="18"/>
      <c r="W55" s="18"/>
      <c r="X55" s="18"/>
    </row>
    <row r="56" spans="1:24" x14ac:dyDescent="0.25">
      <c r="A56" s="9" t="s">
        <v>1133</v>
      </c>
      <c r="B56" s="9"/>
      <c r="C56" s="13"/>
      <c r="D56" s="42">
        <f t="shared" ref="D56:X56" ca="1" si="29">SUM(D$356,D$363,D$372,D$381,D$397,D$406,D$420,D$424,D$429,D$438,D$444,D$450,D$451)</f>
        <v>364.65199999999999</v>
      </c>
      <c r="E56" s="42">
        <f t="shared" ca="1" si="29"/>
        <v>393.4</v>
      </c>
      <c r="F56" s="42">
        <f t="shared" ca="1" si="29"/>
        <v>438.59599999999995</v>
      </c>
      <c r="G56" s="42">
        <f t="shared" ca="1" si="29"/>
        <v>501.84400000000005</v>
      </c>
      <c r="H56" s="42">
        <f t="shared" ca="1" si="29"/>
        <v>536.66599999999994</v>
      </c>
      <c r="I56" s="42">
        <f t="shared" ca="1" si="29"/>
        <v>570.86800000000005</v>
      </c>
      <c r="J56" s="43">
        <f t="shared" ca="1" si="29"/>
        <v>600.50799999999992</v>
      </c>
      <c r="K56" s="43">
        <f t="shared" ca="1" si="29"/>
        <v>619.46400000000006</v>
      </c>
      <c r="L56" s="43">
        <f t="shared" ca="1" si="29"/>
        <v>637.74200000000008</v>
      </c>
      <c r="M56" s="43">
        <f t="shared" ca="1" si="29"/>
        <v>657.05399999999997</v>
      </c>
      <c r="N56" s="43">
        <f t="shared" ca="1" si="29"/>
        <v>676.23599999999999</v>
      </c>
      <c r="O56" s="47">
        <f t="shared" ca="1" si="29"/>
        <v>695.15674131989613</v>
      </c>
      <c r="P56" s="47">
        <f t="shared" ca="1" si="29"/>
        <v>713.88105468694471</v>
      </c>
      <c r="Q56" s="47">
        <f t="shared" ca="1" si="29"/>
        <v>733.19043530846193</v>
      </c>
      <c r="R56" s="47">
        <f t="shared" ca="1" si="29"/>
        <v>753.02911463182897</v>
      </c>
      <c r="S56" s="47">
        <f t="shared" ca="1" si="29"/>
        <v>773.46421762453724</v>
      </c>
      <c r="T56" s="47">
        <f t="shared" ca="1" si="29"/>
        <v>794.52712731911356</v>
      </c>
      <c r="U56" s="47">
        <f t="shared" ca="1" si="29"/>
        <v>816.1797362571109</v>
      </c>
      <c r="V56" s="47">
        <f t="shared" ca="1" si="29"/>
        <v>838.36920155309542</v>
      </c>
      <c r="W56" s="47">
        <f t="shared" ca="1" si="29"/>
        <v>861.09520564368029</v>
      </c>
      <c r="X56" s="47">
        <f t="shared" ca="1" si="29"/>
        <v>884.47127820936134</v>
      </c>
    </row>
    <row r="57" spans="1:24" x14ac:dyDescent="0.25">
      <c r="A57" s="9" t="s">
        <v>1134</v>
      </c>
      <c r="B57" s="9"/>
      <c r="C57" s="13"/>
      <c r="D57" s="42">
        <f t="shared" ref="D57:X57" si="30">SUM(D$70,D$454,D$461,D$465,D$469,D$475,D$480,D$486)</f>
        <v>221.31299999999999</v>
      </c>
      <c r="E57" s="42">
        <f t="shared" si="30"/>
        <v>277.45699999999999</v>
      </c>
      <c r="F57" s="42">
        <f t="shared" si="30"/>
        <v>281.40300000000002</v>
      </c>
      <c r="G57" s="42">
        <f t="shared" si="30"/>
        <v>327.52500000000003</v>
      </c>
      <c r="H57" s="42">
        <f t="shared" si="30"/>
        <v>345.19400000000002</v>
      </c>
      <c r="I57" s="42">
        <f t="shared" si="30"/>
        <v>379.81899999999996</v>
      </c>
      <c r="J57" s="43">
        <f t="shared" si="30"/>
        <v>417.37800000000004</v>
      </c>
      <c r="K57" s="43">
        <f t="shared" si="30"/>
        <v>446.24</v>
      </c>
      <c r="L57" s="43">
        <f t="shared" si="30"/>
        <v>469.96299999999997</v>
      </c>
      <c r="M57" s="43">
        <f t="shared" si="30"/>
        <v>489.21399999999994</v>
      </c>
      <c r="N57" s="43">
        <f t="shared" si="30"/>
        <v>504.34300000000002</v>
      </c>
      <c r="O57" s="47">
        <f t="shared" ca="1" si="30"/>
        <v>517.10654995803122</v>
      </c>
      <c r="P57" s="47">
        <f t="shared" ca="1" si="30"/>
        <v>527.07083909495714</v>
      </c>
      <c r="Q57" s="47">
        <f t="shared" ca="1" si="30"/>
        <v>535.03278472043735</v>
      </c>
      <c r="R57" s="47">
        <f t="shared" ca="1" si="30"/>
        <v>540.95149199368723</v>
      </c>
      <c r="S57" s="47">
        <f t="shared" ca="1" si="30"/>
        <v>544.70326564688412</v>
      </c>
      <c r="T57" s="47">
        <f t="shared" ca="1" si="30"/>
        <v>546.04634430665806</v>
      </c>
      <c r="U57" s="47">
        <f t="shared" ca="1" si="30"/>
        <v>544.85624080614934</v>
      </c>
      <c r="V57" s="47">
        <f t="shared" ca="1" si="30"/>
        <v>541.25015925624689</v>
      </c>
      <c r="W57" s="47">
        <f t="shared" ca="1" si="30"/>
        <v>535.36938120223238</v>
      </c>
      <c r="X57" s="47">
        <f t="shared" ca="1" si="30"/>
        <v>527.18851532492044</v>
      </c>
    </row>
    <row r="58" spans="1:24" x14ac:dyDescent="0.25">
      <c r="A58" s="9" t="s">
        <v>838</v>
      </c>
      <c r="B58" s="9"/>
      <c r="C58" s="13"/>
      <c r="D58" s="65">
        <f t="shared" ref="D58:X58" ca="1" si="31">D$56-D$57</f>
        <v>143.339</v>
      </c>
      <c r="E58" s="65">
        <f t="shared" ca="1" si="31"/>
        <v>115.94299999999998</v>
      </c>
      <c r="F58" s="65">
        <f t="shared" ca="1" si="31"/>
        <v>157.19299999999993</v>
      </c>
      <c r="G58" s="65">
        <f t="shared" ca="1" si="31"/>
        <v>174.31900000000002</v>
      </c>
      <c r="H58" s="65">
        <f t="shared" ca="1" si="31"/>
        <v>191.47199999999992</v>
      </c>
      <c r="I58" s="65">
        <f t="shared" ca="1" si="31"/>
        <v>191.04900000000009</v>
      </c>
      <c r="J58" s="66">
        <f t="shared" ca="1" si="31"/>
        <v>183.12999999999988</v>
      </c>
      <c r="K58" s="66">
        <f t="shared" ca="1" si="31"/>
        <v>173.22400000000005</v>
      </c>
      <c r="L58" s="66">
        <f t="shared" ca="1" si="31"/>
        <v>167.77900000000011</v>
      </c>
      <c r="M58" s="66">
        <f t="shared" ca="1" si="31"/>
        <v>167.84000000000003</v>
      </c>
      <c r="N58" s="66">
        <f t="shared" ca="1" si="31"/>
        <v>171.89299999999997</v>
      </c>
      <c r="O58" s="67">
        <f t="shared" ca="1" si="31"/>
        <v>178.0501913618649</v>
      </c>
      <c r="P58" s="67">
        <f t="shared" ca="1" si="31"/>
        <v>186.81021559198757</v>
      </c>
      <c r="Q58" s="67">
        <f t="shared" ca="1" si="31"/>
        <v>198.15765058802458</v>
      </c>
      <c r="R58" s="67">
        <f t="shared" ca="1" si="31"/>
        <v>212.07762263814175</v>
      </c>
      <c r="S58" s="67">
        <f t="shared" ca="1" si="31"/>
        <v>228.76095197765312</v>
      </c>
      <c r="T58" s="67">
        <f t="shared" ca="1" si="31"/>
        <v>248.4807830124555</v>
      </c>
      <c r="U58" s="67">
        <f t="shared" ca="1" si="31"/>
        <v>271.32349545096156</v>
      </c>
      <c r="V58" s="67">
        <f t="shared" ca="1" si="31"/>
        <v>297.11904229684853</v>
      </c>
      <c r="W58" s="67">
        <f t="shared" ca="1" si="31"/>
        <v>325.72582444144791</v>
      </c>
      <c r="X58" s="67">
        <f t="shared" ca="1" si="31"/>
        <v>357.2827628844409</v>
      </c>
    </row>
    <row r="59" spans="1:24" x14ac:dyDescent="0.25">
      <c r="A59" s="11" t="s">
        <v>1135</v>
      </c>
      <c r="B59" s="10" t="str">
        <f>$B$38</f>
        <v>From Fiscal Forecasts</v>
      </c>
      <c r="C59" s="13"/>
      <c r="D59" s="35">
        <f>'Fiscal Forecasts'!D$145</f>
        <v>6.39</v>
      </c>
      <c r="E59" s="35">
        <f>'Fiscal Forecasts'!E$145</f>
        <v>5.6230000000000002</v>
      </c>
      <c r="F59" s="35">
        <f>'Fiscal Forecasts'!F$145</f>
        <v>5.7240000000000002</v>
      </c>
      <c r="G59" s="35">
        <f>'Fiscal Forecasts'!G$145</f>
        <v>7.2830000000000004</v>
      </c>
      <c r="H59" s="35">
        <f>'Fiscal Forecasts'!H$145</f>
        <v>7.9580000000000002</v>
      </c>
      <c r="I59" s="35">
        <f>'Fiscal Forecasts'!I$145</f>
        <v>9.2309999999999999</v>
      </c>
      <c r="J59" s="17">
        <f>'Fiscal Forecasts'!J$145</f>
        <v>9.4350000000000005</v>
      </c>
      <c r="K59" s="17">
        <f>'Fiscal Forecasts'!K$145</f>
        <v>9.3460000000000001</v>
      </c>
      <c r="L59" s="17">
        <f>'Fiscal Forecasts'!L$145</f>
        <v>9.4849999999999994</v>
      </c>
      <c r="M59" s="17">
        <f>'Fiscal Forecasts'!M$145</f>
        <v>9.5519999999999996</v>
      </c>
      <c r="N59" s="17">
        <f>'Fiscal Forecasts'!N$145</f>
        <v>9.5259999999999998</v>
      </c>
      <c r="O59" s="16">
        <f ca="1">IF(O$6=OFFSET(Assumptions!$B$8,0,$C$1),AVERAGE(L$59/SUM(L$370,L$379),M$59/SUM(M$370,M$379),N$59/SUM(N$370,N$379)),N$59/SUM(N$370,N$379))*SUM(O$370,O$379)</f>
        <v>10.072620250258607</v>
      </c>
      <c r="P59" s="16">
        <f ca="1">IF(P$6=OFFSET(Assumptions!$B$8,0,$C$1),AVERAGE(M$59/SUM(M$370,M$379),N$59/SUM(N$370,N$379),O$59/SUM(O$370,O$379)),O$59/SUM(O$370,O$379))*SUM(P$370,P$379)</f>
        <v>10.499059686650636</v>
      </c>
      <c r="Q59" s="16">
        <f ca="1">IF(Q$6=OFFSET(Assumptions!$B$8,0,$C$1),AVERAGE(N$59/SUM(N$370,N$379),O$59/SUM(O$370,O$379),P$59/SUM(P$370,P$379)),P$59/SUM(P$370,P$379))*SUM(Q$370,Q$379)</f>
        <v>10.926425039567219</v>
      </c>
      <c r="R59" s="16">
        <f ca="1">IF(R$6=OFFSET(Assumptions!$B$8,0,$C$1),AVERAGE(O$59/SUM(O$370,O$379),P$59/SUM(P$370,P$379),Q$59/SUM(Q$370,Q$379)),Q$59/SUM(Q$370,Q$379))*SUM(R$370,R$379)</f>
        <v>11.353752508474253</v>
      </c>
      <c r="S59" s="16">
        <f ca="1">IF(S$6=OFFSET(Assumptions!$B$8,0,$C$1),AVERAGE(P$59/SUM(P$370,P$379),Q$59/SUM(Q$370,Q$379),R$59/SUM(R$370,R$379)),R$59/SUM(R$370,R$379))*SUM(S$370,S$379)</f>
        <v>11.790502403214663</v>
      </c>
      <c r="T59" s="16">
        <f ca="1">IF(T$6=OFFSET(Assumptions!$B$8,0,$C$1),AVERAGE(Q$59/SUM(Q$370,Q$379),R$59/SUM(R$370,R$379),S$59/SUM(S$370,S$379)),S$59/SUM(S$370,S$379))*SUM(T$370,T$379)</f>
        <v>12.236008204399441</v>
      </c>
      <c r="U59" s="16">
        <f ca="1">IF(U$6=OFFSET(Assumptions!$B$8,0,$C$1),AVERAGE(R$59/SUM(R$370,R$379),S$59/SUM(S$370,S$379),T$59/SUM(T$370,T$379)),T$59/SUM(T$370,T$379))*SUM(U$370,U$379)</f>
        <v>12.687453957643454</v>
      </c>
      <c r="V59" s="16">
        <f ca="1">IF(V$6=OFFSET(Assumptions!$B$8,0,$C$1),AVERAGE(S$59/SUM(S$370,S$379),T$59/SUM(T$370,T$379),U$59/SUM(U$370,U$379)),U$59/SUM(U$370,U$379))*SUM(V$370,V$379)</f>
        <v>13.145687110674762</v>
      </c>
      <c r="W59" s="16">
        <f ca="1">IF(W$6=OFFSET(Assumptions!$B$8,0,$C$1),AVERAGE(T$59/SUM(T$370,T$379),U$59/SUM(U$370,U$379),V$59/SUM(V$370,V$379)),V$59/SUM(V$370,V$379))*SUM(W$370,W$379)</f>
        <v>13.610690591336256</v>
      </c>
      <c r="X59" s="16">
        <f ca="1">IF(X$6=OFFSET(Assumptions!$B$8,0,$C$1),AVERAGE(U$59/SUM(U$370,U$379),V$59/SUM(V$370,V$379),W$59/SUM(W$370,W$379)),W$59/SUM(W$370,W$379))*SUM(X$370,X$379)</f>
        <v>14.085968447025619</v>
      </c>
    </row>
    <row r="60" spans="1:24" x14ac:dyDescent="0.25">
      <c r="A60" s="9" t="s">
        <v>839</v>
      </c>
      <c r="B60" s="10"/>
      <c r="C60" s="13"/>
      <c r="D60" s="65">
        <f t="shared" ref="D60:X60" ca="1" si="32">D$58-D$59</f>
        <v>136.94900000000001</v>
      </c>
      <c r="E60" s="65">
        <f t="shared" ca="1" si="32"/>
        <v>110.31999999999998</v>
      </c>
      <c r="F60" s="65">
        <f t="shared" ca="1" si="32"/>
        <v>151.46899999999994</v>
      </c>
      <c r="G60" s="65">
        <f t="shared" ca="1" si="32"/>
        <v>167.03600000000003</v>
      </c>
      <c r="H60" s="65">
        <f t="shared" ca="1" si="32"/>
        <v>183.51399999999992</v>
      </c>
      <c r="I60" s="65">
        <f t="shared" ca="1" si="32"/>
        <v>181.8180000000001</v>
      </c>
      <c r="J60" s="66">
        <f t="shared" ca="1" si="32"/>
        <v>173.69499999999988</v>
      </c>
      <c r="K60" s="66">
        <f t="shared" ca="1" si="32"/>
        <v>163.87800000000004</v>
      </c>
      <c r="L60" s="66">
        <f t="shared" ca="1" si="32"/>
        <v>158.2940000000001</v>
      </c>
      <c r="M60" s="66">
        <f t="shared" ca="1" si="32"/>
        <v>158.28800000000004</v>
      </c>
      <c r="N60" s="66">
        <f t="shared" ca="1" si="32"/>
        <v>162.36699999999996</v>
      </c>
      <c r="O60" s="67">
        <f t="shared" ca="1" si="32"/>
        <v>167.9775711116063</v>
      </c>
      <c r="P60" s="67">
        <f t="shared" ca="1" si="32"/>
        <v>176.31115590533693</v>
      </c>
      <c r="Q60" s="67">
        <f t="shared" ca="1" si="32"/>
        <v>187.23122554845736</v>
      </c>
      <c r="R60" s="67">
        <f t="shared" ca="1" si="32"/>
        <v>200.72387012966749</v>
      </c>
      <c r="S60" s="67">
        <f t="shared" ca="1" si="32"/>
        <v>216.97044957443845</v>
      </c>
      <c r="T60" s="67">
        <f t="shared" ca="1" si="32"/>
        <v>236.24477480805606</v>
      </c>
      <c r="U60" s="67">
        <f t="shared" ca="1" si="32"/>
        <v>258.63604149331809</v>
      </c>
      <c r="V60" s="67">
        <f t="shared" ca="1" si="32"/>
        <v>283.97335518617376</v>
      </c>
      <c r="W60" s="67">
        <f t="shared" ca="1" si="32"/>
        <v>312.11513385011165</v>
      </c>
      <c r="X60" s="67">
        <f t="shared" ca="1" si="32"/>
        <v>343.19679443741529</v>
      </c>
    </row>
    <row r="61" spans="1:24" x14ac:dyDescent="0.25">
      <c r="A61" s="55" t="s">
        <v>1136</v>
      </c>
      <c r="B61" s="10" t="str">
        <f>$B$42</f>
        <v>Outturn &amp; Forecast only</v>
      </c>
      <c r="C61" s="13"/>
      <c r="D61" s="91" t="str">
        <f ca="1">IF(ROUND('Fiscal Forecasts'!D$143-D$58,3)=0,"OK","ERROR")</f>
        <v>OK</v>
      </c>
      <c r="E61" s="91" t="str">
        <f ca="1">IF(ROUND('Fiscal Forecasts'!E$143-E$58,3)=0,"OK","ERROR")</f>
        <v>OK</v>
      </c>
      <c r="F61" s="91" t="str">
        <f ca="1">IF(ROUND('Fiscal Forecasts'!F$143-F$58,3)=0,"OK","ERROR")</f>
        <v>OK</v>
      </c>
      <c r="G61" s="91" t="str">
        <f ca="1">IF(ROUND('Fiscal Forecasts'!G$143-G$58,3)=0,"OK","ERROR")</f>
        <v>OK</v>
      </c>
      <c r="H61" s="91" t="str">
        <f ca="1">IF(ROUND('Fiscal Forecasts'!H$143-H$58,3)=0,"OK","ERROR")</f>
        <v>OK</v>
      </c>
      <c r="I61" s="91" t="str">
        <f ca="1">IF(ROUND('Fiscal Forecasts'!I$143-I$58,3)=0,"OK","ERROR")</f>
        <v>OK</v>
      </c>
      <c r="J61" s="91" t="str">
        <f ca="1">IF(ROUND('Fiscal Forecasts'!J$143-J$58+IF($C$2="Yes",('Fiscal Forecast Adjuster'!C$31-'Fiscal Forecast Adjuster'!C$40)/1000,0)+IF($C$3="Yes",'NZSF Adjuster'!U$26-'Fiscal Forecasts'!J$364-'NZSF Adjuster'!U$11,0),3)=0,"OK","ERROR")</f>
        <v>OK</v>
      </c>
      <c r="K61" s="91" t="str">
        <f ca="1">IF(ROUND('Fiscal Forecasts'!K$143-K$58+IF($C$2="Yes",('Fiscal Forecast Adjuster'!D$31-'Fiscal Forecast Adjuster'!D$40)/1000,0)+IF($C$3="Yes",'NZSF Adjuster'!V$26-'Fiscal Forecasts'!K$364-'NZSF Adjuster'!V$11,0),3)=0,"OK","ERROR")</f>
        <v>OK</v>
      </c>
      <c r="L61" s="91" t="str">
        <f ca="1">IF(ROUND('Fiscal Forecasts'!L$143-L$58+IF($C$2="Yes",('Fiscal Forecast Adjuster'!E$31-'Fiscal Forecast Adjuster'!E$40)/1000,0)+IF($C$3="Yes",'NZSF Adjuster'!W$26-'Fiscal Forecasts'!L$364-'NZSF Adjuster'!W$11,0),3)=0,"OK","ERROR")</f>
        <v>OK</v>
      </c>
      <c r="M61" s="91" t="str">
        <f ca="1">IF(ROUND('Fiscal Forecasts'!M$143-M$58+IF($C$2="Yes",('Fiscal Forecast Adjuster'!F$31-'Fiscal Forecast Adjuster'!F$40)/1000,0)+IF($C$3="Yes",'NZSF Adjuster'!X$26-'Fiscal Forecasts'!M$364-'NZSF Adjuster'!X$11,0),3)=0,"OK","ERROR")</f>
        <v>OK</v>
      </c>
      <c r="N61" s="91" t="str">
        <f ca="1">IF(ROUND('Fiscal Forecasts'!N$143-N$58+IF($C$2="Yes",('Fiscal Forecast Adjuster'!G$31-'Fiscal Forecast Adjuster'!G$40)/1000,0)+IF($C$3="Yes",'NZSF Adjuster'!Y$26-'Fiscal Forecasts'!N$364-'NZSF Adjuster'!Y$11,0),3)=0,"OK","ERROR")</f>
        <v>OK</v>
      </c>
      <c r="O61" s="18"/>
      <c r="P61" s="18"/>
      <c r="Q61" s="18"/>
      <c r="R61" s="18"/>
      <c r="S61" s="18"/>
      <c r="T61" s="18"/>
      <c r="U61" s="18"/>
      <c r="V61" s="18"/>
      <c r="W61" s="18"/>
      <c r="X61" s="18"/>
    </row>
    <row r="62" spans="1:24" x14ac:dyDescent="0.25">
      <c r="A62" s="55" t="s">
        <v>1147</v>
      </c>
      <c r="B62" s="10" t="s">
        <v>1146</v>
      </c>
      <c r="C62" s="13"/>
      <c r="D62" s="36"/>
      <c r="E62" s="36"/>
      <c r="F62" s="36"/>
      <c r="G62" s="36"/>
      <c r="H62" s="36"/>
      <c r="I62" s="36"/>
      <c r="J62" s="19"/>
      <c r="K62" s="19"/>
      <c r="L62" s="19"/>
      <c r="M62" s="19"/>
      <c r="N62" s="19"/>
      <c r="O62" s="91" t="str">
        <f t="shared" ref="O62:X62" ca="1" si="33">IF(ROUND(O$39+O$38-(O$58-N$58),3)=0,"OK","ERROR")</f>
        <v>OK</v>
      </c>
      <c r="P62" s="91" t="str">
        <f t="shared" ca="1" si="33"/>
        <v>OK</v>
      </c>
      <c r="Q62" s="91" t="str">
        <f t="shared" ca="1" si="33"/>
        <v>OK</v>
      </c>
      <c r="R62" s="91" t="str">
        <f t="shared" ca="1" si="33"/>
        <v>OK</v>
      </c>
      <c r="S62" s="91" t="str">
        <f t="shared" ca="1" si="33"/>
        <v>OK</v>
      </c>
      <c r="T62" s="91" t="str">
        <f t="shared" ca="1" si="33"/>
        <v>OK</v>
      </c>
      <c r="U62" s="91" t="str">
        <f t="shared" ca="1" si="33"/>
        <v>OK</v>
      </c>
      <c r="V62" s="91" t="str">
        <f t="shared" ca="1" si="33"/>
        <v>OK</v>
      </c>
      <c r="W62" s="91" t="str">
        <f t="shared" ca="1" si="33"/>
        <v>OK</v>
      </c>
      <c r="X62" s="91" t="str">
        <f t="shared" ca="1" si="33"/>
        <v>OK</v>
      </c>
    </row>
    <row r="63" spans="1:24" x14ac:dyDescent="0.25">
      <c r="A63" s="9" t="s">
        <v>672</v>
      </c>
      <c r="B63" s="9"/>
      <c r="C63" s="13"/>
      <c r="D63" s="42">
        <f t="shared" ref="D63:X63" ca="1" si="34">SUM(D$355,D$362,D$368,D$377,D$397,D$403,D$419,D$423,D$427,D$437,D$441,D$450,D$451)</f>
        <v>201.42400000000004</v>
      </c>
      <c r="E63" s="42">
        <f t="shared" ca="1" si="34"/>
        <v>219.821</v>
      </c>
      <c r="F63" s="42">
        <f t="shared" ca="1" si="34"/>
        <v>239.35500000000002</v>
      </c>
      <c r="G63" s="42">
        <f t="shared" ca="1" si="34"/>
        <v>269.32</v>
      </c>
      <c r="H63" s="42">
        <f t="shared" ca="1" si="34"/>
        <v>294.69400000000002</v>
      </c>
      <c r="I63" s="42">
        <f t="shared" ca="1" si="34"/>
        <v>326.74099999999999</v>
      </c>
      <c r="J63" s="43">
        <f t="shared" ca="1" si="34"/>
        <v>357.79299999999995</v>
      </c>
      <c r="K63" s="43">
        <f t="shared" ca="1" si="34"/>
        <v>372.36100000000005</v>
      </c>
      <c r="L63" s="43">
        <f t="shared" ca="1" si="34"/>
        <v>387.94900000000007</v>
      </c>
      <c r="M63" s="43">
        <f t="shared" ca="1" si="34"/>
        <v>401.86699999999996</v>
      </c>
      <c r="N63" s="43">
        <f t="shared" ca="1" si="34"/>
        <v>416.26400000000001</v>
      </c>
      <c r="O63" s="47">
        <f t="shared" ca="1" si="34"/>
        <v>429.59794674571225</v>
      </c>
      <c r="P63" s="47">
        <f t="shared" ca="1" si="34"/>
        <v>442.49769031547737</v>
      </c>
      <c r="Q63" s="47">
        <f t="shared" ca="1" si="34"/>
        <v>455.80038968882411</v>
      </c>
      <c r="R63" s="47">
        <f t="shared" ca="1" si="34"/>
        <v>469.44179864088153</v>
      </c>
      <c r="S63" s="47">
        <f t="shared" ca="1" si="34"/>
        <v>483.41876438645721</v>
      </c>
      <c r="T63" s="47">
        <f t="shared" ca="1" si="34"/>
        <v>497.7419945803033</v>
      </c>
      <c r="U63" s="47">
        <f t="shared" ca="1" si="34"/>
        <v>512.36823253637829</v>
      </c>
      <c r="V63" s="47">
        <f t="shared" ca="1" si="34"/>
        <v>527.32998898357118</v>
      </c>
      <c r="W63" s="47">
        <f t="shared" ca="1" si="34"/>
        <v>542.71908965668831</v>
      </c>
      <c r="X63" s="47">
        <f t="shared" ca="1" si="34"/>
        <v>558.64907462560075</v>
      </c>
    </row>
    <row r="64" spans="1:24" x14ac:dyDescent="0.25">
      <c r="A64" s="9" t="s">
        <v>674</v>
      </c>
      <c r="B64" s="9"/>
      <c r="C64" s="13"/>
      <c r="D64" s="42">
        <f t="shared" ref="D64:X64" si="35">SUM(D$71,D$454,D$460,D$464,D$468,D$472,D$478,D$485)</f>
        <v>132.88</v>
      </c>
      <c r="E64" s="42">
        <f t="shared" si="35"/>
        <v>172.70499999999998</v>
      </c>
      <c r="F64" s="42">
        <f t="shared" si="35"/>
        <v>178.81700000000001</v>
      </c>
      <c r="G64" s="42">
        <f t="shared" si="35"/>
        <v>224.036</v>
      </c>
      <c r="H64" s="42">
        <f t="shared" si="35"/>
        <v>235.35300000000001</v>
      </c>
      <c r="I64" s="42">
        <f t="shared" si="35"/>
        <v>261.70100000000002</v>
      </c>
      <c r="J64" s="43">
        <f t="shared" si="35"/>
        <v>296.44799999999992</v>
      </c>
      <c r="K64" s="43">
        <f t="shared" si="35"/>
        <v>316.36</v>
      </c>
      <c r="L64" s="43">
        <f t="shared" si="35"/>
        <v>333.11800000000005</v>
      </c>
      <c r="M64" s="43">
        <f t="shared" si="35"/>
        <v>343.65699999999998</v>
      </c>
      <c r="N64" s="43">
        <f t="shared" si="35"/>
        <v>351.35600000000005</v>
      </c>
      <c r="O64" s="47">
        <f t="shared" ca="1" si="35"/>
        <v>356.71688652941276</v>
      </c>
      <c r="P64" s="47">
        <f t="shared" ca="1" si="35"/>
        <v>359.47726888200543</v>
      </c>
      <c r="Q64" s="47">
        <f t="shared" ca="1" si="35"/>
        <v>360.62955316097083</v>
      </c>
      <c r="R64" s="47">
        <f t="shared" ca="1" si="35"/>
        <v>360.21072383301356</v>
      </c>
      <c r="S64" s="47">
        <f t="shared" ca="1" si="35"/>
        <v>358.16552438115991</v>
      </c>
      <c r="T64" s="47">
        <f t="shared" ca="1" si="35"/>
        <v>354.37986624107634</v>
      </c>
      <c r="U64" s="47">
        <f t="shared" ca="1" si="35"/>
        <v>348.820760584894</v>
      </c>
      <c r="V64" s="47">
        <f t="shared" ca="1" si="35"/>
        <v>341.45167229575759</v>
      </c>
      <c r="W64" s="47">
        <f t="shared" ca="1" si="35"/>
        <v>332.23275739480141</v>
      </c>
      <c r="X64" s="47">
        <f t="shared" ca="1" si="35"/>
        <v>321.09419540939632</v>
      </c>
    </row>
    <row r="65" spans="1:24" x14ac:dyDescent="0.25">
      <c r="A65" s="9" t="s">
        <v>676</v>
      </c>
      <c r="B65" s="9"/>
      <c r="C65" s="13"/>
      <c r="D65" s="65">
        <f t="shared" ref="D65:X65" ca="1" si="36">D$63-D$64</f>
        <v>68.54400000000004</v>
      </c>
      <c r="E65" s="65">
        <f t="shared" ca="1" si="36"/>
        <v>47.116000000000014</v>
      </c>
      <c r="F65" s="65">
        <f t="shared" ca="1" si="36"/>
        <v>60.538000000000011</v>
      </c>
      <c r="G65" s="65">
        <f t="shared" ca="1" si="36"/>
        <v>45.283999999999992</v>
      </c>
      <c r="H65" s="65">
        <f t="shared" ca="1" si="36"/>
        <v>59.341000000000008</v>
      </c>
      <c r="I65" s="65">
        <f t="shared" ca="1" si="36"/>
        <v>65.039999999999964</v>
      </c>
      <c r="J65" s="66">
        <f t="shared" ca="1" si="36"/>
        <v>61.345000000000027</v>
      </c>
      <c r="K65" s="66">
        <f t="shared" ca="1" si="36"/>
        <v>56.001000000000033</v>
      </c>
      <c r="L65" s="66">
        <f t="shared" ca="1" si="36"/>
        <v>54.831000000000017</v>
      </c>
      <c r="M65" s="66">
        <f t="shared" ca="1" si="36"/>
        <v>58.20999999999998</v>
      </c>
      <c r="N65" s="66">
        <f t="shared" ca="1" si="36"/>
        <v>64.907999999999959</v>
      </c>
      <c r="O65" s="67">
        <f t="shared" ca="1" si="36"/>
        <v>72.881060216299488</v>
      </c>
      <c r="P65" s="67">
        <f t="shared" ca="1" si="36"/>
        <v>83.020421433471938</v>
      </c>
      <c r="Q65" s="67">
        <f t="shared" ca="1" si="36"/>
        <v>95.170836527853282</v>
      </c>
      <c r="R65" s="67">
        <f t="shared" ca="1" si="36"/>
        <v>109.23107480786797</v>
      </c>
      <c r="S65" s="67">
        <f t="shared" ca="1" si="36"/>
        <v>125.2532400052973</v>
      </c>
      <c r="T65" s="67">
        <f t="shared" ca="1" si="36"/>
        <v>143.36212833922696</v>
      </c>
      <c r="U65" s="67">
        <f t="shared" ca="1" si="36"/>
        <v>163.54747195148428</v>
      </c>
      <c r="V65" s="67">
        <f t="shared" ca="1" si="36"/>
        <v>185.87831668781359</v>
      </c>
      <c r="W65" s="67">
        <f t="shared" ca="1" si="36"/>
        <v>210.4863322618869</v>
      </c>
      <c r="X65" s="67">
        <f t="shared" ca="1" si="36"/>
        <v>237.55487921620443</v>
      </c>
    </row>
    <row r="66" spans="1:24" x14ac:dyDescent="0.25">
      <c r="A66" s="55" t="s">
        <v>1155</v>
      </c>
      <c r="B66" s="10" t="str">
        <f>$B$42</f>
        <v>Outturn &amp; Forecast only</v>
      </c>
      <c r="C66" s="13"/>
      <c r="D66" s="91" t="str">
        <f ca="1">IF(ROUND('Fiscal Forecasts'!D$200-D$65,3)=0,"OK","ERROR")</f>
        <v>OK</v>
      </c>
      <c r="E66" s="91" t="str">
        <f ca="1">IF(ROUND('Fiscal Forecasts'!E$200-E$65,3)=0,"OK","ERROR")</f>
        <v>OK</v>
      </c>
      <c r="F66" s="91" t="str">
        <f ca="1">IF(ROUND('Fiscal Forecasts'!F$200-F$65,3)=0,"OK","ERROR")</f>
        <v>OK</v>
      </c>
      <c r="G66" s="91" t="str">
        <f ca="1">IF(ROUND('Fiscal Forecasts'!G$200-G$65,3)=0,"OK","ERROR")</f>
        <v>OK</v>
      </c>
      <c r="H66" s="91" t="str">
        <f ca="1">IF(ROUND('Fiscal Forecasts'!H$200-H$65,3)=0,"OK","ERROR")</f>
        <v>OK</v>
      </c>
      <c r="I66" s="91" t="str">
        <f ca="1">IF(ROUND('Fiscal Forecasts'!I$200-I$65,3)=0,"OK","ERROR")</f>
        <v>OK</v>
      </c>
      <c r="J66" s="91" t="str">
        <f ca="1">IF(ROUND('Fiscal Forecasts'!J$200-J$65+IF($C$2="Yes",('Fiscal Forecast Adjuster'!C$31-'Fiscal Forecast Adjuster'!C$40)/1000,0)+IF($C$3="Yes",'NZSF Adjuster'!U$26-'Fiscal Forecasts'!J$364-'NZSF Adjuster'!U$11,0),3)=0,"OK","ERROR")</f>
        <v>OK</v>
      </c>
      <c r="K66" s="91" t="str">
        <f ca="1">IF(ROUND('Fiscal Forecasts'!K$200-K$65+IF($C$2="Yes",('Fiscal Forecast Adjuster'!D$31-'Fiscal Forecast Adjuster'!D$40)/1000,0)+IF($C$3="Yes",'NZSF Adjuster'!V$26-'Fiscal Forecasts'!K$364-'NZSF Adjuster'!V$11,0),3)=0,"OK","ERROR")</f>
        <v>OK</v>
      </c>
      <c r="L66" s="91" t="str">
        <f ca="1">IF(ROUND('Fiscal Forecasts'!L$200-L$65+IF($C$2="Yes",('Fiscal Forecast Adjuster'!E$31-'Fiscal Forecast Adjuster'!E$40)/1000,0)+IF($C$3="Yes",'NZSF Adjuster'!W$26-'Fiscal Forecasts'!L$364-'NZSF Adjuster'!W$11,0),3)=0,"OK","ERROR")</f>
        <v>OK</v>
      </c>
      <c r="M66" s="91" t="str">
        <f ca="1">IF(ROUND('Fiscal Forecasts'!M$200-M$65+IF($C$2="Yes",('Fiscal Forecast Adjuster'!F$31-'Fiscal Forecast Adjuster'!F$40)/1000,0)+IF($C$3="Yes",'NZSF Adjuster'!X$26-'Fiscal Forecasts'!M$364-'NZSF Adjuster'!X$11,0),3)=0,"OK","ERROR")</f>
        <v>OK</v>
      </c>
      <c r="N66" s="91" t="str">
        <f ca="1">IF(ROUND('Fiscal Forecasts'!N$200-N$65+IF($C$2="Yes",('Fiscal Forecast Adjuster'!G$31-'Fiscal Forecast Adjuster'!G$40)/1000,0)+IF($C$3="Yes",'NZSF Adjuster'!Y$26-'Fiscal Forecasts'!N$364-'NZSF Adjuster'!Y$11,0),3)=0,"OK","ERROR")</f>
        <v>OK</v>
      </c>
      <c r="O66" s="18"/>
      <c r="P66" s="18"/>
      <c r="Q66" s="18"/>
      <c r="R66" s="18"/>
      <c r="S66" s="18"/>
      <c r="T66" s="18"/>
      <c r="U66" s="18"/>
      <c r="V66" s="18"/>
      <c r="W66" s="18"/>
      <c r="X66" s="18"/>
    </row>
    <row r="67" spans="1:24" x14ac:dyDescent="0.25">
      <c r="A67" s="55" t="s">
        <v>1156</v>
      </c>
      <c r="B67" s="10" t="str">
        <f>$B$62</f>
        <v>Projected Years only</v>
      </c>
      <c r="C67" s="13"/>
      <c r="D67" s="36"/>
      <c r="E67" s="36"/>
      <c r="F67" s="36"/>
      <c r="G67" s="36"/>
      <c r="H67" s="36"/>
      <c r="I67" s="36"/>
      <c r="J67" s="19"/>
      <c r="K67" s="19"/>
      <c r="L67" s="19"/>
      <c r="M67" s="19"/>
      <c r="N67" s="19"/>
      <c r="O67" s="91" t="str">
        <f t="shared" ref="O67:X67" ca="1" si="37">IF(ROUND(O$49-(O$65-N$65),3)=0,"OK","ERROR")</f>
        <v>OK</v>
      </c>
      <c r="P67" s="91" t="str">
        <f t="shared" ca="1" si="37"/>
        <v>OK</v>
      </c>
      <c r="Q67" s="91" t="str">
        <f t="shared" ca="1" si="37"/>
        <v>OK</v>
      </c>
      <c r="R67" s="91" t="str">
        <f t="shared" ca="1" si="37"/>
        <v>OK</v>
      </c>
      <c r="S67" s="91" t="str">
        <f t="shared" ca="1" si="37"/>
        <v>OK</v>
      </c>
      <c r="T67" s="91" t="str">
        <f t="shared" ca="1" si="37"/>
        <v>OK</v>
      </c>
      <c r="U67" s="91" t="str">
        <f t="shared" ca="1" si="37"/>
        <v>OK</v>
      </c>
      <c r="V67" s="91" t="str">
        <f t="shared" ca="1" si="37"/>
        <v>OK</v>
      </c>
      <c r="W67" s="91" t="str">
        <f t="shared" ca="1" si="37"/>
        <v>OK</v>
      </c>
      <c r="X67" s="91" t="str">
        <f t="shared" ca="1" si="37"/>
        <v>OK</v>
      </c>
    </row>
    <row r="68" spans="1:24" x14ac:dyDescent="0.25">
      <c r="A68" s="9"/>
      <c r="B68" s="9"/>
      <c r="C68" s="13"/>
      <c r="D68" s="36"/>
      <c r="E68" s="36"/>
      <c r="F68" s="36"/>
      <c r="G68" s="36"/>
      <c r="H68" s="36"/>
      <c r="I68" s="36"/>
      <c r="J68" s="19"/>
      <c r="K68" s="19"/>
      <c r="L68" s="19"/>
      <c r="M68" s="19"/>
      <c r="N68" s="19"/>
      <c r="O68" s="18"/>
      <c r="P68" s="18"/>
      <c r="Q68" s="18"/>
      <c r="R68" s="18"/>
      <c r="S68" s="18"/>
      <c r="T68" s="18"/>
      <c r="U68" s="18"/>
      <c r="V68" s="18"/>
      <c r="W68" s="18"/>
      <c r="X68" s="18"/>
    </row>
    <row r="69" spans="1:24" x14ac:dyDescent="0.25">
      <c r="A69" s="12" t="s">
        <v>894</v>
      </c>
      <c r="B69" s="9"/>
      <c r="C69" s="13"/>
      <c r="D69" s="36"/>
      <c r="E69" s="36"/>
      <c r="F69" s="36"/>
      <c r="G69" s="36"/>
      <c r="H69" s="36"/>
      <c r="I69" s="36"/>
      <c r="J69" s="36"/>
      <c r="K69" s="36"/>
      <c r="L69" s="36"/>
      <c r="M69" s="36"/>
      <c r="N69" s="36"/>
      <c r="O69" s="13"/>
      <c r="P69" s="13"/>
      <c r="Q69" s="13"/>
      <c r="R69" s="13"/>
      <c r="S69" s="13"/>
      <c r="T69" s="13"/>
      <c r="U69" s="13"/>
      <c r="V69" s="13"/>
      <c r="W69" s="13"/>
      <c r="X69" s="13"/>
    </row>
    <row r="70" spans="1:24" x14ac:dyDescent="0.25">
      <c r="A70" s="9" t="s">
        <v>895</v>
      </c>
      <c r="B70" s="10" t="str">
        <f>$B$38</f>
        <v>From Fiscal Forecasts</v>
      </c>
      <c r="C70" s="13"/>
      <c r="D70" s="42">
        <f>'Fiscal Forecasts'!D$137</f>
        <v>110.248</v>
      </c>
      <c r="E70" s="42">
        <f>'Fiscal Forecasts'!E$137</f>
        <v>152.71700000000001</v>
      </c>
      <c r="F70" s="42">
        <f>'Fiscal Forecasts'!F$137</f>
        <v>162.56</v>
      </c>
      <c r="G70" s="42">
        <f>'Fiscal Forecasts'!G$137</f>
        <v>203.965</v>
      </c>
      <c r="H70" s="42">
        <f>'Fiscal Forecasts'!H$137</f>
        <v>226.755</v>
      </c>
      <c r="I70" s="42">
        <f>'Fiscal Forecasts'!I$137</f>
        <v>250.94300000000001</v>
      </c>
      <c r="J70" s="43">
        <f>'Fiscal Forecasts'!J$137+IF($C$2="Yes",'Fiscal Forecast Adjuster'!C$40/1000,0)+IF($C$3="Yes",'NZSF Adjuster'!U$11,0)</f>
        <v>277.57</v>
      </c>
      <c r="K70" s="43">
        <f>'Fiscal Forecasts'!K$137+IF($C$2="Yes",'Fiscal Forecast Adjuster'!D$40/1000,0)+IF($C$3="Yes",'NZSF Adjuster'!V$11,0)</f>
        <v>305.07600000000002</v>
      </c>
      <c r="L70" s="43">
        <f>'Fiscal Forecasts'!L$137+IF($C$2="Yes",'Fiscal Forecast Adjuster'!E$40/1000,0)+IF($C$3="Yes",'NZSF Adjuster'!W$11,0)</f>
        <v>325.91899999999998</v>
      </c>
      <c r="M70" s="43">
        <f>'Fiscal Forecasts'!M$137+IF($C$2="Yes",'Fiscal Forecast Adjuster'!F$40/1000,0)+IF($C$3="Yes",'NZSF Adjuster'!X$11,0)</f>
        <v>342.61099999999999</v>
      </c>
      <c r="N70" s="43">
        <f>'Fiscal Forecasts'!N$137+IF($C$2="Yes",'Fiscal Forecast Adjuster'!G$40/1000,0)+IF($C$3="Yes",'NZSF Adjuster'!Y$11,0)</f>
        <v>354.2</v>
      </c>
      <c r="O70" s="47">
        <f t="shared" ref="O70:X70" ca="1" si="38">SUM(N$70,O$108)</f>
        <v>359.2994729302942</v>
      </c>
      <c r="P70" s="47">
        <f t="shared" ca="1" si="38"/>
        <v>363.62811671430103</v>
      </c>
      <c r="Q70" s="47">
        <f t="shared" ca="1" si="38"/>
        <v>365.57109332695478</v>
      </c>
      <c r="R70" s="47">
        <f t="shared" ca="1" si="38"/>
        <v>365.13839049529406</v>
      </c>
      <c r="S70" s="47">
        <f t="shared" ca="1" si="38"/>
        <v>362.20141424088871</v>
      </c>
      <c r="T70" s="47">
        <f t="shared" ca="1" si="38"/>
        <v>356.49673228601085</v>
      </c>
      <c r="U70" s="47">
        <f t="shared" ca="1" si="38"/>
        <v>347.93911111971374</v>
      </c>
      <c r="V70" s="47">
        <f t="shared" ca="1" si="38"/>
        <v>336.67401143899843</v>
      </c>
      <c r="W70" s="47">
        <f t="shared" ca="1" si="38"/>
        <v>322.8282863241327</v>
      </c>
      <c r="X70" s="47">
        <f t="shared" ca="1" si="38"/>
        <v>306.3664083544266</v>
      </c>
    </row>
    <row r="71" spans="1:24" x14ac:dyDescent="0.25">
      <c r="A71" s="11" t="s">
        <v>645</v>
      </c>
      <c r="B71" s="10" t="str">
        <f>$B$38</f>
        <v>From Fiscal Forecasts</v>
      </c>
      <c r="C71" s="13"/>
      <c r="D71" s="42">
        <f>'Fiscal Forecasts'!D$147</f>
        <v>91.51</v>
      </c>
      <c r="E71" s="42">
        <f>'Fiscal Forecasts'!E$147</f>
        <v>126.34099999999999</v>
      </c>
      <c r="F71" s="42">
        <f>'Fiscal Forecasts'!F$147</f>
        <v>132.54300000000001</v>
      </c>
      <c r="G71" s="42">
        <f>'Fiscal Forecasts'!G$147</f>
        <v>168.98599999999999</v>
      </c>
      <c r="H71" s="42">
        <f>'Fiscal Forecasts'!H$147</f>
        <v>191.029</v>
      </c>
      <c r="I71" s="42">
        <f>'Fiscal Forecasts'!I$147</f>
        <v>216.34899999999999</v>
      </c>
      <c r="J71" s="43">
        <f>'Fiscal Forecasts'!J$147+IF($C$2="Yes",'Fiscal Forecast Adjuster'!C$40/1000,0)+IF($C$3="Yes",'NZSF Adjuster'!U$11,0)</f>
        <v>244.69399999999999</v>
      </c>
      <c r="K71" s="43">
        <f>'Fiscal Forecasts'!K$147+IF($C$2="Yes",'Fiscal Forecast Adjuster'!D$40/1000,0)+IF($C$3="Yes",'NZSF Adjuster'!V$11,0)</f>
        <v>266.68599999999998</v>
      </c>
      <c r="L71" s="43">
        <f>'Fiscal Forecasts'!L$147+IF($C$2="Yes",'Fiscal Forecast Adjuster'!E$40/1000,0)+IF($C$3="Yes",'NZSF Adjuster'!W$11,0)</f>
        <v>283.69200000000001</v>
      </c>
      <c r="M71" s="43">
        <f>'Fiscal Forecasts'!M$147+IF($C$2="Yes",'Fiscal Forecast Adjuster'!F$40/1000,0)+IF($C$3="Yes",'NZSF Adjuster'!X$11,0)</f>
        <v>295.63799999999998</v>
      </c>
      <c r="N71" s="43">
        <f>'Fiscal Forecasts'!N$147+IF($C$2="Yes",'Fiscal Forecast Adjuster'!G$40/1000,0)+IF($C$3="Yes",'NZSF Adjuster'!Y$11,0)</f>
        <v>304.26799999999997</v>
      </c>
      <c r="O71" s="47">
        <f t="shared" ref="O71:X71" ca="1" si="39">SUM(N$71,O$518)</f>
        <v>306.6692510684324</v>
      </c>
      <c r="P71" s="47">
        <f t="shared" ca="1" si="39"/>
        <v>308.88813593764814</v>
      </c>
      <c r="Q71" s="47">
        <f t="shared" ca="1" si="39"/>
        <v>309.4426700787393</v>
      </c>
      <c r="R71" s="47">
        <f t="shared" ca="1" si="39"/>
        <v>308.38100231247006</v>
      </c>
      <c r="S71" s="47">
        <f t="shared" ca="1" si="39"/>
        <v>305.63867741820121</v>
      </c>
      <c r="T71" s="47">
        <f t="shared" ca="1" si="39"/>
        <v>301.09974509108542</v>
      </c>
      <c r="U71" s="47">
        <f t="shared" ca="1" si="39"/>
        <v>294.7262920991306</v>
      </c>
      <c r="V71" s="47">
        <f t="shared" ca="1" si="39"/>
        <v>286.48374290131591</v>
      </c>
      <c r="W71" s="47">
        <f t="shared" ca="1" si="39"/>
        <v>276.32844175767571</v>
      </c>
      <c r="X71" s="47">
        <f t="shared" ca="1" si="39"/>
        <v>264.18365258507998</v>
      </c>
    </row>
    <row r="72" spans="1:24" x14ac:dyDescent="0.25">
      <c r="A72" s="11" t="s">
        <v>646</v>
      </c>
      <c r="B72" s="10" t="str">
        <f t="shared" ref="B72:B80" si="40">$B$38</f>
        <v>From Fiscal Forecasts</v>
      </c>
      <c r="C72" s="13"/>
      <c r="D72" s="35">
        <f>'Fiscal Forecasts'!D$148</f>
        <v>0.251</v>
      </c>
      <c r="E72" s="35">
        <f>'Fiscal Forecasts'!E$148</f>
        <v>5.5E-2</v>
      </c>
      <c r="F72" s="35">
        <f>'Fiscal Forecasts'!F$148</f>
        <v>2.1000000000000001E-2</v>
      </c>
      <c r="G72" s="35">
        <f>'Fiscal Forecasts'!G$148</f>
        <v>0.20799999999999999</v>
      </c>
      <c r="H72" s="35">
        <f>'Fiscal Forecasts'!H$148</f>
        <v>0.96199999999999997</v>
      </c>
      <c r="I72" s="35">
        <f>'Fiscal Forecasts'!I$148</f>
        <v>0.84699999999999998</v>
      </c>
      <c r="J72" s="17">
        <f>'Fiscal Forecasts'!J$148</f>
        <v>5.6289999999999996</v>
      </c>
      <c r="K72" s="17">
        <f>'Fiscal Forecasts'!K$148</f>
        <v>5.2130000000000001</v>
      </c>
      <c r="L72" s="17">
        <f>'Fiscal Forecasts'!L$148</f>
        <v>6.266</v>
      </c>
      <c r="M72" s="17">
        <f>'Fiscal Forecasts'!M$148</f>
        <v>5.5540000000000003</v>
      </c>
      <c r="N72" s="17">
        <f>'Fiscal Forecasts'!N$148</f>
        <v>5.21</v>
      </c>
      <c r="O72" s="16">
        <f t="shared" ref="O72:X72" ca="1" si="41">N$72*(1+O$29)</f>
        <v>5.3142000000000005</v>
      </c>
      <c r="P72" s="16">
        <f t="shared" ca="1" si="41"/>
        <v>5.420484000000001</v>
      </c>
      <c r="Q72" s="16">
        <f t="shared" ca="1" si="41"/>
        <v>5.5288936800000013</v>
      </c>
      <c r="R72" s="16">
        <f t="shared" ca="1" si="41"/>
        <v>5.6394715536000017</v>
      </c>
      <c r="S72" s="16">
        <f t="shared" ca="1" si="41"/>
        <v>5.7522609846720023</v>
      </c>
      <c r="T72" s="16">
        <f t="shared" ca="1" si="41"/>
        <v>5.867306204365442</v>
      </c>
      <c r="U72" s="16">
        <f t="shared" ca="1" si="41"/>
        <v>5.9846523284527509</v>
      </c>
      <c r="V72" s="16">
        <f t="shared" ca="1" si="41"/>
        <v>6.104345375021806</v>
      </c>
      <c r="W72" s="16">
        <f t="shared" ca="1" si="41"/>
        <v>6.226432282522242</v>
      </c>
      <c r="X72" s="16">
        <f t="shared" ca="1" si="41"/>
        <v>6.3509609281726869</v>
      </c>
    </row>
    <row r="73" spans="1:24" x14ac:dyDescent="0.25">
      <c r="A73" s="11" t="s">
        <v>1044</v>
      </c>
      <c r="B73" s="10" t="str">
        <f t="shared" si="40"/>
        <v>From Fiscal Forecasts</v>
      </c>
      <c r="C73" s="13"/>
      <c r="D73" s="35">
        <f>'Fiscal Forecasts'!D$149</f>
        <v>0.90300000000000002</v>
      </c>
      <c r="E73" s="35">
        <f>'Fiscal Forecasts'!E$149</f>
        <v>2.6749999999999998</v>
      </c>
      <c r="F73" s="35">
        <f>'Fiscal Forecasts'!F$149</f>
        <v>2.2170000000000001</v>
      </c>
      <c r="G73" s="35">
        <f>'Fiscal Forecasts'!G$149</f>
        <v>9.99</v>
      </c>
      <c r="H73" s="35">
        <f>'Fiscal Forecasts'!H$149</f>
        <v>3.093</v>
      </c>
      <c r="I73" s="35">
        <f>'Fiscal Forecasts'!I$149</f>
        <v>2.754</v>
      </c>
      <c r="J73" s="17">
        <f>'Fiscal Forecasts'!J$149</f>
        <v>6.6070000000000002</v>
      </c>
      <c r="K73" s="17">
        <f>'Fiscal Forecasts'!K$149</f>
        <v>6.3109999999999999</v>
      </c>
      <c r="L73" s="17">
        <f>'Fiscal Forecasts'!L$149</f>
        <v>7.3639999999999999</v>
      </c>
      <c r="M73" s="17">
        <f>'Fiscal Forecasts'!M$149</f>
        <v>6.6509999999999998</v>
      </c>
      <c r="N73" s="17">
        <f>'Fiscal Forecasts'!N$149</f>
        <v>6.335</v>
      </c>
      <c r="O73" s="16">
        <f ca="1">OFFSET(Assumptions!$B$53,0,$C$1)*O$394</f>
        <v>5.0083082706011082</v>
      </c>
      <c r="P73" s="16">
        <f ca="1">OFFSET(Assumptions!$B$53,0,$C$1)*P$394</f>
        <v>5.303445993985485</v>
      </c>
      <c r="Q73" s="16">
        <f ca="1">OFFSET(Assumptions!$B$53,0,$C$1)*Q$394</f>
        <v>5.6088278429922438</v>
      </c>
      <c r="R73" s="16">
        <f ca="1">OFFSET(Assumptions!$B$53,0,$C$1)*R$394</f>
        <v>5.9223912278876014</v>
      </c>
      <c r="S73" s="16">
        <f ca="1">OFFSET(Assumptions!$B$53,0,$C$1)*S$394</f>
        <v>6.2431275008564224</v>
      </c>
      <c r="T73" s="16">
        <f ca="1">OFFSET(Assumptions!$B$53,0,$C$1)*T$394</f>
        <v>6.5718228075012632</v>
      </c>
      <c r="U73" s="16">
        <f ca="1">OFFSET(Assumptions!$B$53,0,$C$1)*U$394</f>
        <v>6.9066586412970077</v>
      </c>
      <c r="V73" s="16">
        <f ca="1">OFFSET(Assumptions!$B$53,0,$C$1)*V$394</f>
        <v>7.2489560832900279</v>
      </c>
      <c r="W73" s="16">
        <f ca="1">OFFSET(Assumptions!$B$53,0,$C$1)*W$394</f>
        <v>7.6024543097193593</v>
      </c>
      <c r="X73" s="16">
        <f ca="1">OFFSET(Assumptions!$B$53,0,$C$1)*X$394</f>
        <v>7.9713789773345125</v>
      </c>
    </row>
    <row r="74" spans="1:24" x14ac:dyDescent="0.25">
      <c r="A74" s="11" t="s">
        <v>1045</v>
      </c>
      <c r="B74" s="10" t="str">
        <f t="shared" si="40"/>
        <v>From Fiscal Forecasts</v>
      </c>
      <c r="C74" s="13"/>
      <c r="D74" s="35">
        <f>'Fiscal Forecasts'!D$150</f>
        <v>92.590999999999994</v>
      </c>
      <c r="E74" s="35">
        <f>'Fiscal Forecasts'!E$150</f>
        <v>101.77800000000001</v>
      </c>
      <c r="F74" s="35">
        <f>'Fiscal Forecasts'!F$150</f>
        <v>108.423</v>
      </c>
      <c r="G74" s="35">
        <f>'Fiscal Forecasts'!G$150</f>
        <v>121.13800000000001</v>
      </c>
      <c r="H74" s="35">
        <f>'Fiscal Forecasts'!H$150</f>
        <v>135.595</v>
      </c>
      <c r="I74" s="35">
        <f>'Fiscal Forecasts'!I$150</f>
        <v>154.9</v>
      </c>
      <c r="J74" s="17">
        <f>'Fiscal Forecasts'!J$150+IF($C$3="Yes",'NZSF Adjuster'!U$26-'Fiscal Forecasts'!J$364,0)</f>
        <v>178.327</v>
      </c>
      <c r="K74" s="17">
        <f>'Fiscal Forecasts'!K$150+IF($C$3="Yes",'NZSF Adjuster'!V$26-'Fiscal Forecasts'!K$364,0)</f>
        <v>184.34800000000001</v>
      </c>
      <c r="L74" s="17">
        <f>'Fiscal Forecasts'!L$150+IF($C$3="Yes",'NZSF Adjuster'!W$26-'Fiscal Forecasts'!L$364,0)</f>
        <v>192.185</v>
      </c>
      <c r="M74" s="17">
        <f>'Fiscal Forecasts'!M$150+IF($C$3="Yes",'NZSF Adjuster'!X$26-'Fiscal Forecasts'!M$364,0)</f>
        <v>198.71100000000001</v>
      </c>
      <c r="N74" s="17">
        <f>'Fiscal Forecasts'!N$150+IF($C$3="Yes",'NZSF Adjuster'!Y$26-'Fiscal Forecasts'!N$364,0)</f>
        <v>206.35</v>
      </c>
      <c r="O74" s="16">
        <f t="shared" ref="O74:X74" ca="1" si="42">SUM(O$355,O$368,O$377,O$397,O$403)</f>
        <v>211.19504072049011</v>
      </c>
      <c r="P74" s="16">
        <f t="shared" ca="1" si="42"/>
        <v>217.89289636413051</v>
      </c>
      <c r="Q74" s="16">
        <f t="shared" ca="1" si="42"/>
        <v>224.80707839071698</v>
      </c>
      <c r="R74" s="16">
        <f t="shared" ca="1" si="42"/>
        <v>231.88820532530087</v>
      </c>
      <c r="S74" s="16">
        <f t="shared" ca="1" si="42"/>
        <v>239.11210667478636</v>
      </c>
      <c r="T74" s="16">
        <f t="shared" ca="1" si="42"/>
        <v>246.48584164773231</v>
      </c>
      <c r="U74" s="16">
        <f t="shared" ca="1" si="42"/>
        <v>253.96863580884855</v>
      </c>
      <c r="V74" s="16">
        <f t="shared" ca="1" si="42"/>
        <v>261.58583681645962</v>
      </c>
      <c r="W74" s="16">
        <f t="shared" ca="1" si="42"/>
        <v>269.42234041725624</v>
      </c>
      <c r="X74" s="16">
        <f t="shared" ca="1" si="42"/>
        <v>277.57621770886936</v>
      </c>
    </row>
    <row r="75" spans="1:24" x14ac:dyDescent="0.25">
      <c r="A75" s="11" t="s">
        <v>1046</v>
      </c>
      <c r="B75" s="10" t="str">
        <f t="shared" si="40"/>
        <v>From Fiscal Forecasts</v>
      </c>
      <c r="C75" s="13"/>
      <c r="D75" s="35">
        <f>'Fiscal Forecasts'!D$151</f>
        <v>0.66900000000000004</v>
      </c>
      <c r="E75" s="35">
        <f>'Fiscal Forecasts'!E$151</f>
        <v>1.9E-2</v>
      </c>
      <c r="F75" s="35">
        <f>'Fiscal Forecasts'!F$151</f>
        <v>5.6000000000000001E-2</v>
      </c>
      <c r="G75" s="35">
        <f>'Fiscal Forecasts'!G$151</f>
        <v>0.55100000000000005</v>
      </c>
      <c r="H75" s="35">
        <f>'Fiscal Forecasts'!H$151</f>
        <v>2.5649999999999999</v>
      </c>
      <c r="I75" s="35">
        <f>'Fiscal Forecasts'!I$151</f>
        <v>3.278</v>
      </c>
      <c r="J75" s="17">
        <f>'Fiscal Forecasts'!J$151</f>
        <v>4.8579999999999997</v>
      </c>
      <c r="K75" s="17">
        <f>'Fiscal Forecasts'!K$151</f>
        <v>4.2329999999999997</v>
      </c>
      <c r="L75" s="17">
        <f>'Fiscal Forecasts'!L$151</f>
        <v>4.2619999999999996</v>
      </c>
      <c r="M75" s="17">
        <f>'Fiscal Forecasts'!M$151</f>
        <v>4.2910000000000004</v>
      </c>
      <c r="N75" s="17">
        <f>'Fiscal Forecasts'!N$151</f>
        <v>4.3239999999999998</v>
      </c>
      <c r="O75" s="16">
        <f t="shared" ref="O75:X75" ca="1" si="43">N$75*(1+O$29)</f>
        <v>4.4104799999999997</v>
      </c>
      <c r="P75" s="16">
        <f t="shared" ca="1" si="43"/>
        <v>4.4986895999999996</v>
      </c>
      <c r="Q75" s="16">
        <f t="shared" ca="1" si="43"/>
        <v>4.588663392</v>
      </c>
      <c r="R75" s="16">
        <f t="shared" ca="1" si="43"/>
        <v>4.6804366598399998</v>
      </c>
      <c r="S75" s="16">
        <f t="shared" ca="1" si="43"/>
        <v>4.7740453930367996</v>
      </c>
      <c r="T75" s="16">
        <f t="shared" ca="1" si="43"/>
        <v>4.8695263008975358</v>
      </c>
      <c r="U75" s="16">
        <f t="shared" ca="1" si="43"/>
        <v>4.9669168269154866</v>
      </c>
      <c r="V75" s="16">
        <f t="shared" ca="1" si="43"/>
        <v>5.0662551634537962</v>
      </c>
      <c r="W75" s="16">
        <f t="shared" ca="1" si="43"/>
        <v>5.1675802667228723</v>
      </c>
      <c r="X75" s="16">
        <f t="shared" ca="1" si="43"/>
        <v>5.2709318720573295</v>
      </c>
    </row>
    <row r="76" spans="1:24" x14ac:dyDescent="0.25">
      <c r="A76" s="11" t="s">
        <v>650</v>
      </c>
      <c r="B76" s="10" t="str">
        <f t="shared" si="40"/>
        <v>From Fiscal Forecasts</v>
      </c>
      <c r="C76" s="13"/>
      <c r="D76" s="35">
        <f>'Fiscal Forecasts'!D$152</f>
        <v>46.292999999999999</v>
      </c>
      <c r="E76" s="35">
        <f>'Fiscal Forecasts'!E$152</f>
        <v>46.895000000000003</v>
      </c>
      <c r="F76" s="35">
        <f>'Fiscal Forecasts'!F$152</f>
        <v>61.483999999999995</v>
      </c>
      <c r="G76" s="35">
        <f>'Fiscal Forecasts'!G$152</f>
        <v>65.254999999999995</v>
      </c>
      <c r="H76" s="35">
        <f>'Fiscal Forecasts'!H$152</f>
        <v>67.994000000000014</v>
      </c>
      <c r="I76" s="35">
        <f>'Fiscal Forecasts'!I$152</f>
        <v>78.811999999999998</v>
      </c>
      <c r="J76" s="17">
        <f>'Fiscal Forecasts'!J$152+IF($C$3="Yes",'NZSF Adjuster'!U$26-'Fiscal Forecasts'!J$364,0)</f>
        <v>90.046999999999997</v>
      </c>
      <c r="K76" s="17">
        <f>'Fiscal Forecasts'!K$152+IF($C$3="Yes",'NZSF Adjuster'!V$26-'Fiscal Forecasts'!K$364,0)</f>
        <v>93.933000000000007</v>
      </c>
      <c r="L76" s="17">
        <f>'Fiscal Forecasts'!L$152+IF($C$3="Yes",'NZSF Adjuster'!W$26-'Fiscal Forecasts'!L$364,0)</f>
        <v>100.199</v>
      </c>
      <c r="M76" s="17">
        <f>'Fiscal Forecasts'!M$152+IF($C$3="Yes",'NZSF Adjuster'!X$26-'Fiscal Forecasts'!M$364,0)</f>
        <v>104.995</v>
      </c>
      <c r="N76" s="17">
        <f>'Fiscal Forecasts'!N$152+IF($C$3="Yes",'NZSF Adjuster'!Y$26-'Fiscal Forecasts'!N$364,0)</f>
        <v>110.628</v>
      </c>
      <c r="O76" s="16">
        <f t="shared" ref="O76:X76" ca="1" si="44">SUM(O$353,O$366,O$375,O$397,O$400,O$75-O$72)</f>
        <v>115.5183207204901</v>
      </c>
      <c r="P76" s="16">
        <f t="shared" ca="1" si="44"/>
        <v>122.28010196413048</v>
      </c>
      <c r="Q76" s="16">
        <f t="shared" ca="1" si="44"/>
        <v>129.27684810271697</v>
      </c>
      <c r="R76" s="16">
        <f t="shared" ca="1" si="44"/>
        <v>136.46117043154086</v>
      </c>
      <c r="S76" s="16">
        <f t="shared" ca="1" si="44"/>
        <v>143.80989108315114</v>
      </c>
      <c r="T76" s="16">
        <f t="shared" ca="1" si="44"/>
        <v>151.34106174426441</v>
      </c>
      <c r="U76" s="16">
        <f t="shared" ca="1" si="44"/>
        <v>159.01290030731127</v>
      </c>
      <c r="V76" s="16">
        <f t="shared" ca="1" si="44"/>
        <v>166.85574660489161</v>
      </c>
      <c r="W76" s="16">
        <f t="shared" ca="1" si="44"/>
        <v>174.95548840145685</v>
      </c>
      <c r="X76" s="16">
        <f t="shared" ca="1" si="44"/>
        <v>183.40918865275401</v>
      </c>
    </row>
    <row r="77" spans="1:24" x14ac:dyDescent="0.25">
      <c r="A77" s="11" t="s">
        <v>651</v>
      </c>
      <c r="B77" s="10" t="str">
        <f t="shared" si="40"/>
        <v>From Fiscal Forecasts</v>
      </c>
      <c r="C77" s="13"/>
      <c r="D77" s="35">
        <f>'Fiscal Forecasts'!D$153</f>
        <v>13.845000000000001</v>
      </c>
      <c r="E77" s="35">
        <f>'Fiscal Forecasts'!E$153</f>
        <v>14.555999999999999</v>
      </c>
      <c r="F77" s="35">
        <f>'Fiscal Forecasts'!F$153</f>
        <v>18.728000000000002</v>
      </c>
      <c r="G77" s="35">
        <f>'Fiscal Forecasts'!G$153</f>
        <v>26.103000000000002</v>
      </c>
      <c r="H77" s="35">
        <f>'Fiscal Forecasts'!H$153</f>
        <v>36.540999999999997</v>
      </c>
      <c r="I77" s="35">
        <f>'Fiscal Forecasts'!I$153</f>
        <v>40.387999999999998</v>
      </c>
      <c r="J77" s="17">
        <f>'Fiscal Forecasts'!J$153</f>
        <v>35.066000000000003</v>
      </c>
      <c r="K77" s="17">
        <f>'Fiscal Forecasts'!K$153</f>
        <v>29.248000000000001</v>
      </c>
      <c r="L77" s="17">
        <f>'Fiscal Forecasts'!L$153</f>
        <v>32.091999999999999</v>
      </c>
      <c r="M77" s="17">
        <f>'Fiscal Forecasts'!M$153</f>
        <v>33.713999999999999</v>
      </c>
      <c r="N77" s="17">
        <f>'Fiscal Forecasts'!N$153</f>
        <v>35.417999999999999</v>
      </c>
      <c r="O77" s="16">
        <f t="shared" ref="O77:X77" si="45">SUM(O$401:O$402)</f>
        <v>35.354999999999997</v>
      </c>
      <c r="P77" s="16">
        <f t="shared" si="45"/>
        <v>35.272999999999996</v>
      </c>
      <c r="Q77" s="16">
        <f t="shared" si="45"/>
        <v>35.171999999999997</v>
      </c>
      <c r="R77" s="16">
        <f t="shared" si="45"/>
        <v>35.049999999999997</v>
      </c>
      <c r="S77" s="16">
        <f t="shared" si="45"/>
        <v>34.905999999999999</v>
      </c>
      <c r="T77" s="16">
        <f t="shared" si="45"/>
        <v>34.728999999999999</v>
      </c>
      <c r="U77" s="16">
        <f t="shared" si="45"/>
        <v>34.519999999999996</v>
      </c>
      <c r="V77" s="16">
        <f t="shared" si="45"/>
        <v>34.274000000000001</v>
      </c>
      <c r="W77" s="16">
        <f t="shared" si="45"/>
        <v>33.989999999999995</v>
      </c>
      <c r="X77" s="16">
        <f t="shared" si="45"/>
        <v>33.668999999999997</v>
      </c>
    </row>
    <row r="78" spans="1:24" x14ac:dyDescent="0.25">
      <c r="A78" s="9" t="s">
        <v>896</v>
      </c>
      <c r="B78" s="9"/>
      <c r="C78" s="13"/>
      <c r="D78" s="65">
        <f>SUM(D$71,D$72,D$76,D$77)-SUM(D$73,D$74,D$75)</f>
        <v>57.736000000000004</v>
      </c>
      <c r="E78" s="65">
        <f t="shared" ref="E78:X78" si="46">SUM(E$71,E$72,E$76,E$77)-SUM(E$73,E$74,E$75)</f>
        <v>83.375</v>
      </c>
      <c r="F78" s="65">
        <f t="shared" si="46"/>
        <v>102.08000000000001</v>
      </c>
      <c r="G78" s="65">
        <f t="shared" si="46"/>
        <v>128.87299999999996</v>
      </c>
      <c r="H78" s="65">
        <f t="shared" si="46"/>
        <v>155.27300000000002</v>
      </c>
      <c r="I78" s="65">
        <f t="shared" si="46"/>
        <v>175.46399999999997</v>
      </c>
      <c r="J78" s="66">
        <f t="shared" si="46"/>
        <v>185.64400000000003</v>
      </c>
      <c r="K78" s="66">
        <f t="shared" si="46"/>
        <v>200.18799999999996</v>
      </c>
      <c r="L78" s="66">
        <f t="shared" si="46"/>
        <v>218.43800000000002</v>
      </c>
      <c r="M78" s="66">
        <f t="shared" si="46"/>
        <v>230.24799999999993</v>
      </c>
      <c r="N78" s="66">
        <f t="shared" si="46"/>
        <v>238.51499999999993</v>
      </c>
      <c r="O78" s="92">
        <f t="shared" ca="1" si="46"/>
        <v>242.24294279783129</v>
      </c>
      <c r="P78" s="92">
        <f t="shared" ca="1" si="46"/>
        <v>244.16668994366265</v>
      </c>
      <c r="Q78" s="92">
        <f t="shared" ca="1" si="46"/>
        <v>244.41584223574705</v>
      </c>
      <c r="R78" s="92">
        <f t="shared" ca="1" si="46"/>
        <v>243.04061108458248</v>
      </c>
      <c r="S78" s="92">
        <f t="shared" ca="1" si="46"/>
        <v>239.97754991734473</v>
      </c>
      <c r="T78" s="92">
        <f t="shared" ca="1" si="46"/>
        <v>235.10992228358418</v>
      </c>
      <c r="U78" s="92">
        <f t="shared" ca="1" si="46"/>
        <v>228.40163345783355</v>
      </c>
      <c r="V78" s="92">
        <f t="shared" ca="1" si="46"/>
        <v>219.81678681802595</v>
      </c>
      <c r="W78" s="92">
        <f t="shared" ca="1" si="46"/>
        <v>209.30798744795635</v>
      </c>
      <c r="X78" s="92">
        <f t="shared" ca="1" si="46"/>
        <v>196.79427360774548</v>
      </c>
    </row>
    <row r="79" spans="1:24" x14ac:dyDescent="0.25">
      <c r="A79" s="11" t="s">
        <v>653</v>
      </c>
      <c r="B79" s="10" t="str">
        <f t="shared" si="40"/>
        <v>From Fiscal Forecasts</v>
      </c>
      <c r="C79" s="13"/>
      <c r="D79" s="35">
        <f>'Fiscal Forecasts'!D$155</f>
        <v>6.931</v>
      </c>
      <c r="E79" s="35">
        <f>'Fiscal Forecasts'!E$155</f>
        <v>11.111000000000001</v>
      </c>
      <c r="F79" s="35">
        <f>'Fiscal Forecasts'!F$155</f>
        <v>11.836</v>
      </c>
      <c r="G79" s="35">
        <f>'Fiscal Forecasts'!G$155</f>
        <v>14.345000000000001</v>
      </c>
      <c r="H79" s="35">
        <f>'Fiscal Forecasts'!H$155</f>
        <v>48.11</v>
      </c>
      <c r="I79" s="35">
        <f>'Fiscal Forecasts'!I$155</f>
        <v>56.47</v>
      </c>
      <c r="J79" s="17">
        <f>'Fiscal Forecasts'!J$155</f>
        <v>62.162999999999997</v>
      </c>
      <c r="K79" s="17">
        <f>'Fiscal Forecasts'!K$155</f>
        <v>67.882999999999996</v>
      </c>
      <c r="L79" s="17">
        <f>'Fiscal Forecasts'!L$155</f>
        <v>73.34</v>
      </c>
      <c r="M79" s="17">
        <f>'Fiscal Forecasts'!M$155</f>
        <v>78.39</v>
      </c>
      <c r="N79" s="17">
        <f>'Fiscal Forecasts'!N$155</f>
        <v>82.649000000000001</v>
      </c>
      <c r="O79" s="16">
        <f t="shared" ref="O79:X79" ca="1" si="47">N$79+O$80-N$80</f>
        <v>84.811425450562993</v>
      </c>
      <c r="P79" s="16">
        <f t="shared" ca="1" si="47"/>
        <v>87.041151233088783</v>
      </c>
      <c r="Q79" s="16">
        <f t="shared" ca="1" si="47"/>
        <v>89.275718359475107</v>
      </c>
      <c r="R79" s="16">
        <f t="shared" ca="1" si="47"/>
        <v>91.510087401571781</v>
      </c>
      <c r="S79" s="16">
        <f t="shared" ca="1" si="47"/>
        <v>93.793723523637368</v>
      </c>
      <c r="T79" s="16">
        <f t="shared" ca="1" si="47"/>
        <v>96.12314169277056</v>
      </c>
      <c r="U79" s="16">
        <f t="shared" ca="1" si="47"/>
        <v>98.483618115721697</v>
      </c>
      <c r="V79" s="16">
        <f t="shared" ca="1" si="47"/>
        <v>100.87958384620518</v>
      </c>
      <c r="W79" s="16">
        <f t="shared" ca="1" si="47"/>
        <v>103.31094961895703</v>
      </c>
      <c r="X79" s="16">
        <f t="shared" ca="1" si="47"/>
        <v>105.79603706222977</v>
      </c>
    </row>
    <row r="80" spans="1:24" x14ac:dyDescent="0.25">
      <c r="A80" s="11" t="s">
        <v>1170</v>
      </c>
      <c r="B80" s="10" t="str">
        <f t="shared" si="40"/>
        <v>From Fiscal Forecasts</v>
      </c>
      <c r="C80" s="13"/>
      <c r="D80" s="35">
        <f>'Fiscal Forecasts'!D$156</f>
        <v>0</v>
      </c>
      <c r="E80" s="35">
        <f>'Fiscal Forecasts'!E$156</f>
        <v>0</v>
      </c>
      <c r="F80" s="35">
        <f>'Fiscal Forecasts'!F$156</f>
        <v>0</v>
      </c>
      <c r="G80" s="35">
        <f>'Fiscal Forecasts'!G$156</f>
        <v>0</v>
      </c>
      <c r="H80" s="35">
        <f>'Fiscal Forecasts'!H$156</f>
        <v>30.574000000000002</v>
      </c>
      <c r="I80" s="35">
        <f>'Fiscal Forecasts'!I$156</f>
        <v>33.290999999999997</v>
      </c>
      <c r="J80" s="17">
        <f>'Fiscal Forecasts'!J$156</f>
        <v>36.505000000000003</v>
      </c>
      <c r="K80" s="17">
        <f>'Fiscal Forecasts'!K$156</f>
        <v>40.314999999999998</v>
      </c>
      <c r="L80" s="17">
        <f>'Fiscal Forecasts'!L$156</f>
        <v>44.011000000000003</v>
      </c>
      <c r="M80" s="17">
        <f>'Fiscal Forecasts'!M$156</f>
        <v>48.152999999999999</v>
      </c>
      <c r="N80" s="17">
        <f>'Fiscal Forecasts'!N$156</f>
        <v>51.787999999999997</v>
      </c>
      <c r="O80" s="16">
        <f t="shared" ref="O80:X80" ca="1" si="48">N$80+O$404-N$404</f>
        <v>53.950425450562982</v>
      </c>
      <c r="P80" s="16">
        <f t="shared" ca="1" si="48"/>
        <v>56.180151233088779</v>
      </c>
      <c r="Q80" s="16">
        <f t="shared" ca="1" si="48"/>
        <v>58.414718359475103</v>
      </c>
      <c r="R80" s="16">
        <f t="shared" ca="1" si="48"/>
        <v>60.649087401571769</v>
      </c>
      <c r="S80" s="16">
        <f t="shared" ca="1" si="48"/>
        <v>62.932723523637343</v>
      </c>
      <c r="T80" s="16">
        <f t="shared" ca="1" si="48"/>
        <v>65.262141692770541</v>
      </c>
      <c r="U80" s="16">
        <f t="shared" ca="1" si="48"/>
        <v>67.622618115721679</v>
      </c>
      <c r="V80" s="16">
        <f t="shared" ca="1" si="48"/>
        <v>70.018583846205175</v>
      </c>
      <c r="W80" s="16">
        <f t="shared" ca="1" si="48"/>
        <v>72.449949618957021</v>
      </c>
      <c r="X80" s="16">
        <f t="shared" ca="1" si="48"/>
        <v>74.935037062229767</v>
      </c>
    </row>
    <row r="81" spans="1:24" x14ac:dyDescent="0.25">
      <c r="A81" s="9" t="s">
        <v>830</v>
      </c>
      <c r="B81" s="9"/>
      <c r="C81" s="13"/>
      <c r="D81" s="65">
        <f>SUM(D$78,D$79)-SUM(D$77,D$80)</f>
        <v>50.822000000000003</v>
      </c>
      <c r="E81" s="65">
        <f t="shared" ref="E81:X81" si="49">SUM(E$78,E$79)-SUM(E$77,E$80)</f>
        <v>79.930000000000007</v>
      </c>
      <c r="F81" s="65">
        <f t="shared" si="49"/>
        <v>95.188000000000017</v>
      </c>
      <c r="G81" s="65">
        <f t="shared" si="49"/>
        <v>117.11499999999995</v>
      </c>
      <c r="H81" s="65">
        <f t="shared" si="49"/>
        <v>136.26800000000003</v>
      </c>
      <c r="I81" s="65">
        <f t="shared" si="49"/>
        <v>158.25499999999997</v>
      </c>
      <c r="J81" s="66">
        <f t="shared" si="49"/>
        <v>176.23600000000002</v>
      </c>
      <c r="K81" s="66">
        <f t="shared" si="49"/>
        <v>198.50799999999998</v>
      </c>
      <c r="L81" s="66">
        <f t="shared" si="49"/>
        <v>215.67500000000001</v>
      </c>
      <c r="M81" s="66">
        <f t="shared" si="49"/>
        <v>226.77099999999993</v>
      </c>
      <c r="N81" s="66">
        <f t="shared" si="49"/>
        <v>233.95799999999994</v>
      </c>
      <c r="O81" s="92">
        <f t="shared" ca="1" si="49"/>
        <v>237.74894279783129</v>
      </c>
      <c r="P81" s="92">
        <f t="shared" ca="1" si="49"/>
        <v>239.7546899436627</v>
      </c>
      <c r="Q81" s="92">
        <f t="shared" ca="1" si="49"/>
        <v>240.10484223574704</v>
      </c>
      <c r="R81" s="92">
        <f t="shared" ca="1" si="49"/>
        <v>238.85161108458249</v>
      </c>
      <c r="S81" s="92">
        <f t="shared" ca="1" si="49"/>
        <v>235.93254991734477</v>
      </c>
      <c r="T81" s="92">
        <f t="shared" ca="1" si="49"/>
        <v>231.24192228358419</v>
      </c>
      <c r="U81" s="92">
        <f t="shared" ca="1" si="49"/>
        <v>224.74263345783356</v>
      </c>
      <c r="V81" s="92">
        <f t="shared" ca="1" si="49"/>
        <v>216.40378681802599</v>
      </c>
      <c r="W81" s="92">
        <f t="shared" ca="1" si="49"/>
        <v>206.17898744795633</v>
      </c>
      <c r="X81" s="92">
        <f t="shared" ca="1" si="49"/>
        <v>193.98627360774546</v>
      </c>
    </row>
    <row r="82" spans="1:24" x14ac:dyDescent="0.25">
      <c r="A82" s="9" t="s">
        <v>656</v>
      </c>
      <c r="B82" s="9"/>
      <c r="C82" s="13"/>
      <c r="D82" s="65">
        <f>SUM(D$81,D$73)-D$76</f>
        <v>5.4320000000000022</v>
      </c>
      <c r="E82" s="65">
        <f t="shared" ref="E82:X82" si="50">SUM(E$81,E$73)-E$76</f>
        <v>35.71</v>
      </c>
      <c r="F82" s="65">
        <f t="shared" si="50"/>
        <v>35.921000000000021</v>
      </c>
      <c r="G82" s="65">
        <f t="shared" si="50"/>
        <v>61.849999999999952</v>
      </c>
      <c r="H82" s="65">
        <f t="shared" si="50"/>
        <v>71.367000000000004</v>
      </c>
      <c r="I82" s="65">
        <f t="shared" si="50"/>
        <v>82.19699999999996</v>
      </c>
      <c r="J82" s="66">
        <f t="shared" si="50"/>
        <v>92.796000000000021</v>
      </c>
      <c r="K82" s="66">
        <f t="shared" si="50"/>
        <v>110.88599999999998</v>
      </c>
      <c r="L82" s="66">
        <f t="shared" si="50"/>
        <v>122.84000000000002</v>
      </c>
      <c r="M82" s="66">
        <f t="shared" si="50"/>
        <v>128.42699999999994</v>
      </c>
      <c r="N82" s="66">
        <f t="shared" si="50"/>
        <v>129.66499999999996</v>
      </c>
      <c r="O82" s="92">
        <f t="shared" ca="1" si="50"/>
        <v>127.2389303479423</v>
      </c>
      <c r="P82" s="92">
        <f t="shared" ca="1" si="50"/>
        <v>122.77803397351771</v>
      </c>
      <c r="Q82" s="92">
        <f t="shared" ca="1" si="50"/>
        <v>116.43682197602232</v>
      </c>
      <c r="R82" s="92">
        <f t="shared" ca="1" si="50"/>
        <v>108.31283188092922</v>
      </c>
      <c r="S82" s="92">
        <f t="shared" ca="1" si="50"/>
        <v>98.365786335050046</v>
      </c>
      <c r="T82" s="92">
        <f t="shared" ca="1" si="50"/>
        <v>86.472683346821043</v>
      </c>
      <c r="U82" s="92">
        <f t="shared" ca="1" si="50"/>
        <v>72.636391791819307</v>
      </c>
      <c r="V82" s="92">
        <f t="shared" ca="1" si="50"/>
        <v>56.796996296424425</v>
      </c>
      <c r="W82" s="92">
        <f t="shared" ca="1" si="50"/>
        <v>38.825953356218832</v>
      </c>
      <c r="X82" s="92">
        <f t="shared" ca="1" si="50"/>
        <v>18.548463932325973</v>
      </c>
    </row>
    <row r="83" spans="1:24" x14ac:dyDescent="0.25">
      <c r="A83" s="55" t="s">
        <v>897</v>
      </c>
      <c r="B83" s="10" t="str">
        <f>$B$42</f>
        <v>Outturn &amp; Forecast only</v>
      </c>
      <c r="C83" s="13"/>
      <c r="D83" s="91" t="str">
        <f>IF(ROUND('Fiscal Forecasts'!D$158-D$82,3)=0,"OK","ERROR")</f>
        <v>OK</v>
      </c>
      <c r="E83" s="91" t="str">
        <f>IF(ROUND('Fiscal Forecasts'!E$158-E$82,3)=0,"OK","ERROR")</f>
        <v>OK</v>
      </c>
      <c r="F83" s="91" t="str">
        <f>IF(ROUND('Fiscal Forecasts'!F$158-F$82,3)=0,"OK","ERROR")</f>
        <v>OK</v>
      </c>
      <c r="G83" s="91" t="str">
        <f>IF(ROUND('Fiscal Forecasts'!G$158-G$82,3)=0,"OK","ERROR")</f>
        <v>OK</v>
      </c>
      <c r="H83" s="91" t="str">
        <f>IF(ROUND('Fiscal Forecasts'!H$158-H$82,3)=0,"OK","ERROR")</f>
        <v>OK</v>
      </c>
      <c r="I83" s="91" t="str">
        <f>IF(ROUND('Fiscal Forecasts'!I$158-I$82,3)=0,"OK","ERROR")</f>
        <v>OK</v>
      </c>
      <c r="J83" s="91" t="str">
        <f>IF(ROUND('Fiscal Forecasts'!J$158+IF($C$2="Yes",'Fiscal Forecast Adjuster'!C$40/1000,0)+IF($C$3="Yes",'NZSF Adjuster'!U$11-('NZSF Adjuster'!U$26-'Fiscal Forecasts'!J$364),0)-J$82,3)=0,"OK","ERROR")</f>
        <v>OK</v>
      </c>
      <c r="K83" s="91" t="str">
        <f>IF(ROUND('Fiscal Forecasts'!K$158+IF($C$2="Yes",'Fiscal Forecast Adjuster'!D$40/1000,0)+IF($C$3="Yes",'NZSF Adjuster'!V$11-('NZSF Adjuster'!V$26-'Fiscal Forecasts'!K$364),0)-K$82,3)=0,"OK","ERROR")</f>
        <v>OK</v>
      </c>
      <c r="L83" s="91" t="str">
        <f>IF(ROUND('Fiscal Forecasts'!L$158+IF($C$2="Yes",'Fiscal Forecast Adjuster'!E$40/1000,0)+IF($C$3="Yes",'NZSF Adjuster'!W$11-('NZSF Adjuster'!W$26-'Fiscal Forecasts'!L$364),0)-L$82,3)=0,"OK","ERROR")</f>
        <v>OK</v>
      </c>
      <c r="M83" s="91" t="str">
        <f>IF(ROUND('Fiscal Forecasts'!M$158+IF($C$2="Yes",'Fiscal Forecast Adjuster'!F$40/1000,0)+IF($C$3="Yes",'NZSF Adjuster'!X$11-('NZSF Adjuster'!X$26-'Fiscal Forecasts'!M$364),0)-M$82,3)=0,"OK","ERROR")</f>
        <v>OK</v>
      </c>
      <c r="N83" s="91" t="str">
        <f>IF(ROUND('Fiscal Forecasts'!N$158+IF($C$2="Yes",'Fiscal Forecast Adjuster'!G$40/1000,0)+IF($C$3="Yes",'NZSF Adjuster'!Y$11-('NZSF Adjuster'!Y$26-'Fiscal Forecasts'!N$364),0)-N$82,3)=0,"OK","ERROR")</f>
        <v>OK</v>
      </c>
      <c r="O83" s="18"/>
      <c r="P83" s="18"/>
      <c r="Q83" s="18"/>
      <c r="R83" s="18"/>
      <c r="S83" s="18"/>
      <c r="T83" s="18"/>
      <c r="U83" s="18"/>
      <c r="V83" s="18"/>
      <c r="W83" s="18"/>
      <c r="X83" s="18"/>
    </row>
    <row r="84" spans="1:24" x14ac:dyDescent="0.25">
      <c r="A84" s="11" t="s">
        <v>898</v>
      </c>
      <c r="B84" s="10" t="str">
        <f t="shared" ref="B84" si="51">$B$38</f>
        <v>From Fiscal Forecasts</v>
      </c>
      <c r="C84" s="13"/>
      <c r="D84" s="35">
        <f>'Fiscal Forecasts'!D$160</f>
        <v>6.4809999999999999</v>
      </c>
      <c r="E84" s="35">
        <f>'Fiscal Forecasts'!E$160</f>
        <v>21.887999999999998</v>
      </c>
      <c r="F84" s="35">
        <f>'Fiscal Forecasts'!F$160</f>
        <v>30.420999999999999</v>
      </c>
      <c r="G84" s="35">
        <f>'Fiscal Forecasts'!G$160</f>
        <v>45.088000000000001</v>
      </c>
      <c r="H84" s="35">
        <f>'Fiscal Forecasts'!H$160</f>
        <v>53.109000000000002</v>
      </c>
      <c r="I84" s="35">
        <f>'Fiscal Forecasts'!I$160</f>
        <v>38.475999999999999</v>
      </c>
      <c r="J84" s="17">
        <f>'Fiscal Forecasts'!J$160</f>
        <v>33.716999999999999</v>
      </c>
      <c r="K84" s="17">
        <f>'Fiscal Forecasts'!K$160</f>
        <v>26.771999999999998</v>
      </c>
      <c r="L84" s="17">
        <f>'Fiscal Forecasts'!L$160</f>
        <v>20.100000000000001</v>
      </c>
      <c r="M84" s="17">
        <f>'Fiscal Forecasts'!M$160</f>
        <v>20.100000000000001</v>
      </c>
      <c r="N84" s="17">
        <f>'Fiscal Forecasts'!N$160</f>
        <v>20.100000000000001</v>
      </c>
      <c r="O84" s="16">
        <f t="shared" ref="O84:X84" ca="1" si="52">N$84*(1+O$29)</f>
        <v>20.502000000000002</v>
      </c>
      <c r="P84" s="16">
        <f t="shared" ca="1" si="52"/>
        <v>20.912040000000005</v>
      </c>
      <c r="Q84" s="16">
        <f t="shared" ca="1" si="52"/>
        <v>21.330280800000004</v>
      </c>
      <c r="R84" s="16">
        <f t="shared" ca="1" si="52"/>
        <v>21.756886416000004</v>
      </c>
      <c r="S84" s="16">
        <f t="shared" ca="1" si="52"/>
        <v>22.192024144320005</v>
      </c>
      <c r="T84" s="16">
        <f t="shared" ca="1" si="52"/>
        <v>22.635864627206406</v>
      </c>
      <c r="U84" s="16">
        <f t="shared" ca="1" si="52"/>
        <v>23.088581919750535</v>
      </c>
      <c r="V84" s="16">
        <f t="shared" ca="1" si="52"/>
        <v>23.550353558145545</v>
      </c>
      <c r="W84" s="16">
        <f t="shared" ca="1" si="52"/>
        <v>24.021360629308457</v>
      </c>
      <c r="X84" s="16">
        <f t="shared" ca="1" si="52"/>
        <v>24.501787841894625</v>
      </c>
    </row>
    <row r="85" spans="1:24" x14ac:dyDescent="0.25">
      <c r="A85" s="55" t="s">
        <v>659</v>
      </c>
      <c r="B85" s="9"/>
      <c r="C85" s="13"/>
      <c r="D85" s="65">
        <f>SUM(D$71,D$72)-SUM(D$73,D$84)</f>
        <v>84.37700000000001</v>
      </c>
      <c r="E85" s="65">
        <f t="shared" ref="E85:X85" si="53">SUM(E$71,E$72)-SUM(E$73,E$84)</f>
        <v>101.833</v>
      </c>
      <c r="F85" s="65">
        <f t="shared" si="53"/>
        <v>99.925999999999988</v>
      </c>
      <c r="G85" s="65">
        <f t="shared" si="53"/>
        <v>114.11599999999999</v>
      </c>
      <c r="H85" s="65">
        <f t="shared" si="53"/>
        <v>135.78899999999999</v>
      </c>
      <c r="I85" s="65">
        <f t="shared" si="53"/>
        <v>175.96600000000001</v>
      </c>
      <c r="J85" s="66">
        <f t="shared" si="53"/>
        <v>209.99899999999997</v>
      </c>
      <c r="K85" s="66">
        <f t="shared" si="53"/>
        <v>238.816</v>
      </c>
      <c r="L85" s="66">
        <f t="shared" si="53"/>
        <v>262.49400000000003</v>
      </c>
      <c r="M85" s="66">
        <f t="shared" si="53"/>
        <v>274.44099999999997</v>
      </c>
      <c r="N85" s="66">
        <f t="shared" si="53"/>
        <v>283.04299999999995</v>
      </c>
      <c r="O85" s="92">
        <f t="shared" ca="1" si="53"/>
        <v>286.47314279783131</v>
      </c>
      <c r="P85" s="92">
        <f t="shared" ca="1" si="53"/>
        <v>288.09313394366262</v>
      </c>
      <c r="Q85" s="92">
        <f t="shared" ca="1" si="53"/>
        <v>288.03245511574704</v>
      </c>
      <c r="R85" s="92">
        <f t="shared" ca="1" si="53"/>
        <v>286.34119622218248</v>
      </c>
      <c r="S85" s="92">
        <f t="shared" ca="1" si="53"/>
        <v>282.95578675769679</v>
      </c>
      <c r="T85" s="92">
        <f t="shared" ca="1" si="53"/>
        <v>277.75936386074318</v>
      </c>
      <c r="U85" s="92">
        <f t="shared" ca="1" si="53"/>
        <v>270.71570386653582</v>
      </c>
      <c r="V85" s="92">
        <f t="shared" ca="1" si="53"/>
        <v>261.78877863490214</v>
      </c>
      <c r="W85" s="92">
        <f t="shared" ca="1" si="53"/>
        <v>250.93105910117012</v>
      </c>
      <c r="X85" s="92">
        <f t="shared" ca="1" si="53"/>
        <v>238.06144669402354</v>
      </c>
    </row>
    <row r="86" spans="1:24" x14ac:dyDescent="0.25">
      <c r="A86" s="9"/>
      <c r="B86" s="9"/>
      <c r="C86" s="13"/>
      <c r="D86" s="36"/>
      <c r="E86" s="36"/>
      <c r="F86" s="36"/>
      <c r="G86" s="36"/>
      <c r="H86" s="36"/>
      <c r="I86" s="36"/>
      <c r="J86" s="36"/>
      <c r="K86" s="36"/>
      <c r="L86" s="36"/>
      <c r="M86" s="36"/>
      <c r="N86" s="36"/>
      <c r="O86" s="18"/>
      <c r="P86" s="18"/>
      <c r="Q86" s="18"/>
      <c r="R86" s="18"/>
      <c r="S86" s="18"/>
      <c r="T86" s="18"/>
      <c r="U86" s="18"/>
      <c r="V86" s="18"/>
      <c r="W86" s="18"/>
      <c r="X86" s="18"/>
    </row>
    <row r="87" spans="1:24" x14ac:dyDescent="0.25">
      <c r="A87" s="12" t="s">
        <v>1048</v>
      </c>
      <c r="B87" s="9"/>
      <c r="C87" s="13"/>
      <c r="D87" s="36"/>
      <c r="E87" s="36"/>
      <c r="F87" s="36"/>
      <c r="G87" s="36"/>
      <c r="H87" s="36"/>
      <c r="I87" s="36"/>
      <c r="J87" s="19"/>
      <c r="K87" s="19"/>
      <c r="L87" s="19"/>
      <c r="M87" s="19"/>
      <c r="N87" s="19"/>
      <c r="O87" s="18"/>
      <c r="P87" s="18"/>
      <c r="Q87" s="18"/>
      <c r="R87" s="18"/>
      <c r="S87" s="18"/>
      <c r="T87" s="18"/>
      <c r="U87" s="18"/>
      <c r="V87" s="18"/>
      <c r="W87" s="18"/>
      <c r="X87" s="18"/>
    </row>
    <row r="88" spans="1:24" x14ac:dyDescent="0.25">
      <c r="A88" s="11" t="s">
        <v>574</v>
      </c>
      <c r="B88" s="10" t="str">
        <f t="shared" ref="B88:B96" si="54">$B$38</f>
        <v>From Fiscal Forecasts</v>
      </c>
      <c r="C88" s="13"/>
      <c r="D88" s="35">
        <f>'Fiscal Forecasts'!D$74</f>
        <v>83.016999999999996</v>
      </c>
      <c r="E88" s="35">
        <f>'Fiscal Forecasts'!E$74</f>
        <v>83.156000000000006</v>
      </c>
      <c r="F88" s="35">
        <f>'Fiscal Forecasts'!F$74</f>
        <v>95.382000000000005</v>
      </c>
      <c r="G88" s="35">
        <f>'Fiscal Forecasts'!G$74</f>
        <v>102.712</v>
      </c>
      <c r="H88" s="35">
        <f>'Fiscal Forecasts'!H$74</f>
        <v>110.78700000000001</v>
      </c>
      <c r="I88" s="35">
        <f>'Fiscal Forecasts'!I$74</f>
        <v>116.042</v>
      </c>
      <c r="J88" s="17">
        <f>'Fiscal Forecasts'!J$74+IF($C$2="Yes",SUM('Fiscal Forecast Adjuster'!C$8:C$13)/1000,0)</f>
        <v>121.328</v>
      </c>
      <c r="K88" s="17">
        <f>'Fiscal Forecasts'!K$74+IF($C$2="Yes",SUM('Fiscal Forecast Adjuster'!D$8:D$13)/1000,0)</f>
        <v>122.887</v>
      </c>
      <c r="L88" s="17">
        <f>'Fiscal Forecasts'!L$74+IF($C$2="Yes",SUM('Fiscal Forecast Adjuster'!E$8:E$13)/1000,0)</f>
        <v>131.096</v>
      </c>
      <c r="M88" s="17">
        <f>'Fiscal Forecasts'!M$74+IF($C$2="Yes",SUM('Fiscal Forecast Adjuster'!F$8:F$13)/1000,0)</f>
        <v>138.239</v>
      </c>
      <c r="N88" s="17">
        <f>'Fiscal Forecasts'!N$74+IF($C$2="Yes",SUM('Fiscal Forecast Adjuster'!G$8:G$13)/1000,0)</f>
        <v>145.541</v>
      </c>
      <c r="O88" s="16">
        <f t="shared" ref="O88:X88" ca="1" si="55">(O$489-O$385+O$141)</f>
        <v>151.09837350612511</v>
      </c>
      <c r="P88" s="16">
        <f t="shared" ca="1" si="55"/>
        <v>157.26363368341887</v>
      </c>
      <c r="Q88" s="16">
        <f t="shared" ca="1" si="55"/>
        <v>163.66152400156537</v>
      </c>
      <c r="R88" s="16">
        <f t="shared" ca="1" si="55"/>
        <v>170.09394244765312</v>
      </c>
      <c r="S88" s="16">
        <f t="shared" ca="1" si="55"/>
        <v>176.65559011328375</v>
      </c>
      <c r="T88" s="16">
        <f t="shared" ca="1" si="55"/>
        <v>183.34833573537901</v>
      </c>
      <c r="U88" s="16">
        <f t="shared" ca="1" si="55"/>
        <v>190.13476110159522</v>
      </c>
      <c r="V88" s="16">
        <f t="shared" ca="1" si="55"/>
        <v>197.02207339143527</v>
      </c>
      <c r="W88" s="16">
        <f t="shared" ca="1" si="55"/>
        <v>204.00959554257619</v>
      </c>
      <c r="X88" s="16">
        <f t="shared" ca="1" si="55"/>
        <v>211.14540203345899</v>
      </c>
    </row>
    <row r="89" spans="1:24" x14ac:dyDescent="0.25">
      <c r="A89" s="11" t="s">
        <v>575</v>
      </c>
      <c r="B89" s="10" t="str">
        <f t="shared" si="54"/>
        <v>From Fiscal Forecasts</v>
      </c>
      <c r="C89" s="13"/>
      <c r="D89" s="35">
        <f>'Fiscal Forecasts'!D$75</f>
        <v>5.1870000000000003</v>
      </c>
      <c r="E89" s="35">
        <f>'Fiscal Forecasts'!E$75</f>
        <v>5.2939999999999996</v>
      </c>
      <c r="F89" s="35">
        <f>'Fiscal Forecasts'!F$75</f>
        <v>6.4240000000000004</v>
      </c>
      <c r="G89" s="35">
        <f>'Fiscal Forecasts'!G$75</f>
        <v>7.8029999999999999</v>
      </c>
      <c r="H89" s="35">
        <f>'Fiscal Forecasts'!H$75</f>
        <v>7.6310000000000002</v>
      </c>
      <c r="I89" s="35">
        <f>'Fiscal Forecasts'!I$75</f>
        <v>7.484</v>
      </c>
      <c r="J89" s="17">
        <f>'Fiscal Forecasts'!J$75</f>
        <v>7.9989999999999997</v>
      </c>
      <c r="K89" s="17">
        <f>'Fiscal Forecasts'!K$75</f>
        <v>8.6050000000000004</v>
      </c>
      <c r="L89" s="17">
        <f>'Fiscal Forecasts'!L$75</f>
        <v>9.2100000000000009</v>
      </c>
      <c r="M89" s="17">
        <f>'Fiscal Forecasts'!M$75</f>
        <v>9.8490000000000002</v>
      </c>
      <c r="N89" s="17">
        <f>'Fiscal Forecasts'!N$75</f>
        <v>10.413</v>
      </c>
      <c r="O89" s="16">
        <f t="shared" ref="O89:X89" ca="1" si="56">SUM(O$146,O$148,O$149,O$151)</f>
        <v>11.624343197189001</v>
      </c>
      <c r="P89" s="16">
        <f t="shared" ca="1" si="56"/>
        <v>12.357999630779686</v>
      </c>
      <c r="Q89" s="16">
        <f t="shared" ca="1" si="56"/>
        <v>13.175966787549914</v>
      </c>
      <c r="R89" s="16">
        <f t="shared" ca="1" si="56"/>
        <v>14.032442985481318</v>
      </c>
      <c r="S89" s="16">
        <f t="shared" ca="1" si="56"/>
        <v>14.959409050031137</v>
      </c>
      <c r="T89" s="16">
        <f t="shared" ca="1" si="56"/>
        <v>15.929322116477383</v>
      </c>
      <c r="U89" s="16">
        <f t="shared" ca="1" si="56"/>
        <v>16.978729004015072</v>
      </c>
      <c r="V89" s="16">
        <f t="shared" ca="1" si="56"/>
        <v>17.901857933544228</v>
      </c>
      <c r="W89" s="16">
        <f t="shared" ca="1" si="56"/>
        <v>18.601225007730122</v>
      </c>
      <c r="X89" s="16">
        <f t="shared" ca="1" si="56"/>
        <v>19.244960779862286</v>
      </c>
    </row>
    <row r="90" spans="1:24" x14ac:dyDescent="0.25">
      <c r="A90" s="11" t="s">
        <v>530</v>
      </c>
      <c r="B90" s="10" t="str">
        <f t="shared" si="54"/>
        <v>From Fiscal Forecasts</v>
      </c>
      <c r="C90" s="13"/>
      <c r="D90" s="35">
        <f>'Fiscal Forecasts'!D$76</f>
        <v>19.763999999999999</v>
      </c>
      <c r="E90" s="35">
        <f>'Fiscal Forecasts'!E$76</f>
        <v>18.289000000000001</v>
      </c>
      <c r="F90" s="35">
        <f>'Fiscal Forecasts'!F$76</f>
        <v>17.731999999999999</v>
      </c>
      <c r="G90" s="35">
        <f>'Fiscal Forecasts'!G$76</f>
        <v>17.834</v>
      </c>
      <c r="H90" s="35">
        <f>'Fiscal Forecasts'!H$76</f>
        <v>22.283999999999999</v>
      </c>
      <c r="I90" s="35">
        <f>'Fiscal Forecasts'!I$76</f>
        <v>24.359000000000002</v>
      </c>
      <c r="J90" s="17">
        <f>'Fiscal Forecasts'!J$76</f>
        <v>27.206</v>
      </c>
      <c r="K90" s="17">
        <f>'Fiscal Forecasts'!K$76</f>
        <v>27.605</v>
      </c>
      <c r="L90" s="17">
        <f>'Fiscal Forecasts'!L$76</f>
        <v>28.786999999999999</v>
      </c>
      <c r="M90" s="17">
        <f>'Fiscal Forecasts'!M$76</f>
        <v>29.917000000000002</v>
      </c>
      <c r="N90" s="17">
        <f>'Fiscal Forecasts'!N$76</f>
        <v>30.298999999999999</v>
      </c>
      <c r="O90" s="16">
        <f t="shared" ref="O90:X90" ca="1" si="57">O$155</f>
        <v>31.517025502224552</v>
      </c>
      <c r="P90" s="16">
        <f t="shared" ca="1" si="57"/>
        <v>32.834131196395788</v>
      </c>
      <c r="Q90" s="16">
        <f t="shared" ca="1" si="57"/>
        <v>34.154889165926434</v>
      </c>
      <c r="R90" s="16">
        <f t="shared" ca="1" si="57"/>
        <v>35.475773927409826</v>
      </c>
      <c r="S90" s="16">
        <f t="shared" ca="1" si="57"/>
        <v>36.824653359169588</v>
      </c>
      <c r="T90" s="16">
        <f t="shared" ca="1" si="57"/>
        <v>38.199401650237419</v>
      </c>
      <c r="U90" s="16">
        <f t="shared" ca="1" si="57"/>
        <v>39.59293518274719</v>
      </c>
      <c r="V90" s="16">
        <f t="shared" ca="1" si="57"/>
        <v>41.007289806661774</v>
      </c>
      <c r="W90" s="16">
        <f t="shared" ca="1" si="57"/>
        <v>42.441198296769436</v>
      </c>
      <c r="X90" s="16">
        <f t="shared" ca="1" si="57"/>
        <v>43.90572355563144</v>
      </c>
    </row>
    <row r="91" spans="1:24" x14ac:dyDescent="0.25">
      <c r="A91" s="11" t="s">
        <v>576</v>
      </c>
      <c r="B91" s="10" t="str">
        <f t="shared" si="54"/>
        <v>From Fiscal Forecasts</v>
      </c>
      <c r="C91" s="13"/>
      <c r="D91" s="35">
        <f>'Fiscal Forecasts'!D$77</f>
        <v>2.528</v>
      </c>
      <c r="E91" s="35">
        <f>'Fiscal Forecasts'!E$77</f>
        <v>2.3069999999999999</v>
      </c>
      <c r="F91" s="35">
        <f>'Fiscal Forecasts'!F$77</f>
        <v>1.67</v>
      </c>
      <c r="G91" s="35">
        <f>'Fiscal Forecasts'!G$77</f>
        <v>1.9610000000000001</v>
      </c>
      <c r="H91" s="35">
        <f>'Fiscal Forecasts'!H$77</f>
        <v>3.6110000000000002</v>
      </c>
      <c r="I91" s="35">
        <f>'Fiscal Forecasts'!I$77</f>
        <v>5.2830000000000004</v>
      </c>
      <c r="J91" s="17">
        <f ca="1">'Fiscal Forecasts'!J$77+IF($C$3="Yes",OFFSET(Assumptions!$B$47,0,$C$1)*('NZSF Adjuster'!U$21-'Fiscal Forecasts'!J$358),0)</f>
        <v>6.0940000000000003</v>
      </c>
      <c r="K91" s="17">
        <f ca="1">'Fiscal Forecasts'!K$77+IF($C$3="Yes",OFFSET(Assumptions!$B$47,0,$C$1)*('NZSF Adjuster'!V$21-'Fiscal Forecasts'!K$358),0)</f>
        <v>5.6040000000000001</v>
      </c>
      <c r="L91" s="17">
        <f ca="1">'Fiscal Forecasts'!L$77+IF($C$3="Yes",OFFSET(Assumptions!$B$47,0,$C$1)*('NZSF Adjuster'!W$21-'Fiscal Forecasts'!L$358),0)</f>
        <v>4.6559999999999997</v>
      </c>
      <c r="M91" s="17">
        <f ca="1">'Fiscal Forecasts'!M$77+IF($C$3="Yes",OFFSET(Assumptions!$B$47,0,$C$1)*('NZSF Adjuster'!X$21-'Fiscal Forecasts'!M$358),0)</f>
        <v>4.6390000000000002</v>
      </c>
      <c r="N91" s="17">
        <f ca="1">'Fiscal Forecasts'!N$77+IF($C$3="Yes",OFFSET(Assumptions!$B$47,0,$C$1)*('NZSF Adjuster'!Y$21-'Fiscal Forecasts'!N$358),0)</f>
        <v>4.9080000000000004</v>
      </c>
      <c r="O91" s="16">
        <f t="shared" ref="O91:X91" ca="1" si="58">SUM(O$158,O$160,O$162:O$164,O$341)</f>
        <v>6.9626776990843595</v>
      </c>
      <c r="P91" s="16">
        <f t="shared" ca="1" si="58"/>
        <v>7.096944455830168</v>
      </c>
      <c r="Q91" s="16">
        <f t="shared" ca="1" si="58"/>
        <v>7.2342034416784191</v>
      </c>
      <c r="R91" s="16">
        <f t="shared" ca="1" si="58"/>
        <v>7.3741305167375675</v>
      </c>
      <c r="S91" s="16">
        <f t="shared" ca="1" si="58"/>
        <v>7.5165717741497984</v>
      </c>
      <c r="T91" s="16">
        <f t="shared" ca="1" si="58"/>
        <v>7.6509193443429977</v>
      </c>
      <c r="U91" s="16">
        <f t="shared" ca="1" si="58"/>
        <v>7.7874269024508687</v>
      </c>
      <c r="V91" s="16">
        <f t="shared" ca="1" si="58"/>
        <v>7.926034612833865</v>
      </c>
      <c r="W91" s="16">
        <f t="shared" ca="1" si="58"/>
        <v>8.0672401452018629</v>
      </c>
      <c r="X91" s="16">
        <f t="shared" ca="1" si="58"/>
        <v>8.2119143950204592</v>
      </c>
    </row>
    <row r="92" spans="1:24" x14ac:dyDescent="0.25">
      <c r="A92" s="11" t="s">
        <v>577</v>
      </c>
      <c r="B92" s="10" t="str">
        <f t="shared" si="54"/>
        <v>From Fiscal Forecasts</v>
      </c>
      <c r="C92" s="13"/>
      <c r="D92" s="35">
        <f>'Fiscal Forecasts'!D$78</f>
        <v>4.5629999999999997</v>
      </c>
      <c r="E92" s="35">
        <f>'Fiscal Forecasts'!E$78</f>
        <v>4.5439999999999996</v>
      </c>
      <c r="F92" s="35">
        <f>'Fiscal Forecasts'!F$78</f>
        <v>4.8140000000000001</v>
      </c>
      <c r="G92" s="35">
        <f>'Fiscal Forecasts'!G$78</f>
        <v>4.8019999999999996</v>
      </c>
      <c r="H92" s="35">
        <f>'Fiscal Forecasts'!H$78</f>
        <v>4.9219999999999997</v>
      </c>
      <c r="I92" s="35">
        <f>'Fiscal Forecasts'!I$78</f>
        <v>6.5350000000000001</v>
      </c>
      <c r="J92" s="17">
        <f ca="1">'Fiscal Forecasts'!J$78+IF($C$3="Yes",(1-OFFSET(Assumptions!$B$47,0,$C$1))*('NZSF Adjuster'!U$21-'Fiscal Forecasts'!J$358),0)</f>
        <v>6.6260000000000003</v>
      </c>
      <c r="K92" s="17">
        <f ca="1">'Fiscal Forecasts'!K$78+IF($C$3="Yes",(1-OFFSET(Assumptions!$B$47,0,$C$1))*('NZSF Adjuster'!V$21-'Fiscal Forecasts'!K$358),0)</f>
        <v>6.0540000000000003</v>
      </c>
      <c r="L92" s="17">
        <f ca="1">'Fiscal Forecasts'!L$78+IF($C$3="Yes",(1-OFFSET(Assumptions!$B$47,0,$C$1))*('NZSF Adjuster'!W$21-'Fiscal Forecasts'!L$358),0)</f>
        <v>6.3639999999999999</v>
      </c>
      <c r="M92" s="17">
        <f ca="1">'Fiscal Forecasts'!M$78+IF($C$3="Yes",(1-OFFSET(Assumptions!$B$47,0,$C$1))*('NZSF Adjuster'!X$21-'Fiscal Forecasts'!M$358),0)</f>
        <v>6.4029999999999996</v>
      </c>
      <c r="N92" s="17">
        <f ca="1">'Fiscal Forecasts'!N$78+IF($C$3="Yes",(1-OFFSET(Assumptions!$B$47,0,$C$1))*('NZSF Adjuster'!Y$21-'Fiscal Forecasts'!N$358),0)</f>
        <v>6.6180000000000003</v>
      </c>
      <c r="O92" s="16">
        <f t="shared" ref="O92:X92" ca="1" si="59">SUM(O$173,O$179)</f>
        <v>5.957937142686907</v>
      </c>
      <c r="P92" s="16">
        <f t="shared" ca="1" si="59"/>
        <v>6.1667266413542272</v>
      </c>
      <c r="Q92" s="16">
        <f t="shared" ca="1" si="59"/>
        <v>6.3787635746558369</v>
      </c>
      <c r="R92" s="16">
        <f t="shared" ca="1" si="59"/>
        <v>6.5944233547183666</v>
      </c>
      <c r="S92" s="16">
        <f t="shared" ca="1" si="59"/>
        <v>6.8151050446889379</v>
      </c>
      <c r="T92" s="16">
        <f t="shared" ca="1" si="59"/>
        <v>7.0360323772641662</v>
      </c>
      <c r="U92" s="16">
        <f t="shared" ca="1" si="59"/>
        <v>7.2562037724334445</v>
      </c>
      <c r="V92" s="16">
        <f t="shared" ca="1" si="59"/>
        <v>7.4750218963047637</v>
      </c>
      <c r="W92" s="16">
        <f t="shared" ca="1" si="59"/>
        <v>7.6927036798367174</v>
      </c>
      <c r="X92" s="16">
        <f t="shared" ca="1" si="59"/>
        <v>7.9134964364881988</v>
      </c>
    </row>
    <row r="93" spans="1:24" x14ac:dyDescent="0.25">
      <c r="A93" s="9" t="s">
        <v>578</v>
      </c>
      <c r="B93" s="9"/>
      <c r="C93" s="13"/>
      <c r="D93" s="65">
        <f>SUM(D$88:D$92)</f>
        <v>115.059</v>
      </c>
      <c r="E93" s="65">
        <f t="shared" ref="E93:X93" si="60">SUM(E$88:E$92)</f>
        <v>113.59</v>
      </c>
      <c r="F93" s="65">
        <f t="shared" si="60"/>
        <v>126.02200000000002</v>
      </c>
      <c r="G93" s="65">
        <f t="shared" si="60"/>
        <v>135.11199999999999</v>
      </c>
      <c r="H93" s="65">
        <f t="shared" si="60"/>
        <v>149.23499999999999</v>
      </c>
      <c r="I93" s="65">
        <f t="shared" si="60"/>
        <v>159.70299999999997</v>
      </c>
      <c r="J93" s="66">
        <f t="shared" ca="1" si="60"/>
        <v>169.25299999999999</v>
      </c>
      <c r="K93" s="66">
        <f t="shared" ca="1" si="60"/>
        <v>170.755</v>
      </c>
      <c r="L93" s="66">
        <f t="shared" ca="1" si="60"/>
        <v>180.11300000000003</v>
      </c>
      <c r="M93" s="66">
        <f t="shared" ca="1" si="60"/>
        <v>189.047</v>
      </c>
      <c r="N93" s="66">
        <f t="shared" ca="1" si="60"/>
        <v>197.779</v>
      </c>
      <c r="O93" s="92">
        <f t="shared" ca="1" si="60"/>
        <v>207.16035704730996</v>
      </c>
      <c r="P93" s="92">
        <f t="shared" ca="1" si="60"/>
        <v>215.71943560777873</v>
      </c>
      <c r="Q93" s="92">
        <f t="shared" ca="1" si="60"/>
        <v>224.60534697137598</v>
      </c>
      <c r="R93" s="92">
        <f t="shared" ca="1" si="60"/>
        <v>233.5707132320002</v>
      </c>
      <c r="S93" s="92">
        <f t="shared" ca="1" si="60"/>
        <v>242.77132934132322</v>
      </c>
      <c r="T93" s="92">
        <f t="shared" ca="1" si="60"/>
        <v>252.16401122370101</v>
      </c>
      <c r="U93" s="92">
        <f t="shared" ca="1" si="60"/>
        <v>261.75005596324178</v>
      </c>
      <c r="V93" s="92">
        <f t="shared" ca="1" si="60"/>
        <v>271.33227764077992</v>
      </c>
      <c r="W93" s="92">
        <f t="shared" ca="1" si="60"/>
        <v>280.8119626721143</v>
      </c>
      <c r="X93" s="92">
        <f t="shared" ca="1" si="60"/>
        <v>290.42149720046137</v>
      </c>
    </row>
    <row r="94" spans="1:24" x14ac:dyDescent="0.25">
      <c r="A94" s="11" t="s">
        <v>534</v>
      </c>
      <c r="B94" s="10" t="str">
        <f t="shared" si="54"/>
        <v>From Fiscal Forecasts</v>
      </c>
      <c r="C94" s="13"/>
      <c r="D94" s="35">
        <f>'Fiscal Forecasts'!D$80</f>
        <v>27.981999999999999</v>
      </c>
      <c r="E94" s="35">
        <f>'Fiscal Forecasts'!E$80</f>
        <v>42.945</v>
      </c>
      <c r="F94" s="35">
        <f>'Fiscal Forecasts'!F$80</f>
        <v>35.515000000000001</v>
      </c>
      <c r="G94" s="35">
        <f>'Fiscal Forecasts'!G$80</f>
        <v>44.273000000000003</v>
      </c>
      <c r="H94" s="35">
        <f>'Fiscal Forecasts'!H$80</f>
        <v>39.17</v>
      </c>
      <c r="I94" s="35">
        <f>'Fiscal Forecasts'!I$80</f>
        <v>42.335000000000001</v>
      </c>
      <c r="J94" s="17">
        <f>'Fiscal Forecasts'!J$80+IF($C$2="Yes",SUM('Fiscal Forecast Adjuster'!C$16:C$24)/1000,0)</f>
        <v>46.25</v>
      </c>
      <c r="K94" s="17">
        <f>'Fiscal Forecasts'!K$80+IF($C$2="Yes",SUM('Fiscal Forecast Adjuster'!D$16:D$24)/1000,0)</f>
        <v>47.412999999999997</v>
      </c>
      <c r="L94" s="17">
        <f>'Fiscal Forecasts'!L$80+IF($C$2="Yes",SUM('Fiscal Forecast Adjuster'!E$16:E$24)/1000,0)</f>
        <v>48.414999999999999</v>
      </c>
      <c r="M94" s="17">
        <f>'Fiscal Forecasts'!M$80+IF($C$2="Yes",SUM('Fiscal Forecast Adjuster'!F$16:F$24)/1000,0)</f>
        <v>49.828000000000003</v>
      </c>
      <c r="N94" s="17">
        <f>'Fiscal Forecasts'!N$80+IF($C$2="Yes",SUM('Fiscal Forecast Adjuster'!G$16:G$24)/1000,0)</f>
        <v>51.317</v>
      </c>
      <c r="O94" s="16">
        <f t="shared" ref="O94:X94" ca="1" si="61">O$194</f>
        <v>52.716537878014769</v>
      </c>
      <c r="P94" s="16">
        <f t="shared" ca="1" si="61"/>
        <v>54.97496932655698</v>
      </c>
      <c r="Q94" s="16">
        <f t="shared" ca="1" si="61"/>
        <v>57.336481433380918</v>
      </c>
      <c r="R94" s="16">
        <f t="shared" ca="1" si="61"/>
        <v>59.784834344606928</v>
      </c>
      <c r="S94" s="16">
        <f t="shared" ca="1" si="61"/>
        <v>62.321710620668796</v>
      </c>
      <c r="T94" s="16">
        <f t="shared" ca="1" si="61"/>
        <v>64.903902206045629</v>
      </c>
      <c r="U94" s="16">
        <f t="shared" ca="1" si="61"/>
        <v>67.58738423613697</v>
      </c>
      <c r="V94" s="16">
        <f t="shared" ca="1" si="61"/>
        <v>70.30501559046796</v>
      </c>
      <c r="W94" s="16">
        <f t="shared" ca="1" si="61"/>
        <v>72.993209551386627</v>
      </c>
      <c r="X94" s="16">
        <f t="shared" ca="1" si="61"/>
        <v>75.659959432481941</v>
      </c>
    </row>
    <row r="95" spans="1:24" x14ac:dyDescent="0.25">
      <c r="A95" s="11" t="s">
        <v>579</v>
      </c>
      <c r="B95" s="10" t="str">
        <f t="shared" si="54"/>
        <v>From Fiscal Forecasts</v>
      </c>
      <c r="C95" s="13"/>
      <c r="D95" s="35">
        <f>'Fiscal Forecasts'!D$81</f>
        <v>72.078999999999994</v>
      </c>
      <c r="E95" s="35">
        <f>'Fiscal Forecasts'!E$81</f>
        <v>77.191999999999993</v>
      </c>
      <c r="F95" s="35">
        <f>'Fiscal Forecasts'!F$81</f>
        <v>84.256</v>
      </c>
      <c r="G95" s="35">
        <f>'Fiscal Forecasts'!G$81</f>
        <v>92.965000000000003</v>
      </c>
      <c r="H95" s="35">
        <f>'Fiscal Forecasts'!H$81</f>
        <v>99.414000000000001</v>
      </c>
      <c r="I95" s="35">
        <f>'Fiscal Forecasts'!I$81</f>
        <v>111.095</v>
      </c>
      <c r="J95" s="17">
        <f ca="1">'Fiscal Forecasts'!J$81+IF(OFFSET(Assumptions!$B$56,0,$C$1)="Yes",SUM(Allocation!C$14:C$24),0)+IF($C$2="Yes",'Fiscal Forecast Adjuster'!C$26/1000,0)+IF($C$3="Yes",'NZSF Adjuster'!U$23-'Fiscal Forecasts'!J$360,0)</f>
        <v>120.33</v>
      </c>
      <c r="K95" s="17">
        <f ca="1">'Fiscal Forecasts'!K$81+IF(OFFSET(Assumptions!$B$56,0,$C$1)="Yes",SUM(Allocation!D$14:D$24),0)+IF($C$2="Yes",'Fiscal Forecast Adjuster'!D$26/1000,0)+IF($C$3="Yes",'NZSF Adjuster'!V$23-'Fiscal Forecasts'!K$360,0)</f>
        <v>116.934</v>
      </c>
      <c r="L95" s="17">
        <f ca="1">'Fiscal Forecasts'!L$81+IF(OFFSET(Assumptions!$B$56,0,$C$1)="Yes",SUM(Allocation!E$14:E$24),0)+IF($C$2="Yes",'Fiscal Forecast Adjuster'!E$26/1000,0)+IF($C$3="Yes",'NZSF Adjuster'!W$23-'Fiscal Forecasts'!L$360,0)</f>
        <v>118.45699999999999</v>
      </c>
      <c r="M95" s="17">
        <f ca="1">'Fiscal Forecasts'!M$81+IF(OFFSET(Assumptions!$B$56,0,$C$1)="Yes",SUM(Allocation!F$14:F$24),0)+IF($C$2="Yes",'Fiscal Forecast Adjuster'!F$26/1000,0)+IF($C$3="Yes",'NZSF Adjuster'!X$23-'Fiscal Forecasts'!M$360,0)</f>
        <v>117.18600000000001</v>
      </c>
      <c r="N95" s="17">
        <f ca="1">'Fiscal Forecasts'!N$81+IF(OFFSET(Assumptions!$B$56,0,$C$1)="Yes",SUM(Allocation!G$14:G$24),0)+IF($C$2="Yes",'Fiscal Forecast Adjuster'!G$26/1000,0)+IF($C$3="Yes",'NZSF Adjuster'!Y$23-'Fiscal Forecasts'!N$360,0)</f>
        <v>116.807</v>
      </c>
      <c r="O95" s="16">
        <f t="shared" ref="O95:X95" ca="1" si="62">SUM(O$212,O$226,O$240)-SUM(O$115,O$272,O$282,O$322,O$475-N$475,O$480-N$480)</f>
        <v>116.79671856403286</v>
      </c>
      <c r="P95" s="16">
        <f t="shared" ca="1" si="62"/>
        <v>117.79277160384858</v>
      </c>
      <c r="Q95" s="16">
        <f t="shared" ca="1" si="62"/>
        <v>119.05561024636972</v>
      </c>
      <c r="R95" s="16">
        <f t="shared" ca="1" si="62"/>
        <v>120.39127076904113</v>
      </c>
      <c r="S95" s="16">
        <f t="shared" ca="1" si="62"/>
        <v>121.73627497427508</v>
      </c>
      <c r="T95" s="16">
        <f t="shared" ca="1" si="62"/>
        <v>123.03427223271825</v>
      </c>
      <c r="U95" s="16">
        <f t="shared" ca="1" si="62"/>
        <v>124.42166775942131</v>
      </c>
      <c r="V95" s="16">
        <f t="shared" ca="1" si="62"/>
        <v>126.01808613623763</v>
      </c>
      <c r="W95" s="16">
        <f t="shared" ca="1" si="62"/>
        <v>127.70820348767606</v>
      </c>
      <c r="X95" s="16">
        <f t="shared" ca="1" si="62"/>
        <v>129.44681316755364</v>
      </c>
    </row>
    <row r="96" spans="1:24" x14ac:dyDescent="0.25">
      <c r="A96" s="11" t="s">
        <v>580</v>
      </c>
      <c r="B96" s="10" t="str">
        <f t="shared" si="54"/>
        <v>From Fiscal Forecasts</v>
      </c>
      <c r="C96" s="13"/>
      <c r="D96" s="35">
        <f>'Fiscal Forecasts'!D$82</f>
        <v>4.0250000000000004</v>
      </c>
      <c r="E96" s="35">
        <f>'Fiscal Forecasts'!E$82</f>
        <v>3.8490000000000002</v>
      </c>
      <c r="F96" s="35">
        <f>'Fiscal Forecasts'!F$82</f>
        <v>3.1469999999999998</v>
      </c>
      <c r="G96" s="35">
        <f>'Fiscal Forecasts'!G$82</f>
        <v>3.2509999999999999</v>
      </c>
      <c r="H96" s="35">
        <f>'Fiscal Forecasts'!H$82</f>
        <v>6.1260000000000003</v>
      </c>
      <c r="I96" s="35">
        <f>'Fiscal Forecasts'!I$82</f>
        <v>8.5790000000000006</v>
      </c>
      <c r="J96" s="17">
        <f>'Fiscal Forecasts'!J$82+IF($C$2="Yes",'Fiscal Forecast Adjuster'!C$37/1000,0)+IF($C$3="Yes",'NZSF Adjuster'!U$9,0)</f>
        <v>8.5350000000000001</v>
      </c>
      <c r="K96" s="17">
        <f>'Fiscal Forecasts'!K$82+IF($C$2="Yes",'Fiscal Forecast Adjuster'!D$37/1000,0)+IF($C$3="Yes",'NZSF Adjuster'!V$9,0)</f>
        <v>9.2810000000000006</v>
      </c>
      <c r="L96" s="17">
        <f>'Fiscal Forecasts'!L$82+IF($C$2="Yes",'Fiscal Forecast Adjuster'!E$37/1000,0)+IF($C$3="Yes",'NZSF Adjuster'!W$9,0)</f>
        <v>10.356999999999999</v>
      </c>
      <c r="M96" s="17">
        <f>'Fiscal Forecasts'!M$82+IF($C$2="Yes",'Fiscal Forecast Adjuster'!F$37/1000,0)+IF($C$3="Yes",'NZSF Adjuster'!X$9,0)</f>
        <v>10.997</v>
      </c>
      <c r="N96" s="17">
        <f>'Fiscal Forecasts'!N$82+IF($C$2="Yes",'Fiscal Forecast Adjuster'!G$37/1000,0)+IF($C$3="Yes",'NZSF Adjuster'!Y$9,0)</f>
        <v>12.266999999999999</v>
      </c>
      <c r="O96" s="16">
        <f t="shared" ref="O96:X96" ca="1" si="63">(2*N$70-SUM(O$93,O$106,O$107)+SUM(O$94,O$95,O$97,O$109,O$356-N$356))/(2/O$234-1)</f>
        <v>15.137197720461797</v>
      </c>
      <c r="P96" s="16">
        <f t="shared" ca="1" si="63"/>
        <v>15.391531519904621</v>
      </c>
      <c r="Q96" s="16">
        <f t="shared" ca="1" si="63"/>
        <v>15.579884004636083</v>
      </c>
      <c r="R96" s="16">
        <f t="shared" ca="1" si="63"/>
        <v>15.667162665900618</v>
      </c>
      <c r="S96" s="16">
        <f t="shared" ca="1" si="63"/>
        <v>15.649760452154137</v>
      </c>
      <c r="T96" s="16">
        <f t="shared" ca="1" si="63"/>
        <v>15.464416508808224</v>
      </c>
      <c r="U96" s="16">
        <f t="shared" ca="1" si="63"/>
        <v>15.158234722504986</v>
      </c>
      <c r="V96" s="16">
        <f t="shared" ca="1" si="63"/>
        <v>14.732510836990526</v>
      </c>
      <c r="W96" s="16">
        <f t="shared" ca="1" si="63"/>
        <v>14.193099581166285</v>
      </c>
      <c r="X96" s="16">
        <f t="shared" ca="1" si="63"/>
        <v>13.5419680095441</v>
      </c>
    </row>
    <row r="97" spans="1:24" x14ac:dyDescent="0.25">
      <c r="A97" s="11" t="s">
        <v>1125</v>
      </c>
      <c r="B97" s="9"/>
      <c r="C97" s="13"/>
      <c r="D97" s="35">
        <f t="shared" ref="D97:X97" si="64">SUM(D$245,D$248)</f>
        <v>0</v>
      </c>
      <c r="E97" s="35">
        <f t="shared" si="64"/>
        <v>0</v>
      </c>
      <c r="F97" s="35">
        <f t="shared" si="64"/>
        <v>0</v>
      </c>
      <c r="G97" s="35">
        <f t="shared" si="64"/>
        <v>0</v>
      </c>
      <c r="H97" s="35">
        <f t="shared" si="64"/>
        <v>0</v>
      </c>
      <c r="I97" s="35">
        <f t="shared" si="64"/>
        <v>0</v>
      </c>
      <c r="J97" s="17">
        <f t="shared" ca="1" si="64"/>
        <v>-2.7</v>
      </c>
      <c r="K97" s="17">
        <f t="shared" ca="1" si="64"/>
        <v>0.82</v>
      </c>
      <c r="L97" s="17">
        <f t="shared" ca="1" si="64"/>
        <v>2.1190000000000002</v>
      </c>
      <c r="M97" s="17">
        <f t="shared" ca="1" si="64"/>
        <v>4.7690000000000001</v>
      </c>
      <c r="N97" s="17">
        <f t="shared" ca="1" si="64"/>
        <v>7.3029999999999999</v>
      </c>
      <c r="O97" s="16">
        <f t="shared" ca="1" si="64"/>
        <v>10.302999999999999</v>
      </c>
      <c r="P97" s="16">
        <f t="shared" ca="1" si="64"/>
        <v>12.774999999999999</v>
      </c>
      <c r="Q97" s="16">
        <f t="shared" ca="1" si="64"/>
        <v>15.321159999999999</v>
      </c>
      <c r="R97" s="16">
        <f t="shared" ca="1" si="64"/>
        <v>17.943704799999999</v>
      </c>
      <c r="S97" s="16">
        <f t="shared" ca="1" si="64"/>
        <v>20.644925944000001</v>
      </c>
      <c r="T97" s="16">
        <f t="shared" ca="1" si="64"/>
        <v>23.427183722320002</v>
      </c>
      <c r="U97" s="16">
        <f t="shared" ca="1" si="64"/>
        <v>26.292909233989604</v>
      </c>
      <c r="V97" s="16">
        <f t="shared" ca="1" si="64"/>
        <v>29.244606511009295</v>
      </c>
      <c r="W97" s="16">
        <f t="shared" ca="1" si="64"/>
        <v>32.284854706339573</v>
      </c>
      <c r="X97" s="16">
        <f t="shared" ca="1" si="64"/>
        <v>35.416310347529759</v>
      </c>
    </row>
    <row r="98" spans="1:24" x14ac:dyDescent="0.25">
      <c r="A98" s="9" t="s">
        <v>1157</v>
      </c>
      <c r="B98" s="9"/>
      <c r="C98" s="13"/>
      <c r="D98" s="65">
        <f>SUM(D$94:D$97)</f>
        <v>104.086</v>
      </c>
      <c r="E98" s="65">
        <f t="shared" ref="E98:X98" si="65">SUM(E$94:E$97)</f>
        <v>123.986</v>
      </c>
      <c r="F98" s="65">
        <f t="shared" si="65"/>
        <v>122.91800000000001</v>
      </c>
      <c r="G98" s="65">
        <f t="shared" si="65"/>
        <v>140.489</v>
      </c>
      <c r="H98" s="65">
        <f t="shared" si="65"/>
        <v>144.71</v>
      </c>
      <c r="I98" s="65">
        <f t="shared" si="65"/>
        <v>162.00900000000001</v>
      </c>
      <c r="J98" s="66">
        <f t="shared" ca="1" si="65"/>
        <v>172.41499999999999</v>
      </c>
      <c r="K98" s="66">
        <f t="shared" ca="1" si="65"/>
        <v>174.44799999999998</v>
      </c>
      <c r="L98" s="66">
        <f t="shared" ca="1" si="65"/>
        <v>179.34799999999998</v>
      </c>
      <c r="M98" s="66">
        <f t="shared" ca="1" si="65"/>
        <v>182.78000000000003</v>
      </c>
      <c r="N98" s="66">
        <f t="shared" ca="1" si="65"/>
        <v>187.69399999999999</v>
      </c>
      <c r="O98" s="92">
        <f t="shared" ca="1" si="65"/>
        <v>194.95345416250942</v>
      </c>
      <c r="P98" s="92">
        <f t="shared" ca="1" si="65"/>
        <v>200.93427245031017</v>
      </c>
      <c r="Q98" s="92">
        <f t="shared" ca="1" si="65"/>
        <v>207.29313568438673</v>
      </c>
      <c r="R98" s="92">
        <f t="shared" ca="1" si="65"/>
        <v>213.78697257954866</v>
      </c>
      <c r="S98" s="92">
        <f t="shared" ca="1" si="65"/>
        <v>220.35267199109802</v>
      </c>
      <c r="T98" s="92">
        <f t="shared" ca="1" si="65"/>
        <v>226.82977466989212</v>
      </c>
      <c r="U98" s="92">
        <f t="shared" ca="1" si="65"/>
        <v>233.46019595205289</v>
      </c>
      <c r="V98" s="92">
        <f t="shared" ca="1" si="65"/>
        <v>240.30021907470541</v>
      </c>
      <c r="W98" s="92">
        <f t="shared" ca="1" si="65"/>
        <v>247.17936732656852</v>
      </c>
      <c r="X98" s="92">
        <f t="shared" ca="1" si="65"/>
        <v>254.06505095710943</v>
      </c>
    </row>
    <row r="99" spans="1:24" x14ac:dyDescent="0.25">
      <c r="A99" s="9" t="s">
        <v>1142</v>
      </c>
      <c r="B99" s="9"/>
      <c r="C99" s="13"/>
      <c r="D99" s="65">
        <f>D$93-D$98</f>
        <v>10.972999999999999</v>
      </c>
      <c r="E99" s="65">
        <f t="shared" ref="E99:X99" si="66">E$93-E$98</f>
        <v>-10.396000000000001</v>
      </c>
      <c r="F99" s="65">
        <f t="shared" si="66"/>
        <v>3.1040000000000134</v>
      </c>
      <c r="G99" s="65">
        <f t="shared" si="66"/>
        <v>-5.3770000000000095</v>
      </c>
      <c r="H99" s="65">
        <f t="shared" si="66"/>
        <v>4.5249999999999773</v>
      </c>
      <c r="I99" s="65">
        <f t="shared" si="66"/>
        <v>-2.30600000000004</v>
      </c>
      <c r="J99" s="66">
        <f t="shared" ca="1" si="66"/>
        <v>-3.1620000000000061</v>
      </c>
      <c r="K99" s="66">
        <f t="shared" ca="1" si="66"/>
        <v>-3.6929999999999836</v>
      </c>
      <c r="L99" s="66">
        <f t="shared" ca="1" si="66"/>
        <v>0.7650000000000432</v>
      </c>
      <c r="M99" s="66">
        <f t="shared" ca="1" si="66"/>
        <v>6.2669999999999675</v>
      </c>
      <c r="N99" s="66">
        <f t="shared" ca="1" si="66"/>
        <v>10.085000000000008</v>
      </c>
      <c r="O99" s="92">
        <f t="shared" ca="1" si="66"/>
        <v>12.206902884800542</v>
      </c>
      <c r="P99" s="92">
        <f t="shared" ca="1" si="66"/>
        <v>14.78516315746856</v>
      </c>
      <c r="Q99" s="92">
        <f t="shared" ca="1" si="66"/>
        <v>17.312211286989253</v>
      </c>
      <c r="R99" s="92">
        <f t="shared" ca="1" si="66"/>
        <v>19.783740652451542</v>
      </c>
      <c r="S99" s="92">
        <f t="shared" ca="1" si="66"/>
        <v>22.418657350225203</v>
      </c>
      <c r="T99" s="92">
        <f t="shared" ca="1" si="66"/>
        <v>25.334236553808893</v>
      </c>
      <c r="U99" s="92">
        <f t="shared" ca="1" si="66"/>
        <v>28.289860011188892</v>
      </c>
      <c r="V99" s="92">
        <f t="shared" ca="1" si="66"/>
        <v>31.032058566074511</v>
      </c>
      <c r="W99" s="92">
        <f t="shared" ca="1" si="66"/>
        <v>33.632595345545781</v>
      </c>
      <c r="X99" s="92">
        <f t="shared" ca="1" si="66"/>
        <v>36.35644624335194</v>
      </c>
    </row>
    <row r="100" spans="1:24" x14ac:dyDescent="0.25">
      <c r="A100" s="11" t="s">
        <v>1126</v>
      </c>
      <c r="B100" s="10" t="str">
        <f t="shared" ref="B100:B104" si="67">$B$38</f>
        <v>From Fiscal Forecasts</v>
      </c>
      <c r="C100" s="13"/>
      <c r="D100" s="35">
        <f>-'Fiscal Forecasts'!D$85</f>
        <v>8.4640000000000004</v>
      </c>
      <c r="E100" s="35">
        <f>-'Fiscal Forecasts'!E$85</f>
        <v>9.0709999999999997</v>
      </c>
      <c r="F100" s="35">
        <f>-'Fiscal Forecasts'!F$85</f>
        <v>9.3930000000000007</v>
      </c>
      <c r="G100" s="35">
        <f>-'Fiscal Forecasts'!G$85</f>
        <v>10.571999999999999</v>
      </c>
      <c r="H100" s="35">
        <f>-'Fiscal Forecasts'!H$85</f>
        <v>14.271000000000001</v>
      </c>
      <c r="I100" s="35">
        <f>-'Fiscal Forecasts'!I$85</f>
        <v>16.948</v>
      </c>
      <c r="J100" s="17">
        <f>-'Fiscal Forecasts'!J$85</f>
        <v>15.737</v>
      </c>
      <c r="K100" s="17">
        <f>-'Fiscal Forecasts'!K$85</f>
        <v>17.817</v>
      </c>
      <c r="L100" s="17">
        <f>-'Fiscal Forecasts'!L$85</f>
        <v>15.276999999999999</v>
      </c>
      <c r="M100" s="17">
        <f>-'Fiscal Forecasts'!M$85</f>
        <v>14.224</v>
      </c>
      <c r="N100" s="17">
        <f>-'Fiscal Forecasts'!N$85</f>
        <v>12.698</v>
      </c>
      <c r="O100" s="16">
        <f t="shared" ref="O100:X100" ca="1" si="68">SUM(O$429-N$429,O$218)</f>
        <v>11.714747316313188</v>
      </c>
      <c r="P100" s="16">
        <f t="shared" ca="1" si="68"/>
        <v>11.739327932043718</v>
      </c>
      <c r="Q100" s="16">
        <f t="shared" ca="1" si="68"/>
        <v>11.800890311107777</v>
      </c>
      <c r="R100" s="16">
        <f t="shared" ca="1" si="68"/>
        <v>11.870370881610375</v>
      </c>
      <c r="S100" s="16">
        <f t="shared" ca="1" si="68"/>
        <v>11.941204662617775</v>
      </c>
      <c r="T100" s="16">
        <f t="shared" ca="1" si="68"/>
        <v>12.013338886677428</v>
      </c>
      <c r="U100" s="16">
        <f t="shared" ca="1" si="68"/>
        <v>12.086516977663774</v>
      </c>
      <c r="V100" s="16">
        <f t="shared" ca="1" si="68"/>
        <v>12.160825440625404</v>
      </c>
      <c r="W100" s="16">
        <f t="shared" ca="1" si="68"/>
        <v>12.236270015643228</v>
      </c>
      <c r="X100" s="16">
        <f t="shared" ca="1" si="68"/>
        <v>12.313189112753307</v>
      </c>
    </row>
    <row r="101" spans="1:24" x14ac:dyDescent="0.25">
      <c r="A101" s="11" t="s">
        <v>1163</v>
      </c>
      <c r="B101" s="10" t="str">
        <f t="shared" si="67"/>
        <v>From Fiscal Forecasts</v>
      </c>
      <c r="C101" s="13"/>
      <c r="D101" s="35">
        <f>-'Fiscal Forecasts'!D$86</f>
        <v>-3.8039999999999998</v>
      </c>
      <c r="E101" s="35">
        <f>-'Fiscal Forecasts'!E$86</f>
        <v>14.148999999999999</v>
      </c>
      <c r="F101" s="35">
        <f>-'Fiscal Forecasts'!F$86</f>
        <v>-4.1890000000000001</v>
      </c>
      <c r="G101" s="35">
        <f>-'Fiscal Forecasts'!G$86</f>
        <v>4.9859999999999998</v>
      </c>
      <c r="H101" s="35">
        <f>-'Fiscal Forecasts'!H$86</f>
        <v>4.9059999999999997</v>
      </c>
      <c r="I101" s="35">
        <f>-'Fiscal Forecasts'!I$86</f>
        <v>10.231999999999999</v>
      </c>
      <c r="J101" s="17">
        <f>-'Fiscal Forecasts'!J$86</f>
        <v>6.375</v>
      </c>
      <c r="K101" s="17">
        <f>-'Fiscal Forecasts'!K$86</f>
        <v>4.6929999999999996</v>
      </c>
      <c r="L101" s="17">
        <f>-'Fiscal Forecasts'!L$86</f>
        <v>-3.2610000000000001</v>
      </c>
      <c r="M101" s="17">
        <f>-'Fiscal Forecasts'!M$86</f>
        <v>-0.20200000000000001</v>
      </c>
      <c r="N101" s="17">
        <f>-'Fiscal Forecasts'!N$86</f>
        <v>-0.113</v>
      </c>
      <c r="O101" s="16">
        <f t="shared" ref="O101:X101" ca="1" si="69">SUM(O$372-N$372,O$381-N$381,O$397-N$397)-SUM(O$340,O$343:O$345)</f>
        <v>-2.6260628699416904</v>
      </c>
      <c r="P101" s="16">
        <f t="shared" ca="1" si="69"/>
        <v>-0.5560093800008179</v>
      </c>
      <c r="Q101" s="16">
        <f t="shared" ca="1" si="69"/>
        <v>-0.61888529475448895</v>
      </c>
      <c r="R101" s="16">
        <f t="shared" ca="1" si="69"/>
        <v>-0.72918476219052053</v>
      </c>
      <c r="S101" s="16">
        <f t="shared" ca="1" si="69"/>
        <v>-0.85783984643032163</v>
      </c>
      <c r="T101" s="16">
        <f t="shared" ca="1" si="69"/>
        <v>-0.96735590032054652</v>
      </c>
      <c r="U101" s="16">
        <f t="shared" ca="1" si="69"/>
        <v>-1.114387345815155</v>
      </c>
      <c r="V101" s="16">
        <f t="shared" ca="1" si="69"/>
        <v>-1.3422295341735193</v>
      </c>
      <c r="W101" s="16">
        <f t="shared" ca="1" si="69"/>
        <v>-1.6041744214994882</v>
      </c>
      <c r="X101" s="16">
        <f t="shared" ca="1" si="69"/>
        <v>-1.8210006160178978</v>
      </c>
    </row>
    <row r="102" spans="1:24" x14ac:dyDescent="0.25">
      <c r="A102" s="11" t="s">
        <v>1164</v>
      </c>
      <c r="B102" s="10" t="str">
        <f t="shared" si="67"/>
        <v>From Fiscal Forecasts</v>
      </c>
      <c r="C102" s="13"/>
      <c r="D102" s="35">
        <f>-'Fiscal Forecasts'!D$87</f>
        <v>0.79100000000000004</v>
      </c>
      <c r="E102" s="35">
        <f>-'Fiscal Forecasts'!E$87</f>
        <v>0.85499999999999998</v>
      </c>
      <c r="F102" s="35">
        <f>-'Fiscal Forecasts'!F$87</f>
        <v>0.89800000000000002</v>
      </c>
      <c r="G102" s="35">
        <f>-'Fiscal Forecasts'!G$87</f>
        <v>0.71</v>
      </c>
      <c r="H102" s="35">
        <f>-'Fiscal Forecasts'!H$87</f>
        <v>0.86799999999999999</v>
      </c>
      <c r="I102" s="35">
        <f>-'Fiscal Forecasts'!I$87</f>
        <v>0.86</v>
      </c>
      <c r="J102" s="17">
        <f>-'Fiscal Forecasts'!J$87</f>
        <v>0.91400000000000003</v>
      </c>
      <c r="K102" s="17">
        <f>-'Fiscal Forecasts'!K$87</f>
        <v>0.74299999999999999</v>
      </c>
      <c r="L102" s="17">
        <f>-'Fiscal Forecasts'!L$87</f>
        <v>0.621</v>
      </c>
      <c r="M102" s="17">
        <f>-'Fiscal Forecasts'!M$87</f>
        <v>0.59199999999999997</v>
      </c>
      <c r="N102" s="17">
        <f>-'Fiscal Forecasts'!N$87</f>
        <v>0.622</v>
      </c>
      <c r="O102" s="16">
        <f t="shared" ref="O102:X102" ca="1" si="70">SUM(O$444-N$444,O$115)</f>
        <v>0.86540356501818028</v>
      </c>
      <c r="P102" s="16">
        <f t="shared" ca="1" si="70"/>
        <v>0.87623288155166745</v>
      </c>
      <c r="Q102" s="16">
        <f t="shared" ca="1" si="70"/>
        <v>0.88727878441582397</v>
      </c>
      <c r="R102" s="16">
        <f t="shared" ca="1" si="70"/>
        <v>0.89854560533726402</v>
      </c>
      <c r="S102" s="16">
        <f t="shared" ca="1" si="70"/>
        <v>0.91003776267713388</v>
      </c>
      <c r="T102" s="16">
        <f t="shared" ca="1" si="70"/>
        <v>0.92175976316379893</v>
      </c>
      <c r="U102" s="16">
        <f t="shared" ca="1" si="70"/>
        <v>0.93371620366019847</v>
      </c>
      <c r="V102" s="16">
        <f t="shared" ca="1" si="70"/>
        <v>0.94591177296652651</v>
      </c>
      <c r="W102" s="16">
        <f t="shared" ca="1" si="70"/>
        <v>0.95835125365897966</v>
      </c>
      <c r="X102" s="16">
        <f t="shared" ca="1" si="70"/>
        <v>0.97103952396528281</v>
      </c>
    </row>
    <row r="103" spans="1:24" x14ac:dyDescent="0.25">
      <c r="A103" s="11" t="s">
        <v>1165</v>
      </c>
      <c r="B103" s="10" t="str">
        <f t="shared" si="67"/>
        <v>From Fiscal Forecasts</v>
      </c>
      <c r="C103" s="13"/>
      <c r="D103" s="35">
        <f>-'Fiscal Forecasts'!D$88</f>
        <v>1.9019999999999999</v>
      </c>
      <c r="E103" s="35">
        <f>-'Fiscal Forecasts'!E$88</f>
        <v>1.29</v>
      </c>
      <c r="F103" s="35">
        <f>-'Fiscal Forecasts'!F$88</f>
        <v>5.6630000000000003</v>
      </c>
      <c r="G103" s="35">
        <f>-'Fiscal Forecasts'!G$88</f>
        <v>12.958</v>
      </c>
      <c r="H103" s="35">
        <f>-'Fiscal Forecasts'!H$88</f>
        <v>8.2149999999999999</v>
      </c>
      <c r="I103" s="35">
        <f>-'Fiscal Forecasts'!I$88</f>
        <v>-0.151</v>
      </c>
      <c r="J103" s="17">
        <f>-'Fiscal Forecasts'!J$88</f>
        <v>-6.0140000000000002</v>
      </c>
      <c r="K103" s="17">
        <f>-'Fiscal Forecasts'!K$88</f>
        <v>-2.7429999999999999</v>
      </c>
      <c r="L103" s="17">
        <f>-'Fiscal Forecasts'!L$88</f>
        <v>3.83</v>
      </c>
      <c r="M103" s="17">
        <f>-'Fiscal Forecasts'!M$88</f>
        <v>4.2050000000000001</v>
      </c>
      <c r="N103" s="17">
        <f>-'Fiscal Forecasts'!N$88</f>
        <v>3.948</v>
      </c>
      <c r="O103" s="16">
        <f t="shared" ref="O103:X103" ca="1" si="71">SUM(O$406-N$406,O$411,-O$413)</f>
        <v>3.4696511861953203</v>
      </c>
      <c r="P103" s="16">
        <f t="shared" ca="1" si="71"/>
        <v>2.9442632046461332</v>
      </c>
      <c r="Q103" s="16">
        <f t="shared" ca="1" si="71"/>
        <v>2.956684471526438</v>
      </c>
      <c r="R103" s="16">
        <f t="shared" ca="1" si="71"/>
        <v>2.9615199859409089</v>
      </c>
      <c r="S103" s="16">
        <f t="shared" ca="1" si="71"/>
        <v>3.015597420692532</v>
      </c>
      <c r="T103" s="16">
        <f t="shared" ca="1" si="71"/>
        <v>3.0619226309681102</v>
      </c>
      <c r="U103" s="16">
        <f t="shared" ca="1" si="71"/>
        <v>3.0975157276296006</v>
      </c>
      <c r="V103" s="16">
        <f t="shared" ca="1" si="71"/>
        <v>3.1394517818057759</v>
      </c>
      <c r="W103" s="16">
        <f t="shared" ca="1" si="71"/>
        <v>3.1915403977656345</v>
      </c>
      <c r="X103" s="16">
        <f t="shared" ca="1" si="71"/>
        <v>3.2762647608818378</v>
      </c>
    </row>
    <row r="104" spans="1:24" x14ac:dyDescent="0.25">
      <c r="A104" s="11" t="s">
        <v>1166</v>
      </c>
      <c r="B104" s="10" t="str">
        <f t="shared" si="67"/>
        <v>From Fiscal Forecasts</v>
      </c>
      <c r="C104" s="13"/>
      <c r="D104" s="35">
        <f>-'Fiscal Forecasts'!D$89</f>
        <v>-0.13600000000000001</v>
      </c>
      <c r="E104" s="35">
        <f>-'Fiscal Forecasts'!E$89</f>
        <v>0.28599999999999998</v>
      </c>
      <c r="F104" s="35">
        <f>-'Fiscal Forecasts'!F$89</f>
        <v>0.39200000000000002</v>
      </c>
      <c r="G104" s="35">
        <f>-'Fiscal Forecasts'!G$89</f>
        <v>0.44800000000000001</v>
      </c>
      <c r="H104" s="35">
        <f>-'Fiscal Forecasts'!H$89</f>
        <v>0.20200000000000001</v>
      </c>
      <c r="I104" s="35">
        <f>-'Fiscal Forecasts'!I$89</f>
        <v>0.39700000000000002</v>
      </c>
      <c r="J104" s="17">
        <f>-'Fiscal Forecasts'!J$89</f>
        <v>0.45600000000000002</v>
      </c>
      <c r="K104" s="17">
        <f>-'Fiscal Forecasts'!K$89</f>
        <v>0.26600000000000001</v>
      </c>
      <c r="L104" s="17">
        <f>-'Fiscal Forecasts'!L$89</f>
        <v>0.193</v>
      </c>
      <c r="M104" s="17">
        <f>-'Fiscal Forecasts'!M$89</f>
        <v>0.26800000000000002</v>
      </c>
      <c r="N104" s="17">
        <f>-'Fiscal Forecasts'!N$89</f>
        <v>8.7999999999999995E-2</v>
      </c>
      <c r="O104" s="16">
        <f t="shared" ref="O104:X104" ca="1" si="72">SUM(O$438-N$438,-O$350)</f>
        <v>0.1328558682668792</v>
      </c>
      <c r="P104" s="16">
        <f t="shared" ca="1" si="72"/>
        <v>0.13052759215871396</v>
      </c>
      <c r="Q104" s="16">
        <f t="shared" ca="1" si="72"/>
        <v>0.12832011727515197</v>
      </c>
      <c r="R104" s="16">
        <f t="shared" ca="1" si="72"/>
        <v>0.12625748403581546</v>
      </c>
      <c r="S104" s="16">
        <f t="shared" ca="1" si="72"/>
        <v>0.1241343169194109</v>
      </c>
      <c r="T104" s="16">
        <f t="shared" ca="1" si="72"/>
        <v>0.12196822618779574</v>
      </c>
      <c r="U104" s="16">
        <f t="shared" ca="1" si="72"/>
        <v>0.11982419770520558</v>
      </c>
      <c r="V104" s="16">
        <f t="shared" ca="1" si="72"/>
        <v>0.11768663252061806</v>
      </c>
      <c r="W104" s="16">
        <f t="shared" ca="1" si="72"/>
        <v>0.1155590240249198</v>
      </c>
      <c r="X104" s="16">
        <f t="shared" ca="1" si="72"/>
        <v>0.11336741536922484</v>
      </c>
    </row>
    <row r="105" spans="1:24" x14ac:dyDescent="0.25">
      <c r="A105" s="11" t="s">
        <v>1130</v>
      </c>
      <c r="B105" s="9"/>
      <c r="C105" s="13"/>
      <c r="D105" s="35">
        <f t="shared" ref="D105:X105" si="73">SUM(D$450-C$450,D$451-C$451)</f>
        <v>0</v>
      </c>
      <c r="E105" s="35">
        <f t="shared" si="73"/>
        <v>0</v>
      </c>
      <c r="F105" s="35">
        <f t="shared" si="73"/>
        <v>0</v>
      </c>
      <c r="G105" s="35">
        <f t="shared" si="73"/>
        <v>0</v>
      </c>
      <c r="H105" s="35">
        <f t="shared" si="73"/>
        <v>0</v>
      </c>
      <c r="I105" s="35">
        <f t="shared" si="73"/>
        <v>0</v>
      </c>
      <c r="J105" s="17">
        <f t="shared" si="73"/>
        <v>-1.5</v>
      </c>
      <c r="K105" s="17">
        <f t="shared" ref="K105" si="74">SUM(K$450-J$450,K$451-J$451)</f>
        <v>1.6600000000000001</v>
      </c>
      <c r="L105" s="17">
        <f t="shared" ref="L105" si="75">SUM(L$450-K$450,L$451-K$451)</f>
        <v>3.0419999999999998</v>
      </c>
      <c r="M105" s="17">
        <f t="shared" ref="M105" si="76">SUM(M$450-L$450,M$451-L$451)</f>
        <v>3.3770000000000002</v>
      </c>
      <c r="N105" s="17">
        <f t="shared" ref="N105" si="77">SUM(N$450-M$450,N$451-M$451)</f>
        <v>3.9310000000000005</v>
      </c>
      <c r="O105" s="16">
        <f t="shared" ca="1" si="73"/>
        <v>3.625</v>
      </c>
      <c r="P105" s="16">
        <f t="shared" ca="1" si="73"/>
        <v>3.7337500000000006</v>
      </c>
      <c r="Q105" s="16">
        <f t="shared" ca="1" si="73"/>
        <v>3.8457624999999993</v>
      </c>
      <c r="R105" s="16">
        <f t="shared" ca="1" si="73"/>
        <v>3.9611353750000013</v>
      </c>
      <c r="S105" s="16">
        <f t="shared" ca="1" si="73"/>
        <v>4.0799694362499999</v>
      </c>
      <c r="T105" s="16">
        <f t="shared" ca="1" si="73"/>
        <v>4.2023685193375044</v>
      </c>
      <c r="U105" s="16">
        <f t="shared" ca="1" si="73"/>
        <v>4.3284395749176241</v>
      </c>
      <c r="V105" s="16">
        <f t="shared" ca="1" si="73"/>
        <v>4.4582927621651578</v>
      </c>
      <c r="W105" s="16">
        <f t="shared" ca="1" si="73"/>
        <v>4.5920415450301135</v>
      </c>
      <c r="X105" s="16">
        <f t="shared" ca="1" si="73"/>
        <v>4.7298027913810117</v>
      </c>
    </row>
    <row r="106" spans="1:24" x14ac:dyDescent="0.25">
      <c r="A106" s="9" t="s">
        <v>1158</v>
      </c>
      <c r="B106" s="9"/>
      <c r="C106" s="13"/>
      <c r="D106" s="65">
        <f>-SUM(D$100:D$105)</f>
        <v>-7.2170000000000005</v>
      </c>
      <c r="E106" s="65">
        <f t="shared" ref="E106:I106" si="78">-SUM(E$100:E$105)</f>
        <v>-25.651</v>
      </c>
      <c r="F106" s="65">
        <f t="shared" si="78"/>
        <v>-12.157</v>
      </c>
      <c r="G106" s="65">
        <f t="shared" si="78"/>
        <v>-29.673999999999999</v>
      </c>
      <c r="H106" s="65">
        <f t="shared" si="78"/>
        <v>-28.462</v>
      </c>
      <c r="I106" s="65">
        <f t="shared" si="78"/>
        <v>-28.285999999999998</v>
      </c>
      <c r="J106" s="66">
        <f t="shared" ref="J106:X106" si="79">-SUM(J$100:J$105)</f>
        <v>-15.968000000000004</v>
      </c>
      <c r="K106" s="66">
        <f t="shared" si="79"/>
        <v>-22.435999999999996</v>
      </c>
      <c r="L106" s="66">
        <f t="shared" si="79"/>
        <v>-19.701999999999998</v>
      </c>
      <c r="M106" s="66">
        <f t="shared" si="79"/>
        <v>-22.464000000000002</v>
      </c>
      <c r="N106" s="66">
        <f t="shared" si="79"/>
        <v>-21.174000000000003</v>
      </c>
      <c r="O106" s="92">
        <f t="shared" ca="1" si="79"/>
        <v>-17.18159506585188</v>
      </c>
      <c r="P106" s="92">
        <f t="shared" ca="1" si="79"/>
        <v>-18.868092230399416</v>
      </c>
      <c r="Q106" s="92">
        <f t="shared" ca="1" si="79"/>
        <v>-19.000050889570701</v>
      </c>
      <c r="R106" s="92">
        <f t="shared" ca="1" si="79"/>
        <v>-19.088644569733844</v>
      </c>
      <c r="S106" s="92">
        <f t="shared" ca="1" si="79"/>
        <v>-19.213103752726532</v>
      </c>
      <c r="T106" s="92">
        <f t="shared" ca="1" si="79"/>
        <v>-19.354002126014091</v>
      </c>
      <c r="U106" s="92">
        <f t="shared" ca="1" si="79"/>
        <v>-19.45162533576125</v>
      </c>
      <c r="V106" s="92">
        <f t="shared" ca="1" si="79"/>
        <v>-19.479938855909964</v>
      </c>
      <c r="W106" s="92">
        <f t="shared" ca="1" si="79"/>
        <v>-19.489587814623391</v>
      </c>
      <c r="X106" s="92">
        <f t="shared" ca="1" si="79"/>
        <v>-19.582662988332768</v>
      </c>
    </row>
    <row r="107" spans="1:24" x14ac:dyDescent="0.25">
      <c r="A107" s="11" t="s">
        <v>590</v>
      </c>
      <c r="B107" s="10" t="str">
        <f t="shared" ref="B107:B109" si="80">$B$38</f>
        <v>From Fiscal Forecasts</v>
      </c>
      <c r="C107" s="13"/>
      <c r="D107" s="35">
        <f>'Fiscal Forecasts'!D$92</f>
        <v>0.437</v>
      </c>
      <c r="E107" s="35">
        <f>'Fiscal Forecasts'!E$92</f>
        <v>1.2090000000000001</v>
      </c>
      <c r="F107" s="35">
        <f>'Fiscal Forecasts'!F$92</f>
        <v>0.23400000000000001</v>
      </c>
      <c r="G107" s="35">
        <f>'Fiscal Forecasts'!G$92</f>
        <v>0.80500000000000005</v>
      </c>
      <c r="H107" s="35">
        <f>'Fiscal Forecasts'!H$92</f>
        <v>-5.8999999999999997E-2</v>
      </c>
      <c r="I107" s="35">
        <f>'Fiscal Forecasts'!I$92</f>
        <v>-2.4E-2</v>
      </c>
      <c r="J107" s="17">
        <f>'Fiscal Forecasts'!J$92</f>
        <v>8.8999999999999996E-2</v>
      </c>
      <c r="K107" s="17">
        <f>'Fiscal Forecasts'!K$92</f>
        <v>9.0999999999999998E-2</v>
      </c>
      <c r="L107" s="17">
        <f>'Fiscal Forecasts'!L$92</f>
        <v>9.1999999999999998E-2</v>
      </c>
      <c r="M107" s="17">
        <f>'Fiscal Forecasts'!M$92</f>
        <v>9.1999999999999998E-2</v>
      </c>
      <c r="N107" s="17">
        <f>'Fiscal Forecasts'!N$92</f>
        <v>9.2999999999999999E-2</v>
      </c>
      <c r="O107" s="16">
        <f t="shared" ref="O107:X107" ca="1" si="81">O$454-N$454</f>
        <v>0.18867999999999974</v>
      </c>
      <c r="P107" s="16">
        <f t="shared" ca="1" si="81"/>
        <v>0.19245360000000034</v>
      </c>
      <c r="Q107" s="16">
        <f t="shared" ca="1" si="81"/>
        <v>0.19630267199999984</v>
      </c>
      <c r="R107" s="16">
        <f t="shared" ca="1" si="81"/>
        <v>0.20022872544000059</v>
      </c>
      <c r="S107" s="16">
        <f t="shared" ca="1" si="81"/>
        <v>0.20423329994880035</v>
      </c>
      <c r="T107" s="16">
        <f t="shared" ca="1" si="81"/>
        <v>0.20831796594777607</v>
      </c>
      <c r="U107" s="16">
        <f t="shared" ca="1" si="81"/>
        <v>0.21248432526673255</v>
      </c>
      <c r="V107" s="16">
        <f t="shared" ca="1" si="81"/>
        <v>0.21673401177206664</v>
      </c>
      <c r="W107" s="16">
        <f t="shared" ca="1" si="81"/>
        <v>0.22106869200750801</v>
      </c>
      <c r="X107" s="16">
        <f t="shared" ca="1" si="81"/>
        <v>0.22549006584765863</v>
      </c>
    </row>
    <row r="108" spans="1:24" x14ac:dyDescent="0.25">
      <c r="A108" s="11" t="s">
        <v>1159</v>
      </c>
      <c r="B108" s="10" t="str">
        <f t="shared" si="80"/>
        <v>From Fiscal Forecasts</v>
      </c>
      <c r="C108" s="13"/>
      <c r="D108" s="35">
        <f>SUM('Fiscal Forecasts'!D$93:D$96)</f>
        <v>-2.5789999999999997</v>
      </c>
      <c r="E108" s="35">
        <f>SUM('Fiscal Forecasts'!E$93:E$96)</f>
        <v>36.155999999999999</v>
      </c>
      <c r="F108" s="35">
        <f>SUM('Fiscal Forecasts'!F$93:F$96)</f>
        <v>7.3529999999999998</v>
      </c>
      <c r="G108" s="35">
        <f>SUM('Fiscal Forecasts'!G$93:G$96)</f>
        <v>33.409000000000006</v>
      </c>
      <c r="H108" s="35">
        <f>SUM('Fiscal Forecasts'!H$93:H$96)</f>
        <v>24.929000000000002</v>
      </c>
      <c r="I108" s="35">
        <f>SUM('Fiscal Forecasts'!I$93:I$96)</f>
        <v>28.588000000000001</v>
      </c>
      <c r="J108" s="17">
        <f>SUM('Fiscal Forecasts'!J$93:J$96)+IF($C$2="Yes",'Fiscal Forecast Adjuster'!C$39/1000,0)+IF($C$3="Yes",'NZSF Adjuster'!U$10,0)</f>
        <v>25.192000000000004</v>
      </c>
      <c r="K108" s="17">
        <f>SUM('Fiscal Forecasts'!K$93:K$96)+IF($C$2="Yes",'Fiscal Forecast Adjuster'!D$39/1000,0)+IF($C$3="Yes",'NZSF Adjuster'!V$10,0)</f>
        <v>26.640000000000004</v>
      </c>
      <c r="L108" s="17">
        <f>SUM('Fiscal Forecasts'!L$93:L$96)+IF($C$2="Yes",'Fiscal Forecast Adjuster'!E$39/1000,0)+IF($C$3="Yes",'NZSF Adjuster'!W$10,0)</f>
        <v>20.073999999999998</v>
      </c>
      <c r="M108" s="17">
        <f>SUM('Fiscal Forecasts'!M$93:M$96)+IF($C$2="Yes",'Fiscal Forecast Adjuster'!F$39/1000,0)+IF($C$3="Yes",'NZSF Adjuster'!X$10,0)</f>
        <v>15.950000000000001</v>
      </c>
      <c r="N108" s="17">
        <f>SUM('Fiscal Forecasts'!N$93:N$96)+IF($C$2="Yes",'Fiscal Forecast Adjuster'!G$39/1000,0)+IF($C$3="Yes",'NZSF Adjuster'!Y$10,0)</f>
        <v>11.384</v>
      </c>
      <c r="O108" s="16">
        <f t="shared" ref="O108:X108" ca="1" si="82">O$356-N$356-SUM(O$99,O$106,O$107)</f>
        <v>5.0994729302942279</v>
      </c>
      <c r="P108" s="16">
        <f t="shared" ca="1" si="82"/>
        <v>4.3286437840068537</v>
      </c>
      <c r="Q108" s="16">
        <f t="shared" ca="1" si="82"/>
        <v>1.9429766126537675</v>
      </c>
      <c r="R108" s="16">
        <f t="shared" ca="1" si="82"/>
        <v>-0.43270283166071799</v>
      </c>
      <c r="S108" s="16">
        <f t="shared" ca="1" si="82"/>
        <v>-2.9369762544053408</v>
      </c>
      <c r="T108" s="16">
        <f t="shared" ca="1" si="82"/>
        <v>-5.7046819548778434</v>
      </c>
      <c r="U108" s="16">
        <f t="shared" ca="1" si="82"/>
        <v>-8.5576211662971211</v>
      </c>
      <c r="V108" s="16">
        <f t="shared" ca="1" si="82"/>
        <v>-11.265099680715297</v>
      </c>
      <c r="W108" s="16">
        <f t="shared" ca="1" si="82"/>
        <v>-13.845725114865745</v>
      </c>
      <c r="X108" s="16">
        <f t="shared" ca="1" si="82"/>
        <v>-16.461877969706112</v>
      </c>
    </row>
    <row r="109" spans="1:24" x14ac:dyDescent="0.25">
      <c r="A109" s="11" t="s">
        <v>1167</v>
      </c>
      <c r="B109" s="10" t="str">
        <f t="shared" si="80"/>
        <v>From Fiscal Forecasts</v>
      </c>
      <c r="C109" s="13"/>
      <c r="D109" s="35">
        <f>-'Fiscal Forecasts'!D$97</f>
        <v>0.504</v>
      </c>
      <c r="E109" s="35">
        <f>-'Fiscal Forecasts'!E$97</f>
        <v>0.47899999999999998</v>
      </c>
      <c r="F109" s="35">
        <f>-'Fiscal Forecasts'!F$97</f>
        <v>0.373</v>
      </c>
      <c r="G109" s="35">
        <f>-'Fiscal Forecasts'!G$97</f>
        <v>0.30399999999999999</v>
      </c>
      <c r="H109" s="35">
        <f>-'Fiscal Forecasts'!H$97</f>
        <v>0.372</v>
      </c>
      <c r="I109" s="35">
        <f>-'Fiscal Forecasts'!I$97</f>
        <v>0.505</v>
      </c>
      <c r="J109" s="17">
        <f>-'Fiscal Forecasts'!J$97</f>
        <v>0.438</v>
      </c>
      <c r="K109" s="17">
        <f>-'Fiscal Forecasts'!K$97</f>
        <v>0.46200000000000002</v>
      </c>
      <c r="L109" s="17">
        <f>-'Fiscal Forecasts'!L$97</f>
        <v>0.46300000000000002</v>
      </c>
      <c r="M109" s="17">
        <f>-'Fiscal Forecasts'!M$97</f>
        <v>0.504</v>
      </c>
      <c r="N109" s="17">
        <f>-'Fiscal Forecasts'!N$97</f>
        <v>0.52600000000000002</v>
      </c>
      <c r="O109" s="16">
        <f t="shared" ref="O109:X109" ca="1" si="83">O$38-O$40</f>
        <v>0.47501635990689384</v>
      </c>
      <c r="P109" s="16">
        <f t="shared" ca="1" si="83"/>
        <v>0.49512688763084811</v>
      </c>
      <c r="Q109" s="16">
        <f t="shared" ca="1" si="83"/>
        <v>0.51528108080491808</v>
      </c>
      <c r="R109" s="16">
        <f t="shared" ca="1" si="83"/>
        <v>0.5354334874007326</v>
      </c>
      <c r="S109" s="16">
        <f t="shared" ca="1" si="83"/>
        <v>0.55603024773069565</v>
      </c>
      <c r="T109" s="16">
        <f t="shared" ca="1" si="83"/>
        <v>0.57703992929699566</v>
      </c>
      <c r="U109" s="16">
        <f t="shared" ca="1" si="83"/>
        <v>0.5983297340422794</v>
      </c>
      <c r="V109" s="16">
        <f t="shared" ca="1" si="83"/>
        <v>0.61993962689374504</v>
      </c>
      <c r="W109" s="16">
        <f t="shared" ca="1" si="83"/>
        <v>0.64186880274271907</v>
      </c>
      <c r="X109" s="16">
        <f t="shared" ca="1" si="83"/>
        <v>0.66428250953843782</v>
      </c>
    </row>
    <row r="110" spans="1:24" x14ac:dyDescent="0.25">
      <c r="A110" s="9" t="s">
        <v>1160</v>
      </c>
      <c r="B110" s="9"/>
      <c r="C110" s="13"/>
      <c r="D110" s="65">
        <f>(D$107+D$108-D$109)</f>
        <v>-2.6459999999999999</v>
      </c>
      <c r="E110" s="65">
        <f t="shared" ref="E110:X110" si="84">(E$107+E$108-E$109)</f>
        <v>36.886000000000003</v>
      </c>
      <c r="F110" s="65">
        <f t="shared" si="84"/>
        <v>7.2139999999999995</v>
      </c>
      <c r="G110" s="65">
        <f t="shared" si="84"/>
        <v>33.910000000000004</v>
      </c>
      <c r="H110" s="65">
        <f t="shared" si="84"/>
        <v>24.498000000000001</v>
      </c>
      <c r="I110" s="65">
        <f t="shared" si="84"/>
        <v>28.059000000000001</v>
      </c>
      <c r="J110" s="66">
        <f t="shared" si="84"/>
        <v>24.843000000000004</v>
      </c>
      <c r="K110" s="66">
        <f t="shared" si="84"/>
        <v>26.269000000000005</v>
      </c>
      <c r="L110" s="66">
        <f t="shared" si="84"/>
        <v>19.702999999999996</v>
      </c>
      <c r="M110" s="66">
        <f t="shared" si="84"/>
        <v>15.538000000000002</v>
      </c>
      <c r="N110" s="66">
        <f t="shared" si="84"/>
        <v>10.951000000000001</v>
      </c>
      <c r="O110" s="92">
        <f t="shared" ca="1" si="84"/>
        <v>4.8131365703873339</v>
      </c>
      <c r="P110" s="92">
        <f t="shared" ca="1" si="84"/>
        <v>4.0259704963760061</v>
      </c>
      <c r="Q110" s="92">
        <f t="shared" ca="1" si="84"/>
        <v>1.6239982038488492</v>
      </c>
      <c r="R110" s="92">
        <f t="shared" ca="1" si="84"/>
        <v>-0.76790759362145</v>
      </c>
      <c r="S110" s="92">
        <f t="shared" ca="1" si="84"/>
        <v>-3.2887732021872362</v>
      </c>
      <c r="T110" s="92">
        <f t="shared" ca="1" si="84"/>
        <v>-6.0734039182270632</v>
      </c>
      <c r="U110" s="92">
        <f t="shared" ca="1" si="84"/>
        <v>-8.9434665750726676</v>
      </c>
      <c r="V110" s="92">
        <f t="shared" ca="1" si="84"/>
        <v>-11.668305295836975</v>
      </c>
      <c r="W110" s="92">
        <f t="shared" ca="1" si="84"/>
        <v>-14.266525225600956</v>
      </c>
      <c r="X110" s="92">
        <f t="shared" ca="1" si="84"/>
        <v>-16.900670413396892</v>
      </c>
    </row>
    <row r="111" spans="1:24" x14ac:dyDescent="0.25">
      <c r="A111" s="9" t="s">
        <v>597</v>
      </c>
      <c r="B111" s="9"/>
      <c r="C111" s="13"/>
      <c r="D111" s="65">
        <f>SUM(D$99,D$106,D$110)</f>
        <v>1.1099999999999985</v>
      </c>
      <c r="E111" s="65">
        <f t="shared" ref="E111:X111" si="85">SUM(E$99,E$106,E$110)</f>
        <v>0.83900000000000574</v>
      </c>
      <c r="F111" s="65">
        <f t="shared" si="85"/>
        <v>-1.8389999999999871</v>
      </c>
      <c r="G111" s="65">
        <f t="shared" si="85"/>
        <v>-1.1410000000000053</v>
      </c>
      <c r="H111" s="65">
        <f t="shared" si="85"/>
        <v>0.56099999999997863</v>
      </c>
      <c r="I111" s="65">
        <f t="shared" si="85"/>
        <v>-2.5330000000000368</v>
      </c>
      <c r="J111" s="66">
        <f t="shared" ca="1" si="85"/>
        <v>5.7129999999999939</v>
      </c>
      <c r="K111" s="66">
        <f t="shared" ca="1" si="85"/>
        <v>0.14000000000002544</v>
      </c>
      <c r="L111" s="66">
        <f t="shared" ca="1" si="85"/>
        <v>0.76600000000004087</v>
      </c>
      <c r="M111" s="66">
        <f t="shared" ca="1" si="85"/>
        <v>-0.65900000000003267</v>
      </c>
      <c r="N111" s="66">
        <f t="shared" ca="1" si="85"/>
        <v>-0.13799999999999457</v>
      </c>
      <c r="O111" s="92">
        <f t="shared" ca="1" si="85"/>
        <v>-0.16155561066400459</v>
      </c>
      <c r="P111" s="92">
        <f t="shared" ca="1" si="85"/>
        <v>-5.6958576554849927E-2</v>
      </c>
      <c r="Q111" s="92">
        <f t="shared" ca="1" si="85"/>
        <v>-6.3841398732598975E-2</v>
      </c>
      <c r="R111" s="92">
        <f t="shared" ca="1" si="85"/>
        <v>-7.281151090375293E-2</v>
      </c>
      <c r="S111" s="92">
        <f t="shared" ca="1" si="85"/>
        <v>-8.3219604688565152E-2</v>
      </c>
      <c r="T111" s="92">
        <f t="shared" ca="1" si="85"/>
        <v>-9.3169490432261526E-2</v>
      </c>
      <c r="U111" s="92">
        <f t="shared" ca="1" si="85"/>
        <v>-0.105231899645025</v>
      </c>
      <c r="V111" s="92">
        <f t="shared" ca="1" si="85"/>
        <v>-0.11618558567242765</v>
      </c>
      <c r="W111" s="92">
        <f t="shared" ca="1" si="85"/>
        <v>-0.12351769467856677</v>
      </c>
      <c r="X111" s="92">
        <f t="shared" ca="1" si="85"/>
        <v>-0.1268871583777198</v>
      </c>
    </row>
    <row r="112" spans="1:24" x14ac:dyDescent="0.25">
      <c r="A112" s="12" t="s">
        <v>1141</v>
      </c>
      <c r="B112" s="9"/>
      <c r="C112" s="13"/>
      <c r="D112" s="36"/>
      <c r="E112" s="36"/>
      <c r="F112" s="36"/>
      <c r="G112" s="36"/>
      <c r="H112" s="36"/>
      <c r="I112" s="36"/>
      <c r="J112" s="19"/>
      <c r="K112" s="19"/>
      <c r="L112" s="19"/>
      <c r="M112" s="19"/>
      <c r="N112" s="19"/>
      <c r="O112" s="18"/>
      <c r="P112" s="18"/>
      <c r="Q112" s="18"/>
      <c r="R112" s="18"/>
      <c r="S112" s="18"/>
      <c r="T112" s="18"/>
      <c r="U112" s="18"/>
      <c r="V112" s="18"/>
      <c r="W112" s="18"/>
      <c r="X112" s="18"/>
    </row>
    <row r="113" spans="1:24" x14ac:dyDescent="0.25">
      <c r="A113" s="9" t="s">
        <v>1161</v>
      </c>
      <c r="B113" s="9"/>
      <c r="C113" s="13"/>
      <c r="D113" s="42">
        <f t="shared" ref="D113:X113" si="86">SUM(D$346,D$350,-D$38)</f>
        <v>-7.3769999999999989</v>
      </c>
      <c r="E113" s="42">
        <f t="shared" si="86"/>
        <v>-7.1269999999999998</v>
      </c>
      <c r="F113" s="42">
        <f t="shared" si="86"/>
        <v>20.545999999999999</v>
      </c>
      <c r="G113" s="42">
        <f t="shared" si="86"/>
        <v>-7.6029999999999998</v>
      </c>
      <c r="H113" s="42">
        <f t="shared" si="86"/>
        <v>14.132000000000001</v>
      </c>
      <c r="I113" s="42">
        <f t="shared" si="86"/>
        <v>4.3490000000000002</v>
      </c>
      <c r="J113" s="43">
        <f t="shared" si="86"/>
        <v>8.9680000000000017</v>
      </c>
      <c r="K113" s="43">
        <f t="shared" si="86"/>
        <v>5.41</v>
      </c>
      <c r="L113" s="43">
        <f t="shared" si="86"/>
        <v>5.6450000000000005</v>
      </c>
      <c r="M113" s="43">
        <f t="shared" si="86"/>
        <v>6.0649999999999995</v>
      </c>
      <c r="N113" s="43">
        <f t="shared" si="86"/>
        <v>6.6349999999999998</v>
      </c>
      <c r="O113" s="47">
        <f t="shared" ca="1" si="86"/>
        <v>6.9867364514005148</v>
      </c>
      <c r="P113" s="47">
        <f t="shared" ca="1" si="86"/>
        <v>7.383365985753354</v>
      </c>
      <c r="Q113" s="47">
        <f t="shared" ca="1" si="86"/>
        <v>7.8010630154507101</v>
      </c>
      <c r="R113" s="47">
        <f t="shared" ca="1" si="86"/>
        <v>8.2386236557164452</v>
      </c>
      <c r="S113" s="47">
        <f t="shared" ca="1" si="86"/>
        <v>8.694942810242793</v>
      </c>
      <c r="T113" s="47">
        <f t="shared" ca="1" si="86"/>
        <v>9.1712841317286049</v>
      </c>
      <c r="U113" s="47">
        <f t="shared" ca="1" si="86"/>
        <v>9.6686540346067691</v>
      </c>
      <c r="V113" s="47">
        <f t="shared" ca="1" si="86"/>
        <v>10.182613191857303</v>
      </c>
      <c r="W113" s="47">
        <f t="shared" ca="1" si="86"/>
        <v>10.711883349592151</v>
      </c>
      <c r="X113" s="47">
        <f t="shared" ca="1" si="86"/>
        <v>11.260510673872137</v>
      </c>
    </row>
    <row r="114" spans="1:24" x14ac:dyDescent="0.25">
      <c r="A114" s="11" t="s">
        <v>536</v>
      </c>
      <c r="B114" s="10"/>
      <c r="C114" s="13"/>
      <c r="D114" s="35">
        <f t="shared" ref="D114:X114" si="87">D$218</f>
        <v>4.5540000000000003</v>
      </c>
      <c r="E114" s="35">
        <f t="shared" si="87"/>
        <v>5.2940000000000005</v>
      </c>
      <c r="F114" s="35">
        <f t="shared" si="87"/>
        <v>5.5660000000000007</v>
      </c>
      <c r="G114" s="35">
        <f t="shared" si="87"/>
        <v>6.1520000000000001</v>
      </c>
      <c r="H114" s="35">
        <f t="shared" si="87"/>
        <v>6.6009999999999991</v>
      </c>
      <c r="I114" s="35">
        <f t="shared" si="87"/>
        <v>7.6210000000000004</v>
      </c>
      <c r="J114" s="17">
        <f t="shared" si="87"/>
        <v>8.06</v>
      </c>
      <c r="K114" s="17">
        <f t="shared" si="87"/>
        <v>8.4239999999999995</v>
      </c>
      <c r="L114" s="17">
        <f t="shared" si="87"/>
        <v>8.7170000000000005</v>
      </c>
      <c r="M114" s="17">
        <f t="shared" si="87"/>
        <v>9.0640000000000001</v>
      </c>
      <c r="N114" s="17">
        <f t="shared" si="87"/>
        <v>9.2050000000000001</v>
      </c>
      <c r="O114" s="16">
        <f t="shared" ca="1" si="87"/>
        <v>9.2337767255345771</v>
      </c>
      <c r="P114" s="16">
        <f t="shared" ca="1" si="87"/>
        <v>9.2625053385363252</v>
      </c>
      <c r="Q114" s="16">
        <f t="shared" ca="1" si="87"/>
        <v>9.291610423013152</v>
      </c>
      <c r="R114" s="16">
        <f t="shared" ca="1" si="87"/>
        <v>9.3211784522143883</v>
      </c>
      <c r="S114" s="16">
        <f t="shared" ca="1" si="87"/>
        <v>9.3512196339142797</v>
      </c>
      <c r="T114" s="16">
        <f t="shared" ca="1" si="87"/>
        <v>9.3817434538140496</v>
      </c>
      <c r="U114" s="16">
        <f t="shared" ca="1" si="87"/>
        <v>9.4127563469539659</v>
      </c>
      <c r="V114" s="16">
        <f t="shared" ca="1" si="87"/>
        <v>9.4442656664558218</v>
      </c>
      <c r="W114" s="16">
        <f t="shared" ca="1" si="87"/>
        <v>9.4762787469463063</v>
      </c>
      <c r="X114" s="16">
        <f t="shared" ca="1" si="87"/>
        <v>9.508806719157846</v>
      </c>
    </row>
    <row r="115" spans="1:24" x14ac:dyDescent="0.25">
      <c r="A115" s="11" t="s">
        <v>1228</v>
      </c>
      <c r="B115" s="10" t="str">
        <f>$B$38</f>
        <v>From Fiscal Forecasts</v>
      </c>
      <c r="C115" s="13"/>
      <c r="D115" s="35">
        <f>-'Fiscal Forecasts'!D$104</f>
        <v>-1.5799999999999996</v>
      </c>
      <c r="E115" s="35">
        <f>-'Fiscal Forecasts'!E$104</f>
        <v>2.726</v>
      </c>
      <c r="F115" s="35">
        <f>-'Fiscal Forecasts'!F$104</f>
        <v>1.0489999999999999</v>
      </c>
      <c r="G115" s="35">
        <f>-'Fiscal Forecasts'!G$104</f>
        <v>-0.26900000000000002</v>
      </c>
      <c r="H115" s="35">
        <f>-'Fiscal Forecasts'!H$104</f>
        <v>0.73399999999999999</v>
      </c>
      <c r="I115" s="35">
        <f>-'Fiscal Forecasts'!I$104</f>
        <v>1.1950000000000001</v>
      </c>
      <c r="J115" s="17">
        <f>-'Fiscal Forecasts'!J$104</f>
        <v>0.84399999999999997</v>
      </c>
      <c r="K115" s="17">
        <f>-'Fiscal Forecasts'!K$104</f>
        <v>1.556</v>
      </c>
      <c r="L115" s="17">
        <f>-'Fiscal Forecasts'!L$104</f>
        <v>0.83</v>
      </c>
      <c r="M115" s="17">
        <f>-'Fiscal Forecasts'!M$104</f>
        <v>0.81299999999999994</v>
      </c>
      <c r="N115" s="17">
        <f>-'Fiscal Forecasts'!N$104</f>
        <v>0.81</v>
      </c>
      <c r="O115" s="16">
        <f ca="1">IF(O$6=OFFSET(Assumptions!$B$8,0,$C$1),AVERAGE(L$115/L$444,M$115/M$444,N$115/N$444),N$115/N$444)*O$444</f>
        <v>0.81740356501818023</v>
      </c>
      <c r="P115" s="16">
        <f ca="1">IF(P$6=OFFSET(Assumptions!$B$8,0,$C$1),AVERAGE(M$115/M$444,N$115/N$444,O$115/O$444),O$115/O$444)*P$444</f>
        <v>0.82727288155166734</v>
      </c>
      <c r="Q115" s="16">
        <f ca="1">IF(Q$6=OFFSET(Assumptions!$B$8,0,$C$1),AVERAGE(N$115/N$444,O$115/O$444,P$115/P$444),P$115/P$444)*Q$444</f>
        <v>0.83733958441582412</v>
      </c>
      <c r="R115" s="16">
        <f ca="1">IF(R$6=OFFSET(Assumptions!$B$8,0,$C$1),AVERAGE(O$115/O$444,P$115/P$444,Q$115/Q$444),Q$115/Q$444)*R$444</f>
        <v>0.84760762133726408</v>
      </c>
      <c r="S115" s="16">
        <f ca="1">IF(S$6=OFFSET(Assumptions!$B$8,0,$C$1),AVERAGE(P$115/P$444,Q$115/Q$444,R$115/R$444),R$115/R$444)*S$444</f>
        <v>0.85808101899713307</v>
      </c>
      <c r="T115" s="16">
        <f ca="1">IF(T$6=OFFSET(Assumptions!$B$8,0,$C$1),AVERAGE(Q$115/Q$444,R$115/R$444,S$115/S$444),S$115/S$444)*T$444</f>
        <v>0.86876388461019916</v>
      </c>
      <c r="U115" s="16">
        <f ca="1">IF(U$6=OFFSET(Assumptions!$B$8,0,$C$1),AVERAGE(R$115/R$444,S$115/S$444,T$115/T$444),T$115/T$444)*U$444</f>
        <v>0.87966040753552655</v>
      </c>
      <c r="V115" s="16">
        <f ca="1">IF(V$6=OFFSET(Assumptions!$B$8,0,$C$1),AVERAGE(S$115/S$444,T$115/T$444,U$115/U$444),U$115/U$444)*V$444</f>
        <v>0.89077486091936064</v>
      </c>
      <c r="W115" s="16">
        <f ca="1">IF(W$6=OFFSET(Assumptions!$B$8,0,$C$1),AVERAGE(T$115/T$444,U$115/U$444,V$115/V$444),V$115/V$444)*W$444</f>
        <v>0.90211160337087126</v>
      </c>
      <c r="X115" s="16">
        <f ca="1">IF(X$6=OFFSET(Assumptions!$B$8,0,$C$1),AVERAGE(U$115/U$444,V$115/V$444,W$115/W$444),W$115/W$444)*X$444</f>
        <v>0.91367508067141212</v>
      </c>
    </row>
    <row r="116" spans="1:24" x14ac:dyDescent="0.25">
      <c r="A116" s="11" t="s">
        <v>603</v>
      </c>
      <c r="B116" s="10" t="str">
        <f>$B$38</f>
        <v>From Fiscal Forecasts</v>
      </c>
      <c r="C116" s="13"/>
      <c r="D116" s="35">
        <f>-'Fiscal Forecasts'!D$105</f>
        <v>0.76300000000000001</v>
      </c>
      <c r="E116" s="35">
        <f>-'Fiscal Forecasts'!E$105</f>
        <v>1.2789999999999999</v>
      </c>
      <c r="F116" s="35">
        <f>-'Fiscal Forecasts'!F$105</f>
        <v>1.0389999999999999</v>
      </c>
      <c r="G116" s="35">
        <f>-'Fiscal Forecasts'!G$105</f>
        <v>0.85799999999999998</v>
      </c>
      <c r="H116" s="35">
        <f>-'Fiscal Forecasts'!H$105</f>
        <v>0.73799999999999999</v>
      </c>
      <c r="I116" s="35">
        <f>-'Fiscal Forecasts'!I$105</f>
        <v>0.71899999999999997</v>
      </c>
      <c r="J116" s="17">
        <f>-'Fiscal Forecasts'!J$105</f>
        <v>0.61199999999999999</v>
      </c>
      <c r="K116" s="17">
        <f>-'Fiscal Forecasts'!K$105</f>
        <v>0.68100000000000005</v>
      </c>
      <c r="L116" s="17">
        <f>-'Fiscal Forecasts'!L$105</f>
        <v>0.67400000000000004</v>
      </c>
      <c r="M116" s="17">
        <f>-'Fiscal Forecasts'!M$105</f>
        <v>0.65</v>
      </c>
      <c r="N116" s="17">
        <f>-'Fiscal Forecasts'!N$105</f>
        <v>0.66300000000000003</v>
      </c>
      <c r="O116" s="16">
        <f t="shared" ref="O116:X116" si="88">O$411</f>
        <v>0.65600000000000003</v>
      </c>
      <c r="P116" s="16">
        <f t="shared" si="88"/>
        <v>0.67400000000000004</v>
      </c>
      <c r="Q116" s="16">
        <f t="shared" si="88"/>
        <v>0.69299999999999995</v>
      </c>
      <c r="R116" s="16">
        <f t="shared" si="88"/>
        <v>0.71099999999999997</v>
      </c>
      <c r="S116" s="16">
        <f t="shared" si="88"/>
        <v>0.72699999999999998</v>
      </c>
      <c r="T116" s="16">
        <f t="shared" si="88"/>
        <v>0.74199999999999999</v>
      </c>
      <c r="U116" s="16">
        <f t="shared" si="88"/>
        <v>0.75600000000000001</v>
      </c>
      <c r="V116" s="16">
        <f t="shared" si="88"/>
        <v>0.76900000000000002</v>
      </c>
      <c r="W116" s="16">
        <f t="shared" si="88"/>
        <v>0.78300000000000003</v>
      </c>
      <c r="X116" s="16">
        <f t="shared" si="88"/>
        <v>0.79700000000000004</v>
      </c>
    </row>
    <row r="117" spans="1:24" x14ac:dyDescent="0.25">
      <c r="A117" s="11" t="s">
        <v>1171</v>
      </c>
      <c r="B117" s="10" t="str">
        <f>$B$38</f>
        <v>From Fiscal Forecasts</v>
      </c>
      <c r="C117" s="13"/>
      <c r="D117" s="35">
        <f>-'Fiscal Forecasts'!D$106</f>
        <v>4.1000000000000002E-2</v>
      </c>
      <c r="E117" s="35">
        <f>-'Fiscal Forecasts'!E$106</f>
        <v>5.2999999999999999E-2</v>
      </c>
      <c r="F117" s="35">
        <f>-'Fiscal Forecasts'!F$106</f>
        <v>1E-3</v>
      </c>
      <c r="G117" s="35">
        <f>-'Fiscal Forecasts'!G$106</f>
        <v>3.7999999999999999E-2</v>
      </c>
      <c r="H117" s="35">
        <f>-'Fiscal Forecasts'!H$106</f>
        <v>9.7000000000000003E-2</v>
      </c>
      <c r="I117" s="35">
        <f>-'Fiscal Forecasts'!I$106</f>
        <v>0.123</v>
      </c>
      <c r="J117" s="17">
        <f>-'Fiscal Forecasts'!J$106</f>
        <v>-3.1E-2</v>
      </c>
      <c r="K117" s="17">
        <f>-'Fiscal Forecasts'!K$106</f>
        <v>-4.7E-2</v>
      </c>
      <c r="L117" s="17">
        <f>-'Fiscal Forecasts'!L$106</f>
        <v>-3.1E-2</v>
      </c>
      <c r="M117" s="17">
        <f>-'Fiscal Forecasts'!M$106</f>
        <v>1.0999999999999999E-2</v>
      </c>
      <c r="N117" s="17">
        <f>-'Fiscal Forecasts'!N$106</f>
        <v>0.01</v>
      </c>
      <c r="O117" s="16">
        <f ca="1">IF(O$6=OFFSET(Assumptions!$B$8,0,$C$1),OFFSET(Assumptions!$B$9,0,$C$1),N$117)</f>
        <v>0</v>
      </c>
      <c r="P117" s="16">
        <f ca="1">IF(P$6=OFFSET(Assumptions!$B$8,0,$C$1),OFFSET(Assumptions!$B$9,0,$C$1),O$117)</f>
        <v>0</v>
      </c>
      <c r="Q117" s="16">
        <f ca="1">IF(Q$6=OFFSET(Assumptions!$B$8,0,$C$1),OFFSET(Assumptions!$B$9,0,$C$1),P$117)</f>
        <v>0</v>
      </c>
      <c r="R117" s="16">
        <f ca="1">IF(R$6=OFFSET(Assumptions!$B$8,0,$C$1),OFFSET(Assumptions!$B$9,0,$C$1),Q$117)</f>
        <v>0</v>
      </c>
      <c r="S117" s="16">
        <f ca="1">IF(S$6=OFFSET(Assumptions!$B$8,0,$C$1),OFFSET(Assumptions!$B$9,0,$C$1),R$117)</f>
        <v>0</v>
      </c>
      <c r="T117" s="16">
        <f ca="1">IF(T$6=OFFSET(Assumptions!$B$8,0,$C$1),OFFSET(Assumptions!$B$9,0,$C$1),S$117)</f>
        <v>0</v>
      </c>
      <c r="U117" s="16">
        <f ca="1">IF(U$6=OFFSET(Assumptions!$B$8,0,$C$1),OFFSET(Assumptions!$B$9,0,$C$1),T$117)</f>
        <v>0</v>
      </c>
      <c r="V117" s="16">
        <f ca="1">IF(V$6=OFFSET(Assumptions!$B$8,0,$C$1),OFFSET(Assumptions!$B$9,0,$C$1),U$117)</f>
        <v>0</v>
      </c>
      <c r="W117" s="16">
        <f ca="1">IF(W$6=OFFSET(Assumptions!$B$8,0,$C$1),OFFSET(Assumptions!$B$9,0,$C$1),V$117)</f>
        <v>0</v>
      </c>
      <c r="X117" s="16">
        <f ca="1">IF(X$6=OFFSET(Assumptions!$B$8,0,$C$1),OFFSET(Assumptions!$B$9,0,$C$1),W$117)</f>
        <v>0</v>
      </c>
    </row>
    <row r="118" spans="1:24" x14ac:dyDescent="0.25">
      <c r="A118" s="11" t="s">
        <v>605</v>
      </c>
      <c r="B118" s="10" t="str">
        <f>$B$38</f>
        <v>From Fiscal Forecasts</v>
      </c>
      <c r="C118" s="13"/>
      <c r="D118" s="35">
        <f>-'Fiscal Forecasts'!D$107</f>
        <v>1.768</v>
      </c>
      <c r="E118" s="35">
        <f>-'Fiscal Forecasts'!E$107</f>
        <v>2.351</v>
      </c>
      <c r="F118" s="35">
        <f>-'Fiscal Forecasts'!F$107</f>
        <v>1.8680000000000001</v>
      </c>
      <c r="G118" s="35">
        <f>-'Fiscal Forecasts'!G$107</f>
        <v>1.696</v>
      </c>
      <c r="H118" s="35">
        <f>-'Fiscal Forecasts'!H$107</f>
        <v>3.5249999999999999</v>
      </c>
      <c r="I118" s="35">
        <f>-'Fiscal Forecasts'!I$107</f>
        <v>3.8380000000000001</v>
      </c>
      <c r="J118" s="17">
        <f>-'Fiscal Forecasts'!J$107</f>
        <v>4.0350000000000001</v>
      </c>
      <c r="K118" s="17">
        <f>-'Fiscal Forecasts'!K$107</f>
        <v>3.0369999999999999</v>
      </c>
      <c r="L118" s="17">
        <f>-'Fiscal Forecasts'!L$107</f>
        <v>3.3239999999999998</v>
      </c>
      <c r="M118" s="17">
        <f>-'Fiscal Forecasts'!M$107</f>
        <v>3.6920000000000002</v>
      </c>
      <c r="N118" s="17">
        <f>-'Fiscal Forecasts'!N$107</f>
        <v>3.85</v>
      </c>
      <c r="O118" s="16">
        <f t="shared" ref="O118:X118" ca="1" si="89">O$475-N$475</f>
        <v>4.2940415667566612</v>
      </c>
      <c r="P118" s="16">
        <f t="shared" ca="1" si="89"/>
        <v>4.6745198695422658</v>
      </c>
      <c r="Q118" s="16">
        <f t="shared" ca="1" si="89"/>
        <v>4.9931983149520676</v>
      </c>
      <c r="R118" s="16">
        <f t="shared" ca="1" si="89"/>
        <v>5.2719906953987135</v>
      </c>
      <c r="S118" s="16">
        <f t="shared" ca="1" si="89"/>
        <v>5.5463118745630595</v>
      </c>
      <c r="T118" s="16">
        <f t="shared" ca="1" si="89"/>
        <v>5.8402675851831418</v>
      </c>
      <c r="U118" s="16">
        <f t="shared" ca="1" si="89"/>
        <v>6.0898671107307507</v>
      </c>
      <c r="V118" s="16">
        <f t="shared" ca="1" si="89"/>
        <v>6.3129879384634364</v>
      </c>
      <c r="W118" s="16">
        <f t="shared" ca="1" si="89"/>
        <v>6.5465401488230697</v>
      </c>
      <c r="X118" s="16">
        <f t="shared" ca="1" si="89"/>
        <v>6.7831238224722483</v>
      </c>
    </row>
    <row r="119" spans="1:24" x14ac:dyDescent="0.25">
      <c r="A119" s="11" t="s">
        <v>606</v>
      </c>
      <c r="B119" s="10" t="str">
        <f>$B$38</f>
        <v>From Fiscal Forecasts</v>
      </c>
      <c r="C119" s="13"/>
      <c r="D119" s="35">
        <f>-'Fiscal Forecasts'!D$108</f>
        <v>0</v>
      </c>
      <c r="E119" s="35">
        <f>-'Fiscal Forecasts'!E$108</f>
        <v>0</v>
      </c>
      <c r="F119" s="35">
        <f>-'Fiscal Forecasts'!F$108</f>
        <v>0</v>
      </c>
      <c r="G119" s="35">
        <f>-'Fiscal Forecasts'!G$108</f>
        <v>0</v>
      </c>
      <c r="H119" s="35">
        <f>-'Fiscal Forecasts'!H$108</f>
        <v>-0.39500000000000002</v>
      </c>
      <c r="I119" s="35">
        <f>-'Fiscal Forecasts'!I$108</f>
        <v>-0.61399999999999999</v>
      </c>
      <c r="J119" s="17">
        <f>-'Fiscal Forecasts'!J$108</f>
        <v>-1.2769999999999999</v>
      </c>
      <c r="K119" s="17">
        <f>-'Fiscal Forecasts'!K$108</f>
        <v>-1.145</v>
      </c>
      <c r="L119" s="17">
        <f>-'Fiscal Forecasts'!L$108</f>
        <v>-0.88600000000000001</v>
      </c>
      <c r="M119" s="17">
        <f>-'Fiscal Forecasts'!M$108</f>
        <v>-0.64300000000000002</v>
      </c>
      <c r="N119" s="17">
        <f>-'Fiscal Forecasts'!N$108</f>
        <v>-0.64900000000000002</v>
      </c>
      <c r="O119" s="16">
        <f t="shared" ref="O119:X119" ca="1" si="90">O$469-N$469</f>
        <v>-0.40904000000000007</v>
      </c>
      <c r="P119" s="16">
        <f t="shared" ca="1" si="90"/>
        <v>-0.37950079999999975</v>
      </c>
      <c r="Q119" s="16">
        <f t="shared" ca="1" si="90"/>
        <v>-0.34937081599999997</v>
      </c>
      <c r="R119" s="16">
        <f t="shared" ca="1" si="90"/>
        <v>-0.3186382323200001</v>
      </c>
      <c r="S119" s="16">
        <f t="shared" ca="1" si="90"/>
        <v>-0.2872909969663997</v>
      </c>
      <c r="T119" s="16">
        <f t="shared" ca="1" si="90"/>
        <v>-0.25531681690572761</v>
      </c>
      <c r="U119" s="16">
        <f t="shared" ca="1" si="90"/>
        <v>-0.2227031532438426</v>
      </c>
      <c r="V119" s="16">
        <f t="shared" ca="1" si="90"/>
        <v>-0.18943721630871924</v>
      </c>
      <c r="W119" s="16">
        <f t="shared" ca="1" si="90"/>
        <v>-0.15550596063489364</v>
      </c>
      <c r="X119" s="16">
        <f t="shared" ca="1" si="90"/>
        <v>-0.12089607984759154</v>
      </c>
    </row>
    <row r="120" spans="1:24" x14ac:dyDescent="0.25">
      <c r="A120" s="11" t="s">
        <v>607</v>
      </c>
      <c r="B120" s="10" t="str">
        <f t="shared" ref="B120" si="91">$B$38</f>
        <v>From Fiscal Forecasts</v>
      </c>
      <c r="C120" s="13"/>
      <c r="D120" s="35">
        <f>-'Fiscal Forecasts'!D$109</f>
        <v>-0.57099999999999995</v>
      </c>
      <c r="E120" s="35">
        <f>-'Fiscal Forecasts'!E$109</f>
        <v>0.80400000000000005</v>
      </c>
      <c r="F120" s="35">
        <f>-'Fiscal Forecasts'!F$109</f>
        <v>-0.73299999999999998</v>
      </c>
      <c r="G120" s="35">
        <f>-'Fiscal Forecasts'!G$109</f>
        <v>-0.79</v>
      </c>
      <c r="H120" s="35">
        <f>-'Fiscal Forecasts'!H$109</f>
        <v>-6.0999999999999999E-2</v>
      </c>
      <c r="I120" s="35">
        <f>-'Fiscal Forecasts'!I$109</f>
        <v>-6.0999999999999999E-2</v>
      </c>
      <c r="J120" s="17">
        <f>-'Fiscal Forecasts'!J$109</f>
        <v>0.05</v>
      </c>
      <c r="K120" s="17">
        <f>-'Fiscal Forecasts'!K$109</f>
        <v>4.9000000000000002E-2</v>
      </c>
      <c r="L120" s="17">
        <f>-'Fiscal Forecasts'!L$109</f>
        <v>4.8000000000000001E-2</v>
      </c>
      <c r="M120" s="17">
        <f>-'Fiscal Forecasts'!M$109</f>
        <v>4.5999999999999999E-2</v>
      </c>
      <c r="N120" s="17">
        <f>-'Fiscal Forecasts'!N$109</f>
        <v>4.4999999999999998E-2</v>
      </c>
      <c r="O120" s="16">
        <f t="shared" ref="O120:X120" ca="1" si="92">O$480-N$480</f>
        <v>-0.19022764830508443</v>
      </c>
      <c r="P120" s="16">
        <f t="shared" ca="1" si="92"/>
        <v>-0.19206557203389885</v>
      </c>
      <c r="Q120" s="16">
        <f t="shared" ca="1" si="92"/>
        <v>-0.19448453389830522</v>
      </c>
      <c r="R120" s="16">
        <f t="shared" ca="1" si="92"/>
        <v>-0.19883866525423732</v>
      </c>
      <c r="S120" s="16">
        <f t="shared" ca="1" si="92"/>
        <v>-0.20029004237288106</v>
      </c>
      <c r="T120" s="16">
        <f t="shared" ca="1" si="92"/>
        <v>-0.2007738347457626</v>
      </c>
      <c r="U120" s="16">
        <f t="shared" ca="1" si="92"/>
        <v>-0.19400074152542324</v>
      </c>
      <c r="V120" s="16">
        <f t="shared" ca="1" si="92"/>
        <v>-0.1915817796610173</v>
      </c>
      <c r="W120" s="16">
        <f t="shared" ca="1" si="92"/>
        <v>-0.18867902542372894</v>
      </c>
      <c r="X120" s="16">
        <f t="shared" ca="1" si="92"/>
        <v>-0.18529247881355948</v>
      </c>
    </row>
    <row r="121" spans="1:24" x14ac:dyDescent="0.25">
      <c r="A121" s="9" t="s">
        <v>1143</v>
      </c>
      <c r="B121" s="9"/>
      <c r="C121" s="13"/>
      <c r="D121" s="65">
        <f t="shared" ref="D121:X121" si="93">-SUM(D$114:D$120)</f>
        <v>-4.9750000000000005</v>
      </c>
      <c r="E121" s="65">
        <f t="shared" si="93"/>
        <v>-12.507</v>
      </c>
      <c r="F121" s="65">
        <f t="shared" si="93"/>
        <v>-8.7899999999999991</v>
      </c>
      <c r="G121" s="65">
        <f t="shared" si="93"/>
        <v>-7.6849999999999996</v>
      </c>
      <c r="H121" s="65">
        <f t="shared" si="93"/>
        <v>-11.238999999999999</v>
      </c>
      <c r="I121" s="65">
        <f t="shared" si="93"/>
        <v>-12.820999999999998</v>
      </c>
      <c r="J121" s="66">
        <f t="shared" si="93"/>
        <v>-12.293000000000001</v>
      </c>
      <c r="K121" s="66">
        <f t="shared" si="93"/>
        <v>-12.555</v>
      </c>
      <c r="L121" s="66">
        <f t="shared" si="93"/>
        <v>-12.676</v>
      </c>
      <c r="M121" s="66">
        <f t="shared" si="93"/>
        <v>-13.632999999999999</v>
      </c>
      <c r="N121" s="66">
        <f t="shared" si="93"/>
        <v>-13.933999999999999</v>
      </c>
      <c r="O121" s="92">
        <f t="shared" ca="1" si="93"/>
        <v>-14.401954209004336</v>
      </c>
      <c r="P121" s="92">
        <f t="shared" ca="1" si="93"/>
        <v>-14.866731717596361</v>
      </c>
      <c r="Q121" s="92">
        <f t="shared" ca="1" si="93"/>
        <v>-15.271292972482737</v>
      </c>
      <c r="R121" s="92">
        <f t="shared" ca="1" si="93"/>
        <v>-15.634299871376129</v>
      </c>
      <c r="S121" s="92">
        <f t="shared" ca="1" si="93"/>
        <v>-15.995031488135194</v>
      </c>
      <c r="T121" s="92">
        <f t="shared" ca="1" si="93"/>
        <v>-16.376684271955899</v>
      </c>
      <c r="U121" s="92">
        <f t="shared" ca="1" si="93"/>
        <v>-16.721579970450982</v>
      </c>
      <c r="V121" s="92">
        <f t="shared" ca="1" si="93"/>
        <v>-17.036009469868883</v>
      </c>
      <c r="W121" s="92">
        <f t="shared" ca="1" si="93"/>
        <v>-17.363745513081625</v>
      </c>
      <c r="X121" s="92">
        <f t="shared" ca="1" si="93"/>
        <v>-17.696417063640361</v>
      </c>
    </row>
    <row r="122" spans="1:24" x14ac:dyDescent="0.25">
      <c r="A122" s="11" t="s">
        <v>609</v>
      </c>
      <c r="B122" s="10" t="str">
        <f t="shared" ref="B122:B127" si="94">$B$38</f>
        <v>From Fiscal Forecasts</v>
      </c>
      <c r="C122" s="13"/>
      <c r="D122" s="35">
        <f>'Fiscal Forecasts'!D$111</f>
        <v>4.1879999999999997</v>
      </c>
      <c r="E122" s="35">
        <f>'Fiscal Forecasts'!E$111</f>
        <v>0.63100000000000001</v>
      </c>
      <c r="F122" s="35">
        <f>'Fiscal Forecasts'!F$111</f>
        <v>1.4810000000000001</v>
      </c>
      <c r="G122" s="35">
        <f>'Fiscal Forecasts'!G$111</f>
        <v>5.0270000000000001</v>
      </c>
      <c r="H122" s="35">
        <f>'Fiscal Forecasts'!H$111</f>
        <v>1.155</v>
      </c>
      <c r="I122" s="35">
        <f>'Fiscal Forecasts'!I$111</f>
        <v>3.3050000000000002</v>
      </c>
      <c r="J122" s="17">
        <f>'Fiscal Forecasts'!J$111</f>
        <v>-2.56</v>
      </c>
      <c r="K122" s="17">
        <f>'Fiscal Forecasts'!K$111</f>
        <v>1.3380000000000001</v>
      </c>
      <c r="L122" s="17">
        <f>'Fiscal Forecasts'!L$111</f>
        <v>-0.01</v>
      </c>
      <c r="M122" s="17">
        <f>'Fiscal Forecasts'!M$111</f>
        <v>1.1919999999999999</v>
      </c>
      <c r="N122" s="17">
        <f>'Fiscal Forecasts'!N$111</f>
        <v>1.5449999999999999</v>
      </c>
      <c r="O122" s="16">
        <f t="shared" ref="O122:X122" ca="1" si="95">O$363-N$363</f>
        <v>4.2002421011101845</v>
      </c>
      <c r="P122" s="16">
        <f t="shared" ca="1" si="95"/>
        <v>1.8150547992839776</v>
      </c>
      <c r="Q122" s="16">
        <f t="shared" ca="1" si="95"/>
        <v>1.8637758813322876</v>
      </c>
      <c r="R122" s="16">
        <f t="shared" ca="1" si="95"/>
        <v>1.8869478208642079</v>
      </c>
      <c r="S122" s="16">
        <f t="shared" ca="1" si="95"/>
        <v>1.9269300777456166</v>
      </c>
      <c r="T122" s="16">
        <f t="shared" ca="1" si="95"/>
        <v>1.9663144849072296</v>
      </c>
      <c r="U122" s="16">
        <f t="shared" ca="1" si="95"/>
        <v>1.9991291365301436</v>
      </c>
      <c r="V122" s="16">
        <f t="shared" ca="1" si="95"/>
        <v>2.0348328280565013</v>
      </c>
      <c r="W122" s="16">
        <f t="shared" ca="1" si="95"/>
        <v>2.0730834485657184</v>
      </c>
      <c r="X122" s="16">
        <f t="shared" ca="1" si="95"/>
        <v>2.1219787327612138</v>
      </c>
    </row>
    <row r="123" spans="1:24" x14ac:dyDescent="0.25">
      <c r="A123" s="11" t="s">
        <v>610</v>
      </c>
      <c r="B123" s="10" t="str">
        <f t="shared" si="94"/>
        <v>From Fiscal Forecasts</v>
      </c>
      <c r="C123" s="13"/>
      <c r="D123" s="35">
        <f>'Fiscal Forecasts'!D$112</f>
        <v>3.6999999999999998E-2</v>
      </c>
      <c r="E123" s="35">
        <f>'Fiscal Forecasts'!E$112</f>
        <v>2.1000000000000001E-2</v>
      </c>
      <c r="F123" s="35">
        <f>'Fiscal Forecasts'!F$112</f>
        <v>1.1259999999999999</v>
      </c>
      <c r="G123" s="35">
        <f>'Fiscal Forecasts'!G$112</f>
        <v>0.19700000000000001</v>
      </c>
      <c r="H123" s="35">
        <f>'Fiscal Forecasts'!H$112</f>
        <v>0.183</v>
      </c>
      <c r="I123" s="35">
        <f>'Fiscal Forecasts'!I$112</f>
        <v>0.21099999999999999</v>
      </c>
      <c r="J123" s="17">
        <f>'Fiscal Forecasts'!J$112</f>
        <v>-1.05</v>
      </c>
      <c r="K123" s="17">
        <f>'Fiscal Forecasts'!K$112</f>
        <v>-1.0189999999999999</v>
      </c>
      <c r="L123" s="17">
        <f>'Fiscal Forecasts'!L$112</f>
        <v>-6.7000000000000004E-2</v>
      </c>
      <c r="M123" s="17">
        <f>'Fiscal Forecasts'!M$112</f>
        <v>-0.34699999999999998</v>
      </c>
      <c r="N123" s="17">
        <f>'Fiscal Forecasts'!N$112</f>
        <v>-3.6999999999999998E-2</v>
      </c>
      <c r="O123" s="16">
        <f t="shared" ref="O123:X123" ca="1" si="96">O$413-O$341</f>
        <v>0.33801009791106412</v>
      </c>
      <c r="P123" s="16">
        <f t="shared" ca="1" si="96"/>
        <v>0.35180265179958148</v>
      </c>
      <c r="Q123" s="16">
        <f t="shared" ca="1" si="96"/>
        <v>0.35957955635343375</v>
      </c>
      <c r="R123" s="16">
        <f t="shared" ca="1" si="96"/>
        <v>0.36235710120209463</v>
      </c>
      <c r="S123" s="16">
        <f t="shared" ca="1" si="96"/>
        <v>0.35997539336294582</v>
      </c>
      <c r="T123" s="16">
        <f t="shared" ca="1" si="96"/>
        <v>0.35144569798214537</v>
      </c>
      <c r="U123" s="16">
        <f t="shared" ca="1" si="96"/>
        <v>0.33481560878051553</v>
      </c>
      <c r="V123" s="16">
        <f t="shared" ca="1" si="96"/>
        <v>0.31307080266007081</v>
      </c>
      <c r="W123" s="16">
        <f t="shared" ca="1" si="96"/>
        <v>0.28921156816507315</v>
      </c>
      <c r="X123" s="16">
        <f t="shared" ca="1" si="96"/>
        <v>0.26117868180295678</v>
      </c>
    </row>
    <row r="124" spans="1:24" x14ac:dyDescent="0.25">
      <c r="A124" s="11" t="s">
        <v>611</v>
      </c>
      <c r="B124" s="10" t="str">
        <f t="shared" si="94"/>
        <v>From Fiscal Forecasts</v>
      </c>
      <c r="C124" s="13"/>
      <c r="D124" s="35">
        <f>'Fiscal Forecasts'!D$113</f>
        <v>0.17499999999999999</v>
      </c>
      <c r="E124" s="35">
        <f>'Fiscal Forecasts'!E$113</f>
        <v>0.254</v>
      </c>
      <c r="F124" s="35">
        <f>'Fiscal Forecasts'!F$113</f>
        <v>0.42099999999999999</v>
      </c>
      <c r="G124" s="35">
        <f>'Fiscal Forecasts'!G$113</f>
        <v>0.874</v>
      </c>
      <c r="H124" s="35">
        <f>'Fiscal Forecasts'!H$113</f>
        <v>-2.7E-2</v>
      </c>
      <c r="I124" s="35">
        <f>'Fiscal Forecasts'!I$113</f>
        <v>-0.18</v>
      </c>
      <c r="J124" s="17">
        <f>'Fiscal Forecasts'!J$113</f>
        <v>0.54400000000000004</v>
      </c>
      <c r="K124" s="17">
        <f>'Fiscal Forecasts'!K$113</f>
        <v>0.112</v>
      </c>
      <c r="L124" s="17">
        <f>'Fiscal Forecasts'!L$113</f>
        <v>4.2000000000000003E-2</v>
      </c>
      <c r="M124" s="17">
        <f>'Fiscal Forecasts'!M$113</f>
        <v>-7.0999999999999994E-2</v>
      </c>
      <c r="N124" s="17">
        <f>'Fiscal Forecasts'!N$113</f>
        <v>-9.2999999999999999E-2</v>
      </c>
      <c r="O124" s="16">
        <f t="shared" ref="O124:X124" ca="1" si="97">O$420-N$420</f>
        <v>3.4920000000000062E-2</v>
      </c>
      <c r="P124" s="16">
        <f t="shared" ca="1" si="97"/>
        <v>3.5618399999999717E-2</v>
      </c>
      <c r="Q124" s="16">
        <f t="shared" ca="1" si="97"/>
        <v>3.6330768000000013E-2</v>
      </c>
      <c r="R124" s="16">
        <f t="shared" ca="1" si="97"/>
        <v>3.7057383360000085E-2</v>
      </c>
      <c r="S124" s="16">
        <f t="shared" ca="1" si="97"/>
        <v>3.7798531027199989E-2</v>
      </c>
      <c r="T124" s="16">
        <f t="shared" ca="1" si="97"/>
        <v>3.855450164774421E-2</v>
      </c>
      <c r="U124" s="16">
        <f t="shared" ca="1" si="97"/>
        <v>3.9325591680698935E-2</v>
      </c>
      <c r="V124" s="16">
        <f t="shared" ca="1" si="97"/>
        <v>4.0112103514312825E-2</v>
      </c>
      <c r="W124" s="16">
        <f t="shared" ca="1" si="97"/>
        <v>4.0914345584599054E-2</v>
      </c>
      <c r="X124" s="16">
        <f t="shared" ca="1" si="97"/>
        <v>4.1732632496291E-2</v>
      </c>
    </row>
    <row r="125" spans="1:24" x14ac:dyDescent="0.25">
      <c r="A125" s="11" t="s">
        <v>612</v>
      </c>
      <c r="B125" s="10" t="str">
        <f t="shared" si="94"/>
        <v>From Fiscal Forecasts</v>
      </c>
      <c r="C125" s="13"/>
      <c r="D125" s="35">
        <f>'Fiscal Forecasts'!D$114</f>
        <v>3.5999999999999997E-2</v>
      </c>
      <c r="E125" s="35">
        <f>'Fiscal Forecasts'!E$114</f>
        <v>0.108</v>
      </c>
      <c r="F125" s="35">
        <f>'Fiscal Forecasts'!F$114</f>
        <v>6.3E-2</v>
      </c>
      <c r="G125" s="35">
        <f>'Fiscal Forecasts'!G$114</f>
        <v>0.30299999999999999</v>
      </c>
      <c r="H125" s="35">
        <f>'Fiscal Forecasts'!H$114</f>
        <v>0.113</v>
      </c>
      <c r="I125" s="35">
        <f>'Fiscal Forecasts'!I$114</f>
        <v>0.30499999999999999</v>
      </c>
      <c r="J125" s="17">
        <f>'Fiscal Forecasts'!J$114</f>
        <v>0.58199999999999996</v>
      </c>
      <c r="K125" s="17">
        <f>'Fiscal Forecasts'!K$114</f>
        <v>-0.17799999999999999</v>
      </c>
      <c r="L125" s="17">
        <f>'Fiscal Forecasts'!L$114</f>
        <v>0.109</v>
      </c>
      <c r="M125" s="17">
        <f>'Fiscal Forecasts'!M$114</f>
        <v>0.107</v>
      </c>
      <c r="N125" s="17">
        <f>'Fiscal Forecasts'!N$114</f>
        <v>1.4999999999999999E-2</v>
      </c>
      <c r="O125" s="16">
        <f t="shared" ref="O125:X125" ca="1" si="98">O$424-N$424</f>
        <v>5.4840000000000444E-2</v>
      </c>
      <c r="P125" s="16">
        <f t="shared" ca="1" si="98"/>
        <v>5.5936799999999565E-2</v>
      </c>
      <c r="Q125" s="16">
        <f t="shared" ca="1" si="98"/>
        <v>5.7055536000000018E-2</v>
      </c>
      <c r="R125" s="16">
        <f t="shared" ca="1" si="98"/>
        <v>5.8196646719999912E-2</v>
      </c>
      <c r="S125" s="16">
        <f t="shared" ca="1" si="98"/>
        <v>5.9360579654399892E-2</v>
      </c>
      <c r="T125" s="16">
        <f t="shared" ca="1" si="98"/>
        <v>6.0547791247488547E-2</v>
      </c>
      <c r="U125" s="16">
        <f t="shared" ca="1" si="98"/>
        <v>6.1758747072437892E-2</v>
      </c>
      <c r="V125" s="16">
        <f t="shared" ca="1" si="98"/>
        <v>6.2993922013887094E-2</v>
      </c>
      <c r="W125" s="16">
        <f t="shared" ca="1" si="98"/>
        <v>6.4253800454164178E-2</v>
      </c>
      <c r="X125" s="16">
        <f t="shared" ca="1" si="98"/>
        <v>6.5538876463246964E-2</v>
      </c>
    </row>
    <row r="126" spans="1:24" x14ac:dyDescent="0.25">
      <c r="A126" s="11" t="s">
        <v>1168</v>
      </c>
      <c r="B126" s="10" t="str">
        <f t="shared" si="94"/>
        <v>From Fiscal Forecasts</v>
      </c>
      <c r="C126" s="13"/>
      <c r="D126" s="35">
        <f>-'Fiscal Forecasts'!D$115</f>
        <v>9.7000000000000003E-2</v>
      </c>
      <c r="E126" s="35">
        <f>-'Fiscal Forecasts'!E$115</f>
        <v>6.8000000000000005E-2</v>
      </c>
      <c r="F126" s="35">
        <f>-'Fiscal Forecasts'!F$115</f>
        <v>-0.04</v>
      </c>
      <c r="G126" s="35">
        <f>-'Fiscal Forecasts'!G$115</f>
        <v>0.81899999999999995</v>
      </c>
      <c r="H126" s="35">
        <f>-'Fiscal Forecasts'!H$115</f>
        <v>0.24399999999999999</v>
      </c>
      <c r="I126" s="35">
        <f>-'Fiscal Forecasts'!I$115</f>
        <v>-0.158</v>
      </c>
      <c r="J126" s="17">
        <f>-'Fiscal Forecasts'!J$115</f>
        <v>0.183</v>
      </c>
      <c r="K126" s="17">
        <f>-'Fiscal Forecasts'!K$115</f>
        <v>7.0000000000000001E-3</v>
      </c>
      <c r="L126" s="17">
        <f>-'Fiscal Forecasts'!L$115</f>
        <v>9.0999999999999998E-2</v>
      </c>
      <c r="M126" s="17">
        <f>-'Fiscal Forecasts'!M$115</f>
        <v>2.4E-2</v>
      </c>
      <c r="N126" s="17">
        <f>-'Fiscal Forecasts'!N$115</f>
        <v>6.4000000000000001E-2</v>
      </c>
      <c r="O126" s="16">
        <f t="shared" ref="O126:X126" ca="1" si="99">O$465-N$465</f>
        <v>8.9760000000000506E-2</v>
      </c>
      <c r="P126" s="16">
        <f t="shared" ca="1" si="99"/>
        <v>9.1555199999998838E-2</v>
      </c>
      <c r="Q126" s="16">
        <f t="shared" ca="1" si="99"/>
        <v>9.3386304000000031E-2</v>
      </c>
      <c r="R126" s="16">
        <f t="shared" ca="1" si="99"/>
        <v>9.5254030079999552E-2</v>
      </c>
      <c r="S126" s="16">
        <f t="shared" ca="1" si="99"/>
        <v>9.7159110681600325E-2</v>
      </c>
      <c r="T126" s="16">
        <f t="shared" ca="1" si="99"/>
        <v>9.9102292895232758E-2</v>
      </c>
      <c r="U126" s="16">
        <f t="shared" ca="1" si="99"/>
        <v>0.10108433875313683</v>
      </c>
      <c r="V126" s="16">
        <f t="shared" ca="1" si="99"/>
        <v>0.10310602552820036</v>
      </c>
      <c r="W126" s="16">
        <f t="shared" ca="1" si="99"/>
        <v>0.10516814603876323</v>
      </c>
      <c r="X126" s="16">
        <f t="shared" ca="1" si="99"/>
        <v>0.10727150895953841</v>
      </c>
    </row>
    <row r="127" spans="1:24" x14ac:dyDescent="0.25">
      <c r="A127" s="11" t="s">
        <v>1169</v>
      </c>
      <c r="B127" s="10" t="str">
        <f t="shared" si="94"/>
        <v>From Fiscal Forecasts</v>
      </c>
      <c r="C127" s="13"/>
      <c r="D127" s="35">
        <f>-'Fiscal Forecasts'!D$116</f>
        <v>2.5710000000000002</v>
      </c>
      <c r="E127" s="35">
        <f>-'Fiscal Forecasts'!E$116</f>
        <v>0.95599999999999996</v>
      </c>
      <c r="F127" s="35">
        <f>-'Fiscal Forecasts'!F$116</f>
        <v>1.8320000000000001</v>
      </c>
      <c r="G127" s="35">
        <f>-'Fiscal Forecasts'!G$116</f>
        <v>1.849</v>
      </c>
      <c r="H127" s="35">
        <f>-'Fiscal Forecasts'!H$116</f>
        <v>3.2770000000000001</v>
      </c>
      <c r="I127" s="35">
        <f>-'Fiscal Forecasts'!I$116</f>
        <v>1.3859999999999999</v>
      </c>
      <c r="J127" s="17">
        <f>-'Fiscal Forecasts'!J$116</f>
        <v>-3.661</v>
      </c>
      <c r="K127" s="17">
        <f>-'Fiscal Forecasts'!K$116</f>
        <v>-0.70799999999999996</v>
      </c>
      <c r="L127" s="17">
        <f>-'Fiscal Forecasts'!L$116</f>
        <v>-0.61799999999999999</v>
      </c>
      <c r="M127" s="17">
        <f>-'Fiscal Forecasts'!M$116</f>
        <v>-0.40500000000000003</v>
      </c>
      <c r="N127" s="17">
        <f>-'Fiscal Forecasts'!N$116</f>
        <v>8.1000000000000003E-2</v>
      </c>
      <c r="O127" s="16">
        <f t="shared" ref="O127:X127" ca="1" si="100">SUM(O$461-N$461,O$486-N$486)</f>
        <v>3.6908631092854733</v>
      </c>
      <c r="P127" s="16">
        <f t="shared" ca="1" si="100"/>
        <v>1.2486830554107087</v>
      </c>
      <c r="Q127" s="16">
        <f t="shared" ca="1" si="100"/>
        <v>1.2799370717726362</v>
      </c>
      <c r="R127" s="16">
        <f t="shared" ca="1" si="100"/>
        <v>1.301413551566224</v>
      </c>
      <c r="S127" s="16">
        <f t="shared" ca="1" si="100"/>
        <v>1.3286266617480607</v>
      </c>
      <c r="T127" s="16">
        <f t="shared" ca="1" si="100"/>
        <v>1.3561634222771737</v>
      </c>
      <c r="U127" s="16">
        <f t="shared" ca="1" si="100"/>
        <v>1.3807857858069852</v>
      </c>
      <c r="V127" s="16">
        <f t="shared" ca="1" si="100"/>
        <v>1.4072091510187086</v>
      </c>
      <c r="W127" s="16">
        <f t="shared" ca="1" si="100"/>
        <v>1.4363550600407855</v>
      </c>
      <c r="X127" s="16">
        <f t="shared" ca="1" si="100"/>
        <v>1.4713152537757992</v>
      </c>
    </row>
    <row r="128" spans="1:24" x14ac:dyDescent="0.25">
      <c r="A128" s="9" t="s">
        <v>615</v>
      </c>
      <c r="B128" s="9"/>
      <c r="C128" s="13"/>
      <c r="D128" s="65">
        <f t="shared" ref="D128:X128" si="101">SUM(D$122:D$125)-SUM(D$126:D$127)</f>
        <v>1.7679999999999989</v>
      </c>
      <c r="E128" s="65">
        <f t="shared" si="101"/>
        <v>-1.0000000000000009E-2</v>
      </c>
      <c r="F128" s="65">
        <f t="shared" si="101"/>
        <v>1.2990000000000002</v>
      </c>
      <c r="G128" s="65">
        <f t="shared" si="101"/>
        <v>3.7329999999999997</v>
      </c>
      <c r="H128" s="65">
        <f t="shared" si="101"/>
        <v>-2.0969999999999995</v>
      </c>
      <c r="I128" s="65">
        <f t="shared" si="101"/>
        <v>2.4130000000000003</v>
      </c>
      <c r="J128" s="66">
        <f t="shared" si="101"/>
        <v>0.99399999999999977</v>
      </c>
      <c r="K128" s="66">
        <f t="shared" si="101"/>
        <v>0.95400000000000018</v>
      </c>
      <c r="L128" s="66">
        <f t="shared" si="101"/>
        <v>0.60099999999999998</v>
      </c>
      <c r="M128" s="66">
        <f t="shared" si="101"/>
        <v>1.262</v>
      </c>
      <c r="N128" s="66">
        <f t="shared" si="101"/>
        <v>1.2849999999999999</v>
      </c>
      <c r="O128" s="92">
        <f t="shared" ca="1" si="101"/>
        <v>0.84738908973577542</v>
      </c>
      <c r="P128" s="92">
        <f t="shared" ca="1" si="101"/>
        <v>0.91817439567285097</v>
      </c>
      <c r="Q128" s="92">
        <f t="shared" ca="1" si="101"/>
        <v>0.94341836591308503</v>
      </c>
      <c r="R128" s="92">
        <f t="shared" ca="1" si="101"/>
        <v>0.94789137050007888</v>
      </c>
      <c r="S128" s="92">
        <f t="shared" ca="1" si="101"/>
        <v>0.95827880936050125</v>
      </c>
      <c r="T128" s="92">
        <f t="shared" ca="1" si="101"/>
        <v>0.96159676061220134</v>
      </c>
      <c r="U128" s="92">
        <f t="shared" ca="1" si="101"/>
        <v>0.95315895950367402</v>
      </c>
      <c r="V128" s="92">
        <f t="shared" ca="1" si="101"/>
        <v>0.94069447969786291</v>
      </c>
      <c r="W128" s="92">
        <f t="shared" ca="1" si="101"/>
        <v>0.92593995669000595</v>
      </c>
      <c r="X128" s="92">
        <f t="shared" ca="1" si="101"/>
        <v>0.9118421607883711</v>
      </c>
    </row>
    <row r="129" spans="1:24" x14ac:dyDescent="0.25">
      <c r="A129" s="9" t="s">
        <v>1144</v>
      </c>
      <c r="B129" s="9"/>
      <c r="C129" s="13"/>
      <c r="D129" s="65">
        <f t="shared" ref="D129:X129" si="102">SUM(D$99,D$113,D$121,D$128)</f>
        <v>0.38899999999999846</v>
      </c>
      <c r="E129" s="65">
        <f t="shared" si="102"/>
        <v>-30.040000000000003</v>
      </c>
      <c r="F129" s="65">
        <f t="shared" si="102"/>
        <v>16.159000000000013</v>
      </c>
      <c r="G129" s="65">
        <f t="shared" si="102"/>
        <v>-16.932000000000009</v>
      </c>
      <c r="H129" s="65">
        <f t="shared" si="102"/>
        <v>5.3209999999999802</v>
      </c>
      <c r="I129" s="65">
        <f t="shared" si="102"/>
        <v>-8.3650000000000375</v>
      </c>
      <c r="J129" s="66">
        <f t="shared" ca="1" si="102"/>
        <v>-5.4930000000000057</v>
      </c>
      <c r="K129" s="66">
        <f t="shared" ca="1" si="102"/>
        <v>-9.8839999999999826</v>
      </c>
      <c r="L129" s="66">
        <f t="shared" ca="1" si="102"/>
        <v>-5.6649999999999565</v>
      </c>
      <c r="M129" s="66">
        <f t="shared" ca="1" si="102"/>
        <v>-3.900000000003212E-2</v>
      </c>
      <c r="N129" s="66">
        <f t="shared" ca="1" si="102"/>
        <v>4.0710000000000068</v>
      </c>
      <c r="O129" s="92">
        <f t="shared" ca="1" si="102"/>
        <v>5.6390742169324959</v>
      </c>
      <c r="P129" s="92">
        <f t="shared" ca="1" si="102"/>
        <v>8.2199718212984045</v>
      </c>
      <c r="Q129" s="92">
        <f t="shared" ca="1" si="102"/>
        <v>10.785399695870311</v>
      </c>
      <c r="R129" s="92">
        <f t="shared" ca="1" si="102"/>
        <v>13.335955807291937</v>
      </c>
      <c r="S129" s="92">
        <f t="shared" ca="1" si="102"/>
        <v>16.076847481693303</v>
      </c>
      <c r="T129" s="92">
        <f t="shared" ca="1" si="102"/>
        <v>19.090433174193802</v>
      </c>
      <c r="U129" s="92">
        <f t="shared" ca="1" si="102"/>
        <v>22.190093034848353</v>
      </c>
      <c r="V129" s="92">
        <f t="shared" ca="1" si="102"/>
        <v>25.119356767760792</v>
      </c>
      <c r="W129" s="92">
        <f t="shared" ca="1" si="102"/>
        <v>27.90667313874631</v>
      </c>
      <c r="X129" s="92">
        <f t="shared" ca="1" si="102"/>
        <v>30.832382014372083</v>
      </c>
    </row>
    <row r="130" spans="1:24" x14ac:dyDescent="0.25">
      <c r="A130" s="55" t="s">
        <v>1162</v>
      </c>
      <c r="B130" s="9"/>
      <c r="C130" s="13"/>
      <c r="D130" s="91" t="str">
        <f t="shared" ref="D130:X130" ca="1" si="103">IF(ROUND(D$39-D$129,3)=0,"OK","ERROR")</f>
        <v>OK</v>
      </c>
      <c r="E130" s="91" t="str">
        <f t="shared" ca="1" si="103"/>
        <v>OK</v>
      </c>
      <c r="F130" s="91" t="str">
        <f t="shared" ca="1" si="103"/>
        <v>OK</v>
      </c>
      <c r="G130" s="91" t="str">
        <f t="shared" ca="1" si="103"/>
        <v>OK</v>
      </c>
      <c r="H130" s="91" t="str">
        <f t="shared" ca="1" si="103"/>
        <v>OK</v>
      </c>
      <c r="I130" s="91" t="str">
        <f t="shared" ca="1" si="103"/>
        <v>OK</v>
      </c>
      <c r="J130" s="91" t="str">
        <f t="shared" ca="1" si="103"/>
        <v>OK</v>
      </c>
      <c r="K130" s="91" t="str">
        <f t="shared" ca="1" si="103"/>
        <v>OK</v>
      </c>
      <c r="L130" s="91" t="str">
        <f t="shared" ca="1" si="103"/>
        <v>OK</v>
      </c>
      <c r="M130" s="91" t="str">
        <f t="shared" ca="1" si="103"/>
        <v>OK</v>
      </c>
      <c r="N130" s="91" t="str">
        <f t="shared" ca="1" si="103"/>
        <v>OK</v>
      </c>
      <c r="O130" s="91" t="str">
        <f t="shared" ca="1" si="103"/>
        <v>OK</v>
      </c>
      <c r="P130" s="91" t="str">
        <f t="shared" ca="1" si="103"/>
        <v>OK</v>
      </c>
      <c r="Q130" s="91" t="str">
        <f t="shared" ca="1" si="103"/>
        <v>OK</v>
      </c>
      <c r="R130" s="91" t="str">
        <f t="shared" ca="1" si="103"/>
        <v>OK</v>
      </c>
      <c r="S130" s="91" t="str">
        <f t="shared" ca="1" si="103"/>
        <v>OK</v>
      </c>
      <c r="T130" s="91" t="str">
        <f t="shared" ca="1" si="103"/>
        <v>OK</v>
      </c>
      <c r="U130" s="91" t="str">
        <f t="shared" ca="1" si="103"/>
        <v>OK</v>
      </c>
      <c r="V130" s="91" t="str">
        <f t="shared" ca="1" si="103"/>
        <v>OK</v>
      </c>
      <c r="W130" s="91" t="str">
        <f t="shared" ca="1" si="103"/>
        <v>OK</v>
      </c>
      <c r="X130" s="91" t="str">
        <f t="shared" ca="1" si="103"/>
        <v>OK</v>
      </c>
    </row>
    <row r="131" spans="1:24" x14ac:dyDescent="0.25">
      <c r="A131" s="9"/>
      <c r="B131" s="9"/>
      <c r="C131" s="13"/>
      <c r="D131" s="36"/>
      <c r="E131" s="36"/>
      <c r="F131" s="36"/>
      <c r="G131" s="36"/>
      <c r="H131" s="36"/>
      <c r="I131" s="36"/>
      <c r="J131" s="19"/>
      <c r="K131" s="19"/>
      <c r="L131" s="19"/>
      <c r="M131" s="19"/>
      <c r="N131" s="19"/>
      <c r="O131" s="18"/>
      <c r="P131" s="18"/>
      <c r="Q131" s="18"/>
      <c r="R131" s="18"/>
      <c r="S131" s="18"/>
      <c r="T131" s="18"/>
      <c r="U131" s="18"/>
      <c r="V131" s="18"/>
      <c r="W131" s="18"/>
      <c r="X131" s="18"/>
    </row>
    <row r="132" spans="1:24" x14ac:dyDescent="0.25">
      <c r="A132" s="12" t="s">
        <v>847</v>
      </c>
      <c r="B132" s="9"/>
      <c r="C132" s="13"/>
      <c r="D132" s="40"/>
      <c r="E132" s="40"/>
      <c r="F132" s="40"/>
      <c r="G132" s="40"/>
      <c r="H132" s="40"/>
      <c r="I132" s="40"/>
    </row>
    <row r="133" spans="1:24" x14ac:dyDescent="0.25">
      <c r="A133" s="9" t="s">
        <v>694</v>
      </c>
      <c r="B133" s="9"/>
      <c r="C133" s="13"/>
      <c r="D133" s="40"/>
      <c r="E133" s="40"/>
      <c r="F133" s="40"/>
      <c r="G133" s="40"/>
      <c r="H133" s="40"/>
      <c r="I133" s="40"/>
    </row>
    <row r="134" spans="1:24" x14ac:dyDescent="0.25">
      <c r="A134" s="11" t="s">
        <v>848</v>
      </c>
      <c r="B134" s="10" t="str">
        <f>$B$38</f>
        <v>From Fiscal Forecasts</v>
      </c>
      <c r="C134" s="13"/>
      <c r="D134" s="35">
        <f>'Fiscal Forecasts'!D$220</f>
        <v>32.878999999999998</v>
      </c>
      <c r="E134" s="35">
        <f>'Fiscal Forecasts'!E$220</f>
        <v>34.963000000000001</v>
      </c>
      <c r="F134" s="35">
        <f>'Fiscal Forecasts'!F$220</f>
        <v>38.164000000000001</v>
      </c>
      <c r="G134" s="35">
        <f>'Fiscal Forecasts'!G$220</f>
        <v>42.448</v>
      </c>
      <c r="H134" s="35">
        <f>'Fiscal Forecasts'!H$220</f>
        <v>47.386000000000003</v>
      </c>
      <c r="I134" s="35">
        <f>'Fiscal Forecasts'!I$220</f>
        <v>52.283000000000001</v>
      </c>
      <c r="J134" s="17">
        <f>'Fiscal Forecasts'!J$220+IF($C$2="Yes",'Fiscal Forecast Adjuster'!C$8/1000,0)</f>
        <v>52.734000000000002</v>
      </c>
      <c r="K134" s="17">
        <f>'Fiscal Forecasts'!K$220+IF($C$2="Yes",'Fiscal Forecast Adjuster'!D$8/1000,0)</f>
        <v>55.243000000000002</v>
      </c>
      <c r="L134" s="17">
        <f>'Fiscal Forecasts'!L$220+IF($C$2="Yes",'Fiscal Forecast Adjuster'!E$8/1000,0)</f>
        <v>58.265999999999998</v>
      </c>
      <c r="M134" s="17">
        <f>'Fiscal Forecasts'!M$220+IF($C$2="Yes",'Fiscal Forecast Adjuster'!F$8/1000,0)</f>
        <v>61.514000000000003</v>
      </c>
      <c r="N134" s="17">
        <f>'Fiscal Forecasts'!N$220+IF($C$2="Yes",'Fiscal Forecast Adjuster'!G$8/1000,0)</f>
        <v>65.031999999999996</v>
      </c>
      <c r="O134" s="16">
        <f ca="1">N$134*(1+O$17)*(1+IF(O$6&lt;OFFSET(Assumptions!$B$8,0,$C$1)+OFFSET(Assumptions!$B$29,0,$C$1)="Yes",OFFSET(Assumptions!$B$30,0,$C$1),1)*O$26)</f>
        <v>67.666933667365313</v>
      </c>
      <c r="P134" s="16">
        <f ca="1">O$134*(1+P$17)*(1+IF(P$6&lt;OFFSET(Assumptions!$B$8,0,$C$1)+OFFSET(Assumptions!$B$29,0,$C$1)="Yes",OFFSET(Assumptions!$B$30,0,$C$1),1)*P$26)</f>
        <v>70.382669882235248</v>
      </c>
      <c r="Q134" s="16">
        <f ca="1">P$134*(1+Q$17)*(1+IF(Q$6&lt;OFFSET(Assumptions!$B$8,0,$C$1)+OFFSET(Assumptions!$B$29,0,$C$1)="Yes",OFFSET(Assumptions!$B$30,0,$C$1),1)*Q$26)</f>
        <v>73.180737795712076</v>
      </c>
      <c r="R134" s="16">
        <f ca="1">Q$134*(1+R$17)*(1+IF(R$6&lt;OFFSET(Assumptions!$B$8,0,$C$1)+OFFSET(Assumptions!$B$29,0,$C$1)="Yes",OFFSET(Assumptions!$B$30,0,$C$1),1)*R$26)</f>
        <v>76.062339138307749</v>
      </c>
      <c r="S134" s="16">
        <f ca="1">R$134*(1+S$17)*(1+IF(S$6&lt;OFFSET(Assumptions!$B$8,0,$C$1)+OFFSET(Assumptions!$B$29,0,$C$1)="Yes",OFFSET(Assumptions!$B$30,0,$C$1),1)*S$26)</f>
        <v>79.007478813698654</v>
      </c>
      <c r="T134" s="16">
        <f ca="1">S$134*(1+T$17)*(1+IF(T$6&lt;OFFSET(Assumptions!$B$8,0,$C$1)+OFFSET(Assumptions!$B$29,0,$C$1)="Yes",OFFSET(Assumptions!$B$30,0,$C$1),1)*T$26)</f>
        <v>82.011662275416356</v>
      </c>
      <c r="U134" s="16">
        <f ca="1">T$134*(1+U$17)*(1+IF(U$6&lt;OFFSET(Assumptions!$B$8,0,$C$1)+OFFSET(Assumptions!$B$29,0,$C$1)="Yes",OFFSET(Assumptions!$B$30,0,$C$1),1)*U$26)</f>
        <v>85.055900671755111</v>
      </c>
      <c r="V134" s="16">
        <f ca="1">U$134*(1+V$17)*(1+IF(V$6&lt;OFFSET(Assumptions!$B$8,0,$C$1)+OFFSET(Assumptions!$B$29,0,$C$1)="Yes",OFFSET(Assumptions!$B$30,0,$C$1),1)*V$26)</f>
        <v>88.145908604954769</v>
      </c>
      <c r="W134" s="16">
        <f ca="1">V$134*(1+W$17)*(1+IF(W$6&lt;OFFSET(Assumptions!$B$8,0,$C$1)+OFFSET(Assumptions!$B$29,0,$C$1)="Yes",OFFSET(Assumptions!$B$30,0,$C$1),1)*W$26)</f>
        <v>91.281570952177546</v>
      </c>
      <c r="X134" s="16">
        <f ca="1">W$134*(1+X$17)*(1+IF(X$6&lt;OFFSET(Assumptions!$B$8,0,$C$1)+OFFSET(Assumptions!$B$29,0,$C$1)="Yes",OFFSET(Assumptions!$B$30,0,$C$1),1)*X$26)</f>
        <v>94.486516589216393</v>
      </c>
    </row>
    <row r="135" spans="1:24" x14ac:dyDescent="0.25">
      <c r="A135" s="11" t="s">
        <v>849</v>
      </c>
      <c r="B135" s="10" t="str">
        <f>$B$38</f>
        <v>From Fiscal Forecasts</v>
      </c>
      <c r="C135" s="13"/>
      <c r="D135" s="35">
        <f>'Fiscal Forecasts'!D$221</f>
        <v>8.3160000000000007</v>
      </c>
      <c r="E135" s="35">
        <f>'Fiscal Forecasts'!E$221</f>
        <v>8.1910000000000007</v>
      </c>
      <c r="F135" s="35">
        <f>'Fiscal Forecasts'!F$221</f>
        <v>10.183999999999999</v>
      </c>
      <c r="G135" s="35">
        <f>'Fiscal Forecasts'!G$221</f>
        <v>12.015000000000001</v>
      </c>
      <c r="H135" s="35">
        <f>'Fiscal Forecasts'!H$221</f>
        <v>11.71</v>
      </c>
      <c r="I135" s="35">
        <f>'Fiscal Forecasts'!I$221</f>
        <v>14.042999999999999</v>
      </c>
      <c r="J135" s="17">
        <f>'Fiscal Forecasts'!J$221+IF($C$2="Yes",'Fiscal Forecast Adjuster'!C$9/1000,0)</f>
        <v>13.619</v>
      </c>
      <c r="K135" s="17">
        <f>'Fiscal Forecasts'!K$221+IF($C$2="Yes",'Fiscal Forecast Adjuster'!D$9/1000,0)</f>
        <v>13.744</v>
      </c>
      <c r="L135" s="17">
        <f>'Fiscal Forecasts'!L$221+IF($C$2="Yes",'Fiscal Forecast Adjuster'!E$9/1000,0)</f>
        <v>13.545</v>
      </c>
      <c r="M135" s="17">
        <f>'Fiscal Forecasts'!M$221+IF($C$2="Yes",'Fiscal Forecast Adjuster'!F$9/1000,0)</f>
        <v>13.956</v>
      </c>
      <c r="N135" s="17">
        <f>'Fiscal Forecasts'!N$221+IF($C$2="Yes",'Fiscal Forecast Adjuster'!G$9/1000,0)</f>
        <v>14.414</v>
      </c>
      <c r="O135" s="16">
        <f ca="1">N$135*(1+O$17)*(1+IF(O$6&lt;OFFSET(Assumptions!$B$8,0,$C$1)+OFFSET(Assumptions!$B$29,0,$C$1)="Yes",OFFSET(Assumptions!$B$30,0,$C$1),1)*O$26)</f>
        <v>14.998019157974591</v>
      </c>
      <c r="P135" s="16">
        <f ca="1">O$135*(1+P$17)*(1+IF(P$6&lt;OFFSET(Assumptions!$B$8,0,$C$1)+OFFSET(Assumptions!$B$29,0,$C$1)="Yes",OFFSET(Assumptions!$B$30,0,$C$1),1)*P$26)</f>
        <v>15.599947774673065</v>
      </c>
      <c r="Q135" s="16">
        <f ca="1">P$135*(1+Q$17)*(1+IF(Q$6&lt;OFFSET(Assumptions!$B$8,0,$C$1)+OFFSET(Assumptions!$B$29,0,$C$1)="Yes",OFFSET(Assumptions!$B$30,0,$C$1),1)*Q$26)</f>
        <v>16.220124778376704</v>
      </c>
      <c r="R135" s="16">
        <f ca="1">Q$135*(1+R$17)*(1+IF(R$6&lt;OFFSET(Assumptions!$B$8,0,$C$1)+OFFSET(Assumptions!$B$29,0,$C$1)="Yes",OFFSET(Assumptions!$B$30,0,$C$1),1)*R$26)</f>
        <v>16.858816526318858</v>
      </c>
      <c r="S135" s="16">
        <f ca="1">R$135*(1+S$17)*(1+IF(S$6&lt;OFFSET(Assumptions!$B$8,0,$C$1)+OFFSET(Assumptions!$B$29,0,$C$1)="Yes",OFFSET(Assumptions!$B$30,0,$C$1),1)*S$26)</f>
        <v>17.511591210798567</v>
      </c>
      <c r="T135" s="16">
        <f ca="1">S$135*(1+T$17)*(1+IF(T$6&lt;OFFSET(Assumptions!$B$8,0,$C$1)+OFFSET(Assumptions!$B$29,0,$C$1)="Yes",OFFSET(Assumptions!$B$30,0,$C$1),1)*T$26)</f>
        <v>18.17745263928299</v>
      </c>
      <c r="U135" s="16">
        <f ca="1">T$135*(1+U$17)*(1+IF(U$6&lt;OFFSET(Assumptions!$B$8,0,$C$1)+OFFSET(Assumptions!$B$29,0,$C$1)="Yes",OFFSET(Assumptions!$B$30,0,$C$1),1)*U$26)</f>
        <v>18.852192032886553</v>
      </c>
      <c r="V135" s="16">
        <f ca="1">U$135*(1+V$17)*(1+IF(V$6&lt;OFFSET(Assumptions!$B$8,0,$C$1)+OFFSET(Assumptions!$B$29,0,$C$1)="Yes",OFFSET(Assumptions!$B$30,0,$C$1),1)*V$26)</f>
        <v>19.537076003072613</v>
      </c>
      <c r="W135" s="16">
        <f ca="1">V$135*(1+W$17)*(1+IF(W$6&lt;OFFSET(Assumptions!$B$8,0,$C$1)+OFFSET(Assumptions!$B$29,0,$C$1)="Yes",OFFSET(Assumptions!$B$30,0,$C$1),1)*W$26)</f>
        <v>20.232079033471017</v>
      </c>
      <c r="X135" s="16">
        <f ca="1">W$135*(1+X$17)*(1+IF(X$6&lt;OFFSET(Assumptions!$B$8,0,$C$1)+OFFSET(Assumptions!$B$29,0,$C$1)="Yes",OFFSET(Assumptions!$B$30,0,$C$1),1)*X$26)</f>
        <v>20.942438339847538</v>
      </c>
    </row>
    <row r="136" spans="1:24" x14ac:dyDescent="0.25">
      <c r="A136" s="11" t="s">
        <v>852</v>
      </c>
      <c r="B136" s="10" t="str">
        <f>$B$38</f>
        <v>From Fiscal Forecasts</v>
      </c>
      <c r="C136" s="64" cm="1">
        <f t="array" aca="1" ref="C136" ca="1">SUMPRODUCT(OFFSET($N$136,0,0,1,-OFFSET(Assumptions!$B$33,0,$C$1))/OFFSET($N$13,0,0,1,-OFFSET(Assumptions!$B$33,0,$C$1)))/OFFSET(Assumptions!$B$33,0,$C$1)</f>
        <v>4.2272263426074277E-2</v>
      </c>
      <c r="D136" s="35">
        <f>'Fiscal Forecasts'!D$222</f>
        <v>15.199</v>
      </c>
      <c r="E136" s="35">
        <f>'Fiscal Forecasts'!E$222</f>
        <v>12.103999999999999</v>
      </c>
      <c r="F136" s="35">
        <f>'Fiscal Forecasts'!F$222</f>
        <v>15.768000000000001</v>
      </c>
      <c r="G136" s="35">
        <f>'Fiscal Forecasts'!G$222</f>
        <v>19.896000000000001</v>
      </c>
      <c r="H136" s="35">
        <f>'Fiscal Forecasts'!H$222</f>
        <v>17.978000000000002</v>
      </c>
      <c r="I136" s="35">
        <f>'Fiscal Forecasts'!I$222</f>
        <v>16.908999999999999</v>
      </c>
      <c r="J136" s="17">
        <f>'Fiscal Forecasts'!J$222+IF($C$2="Yes",'Fiscal Forecast Adjuster'!C$10/1000,0)</f>
        <v>16.321999999999999</v>
      </c>
      <c r="K136" s="17">
        <f>'Fiscal Forecasts'!K$222+IF($C$2="Yes",'Fiscal Forecast Adjuster'!D$10/1000,0)</f>
        <v>16.748000000000001</v>
      </c>
      <c r="L136" s="17">
        <f>'Fiscal Forecasts'!L$222+IF($C$2="Yes",'Fiscal Forecast Adjuster'!E$10/1000,0)</f>
        <v>19.547000000000001</v>
      </c>
      <c r="M136" s="17">
        <f>'Fiscal Forecasts'!M$222+IF($C$2="Yes",'Fiscal Forecast Adjuster'!F$10/1000,0)</f>
        <v>20.765999999999998</v>
      </c>
      <c r="N136" s="17">
        <f>'Fiscal Forecasts'!N$222+IF($C$2="Yes",'Fiscal Forecast Adjuster'!G$10/1000,0)</f>
        <v>22.405999999999999</v>
      </c>
      <c r="O136" s="16">
        <f ca="1">(N$136/N$13+MIN(ABS($C$136-N$136/N$13),OFFSET(Assumptions!$B$34,0,$C$1))*SIGN($C$136-N$136/N$13))*O$13</f>
        <v>23.111792604654376</v>
      </c>
      <c r="P136" s="16">
        <f ca="1">(O$136/O$13+MIN(ABS($C$136-O$136/O$13),OFFSET(Assumptions!$B$34,0,$C$1))*SIGN($C$136-O$136/O$13))*P$13</f>
        <v>24.09751422280257</v>
      </c>
      <c r="Q136" s="16">
        <f ca="1">(P$136/P$13+MIN(ABS($C$136-P$136/P$13),OFFSET(Assumptions!$B$34,0,$C$1))*SIGN($C$136-P$136/P$13))*Q$13</f>
        <v>25.085376111894224</v>
      </c>
      <c r="R136" s="16">
        <f ca="1">(Q$136/Q$13+MIN(ABS($C$136-Q$136/Q$13),OFFSET(Assumptions!$B$34,0,$C$1))*SIGN($C$136-Q$136/Q$13))*R$13</f>
        <v>26.07315043148829</v>
      </c>
      <c r="S136" s="16">
        <f ca="1">(R$136/R$13+MIN(ABS($C$136-R$136/R$13),OFFSET(Assumptions!$B$34,0,$C$1))*SIGN($C$136-R$136/R$13))*S$13</f>
        <v>27.082704839992381</v>
      </c>
      <c r="T136" s="16">
        <f ca="1">(S$136/S$13+MIN(ABS($C$136-S$136/S$13),OFFSET(Assumptions!$B$34,0,$C$1))*SIGN($C$136-S$136/S$13))*T$13</f>
        <v>28.112498667115254</v>
      </c>
      <c r="U136" s="16">
        <f ca="1">(T$136/T$13+MIN(ABS($C$136-T$136/T$13),OFFSET(Assumptions!$B$34,0,$C$1))*SIGN($C$136-T$136/T$13))*U$13</f>
        <v>29.15602278899015</v>
      </c>
      <c r="V136" s="16">
        <f ca="1">(U$136/U$13+MIN(ABS($C$136-U$136/U$13),OFFSET(Assumptions!$B$34,0,$C$1))*SIGN($C$136-U$136/U$13))*V$13</f>
        <v>30.215236094674967</v>
      </c>
      <c r="W136" s="16">
        <f ca="1">(V$136/V$13+MIN(ABS($C$136-V$136/V$13),OFFSET(Assumptions!$B$34,0,$C$1))*SIGN($C$136-V$136/V$13))*W$13</f>
        <v>31.290099121603866</v>
      </c>
      <c r="X136" s="16">
        <f ca="1">(W$136/W$13+MIN(ABS($C$136-W$136/W$13),OFFSET(Assumptions!$B$34,0,$C$1))*SIGN($C$136-W$136/W$13))*X$13</f>
        <v>32.388711531712751</v>
      </c>
    </row>
    <row r="137" spans="1:24" x14ac:dyDescent="0.25">
      <c r="A137" s="11" t="s">
        <v>853</v>
      </c>
      <c r="B137" s="10" t="str">
        <f t="shared" ref="B137:B141" si="104">$B$38</f>
        <v>From Fiscal Forecasts</v>
      </c>
      <c r="C137" s="64" cm="1">
        <f t="array" aca="1" ref="C137" ca="1">SUMPRODUCT(OFFSET($N$137,0,0,1,-OFFSET(Assumptions!$B$33,0,$C$1))/OFFSET($N$13,0,0,1,-OFFSET(Assumptions!$B$33,0,$C$1)))/OFFSET(Assumptions!$B$33,0,$C$1)</f>
        <v>6.9331116486344269E-2</v>
      </c>
      <c r="D137" s="35">
        <f>'Fiscal Forecasts'!D$223</f>
        <v>21.861999999999998</v>
      </c>
      <c r="E137" s="35">
        <f>'Fiscal Forecasts'!E$223</f>
        <v>21.748999999999999</v>
      </c>
      <c r="F137" s="35">
        <f>'Fiscal Forecasts'!F$223</f>
        <v>25.562000000000001</v>
      </c>
      <c r="G137" s="35">
        <f>'Fiscal Forecasts'!G$223</f>
        <v>26.123999999999999</v>
      </c>
      <c r="H137" s="35">
        <f>'Fiscal Forecasts'!H$223</f>
        <v>28.13</v>
      </c>
      <c r="I137" s="35">
        <f>'Fiscal Forecasts'!I$223</f>
        <v>29.277999999999999</v>
      </c>
      <c r="J137" s="17">
        <f>'Fiscal Forecasts'!J$223+IF($C$2="Yes",'Fiscal Forecast Adjuster'!C$11/1000,0)</f>
        <v>29.81</v>
      </c>
      <c r="K137" s="17">
        <f>'Fiscal Forecasts'!K$223+IF($C$2="Yes",'Fiscal Forecast Adjuster'!D$11/1000,0)</f>
        <v>30.504999999999999</v>
      </c>
      <c r="L137" s="17">
        <f>'Fiscal Forecasts'!L$223+IF($C$2="Yes",'Fiscal Forecast Adjuster'!E$11/1000,0)</f>
        <v>32.298999999999999</v>
      </c>
      <c r="M137" s="17">
        <f>'Fiscal Forecasts'!M$223+IF($C$2="Yes",'Fiscal Forecast Adjuster'!F$11/1000,0)</f>
        <v>34.191000000000003</v>
      </c>
      <c r="N137" s="17">
        <f>'Fiscal Forecasts'!N$223+IF($C$2="Yes",'Fiscal Forecast Adjuster'!G$11/1000,0)</f>
        <v>35.695</v>
      </c>
      <c r="O137" s="16">
        <f ca="1">(N$137/N$13+MIN(ABS($C$137-N$137/N$13),OFFSET(Assumptions!$B$34,0,$C$1))*SIGN($C$137-N$137/N$13))*O$13</f>
        <v>37.508519862937639</v>
      </c>
      <c r="P137" s="16">
        <f ca="1">(O$137/O$13+MIN(ABS($C$137-O$137/O$13),OFFSET(Assumptions!$B$34,0,$C$1))*SIGN($C$137-O$137/O$13))*P$13</f>
        <v>39.393291670045947</v>
      </c>
      <c r="Q137" s="16">
        <f ca="1">(P$137/P$13+MIN(ABS($C$137-P$137/P$13),OFFSET(Assumptions!$B$34,0,$C$1))*SIGN($C$137-P$137/P$13))*Q$13</f>
        <v>41.142749225127339</v>
      </c>
      <c r="R137" s="16">
        <f ca="1">(Q$137/Q$13+MIN(ABS($C$137-Q$137/Q$13),OFFSET(Assumptions!$B$34,0,$C$1))*SIGN($C$137-Q$137/Q$13))*R$13</f>
        <v>42.762806701674812</v>
      </c>
      <c r="S137" s="16">
        <f ca="1">(R$137/R$13+MIN(ABS($C$137-R$137/R$13),OFFSET(Assumptions!$B$34,0,$C$1))*SIGN($C$137-R$137/R$13))*S$13</f>
        <v>44.418585896410953</v>
      </c>
      <c r="T137" s="16">
        <f ca="1">(S$137/S$13+MIN(ABS($C$137-S$137/S$13),OFFSET(Assumptions!$B$34,0,$C$1))*SIGN($C$137-S$137/S$13))*T$13</f>
        <v>46.107559942242041</v>
      </c>
      <c r="U137" s="16">
        <f ca="1">(T$137/T$13+MIN(ABS($C$137-T$137/T$13),OFFSET(Assumptions!$B$34,0,$C$1))*SIGN($C$137-T$137/T$13))*U$13</f>
        <v>47.819053167026226</v>
      </c>
      <c r="V137" s="16">
        <f ca="1">(U$137/U$13+MIN(ABS($C$137-U$137/U$13),OFFSET(Assumptions!$B$34,0,$C$1))*SIGN($C$137-U$137/U$13))*V$13</f>
        <v>49.556278362188671</v>
      </c>
      <c r="W137" s="16">
        <f ca="1">(V$137/V$13+MIN(ABS($C$137-V$137/V$13),OFFSET(Assumptions!$B$34,0,$C$1))*SIGN($C$137-V$137/V$13))*W$13</f>
        <v>51.319170804822953</v>
      </c>
      <c r="X137" s="16">
        <f ca="1">(W$137/W$13+MIN(ABS($C$137-W$137/W$13),OFFSET(Assumptions!$B$34,0,$C$1))*SIGN($C$137-W$137/W$13))*X$13</f>
        <v>53.12101482275223</v>
      </c>
    </row>
    <row r="138" spans="1:24" x14ac:dyDescent="0.25">
      <c r="A138" s="11" t="s">
        <v>854</v>
      </c>
      <c r="B138" s="10" t="str">
        <f t="shared" si="104"/>
        <v>From Fiscal Forecasts</v>
      </c>
      <c r="C138" s="64" cm="1">
        <f t="array" aca="1" ref="C138" ca="1">SUMPRODUCT(OFFSET($N$138,0,0,1,-OFFSET(Assumptions!$B$33,0,$C$1))/OFFSET($N$13,0,0,1,-OFFSET(Assumptions!$B$33,0,$C$1)))/OFFSET(Assumptions!$B$33,0,$C$1)</f>
        <v>1.0544383130732245E-2</v>
      </c>
      <c r="D138" s="35">
        <f>'Fiscal Forecasts'!D$224</f>
        <v>3.8820000000000001</v>
      </c>
      <c r="E138" s="35">
        <f>'Fiscal Forecasts'!E$224</f>
        <v>3.819</v>
      </c>
      <c r="F138" s="35">
        <f>'Fiscal Forecasts'!F$224</f>
        <v>4.306</v>
      </c>
      <c r="G138" s="35">
        <f>'Fiscal Forecasts'!G$224</f>
        <v>3.823</v>
      </c>
      <c r="H138" s="35">
        <f>'Fiscal Forecasts'!H$224</f>
        <v>2.976</v>
      </c>
      <c r="I138" s="35">
        <f>'Fiscal Forecasts'!I$224</f>
        <v>4.0730000000000004</v>
      </c>
      <c r="J138" s="17">
        <f>'Fiscal Forecasts'!J$224+IF($C$2="Yes",'Fiscal Forecast Adjuster'!C$12/1000,0)</f>
        <v>4.2720000000000002</v>
      </c>
      <c r="K138" s="17">
        <f>'Fiscal Forecasts'!K$224+IF($C$2="Yes",'Fiscal Forecast Adjuster'!D$12/1000,0)</f>
        <v>4.5709999999999997</v>
      </c>
      <c r="L138" s="17">
        <f>'Fiscal Forecasts'!L$224+IF($C$2="Yes",'Fiscal Forecast Adjuster'!E$12/1000,0)</f>
        <v>5.05</v>
      </c>
      <c r="M138" s="17">
        <f>'Fiscal Forecasts'!M$224+IF($C$2="Yes",'Fiscal Forecast Adjuster'!F$12/1000,0)</f>
        <v>5.6630000000000003</v>
      </c>
      <c r="N138" s="17">
        <f>'Fiscal Forecasts'!N$224+IF($C$2="Yes",'Fiscal Forecast Adjuster'!G$12/1000,0)</f>
        <v>6.093</v>
      </c>
      <c r="O138" s="16">
        <f ca="1">(N$138/N$13+MIN(ABS($C$138-N$138/N$13),OFFSET(Assumptions!$B$34,0,$C$1))*SIGN($C$138-N$138/N$13))*O$13</f>
        <v>6.0825296956577661</v>
      </c>
      <c r="P138" s="16">
        <f ca="1">(O$138/O$13+MIN(ABS($C$138-O$138/O$13),OFFSET(Assumptions!$B$34,0,$C$1))*SIGN($C$138-O$138/O$13))*P$13</f>
        <v>6.0569230620472281</v>
      </c>
      <c r="Q138" s="16">
        <f ca="1">(P$138/P$13+MIN(ABS($C$138-P$138/P$13),OFFSET(Assumptions!$B$34,0,$C$1))*SIGN($C$138-P$138/P$13))*Q$13</f>
        <v>6.257290129848518</v>
      </c>
      <c r="R138" s="16">
        <f ca="1">(Q$138/Q$13+MIN(ABS($C$138-Q$138/Q$13),OFFSET(Assumptions!$B$34,0,$C$1))*SIGN($C$138-Q$138/Q$13))*R$13</f>
        <v>6.503680316423524</v>
      </c>
      <c r="S138" s="16">
        <f ca="1">(R$138/R$13+MIN(ABS($C$138-R$138/R$13),OFFSET(Assumptions!$B$34,0,$C$1))*SIGN($C$138-R$138/R$13))*S$13</f>
        <v>6.7555033230908412</v>
      </c>
      <c r="T138" s="16">
        <f ca="1">(S$138/S$13+MIN(ABS($C$138-S$138/S$13),OFFSET(Assumptions!$B$34,0,$C$1))*SIGN($C$138-S$138/S$13))*T$13</f>
        <v>7.0123748454269004</v>
      </c>
      <c r="U138" s="16">
        <f ca="1">(T$138/T$13+MIN(ABS($C$138-T$138/T$13),OFFSET(Assumptions!$B$34,0,$C$1))*SIGN($C$138-T$138/T$13))*U$13</f>
        <v>7.2726712491539551</v>
      </c>
      <c r="V138" s="16">
        <f ca="1">(U$138/U$13+MIN(ABS($C$138-U$138/U$13),OFFSET(Assumptions!$B$34,0,$C$1))*SIGN($C$138-U$138/U$13))*V$13</f>
        <v>7.536881159083241</v>
      </c>
      <c r="W138" s="16">
        <f ca="1">(V$138/V$13+MIN(ABS($C$138-V$138/V$13),OFFSET(Assumptions!$B$34,0,$C$1))*SIGN($C$138-V$138/V$13))*W$13</f>
        <v>7.8049947316819113</v>
      </c>
      <c r="X138" s="16">
        <f ca="1">(W$138/W$13+MIN(ABS($C$138-W$138/W$13),OFFSET(Assumptions!$B$34,0,$C$1))*SIGN($C$138-W$138/W$13))*X$13</f>
        <v>8.0790323446577013</v>
      </c>
    </row>
    <row r="139" spans="1:24" x14ac:dyDescent="0.25">
      <c r="A139" s="11" t="s">
        <v>700</v>
      </c>
      <c r="B139" s="10" t="str">
        <f t="shared" si="104"/>
        <v>From Fiscal Forecasts</v>
      </c>
      <c r="C139" s="64"/>
      <c r="D139" s="35">
        <f>'Fiscal Forecasts'!D$225</f>
        <v>3.585</v>
      </c>
      <c r="E139" s="35">
        <f>'Fiscal Forecasts'!E$225</f>
        <v>3.6949999999999998</v>
      </c>
      <c r="F139" s="35">
        <f>'Fiscal Forecasts'!F$225</f>
        <v>3.3780000000000001</v>
      </c>
      <c r="G139" s="35">
        <f>'Fiscal Forecasts'!G$225</f>
        <v>3.5670000000000002</v>
      </c>
      <c r="H139" s="35">
        <f>'Fiscal Forecasts'!H$225</f>
        <v>3.532</v>
      </c>
      <c r="I139" s="35">
        <f>'Fiscal Forecasts'!I$225</f>
        <v>3.3140000000000001</v>
      </c>
      <c r="J139" s="17">
        <f>'Fiscal Forecasts'!J$225+IF($C$2="Yes",'Fiscal Forecast Adjuster'!C$13/1000,0)</f>
        <v>3.403</v>
      </c>
      <c r="K139" s="17">
        <f>'Fiscal Forecasts'!K$225+IF($C$2="Yes",'Fiscal Forecast Adjuster'!D$13/1000,0)</f>
        <v>3.399</v>
      </c>
      <c r="L139" s="17">
        <f>'Fiscal Forecasts'!L$225+IF($C$2="Yes",'Fiscal Forecast Adjuster'!E$13/1000,0)</f>
        <v>3.39</v>
      </c>
      <c r="M139" s="17">
        <f>'Fiscal Forecasts'!M$225+IF($C$2="Yes",'Fiscal Forecast Adjuster'!F$13/1000,0)</f>
        <v>3.39</v>
      </c>
      <c r="N139" s="17">
        <f>'Fiscal Forecasts'!N$225+IF($C$2="Yes",'Fiscal Forecast Adjuster'!G$13/1000,0)</f>
        <v>3.4140000000000001</v>
      </c>
      <c r="O139" s="16">
        <f ca="1">N$139*(1+O$19)*(1+O$29)</f>
        <v>3.5254182749113085</v>
      </c>
      <c r="P139" s="16">
        <f t="shared" ref="P139:X139" ca="1" si="105">O$139*(1+P$19)*(1+P$29)</f>
        <v>3.6378905766677603</v>
      </c>
      <c r="Q139" s="16">
        <f t="shared" ca="1" si="105"/>
        <v>3.7517149994902392</v>
      </c>
      <c r="R139" s="16">
        <f t="shared" ca="1" si="105"/>
        <v>3.8658702725971064</v>
      </c>
      <c r="S139" s="16">
        <f t="shared" ca="1" si="105"/>
        <v>3.9809623053354337</v>
      </c>
      <c r="T139" s="16">
        <f t="shared" ca="1" si="105"/>
        <v>4.096721368764916</v>
      </c>
      <c r="U139" s="16">
        <f t="shared" ca="1" si="105"/>
        <v>4.2146608693789736</v>
      </c>
      <c r="V139" s="16">
        <f t="shared" ca="1" si="105"/>
        <v>4.3341912410765806</v>
      </c>
      <c r="W139" s="16">
        <f t="shared" ca="1" si="105"/>
        <v>4.4536100740016673</v>
      </c>
      <c r="X139" s="16">
        <f t="shared" ca="1" si="105"/>
        <v>4.5741774460329756</v>
      </c>
    </row>
    <row r="140" spans="1:24" x14ac:dyDescent="0.25">
      <c r="A140" s="9" t="s">
        <v>908</v>
      </c>
      <c r="B140" s="10"/>
      <c r="C140" s="13"/>
      <c r="D140" s="65">
        <f t="shared" ref="D140:X140" si="106">SUM(D$134:D$139)</f>
        <v>85.722999999999999</v>
      </c>
      <c r="E140" s="65">
        <f t="shared" si="106"/>
        <v>84.521000000000001</v>
      </c>
      <c r="F140" s="65">
        <f t="shared" si="106"/>
        <v>97.361999999999995</v>
      </c>
      <c r="G140" s="65">
        <f t="shared" si="106"/>
        <v>107.87299999999999</v>
      </c>
      <c r="H140" s="65">
        <f t="shared" si="106"/>
        <v>111.712</v>
      </c>
      <c r="I140" s="65">
        <f t="shared" si="106"/>
        <v>119.89999999999998</v>
      </c>
      <c r="J140" s="66">
        <f t="shared" si="106"/>
        <v>120.16000000000003</v>
      </c>
      <c r="K140" s="66">
        <f t="shared" si="106"/>
        <v>124.21</v>
      </c>
      <c r="L140" s="66">
        <f t="shared" si="106"/>
        <v>132.09699999999998</v>
      </c>
      <c r="M140" s="66">
        <f t="shared" si="106"/>
        <v>139.47999999999999</v>
      </c>
      <c r="N140" s="66">
        <f t="shared" si="106"/>
        <v>147.05399999999997</v>
      </c>
      <c r="O140" s="67">
        <f t="shared" ca="1" si="106"/>
        <v>152.89321326350102</v>
      </c>
      <c r="P140" s="67">
        <f t="shared" ca="1" si="106"/>
        <v>159.16823718847181</v>
      </c>
      <c r="Q140" s="67">
        <f t="shared" ca="1" si="106"/>
        <v>165.63799304044909</v>
      </c>
      <c r="R140" s="67">
        <f t="shared" ca="1" si="106"/>
        <v>172.12666338681035</v>
      </c>
      <c r="S140" s="67">
        <f t="shared" ca="1" si="106"/>
        <v>178.75682638932682</v>
      </c>
      <c r="T140" s="67">
        <f t="shared" ca="1" si="106"/>
        <v>185.51826973824845</v>
      </c>
      <c r="U140" s="67">
        <f t="shared" ca="1" si="106"/>
        <v>192.37050077919096</v>
      </c>
      <c r="V140" s="67">
        <f t="shared" ca="1" si="106"/>
        <v>199.32557146505084</v>
      </c>
      <c r="W140" s="67">
        <f t="shared" ca="1" si="106"/>
        <v>206.38152471775896</v>
      </c>
      <c r="X140" s="67">
        <f t="shared" ca="1" si="106"/>
        <v>213.59189107421957</v>
      </c>
    </row>
    <row r="141" spans="1:24" x14ac:dyDescent="0.25">
      <c r="A141" s="11" t="s">
        <v>855</v>
      </c>
      <c r="B141" s="10" t="str">
        <f t="shared" si="104"/>
        <v>From Fiscal Forecasts</v>
      </c>
      <c r="C141" s="64" cm="1">
        <f t="array" aca="1" ref="C141" ca="1">SUMPRODUCT(OFFSET($N$141,0,0,1,-OFFSET(Assumptions!$B$33,0,$C$1))/OFFSET($N$13,0,0,1,-OFFSET(Assumptions!$B$33,0,$C$1)))/OFFSET(Assumptions!$B$33,0,$C$1)</f>
        <v>-1.8075933684058583E-3</v>
      </c>
      <c r="D141" s="35">
        <f>D$140-'Fiscal Forecasts'!D$163</f>
        <v>-0.74500000000000455</v>
      </c>
      <c r="E141" s="35">
        <f>E$140-'Fiscal Forecasts'!E$163</f>
        <v>-0.58100000000000307</v>
      </c>
      <c r="F141" s="35">
        <f>F$140-'Fiscal Forecasts'!F$163</f>
        <v>-0.62100000000000932</v>
      </c>
      <c r="G141" s="35">
        <f>G$140-'Fiscal Forecasts'!G$163</f>
        <v>-0.58500000000000796</v>
      </c>
      <c r="H141" s="35">
        <f>H$140-'Fiscal Forecasts'!H$163</f>
        <v>-0.6460000000000008</v>
      </c>
      <c r="I141" s="35">
        <f>I$140-'Fiscal Forecasts'!I$163</f>
        <v>-0.66600000000002524</v>
      </c>
      <c r="J141" s="17">
        <f>J$140-'Fiscal Forecasts'!J$163-IF($C$2="Yes",SUM('Fiscal Forecast Adjuster'!C$8:C$13)/1000,0)</f>
        <v>-0.73399999999998045</v>
      </c>
      <c r="K141" s="17">
        <f>K$140-'Fiscal Forecasts'!K$163-IF($C$2="Yes",SUM('Fiscal Forecast Adjuster'!D$8:D$13)/1000,0)</f>
        <v>-0.83400000000000318</v>
      </c>
      <c r="L141" s="17">
        <f>L$140-'Fiscal Forecasts'!L$163-IF($C$2="Yes",SUM('Fiscal Forecast Adjuster'!E$8:E$13)/1000,0)</f>
        <v>-0.92100000000002069</v>
      </c>
      <c r="M141" s="17">
        <f>M$140-'Fiscal Forecasts'!M$163-IF($C$2="Yes",SUM('Fiscal Forecast Adjuster'!F$8:F$13)/1000,0)</f>
        <v>-1.0110000000000241</v>
      </c>
      <c r="N141" s="17">
        <f>N$140-'Fiscal Forecasts'!N$163-IF($C$2="Yes",SUM('Fiscal Forecast Adjuster'!G$8:G$13)/1000,0)</f>
        <v>-1.146000000000015</v>
      </c>
      <c r="O141" s="16">
        <f ca="1">(N$141/N$13+MIN(ABS($C$141-N$141/N$13),OFFSET(Assumptions!$B$34,0,$C$1))*SIGN($C$141-N$141/N$13))*O$13</f>
        <v>-0.98827741072355701</v>
      </c>
      <c r="P141" s="16">
        <f ca="1">(O$141/O$13+MIN(ABS($C$141-O$141/O$13),OFFSET(Assumptions!$B$34,0,$C$1))*SIGN($C$141-O$141/O$13))*P$13</f>
        <v>-1.0304275989474487</v>
      </c>
      <c r="Q141" s="16">
        <f ca="1">(P$141/P$13+MIN(ABS($C$141-P$141/P$13),OFFSET(Assumptions!$B$34,0,$C$1))*SIGN($C$141-P$141/P$13))*Q$13</f>
        <v>-1.0726693067458899</v>
      </c>
      <c r="R141" s="16">
        <f ca="1">(Q$141/Q$13+MIN(ABS($C$141-Q$141/Q$13),OFFSET(Assumptions!$B$34,0,$C$1))*SIGN($C$141-Q$141/Q$13))*R$13</f>
        <v>-1.1149072700075997</v>
      </c>
      <c r="S141" s="16">
        <f ca="1">(R$141/R$13+MIN(ABS($C$141-R$141/R$13),OFFSET(Assumptions!$B$34,0,$C$1))*SIGN($C$141-R$141/R$13))*S$13</f>
        <v>-1.1580765660413503</v>
      </c>
      <c r="T141" s="16">
        <f ca="1">(S$141/S$13+MIN(ABS($C$141-S$141/S$13),OFFSET(Assumptions!$B$34,0,$C$1))*SIGN($C$141-S$141/S$13))*T$13</f>
        <v>-1.2021113146416447</v>
      </c>
      <c r="U141" s="16">
        <f ca="1">(T$141/T$13+MIN(ABS($C$141-T$141/T$13),OFFSET(Assumptions!$B$34,0,$C$1))*SIGN($C$141-T$141/T$13))*U$13</f>
        <v>-1.246733180839354</v>
      </c>
      <c r="V141" s="16">
        <f ca="1">(U$141/U$13+MIN(ABS($C$141-U$141/U$13),OFFSET(Assumptions!$B$34,0,$C$1))*SIGN($C$141-U$141/U$13))*V$13</f>
        <v>-1.2920259281849373</v>
      </c>
      <c r="W141" s="16">
        <f ca="1">(V$141/V$13+MIN(ABS($C$141-V$141/V$13),OFFSET(Assumptions!$B$34,0,$C$1))*SIGN($C$141-V$141/V$13))*W$13</f>
        <v>-1.3379878692297809</v>
      </c>
      <c r="X141" s="16">
        <f ca="1">(W$141/W$13+MIN(ABS($C$141-W$141/W$13),OFFSET(Assumptions!$B$34,0,$C$1))*SIGN($C$141-W$141/W$13))*X$13</f>
        <v>-1.3849653515317173</v>
      </c>
    </row>
    <row r="142" spans="1:24" x14ac:dyDescent="0.25">
      <c r="A142" s="9" t="s">
        <v>856</v>
      </c>
      <c r="B142" s="9"/>
      <c r="C142" s="13"/>
      <c r="D142" s="65">
        <f t="shared" ref="D142:X142" si="107">D$140-D$141</f>
        <v>86.468000000000004</v>
      </c>
      <c r="E142" s="65">
        <f t="shared" si="107"/>
        <v>85.102000000000004</v>
      </c>
      <c r="F142" s="65">
        <f t="shared" si="107"/>
        <v>97.983000000000004</v>
      </c>
      <c r="G142" s="65">
        <f t="shared" si="107"/>
        <v>108.458</v>
      </c>
      <c r="H142" s="65">
        <f t="shared" si="107"/>
        <v>112.358</v>
      </c>
      <c r="I142" s="65">
        <f t="shared" si="107"/>
        <v>120.566</v>
      </c>
      <c r="J142" s="66">
        <f t="shared" si="107"/>
        <v>120.89400000000001</v>
      </c>
      <c r="K142" s="66">
        <f t="shared" si="107"/>
        <v>125.044</v>
      </c>
      <c r="L142" s="66">
        <f t="shared" si="107"/>
        <v>133.018</v>
      </c>
      <c r="M142" s="66">
        <f t="shared" si="107"/>
        <v>140.49100000000001</v>
      </c>
      <c r="N142" s="66">
        <f t="shared" si="107"/>
        <v>148.19999999999999</v>
      </c>
      <c r="O142" s="67">
        <f t="shared" ca="1" si="107"/>
        <v>153.88149067422458</v>
      </c>
      <c r="P142" s="67">
        <f t="shared" ca="1" si="107"/>
        <v>160.19866478741926</v>
      </c>
      <c r="Q142" s="67">
        <f t="shared" ca="1" si="107"/>
        <v>166.71066234719498</v>
      </c>
      <c r="R142" s="67">
        <f t="shared" ca="1" si="107"/>
        <v>173.24157065681794</v>
      </c>
      <c r="S142" s="67">
        <f t="shared" ca="1" si="107"/>
        <v>179.91490295536818</v>
      </c>
      <c r="T142" s="67">
        <f t="shared" ca="1" si="107"/>
        <v>186.7203810528901</v>
      </c>
      <c r="U142" s="67">
        <f t="shared" ca="1" si="107"/>
        <v>193.61723396003032</v>
      </c>
      <c r="V142" s="67">
        <f t="shared" ca="1" si="107"/>
        <v>200.61759739323577</v>
      </c>
      <c r="W142" s="67">
        <f t="shared" ca="1" si="107"/>
        <v>207.71951258698874</v>
      </c>
      <c r="X142" s="67">
        <f t="shared" ca="1" si="107"/>
        <v>214.97685642575129</v>
      </c>
    </row>
    <row r="143" spans="1:24" x14ac:dyDescent="0.25">
      <c r="A143" s="9"/>
      <c r="B143" s="9"/>
      <c r="C143" s="13"/>
      <c r="D143" s="68"/>
      <c r="E143" s="68"/>
      <c r="F143" s="68"/>
      <c r="G143" s="68"/>
      <c r="H143" s="68"/>
      <c r="I143" s="68"/>
      <c r="J143" s="69"/>
      <c r="K143" s="69"/>
      <c r="L143" s="69"/>
      <c r="M143" s="69"/>
      <c r="N143" s="69"/>
      <c r="O143" s="70"/>
      <c r="P143" s="70"/>
      <c r="Q143" s="70"/>
      <c r="R143" s="70"/>
      <c r="S143" s="70"/>
      <c r="T143" s="70"/>
      <c r="U143" s="70"/>
      <c r="V143" s="70"/>
      <c r="W143" s="70"/>
      <c r="X143" s="70"/>
    </row>
    <row r="144" spans="1:24" x14ac:dyDescent="0.25">
      <c r="A144" s="9" t="s">
        <v>702</v>
      </c>
      <c r="B144" s="9"/>
      <c r="C144" s="13"/>
      <c r="D144" s="68"/>
      <c r="E144" s="68"/>
      <c r="F144" s="68"/>
      <c r="G144" s="68"/>
      <c r="H144" s="68"/>
      <c r="I144" s="68"/>
      <c r="J144" s="69"/>
      <c r="K144" s="69"/>
      <c r="L144" s="69"/>
      <c r="M144" s="69"/>
      <c r="N144" s="69"/>
      <c r="O144" s="70"/>
      <c r="P144" s="70"/>
      <c r="Q144" s="70"/>
      <c r="R144" s="70"/>
      <c r="S144" s="70"/>
      <c r="T144" s="70"/>
      <c r="U144" s="70"/>
      <c r="V144" s="70"/>
      <c r="W144" s="70"/>
      <c r="X144" s="70"/>
    </row>
    <row r="145" spans="1:24" x14ac:dyDescent="0.25">
      <c r="A145" s="11" t="s">
        <v>857</v>
      </c>
      <c r="B145" s="10" t="str">
        <f>$B$38</f>
        <v>From Fiscal Forecasts</v>
      </c>
      <c r="C145" s="13"/>
      <c r="D145" s="35">
        <f>'Fiscal Forecasts'!D$229</f>
        <v>0.84599999999999997</v>
      </c>
      <c r="E145" s="35">
        <f>'Fiscal Forecasts'!E$229</f>
        <v>1.0429999999999999</v>
      </c>
      <c r="F145" s="35">
        <f>'Fiscal Forecasts'!F$229</f>
        <v>1.6339999999999999</v>
      </c>
      <c r="G145" s="35">
        <f>'Fiscal Forecasts'!G$229</f>
        <v>3.0059999999999998</v>
      </c>
      <c r="H145" s="35">
        <f>'Fiscal Forecasts'!H$229</f>
        <v>1.5820000000000001</v>
      </c>
      <c r="I145" s="35">
        <f>'Fiscal Forecasts'!I$229</f>
        <v>1.69</v>
      </c>
      <c r="J145" s="17">
        <f>'Fiscal Forecasts'!J$229</f>
        <v>2.4350000000000001</v>
      </c>
      <c r="K145" s="17">
        <f>'Fiscal Forecasts'!K$229</f>
        <v>2.2149999999999999</v>
      </c>
      <c r="L145" s="17">
        <f>'Fiscal Forecasts'!L$229</f>
        <v>2.1240000000000001</v>
      </c>
      <c r="M145" s="17">
        <f>'Fiscal Forecasts'!M$229</f>
        <v>2.073</v>
      </c>
      <c r="N145" s="17">
        <f>'Fiscal Forecasts'!N$229</f>
        <v>2.0630000000000002</v>
      </c>
      <c r="O145" s="16">
        <f t="shared" ref="O145:X145" si="108">N$145</f>
        <v>2.0630000000000002</v>
      </c>
      <c r="P145" s="16">
        <f t="shared" si="108"/>
        <v>2.0630000000000002</v>
      </c>
      <c r="Q145" s="16">
        <f t="shared" si="108"/>
        <v>2.0630000000000002</v>
      </c>
      <c r="R145" s="16">
        <f t="shared" si="108"/>
        <v>2.0630000000000002</v>
      </c>
      <c r="S145" s="16">
        <f t="shared" si="108"/>
        <v>2.0630000000000002</v>
      </c>
      <c r="T145" s="16">
        <f t="shared" si="108"/>
        <v>2.0630000000000002</v>
      </c>
      <c r="U145" s="16">
        <f t="shared" si="108"/>
        <v>2.0630000000000002</v>
      </c>
      <c r="V145" s="16">
        <f t="shared" si="108"/>
        <v>2.0630000000000002</v>
      </c>
      <c r="W145" s="16">
        <f t="shared" si="108"/>
        <v>2.0630000000000002</v>
      </c>
      <c r="X145" s="16">
        <f t="shared" si="108"/>
        <v>2.0630000000000002</v>
      </c>
    </row>
    <row r="146" spans="1:24" x14ac:dyDescent="0.25">
      <c r="A146" s="11" t="s">
        <v>858</v>
      </c>
      <c r="B146" s="10" t="str">
        <f>$B$38</f>
        <v>From Fiscal Forecasts</v>
      </c>
      <c r="C146" s="13"/>
      <c r="D146" s="35">
        <f>'Fiscal Forecasts'!D$164-D$145</f>
        <v>1.1310000000000002</v>
      </c>
      <c r="E146" s="35">
        <f>'Fiscal Forecasts'!E$164-E$145</f>
        <v>1.0770000000000002</v>
      </c>
      <c r="F146" s="35">
        <f>'Fiscal Forecasts'!F$164-F$145</f>
        <v>1.1110000000000002</v>
      </c>
      <c r="G146" s="35">
        <f>'Fiscal Forecasts'!G$164-G$145</f>
        <v>1.3210000000000002</v>
      </c>
      <c r="H146" s="35">
        <f>'Fiscal Forecasts'!H$164-H$145</f>
        <v>1.7099999999999997</v>
      </c>
      <c r="I146" s="35">
        <f>'Fiscal Forecasts'!I$164-I$145</f>
        <v>1.899</v>
      </c>
      <c r="J146" s="17">
        <f>'Fiscal Forecasts'!J$164-J$145</f>
        <v>1.871</v>
      </c>
      <c r="K146" s="17">
        <f>'Fiscal Forecasts'!K$164-K$145</f>
        <v>2.202</v>
      </c>
      <c r="L146" s="17">
        <f>'Fiscal Forecasts'!L$164-L$145</f>
        <v>2.3009999999999997</v>
      </c>
      <c r="M146" s="17">
        <f>'Fiscal Forecasts'!M$164-M$145</f>
        <v>2.347</v>
      </c>
      <c r="N146" s="17">
        <f>'Fiscal Forecasts'!N$164-N$145</f>
        <v>2.3879999999999995</v>
      </c>
      <c r="O146" s="16">
        <f t="shared" ref="O146:X146" ca="1" si="109">N$146*(1+O$19)*(1+O$29)</f>
        <v>2.4659340481804928</v>
      </c>
      <c r="P146" s="16">
        <f t="shared" ca="1" si="109"/>
        <v>2.5446053594266576</v>
      </c>
      <c r="Q146" s="16">
        <f t="shared" ca="1" si="109"/>
        <v>2.6242224425256846</v>
      </c>
      <c r="R146" s="16">
        <f t="shared" ca="1" si="109"/>
        <v>2.7040709463860235</v>
      </c>
      <c r="S146" s="16">
        <f t="shared" ca="1" si="109"/>
        <v>2.7845746880905122</v>
      </c>
      <c r="T146" s="16">
        <f t="shared" ca="1" si="109"/>
        <v>2.8655449995930327</v>
      </c>
      <c r="U146" s="16">
        <f t="shared" ca="1" si="109"/>
        <v>2.9480404675093674</v>
      </c>
      <c r="V146" s="16">
        <f t="shared" ca="1" si="109"/>
        <v>3.0316487064120867</v>
      </c>
      <c r="W146" s="16">
        <f t="shared" ca="1" si="109"/>
        <v>3.1151789269818311</v>
      </c>
      <c r="X146" s="16">
        <f t="shared" ca="1" si="109"/>
        <v>3.1995125193692844</v>
      </c>
    </row>
    <row r="147" spans="1:24" x14ac:dyDescent="0.25">
      <c r="A147" s="9" t="s">
        <v>859</v>
      </c>
      <c r="B147" s="9"/>
      <c r="C147" s="13"/>
      <c r="D147" s="65">
        <f t="shared" ref="D147:X147" si="110">SUM(D$145:D$146)</f>
        <v>1.9770000000000003</v>
      </c>
      <c r="E147" s="65">
        <f t="shared" si="110"/>
        <v>2.12</v>
      </c>
      <c r="F147" s="65">
        <f t="shared" si="110"/>
        <v>2.7450000000000001</v>
      </c>
      <c r="G147" s="65">
        <f t="shared" si="110"/>
        <v>4.327</v>
      </c>
      <c r="H147" s="65">
        <f t="shared" si="110"/>
        <v>3.2919999999999998</v>
      </c>
      <c r="I147" s="65">
        <f t="shared" si="110"/>
        <v>3.589</v>
      </c>
      <c r="J147" s="66">
        <f t="shared" si="110"/>
        <v>4.306</v>
      </c>
      <c r="K147" s="66">
        <f t="shared" si="110"/>
        <v>4.4169999999999998</v>
      </c>
      <c r="L147" s="66">
        <f t="shared" si="110"/>
        <v>4.4249999999999998</v>
      </c>
      <c r="M147" s="66">
        <f t="shared" si="110"/>
        <v>4.42</v>
      </c>
      <c r="N147" s="66">
        <f t="shared" si="110"/>
        <v>4.4509999999999996</v>
      </c>
      <c r="O147" s="67">
        <f t="shared" ca="1" si="110"/>
        <v>4.5289340481804929</v>
      </c>
      <c r="P147" s="67">
        <f t="shared" ca="1" si="110"/>
        <v>4.6076053594266577</v>
      </c>
      <c r="Q147" s="67">
        <f t="shared" ca="1" si="110"/>
        <v>4.6872224425256848</v>
      </c>
      <c r="R147" s="67">
        <f t="shared" ca="1" si="110"/>
        <v>4.7670709463860241</v>
      </c>
      <c r="S147" s="67">
        <f t="shared" ca="1" si="110"/>
        <v>4.8475746880905124</v>
      </c>
      <c r="T147" s="67">
        <f t="shared" ca="1" si="110"/>
        <v>4.9285449995930328</v>
      </c>
      <c r="U147" s="67">
        <f t="shared" ca="1" si="110"/>
        <v>5.0110404675093676</v>
      </c>
      <c r="V147" s="67">
        <f t="shared" ca="1" si="110"/>
        <v>5.0946487064120873</v>
      </c>
      <c r="W147" s="67">
        <f t="shared" ca="1" si="110"/>
        <v>5.1781789269818308</v>
      </c>
      <c r="X147" s="67">
        <f t="shared" ca="1" si="110"/>
        <v>5.2625125193692845</v>
      </c>
    </row>
    <row r="148" spans="1:24" x14ac:dyDescent="0.25">
      <c r="A148" s="11" t="s">
        <v>703</v>
      </c>
      <c r="B148" s="10" t="str">
        <f>$B$38</f>
        <v>From Fiscal Forecasts</v>
      </c>
      <c r="C148" s="13"/>
      <c r="D148" s="35">
        <f>'Fiscal Forecasts'!D$228</f>
        <v>3.0139999999999998</v>
      </c>
      <c r="E148" s="35">
        <f>'Fiscal Forecasts'!E$228</f>
        <v>3.032</v>
      </c>
      <c r="F148" s="35">
        <f>'Fiscal Forecasts'!F$228</f>
        <v>3.27</v>
      </c>
      <c r="G148" s="35">
        <f>'Fiscal Forecasts'!G$228</f>
        <v>3.4609999999999999</v>
      </c>
      <c r="H148" s="35">
        <f>'Fiscal Forecasts'!H$228</f>
        <v>3.855</v>
      </c>
      <c r="I148" s="35">
        <f>'Fiscal Forecasts'!I$228</f>
        <v>4.1449999999999996</v>
      </c>
      <c r="J148" s="17">
        <f>'Fiscal Forecasts'!J$228</f>
        <v>4.2649999999999997</v>
      </c>
      <c r="K148" s="17">
        <f>'Fiscal Forecasts'!K$228</f>
        <v>4.7149999999999999</v>
      </c>
      <c r="L148" s="17">
        <f>'Fiscal Forecasts'!L$228</f>
        <v>5.2039999999999997</v>
      </c>
      <c r="M148" s="17">
        <f>'Fiscal Forecasts'!M$228</f>
        <v>5.7030000000000003</v>
      </c>
      <c r="N148" s="17">
        <f>'Fiscal Forecasts'!N$228</f>
        <v>6.2389999999999999</v>
      </c>
      <c r="O148" s="16">
        <f>N$148*(Exogenous!Z$26-Exogenous!Z$27)/(Exogenous!Y$26-Exogenous!Y$27)</f>
        <v>6.7922214680442501</v>
      </c>
      <c r="P148" s="16">
        <f>O$148*(Exogenous!AA$26-Exogenous!AA$27)/(Exogenous!Z$26-Exogenous!Z$27)</f>
        <v>7.3773643877749224</v>
      </c>
      <c r="Q148" s="16">
        <f>P$148*(Exogenous!AB$26-Exogenous!AB$27)/(Exogenous!AA$26-Exogenous!AA$27)</f>
        <v>8.0450326288791469</v>
      </c>
      <c r="R148" s="16">
        <f>Q$148*(Exogenous!AC$26-Exogenous!AC$27)/(Exogenous!AB$26-Exogenous!AB$27)</f>
        <v>8.7507730414661591</v>
      </c>
      <c r="S148" s="16">
        <f>R$148*(Exogenous!AD$26-Exogenous!AD$27)/(Exogenous!AC$26-Exogenous!AC$27)</f>
        <v>9.5257663808887454</v>
      </c>
      <c r="T148" s="16">
        <f>S$148*(Exogenous!AE$26-Exogenous!AE$27)/(Exogenous!AD$26-Exogenous!AD$27)</f>
        <v>10.34282594471633</v>
      </c>
      <c r="U148" s="16">
        <f>T$148*(Exogenous!AF$26-Exogenous!AF$27)/(Exogenous!AE$26-Exogenous!AE$27)</f>
        <v>11.236500181765395</v>
      </c>
      <c r="V148" s="16">
        <f>U$148*(Exogenous!AG$26-Exogenous!AG$27)/(Exogenous!AF$26-Exogenous!AF$27)</f>
        <v>12.001795802679197</v>
      </c>
      <c r="W148" s="16">
        <f>V$148*(Exogenous!AH$26-Exogenous!AH$27)/(Exogenous!AG$26-Exogenous!AG$27)</f>
        <v>12.543476849089375</v>
      </c>
      <c r="X148" s="16">
        <f>W$148*(Exogenous!AI$26-Exogenous!AI$27)/(Exogenous!AH$26-Exogenous!AH$27)</f>
        <v>13.028010010466666</v>
      </c>
    </row>
    <row r="149" spans="1:24" x14ac:dyDescent="0.25">
      <c r="A149" s="11" t="s">
        <v>860</v>
      </c>
      <c r="B149" s="10" t="str">
        <f>$B$38</f>
        <v>From Fiscal Forecasts</v>
      </c>
      <c r="C149" s="13"/>
      <c r="D149" s="35">
        <f>'Fiscal Forecasts'!D$10-SUM(D$147:D$148)</f>
        <v>1.0369999999999999</v>
      </c>
      <c r="E149" s="35">
        <f>'Fiscal Forecasts'!E$10-SUM(E$147:E$148)</f>
        <v>1.117</v>
      </c>
      <c r="F149" s="35">
        <f>'Fiscal Forecasts'!F$10-SUM(F$147:F$148)</f>
        <v>1.0229999999999997</v>
      </c>
      <c r="G149" s="35">
        <f>'Fiscal Forecasts'!G$10-SUM(G$147:G$148)</f>
        <v>1.1059999999999999</v>
      </c>
      <c r="H149" s="35">
        <f>'Fiscal Forecasts'!H$10-SUM(H$147:H$148)</f>
        <v>1.2599999999999998</v>
      </c>
      <c r="I149" s="35">
        <f>'Fiscal Forecasts'!I$10-SUM(I$147:I$148)</f>
        <v>1.6920000000000002</v>
      </c>
      <c r="J149" s="17">
        <f>'Fiscal Forecasts'!J$10-SUM(J$147:J$148)</f>
        <v>1.8849999999999998</v>
      </c>
      <c r="K149" s="17">
        <f>'Fiscal Forecasts'!K$10-SUM(K$147:K$148)</f>
        <v>1.8740000000000006</v>
      </c>
      <c r="L149" s="17">
        <f>'Fiscal Forecasts'!L$10-SUM(L$147:L$148)</f>
        <v>1.9410000000000007</v>
      </c>
      <c r="M149" s="17">
        <f>'Fiscal Forecasts'!M$10-SUM(M$147:M$148)</f>
        <v>2.0509999999999984</v>
      </c>
      <c r="N149" s="17">
        <f>'Fiscal Forecasts'!N$10-SUM(N$147:N$148)</f>
        <v>2.120000000000001</v>
      </c>
      <c r="O149" s="16">
        <f t="shared" ref="O149:X149" ca="1" si="111">N$149*(1+O$19)*(1+O$29)</f>
        <v>2.1891876809642583</v>
      </c>
      <c r="P149" s="16">
        <f t="shared" ca="1" si="111"/>
        <v>2.2590298835781066</v>
      </c>
      <c r="Q149" s="16">
        <f t="shared" ca="1" si="111"/>
        <v>2.3297117161450824</v>
      </c>
      <c r="R149" s="16">
        <f t="shared" ca="1" si="111"/>
        <v>2.4005989976291358</v>
      </c>
      <c r="S149" s="16">
        <f t="shared" ca="1" si="111"/>
        <v>2.4720679810518811</v>
      </c>
      <c r="T149" s="16">
        <f t="shared" ca="1" si="111"/>
        <v>2.543951172168021</v>
      </c>
      <c r="U149" s="16">
        <f t="shared" ca="1" si="111"/>
        <v>2.6171883547403119</v>
      </c>
      <c r="V149" s="16">
        <f t="shared" ca="1" si="111"/>
        <v>2.6914134244529437</v>
      </c>
      <c r="W149" s="16">
        <f t="shared" ca="1" si="111"/>
        <v>2.7655692316589144</v>
      </c>
      <c r="X149" s="16">
        <f t="shared" ca="1" si="111"/>
        <v>2.840438250026335</v>
      </c>
    </row>
    <row r="150" spans="1:24" x14ac:dyDescent="0.25">
      <c r="A150" s="9" t="s">
        <v>909</v>
      </c>
      <c r="B150" s="9"/>
      <c r="C150" s="13"/>
      <c r="D150" s="65">
        <f t="shared" ref="D150:X150" si="112">SUM(D$147:D$149)</f>
        <v>6.0279999999999996</v>
      </c>
      <c r="E150" s="65">
        <f t="shared" si="112"/>
        <v>6.2690000000000001</v>
      </c>
      <c r="F150" s="65">
        <f t="shared" si="112"/>
        <v>7.0380000000000003</v>
      </c>
      <c r="G150" s="65">
        <f t="shared" si="112"/>
        <v>8.8940000000000001</v>
      </c>
      <c r="H150" s="65">
        <f t="shared" si="112"/>
        <v>8.407</v>
      </c>
      <c r="I150" s="65">
        <f t="shared" si="112"/>
        <v>9.4260000000000002</v>
      </c>
      <c r="J150" s="66">
        <f t="shared" si="112"/>
        <v>10.456</v>
      </c>
      <c r="K150" s="66">
        <f t="shared" si="112"/>
        <v>11.006</v>
      </c>
      <c r="L150" s="66">
        <f t="shared" si="112"/>
        <v>11.57</v>
      </c>
      <c r="M150" s="66">
        <f t="shared" si="112"/>
        <v>12.173999999999999</v>
      </c>
      <c r="N150" s="66">
        <f t="shared" si="112"/>
        <v>12.81</v>
      </c>
      <c r="O150" s="67">
        <f t="shared" ca="1" si="112"/>
        <v>13.510343197189</v>
      </c>
      <c r="P150" s="67">
        <f t="shared" ca="1" si="112"/>
        <v>14.243999630779687</v>
      </c>
      <c r="Q150" s="67">
        <f t="shared" ca="1" si="112"/>
        <v>15.061966787549915</v>
      </c>
      <c r="R150" s="67">
        <f t="shared" ca="1" si="112"/>
        <v>15.918442985481319</v>
      </c>
      <c r="S150" s="67">
        <f t="shared" ca="1" si="112"/>
        <v>16.84540905003114</v>
      </c>
      <c r="T150" s="67">
        <f t="shared" ca="1" si="112"/>
        <v>17.815322116477383</v>
      </c>
      <c r="U150" s="67">
        <f t="shared" ca="1" si="112"/>
        <v>18.864729004015071</v>
      </c>
      <c r="V150" s="67">
        <f t="shared" ca="1" si="112"/>
        <v>19.787857933544228</v>
      </c>
      <c r="W150" s="67">
        <f t="shared" ca="1" si="112"/>
        <v>20.487225007730121</v>
      </c>
      <c r="X150" s="67">
        <f t="shared" ca="1" si="112"/>
        <v>21.130960779862285</v>
      </c>
    </row>
    <row r="151" spans="1:24" x14ac:dyDescent="0.25">
      <c r="A151" s="11" t="s">
        <v>861</v>
      </c>
      <c r="B151" s="10" t="str">
        <f>$B$38</f>
        <v>From Fiscal Forecasts</v>
      </c>
      <c r="C151" s="13"/>
      <c r="D151" s="35">
        <f>'Fiscal Forecasts'!D$374</f>
        <v>0</v>
      </c>
      <c r="E151" s="35">
        <f>'Fiscal Forecasts'!E$374</f>
        <v>0</v>
      </c>
      <c r="F151" s="35">
        <f>'Fiscal Forecasts'!F$374</f>
        <v>0.33600000000000002</v>
      </c>
      <c r="G151" s="35">
        <f>'Fiscal Forecasts'!G$374</f>
        <v>2.0960000000000001</v>
      </c>
      <c r="H151" s="35">
        <f>'Fiscal Forecasts'!H$374</f>
        <v>0.83199999999999996</v>
      </c>
      <c r="I151" s="35">
        <f>'Fiscal Forecasts'!I$374</f>
        <v>0.21</v>
      </c>
      <c r="J151" s="17">
        <f>'Fiscal Forecasts'!J$374</f>
        <v>0.27900000000000003</v>
      </c>
      <c r="K151" s="17">
        <f>'Fiscal Forecasts'!K$374</f>
        <v>0.33</v>
      </c>
      <c r="L151" s="17">
        <f>'Fiscal Forecasts'!L$374</f>
        <v>0.28299999999999997</v>
      </c>
      <c r="M151" s="17">
        <f>'Fiscal Forecasts'!M$374</f>
        <v>0.23</v>
      </c>
      <c r="N151" s="17">
        <f>'Fiscal Forecasts'!N$374</f>
        <v>0.17699999999999999</v>
      </c>
      <c r="O151" s="16">
        <f t="shared" ref="O151:X151" si="113">N$151</f>
        <v>0.17699999999999999</v>
      </c>
      <c r="P151" s="16">
        <f t="shared" si="113"/>
        <v>0.17699999999999999</v>
      </c>
      <c r="Q151" s="16">
        <f t="shared" si="113"/>
        <v>0.17699999999999999</v>
      </c>
      <c r="R151" s="16">
        <f t="shared" si="113"/>
        <v>0.17699999999999999</v>
      </c>
      <c r="S151" s="16">
        <f t="shared" si="113"/>
        <v>0.17699999999999999</v>
      </c>
      <c r="T151" s="16">
        <f t="shared" si="113"/>
        <v>0.17699999999999999</v>
      </c>
      <c r="U151" s="16">
        <f t="shared" si="113"/>
        <v>0.17699999999999999</v>
      </c>
      <c r="V151" s="16">
        <f t="shared" si="113"/>
        <v>0.17699999999999999</v>
      </c>
      <c r="W151" s="16">
        <f t="shared" si="113"/>
        <v>0.17699999999999999</v>
      </c>
      <c r="X151" s="16">
        <f t="shared" si="113"/>
        <v>0.17699999999999999</v>
      </c>
    </row>
    <row r="152" spans="1:24" x14ac:dyDescent="0.25">
      <c r="A152" s="9"/>
      <c r="B152" s="9"/>
      <c r="C152" s="13"/>
      <c r="D152" s="68"/>
      <c r="E152" s="68"/>
      <c r="F152" s="68"/>
      <c r="G152" s="68"/>
      <c r="H152" s="68"/>
      <c r="I152" s="68"/>
      <c r="J152" s="69"/>
      <c r="K152" s="69"/>
      <c r="L152" s="69"/>
      <c r="M152" s="69"/>
      <c r="N152" s="69"/>
      <c r="O152" s="70"/>
      <c r="P152" s="70"/>
      <c r="Q152" s="70"/>
      <c r="R152" s="70"/>
      <c r="S152" s="70"/>
      <c r="T152" s="70"/>
      <c r="U152" s="70"/>
      <c r="V152" s="70"/>
      <c r="W152" s="70"/>
      <c r="X152" s="70"/>
    </row>
    <row r="153" spans="1:24" x14ac:dyDescent="0.25">
      <c r="A153" s="9" t="s">
        <v>530</v>
      </c>
      <c r="B153" s="9"/>
      <c r="C153" s="13"/>
      <c r="D153" s="68"/>
      <c r="E153" s="68"/>
      <c r="F153" s="68"/>
      <c r="G153" s="68"/>
      <c r="H153" s="68"/>
      <c r="I153" s="68"/>
      <c r="J153" s="69"/>
      <c r="K153" s="69"/>
      <c r="L153" s="69"/>
      <c r="M153" s="69"/>
      <c r="N153" s="69"/>
      <c r="O153" s="70"/>
      <c r="P153" s="70"/>
      <c r="Q153" s="70"/>
      <c r="R153" s="70"/>
      <c r="S153" s="70"/>
      <c r="T153" s="70"/>
      <c r="U153" s="70"/>
      <c r="V153" s="70"/>
      <c r="W153" s="70"/>
      <c r="X153" s="70"/>
    </row>
    <row r="154" spans="1:24" x14ac:dyDescent="0.25">
      <c r="A154" s="9" t="s">
        <v>862</v>
      </c>
      <c r="B154" s="10" t="str">
        <f>$B$38</f>
        <v>From Fiscal Forecasts</v>
      </c>
      <c r="C154" s="13"/>
      <c r="D154" s="68">
        <f>'Fiscal Forecasts'!D165</f>
        <v>1.583</v>
      </c>
      <c r="E154" s="68">
        <f>'Fiscal Forecasts'!E165</f>
        <v>1.5529999999999999</v>
      </c>
      <c r="F154" s="68">
        <f>'Fiscal Forecasts'!F165</f>
        <v>1.5429999999999999</v>
      </c>
      <c r="G154" s="68">
        <f>'Fiscal Forecasts'!G165</f>
        <v>1.3859999999999999</v>
      </c>
      <c r="H154" s="68">
        <f>'Fiscal Forecasts'!H165</f>
        <v>1.631</v>
      </c>
      <c r="I154" s="68">
        <f>'Fiscal Forecasts'!I165</f>
        <v>1.798</v>
      </c>
      <c r="J154" s="69">
        <f>'Fiscal Forecasts'!J165</f>
        <v>2.21</v>
      </c>
      <c r="K154" s="69">
        <f>'Fiscal Forecasts'!K165</f>
        <v>2.3940000000000001</v>
      </c>
      <c r="L154" s="69">
        <f>'Fiscal Forecasts'!L165</f>
        <v>2.3420000000000001</v>
      </c>
      <c r="M154" s="69">
        <f>'Fiscal Forecasts'!M165</f>
        <v>2.427</v>
      </c>
      <c r="N154" s="69">
        <f>'Fiscal Forecasts'!N165</f>
        <v>2.4420000000000002</v>
      </c>
      <c r="O154" s="47">
        <f t="shared" ref="O154:X154" ca="1" si="114">N$154*(1+O$19)*(1+O$29)</f>
        <v>2.5216963759031681</v>
      </c>
      <c r="P154" s="47">
        <f t="shared" ca="1" si="114"/>
        <v>2.6021466866498741</v>
      </c>
      <c r="Q154" s="47">
        <f t="shared" ca="1" si="114"/>
        <v>2.6835641560501355</v>
      </c>
      <c r="R154" s="47">
        <f t="shared" ca="1" si="114"/>
        <v>2.7652182793445026</v>
      </c>
      <c r="S154" s="47">
        <f t="shared" ca="1" si="114"/>
        <v>2.8475424574191939</v>
      </c>
      <c r="T154" s="47">
        <f t="shared" ca="1" si="114"/>
        <v>2.9303437558652385</v>
      </c>
      <c r="U154" s="47">
        <f t="shared" ca="1" si="114"/>
        <v>3.014704699186717</v>
      </c>
      <c r="V154" s="47">
        <f t="shared" ca="1" si="114"/>
        <v>3.1002035766575884</v>
      </c>
      <c r="W154" s="47">
        <f t="shared" ca="1" si="114"/>
        <v>3.1856226715618248</v>
      </c>
      <c r="X154" s="47">
        <f t="shared" ca="1" si="114"/>
        <v>3.2718633049831651</v>
      </c>
    </row>
    <row r="155" spans="1:24" x14ac:dyDescent="0.25">
      <c r="A155" s="9" t="s">
        <v>910</v>
      </c>
      <c r="B155" s="10" t="str">
        <f>$B$38</f>
        <v>From Fiscal Forecasts</v>
      </c>
      <c r="C155" s="13"/>
      <c r="D155" s="68">
        <f>'Fiscal Forecasts'!D11</f>
        <v>19.795999999999999</v>
      </c>
      <c r="E155" s="68">
        <f>'Fiscal Forecasts'!E11</f>
        <v>18.437000000000001</v>
      </c>
      <c r="F155" s="68">
        <f>'Fiscal Forecasts'!F11</f>
        <v>18.5</v>
      </c>
      <c r="G155" s="68">
        <f>'Fiscal Forecasts'!G11</f>
        <v>17.442</v>
      </c>
      <c r="H155" s="68">
        <f>'Fiscal Forecasts'!H11</f>
        <v>21.954000000000001</v>
      </c>
      <c r="I155" s="68">
        <f>'Fiscal Forecasts'!I11</f>
        <v>25.135000000000002</v>
      </c>
      <c r="J155" s="69">
        <f>'Fiscal Forecasts'!J11</f>
        <v>26.361999999999998</v>
      </c>
      <c r="K155" s="69">
        <f>'Fiscal Forecasts'!K11</f>
        <v>27.553999999999998</v>
      </c>
      <c r="L155" s="69">
        <f>'Fiscal Forecasts'!L11</f>
        <v>28.504000000000001</v>
      </c>
      <c r="M155" s="69">
        <f>'Fiscal Forecasts'!M11</f>
        <v>29.87</v>
      </c>
      <c r="N155" s="69">
        <f>'Fiscal Forecasts'!N11</f>
        <v>30.238</v>
      </c>
      <c r="O155" s="47">
        <f t="shared" ref="O155:X155" ca="1" si="115">O$154+(N$155-N$154)*(1+O$14)</f>
        <v>31.517025502224552</v>
      </c>
      <c r="P155" s="47">
        <f t="shared" ca="1" si="115"/>
        <v>32.834131196395788</v>
      </c>
      <c r="Q155" s="47">
        <f t="shared" ca="1" si="115"/>
        <v>34.154889165926434</v>
      </c>
      <c r="R155" s="47">
        <f t="shared" ca="1" si="115"/>
        <v>35.475773927409826</v>
      </c>
      <c r="S155" s="47">
        <f t="shared" ca="1" si="115"/>
        <v>36.824653359169588</v>
      </c>
      <c r="T155" s="47">
        <f t="shared" ca="1" si="115"/>
        <v>38.199401650237419</v>
      </c>
      <c r="U155" s="47">
        <f t="shared" ca="1" si="115"/>
        <v>39.59293518274719</v>
      </c>
      <c r="V155" s="47">
        <f t="shared" ca="1" si="115"/>
        <v>41.007289806661774</v>
      </c>
      <c r="W155" s="47">
        <f t="shared" ca="1" si="115"/>
        <v>42.441198296769436</v>
      </c>
      <c r="X155" s="47">
        <f t="shared" ca="1" si="115"/>
        <v>43.90572355563144</v>
      </c>
    </row>
    <row r="156" spans="1:24" x14ac:dyDescent="0.25">
      <c r="A156" s="9"/>
      <c r="B156" s="9"/>
      <c r="C156" s="13"/>
      <c r="D156" s="68"/>
      <c r="E156" s="68"/>
      <c r="F156" s="68"/>
      <c r="G156" s="68"/>
      <c r="H156" s="68"/>
      <c r="I156" s="68"/>
      <c r="J156" s="69"/>
      <c r="K156" s="69"/>
      <c r="L156" s="69"/>
      <c r="M156" s="69"/>
      <c r="N156" s="69"/>
      <c r="O156" s="70"/>
      <c r="P156" s="70"/>
      <c r="Q156" s="70"/>
      <c r="R156" s="70"/>
      <c r="S156" s="70"/>
      <c r="T156" s="70"/>
      <c r="U156" s="70"/>
      <c r="V156" s="70"/>
      <c r="W156" s="70"/>
      <c r="X156" s="70"/>
    </row>
    <row r="157" spans="1:24" x14ac:dyDescent="0.25">
      <c r="A157" s="9" t="s">
        <v>531</v>
      </c>
      <c r="B157" s="9"/>
      <c r="C157" s="13"/>
      <c r="D157" s="68"/>
      <c r="E157" s="68"/>
      <c r="F157" s="68"/>
      <c r="G157" s="68"/>
      <c r="H157" s="68"/>
      <c r="I157" s="68"/>
      <c r="J157" s="69"/>
      <c r="K157" s="69"/>
      <c r="L157" s="69"/>
      <c r="M157" s="69"/>
      <c r="N157" s="69"/>
      <c r="O157" s="70"/>
      <c r="P157" s="70"/>
      <c r="Q157" s="70"/>
      <c r="R157" s="70"/>
      <c r="S157" s="70"/>
      <c r="T157" s="70"/>
      <c r="U157" s="70"/>
      <c r="V157" s="70"/>
      <c r="W157" s="70"/>
      <c r="X157" s="70"/>
    </row>
    <row r="158" spans="1:24" x14ac:dyDescent="0.25">
      <c r="A158" s="11" t="s">
        <v>867</v>
      </c>
      <c r="B158" s="9"/>
      <c r="C158" s="13"/>
      <c r="D158" s="35">
        <f ca="1">OFFSET(Assumptions!$B$47,0,$C$1)*D$384</f>
        <v>0.43208000000000002</v>
      </c>
      <c r="E158" s="35">
        <f ca="1">OFFSET(Assumptions!$B$47,0,$C$1)*E$384</f>
        <v>0.35332000000000002</v>
      </c>
      <c r="F158" s="35">
        <f ca="1">OFFSET(Assumptions!$B$47,0,$C$1)*F$384</f>
        <v>0.32647999999999999</v>
      </c>
      <c r="G158" s="35">
        <f ca="1">OFFSET(Assumptions!$B$47,0,$C$1)*G$384</f>
        <v>0.47387999999999997</v>
      </c>
      <c r="H158" s="35">
        <f ca="1">OFFSET(Assumptions!$B$47,0,$C$1)*H$384</f>
        <v>0.58079999999999998</v>
      </c>
      <c r="I158" s="35">
        <f ca="1">OFFSET(Assumptions!$B$47,0,$C$1)*I$384</f>
        <v>0.72996000000000005</v>
      </c>
      <c r="J158" s="17">
        <f ca="1">OFFSET(Assumptions!$B$47,0,$C$1)*J$384</f>
        <v>0.75020000000000009</v>
      </c>
      <c r="K158" s="17">
        <f ca="1">OFFSET(Assumptions!$B$47,0,$C$1)*K$384</f>
        <v>0.78011999999999992</v>
      </c>
      <c r="L158" s="17">
        <f ca="1">OFFSET(Assumptions!$B$47,0,$C$1)*L$384</f>
        <v>0.82235999999999998</v>
      </c>
      <c r="M158" s="17">
        <f ca="1">OFFSET(Assumptions!$B$47,0,$C$1)*M$384</f>
        <v>0.87692000000000003</v>
      </c>
      <c r="N158" s="17">
        <f ca="1">OFFSET(Assumptions!$B$47,0,$C$1)*N$384</f>
        <v>0.93104000000000009</v>
      </c>
      <c r="O158" s="16">
        <f ca="1">OFFSET(Assumptions!$B$47,0,$C$1)*O$384</f>
        <v>0.98719612249771271</v>
      </c>
      <c r="P158" s="16">
        <f ca="1">OFFSET(Assumptions!$B$47,0,$C$1)*P$384</f>
        <v>1.0459652386232476</v>
      </c>
      <c r="Q158" s="16">
        <f ca="1">OFFSET(Assumptions!$B$47,0,$C$1)*Q$384</f>
        <v>1.106944082263164</v>
      </c>
      <c r="R158" s="16">
        <f ca="1">OFFSET(Assumptions!$B$47,0,$C$1)*R$384</f>
        <v>1.1698163808582145</v>
      </c>
      <c r="S158" s="16">
        <f ca="1">OFFSET(Assumptions!$B$47,0,$C$1)*S$384</f>
        <v>1.2342598212523019</v>
      </c>
      <c r="T158" s="16">
        <f ca="1">OFFSET(Assumptions!$B$47,0,$C$1)*T$384</f>
        <v>1.3002348226020972</v>
      </c>
      <c r="U158" s="16">
        <f ca="1">OFFSET(Assumptions!$B$47,0,$C$1)*U$384</f>
        <v>1.3676609893111076</v>
      </c>
      <c r="V158" s="16">
        <f ca="1">OFFSET(Assumptions!$B$47,0,$C$1)*V$384</f>
        <v>1.4364580783544572</v>
      </c>
      <c r="W158" s="16">
        <f ca="1">OFFSET(Assumptions!$B$47,0,$C$1)*W$384</f>
        <v>1.5071179028560633</v>
      </c>
      <c r="X158" s="16">
        <f ca="1">OFFSET(Assumptions!$B$47,0,$C$1)*X$384</f>
        <v>1.580445928207433</v>
      </c>
    </row>
    <row r="159" spans="1:24" x14ac:dyDescent="0.25">
      <c r="A159" s="11" t="s">
        <v>863</v>
      </c>
      <c r="B159" s="9"/>
      <c r="C159" s="13"/>
      <c r="D159" s="35">
        <f t="shared" ref="D159:X159" si="116">D$413</f>
        <v>0.39400000000000002</v>
      </c>
      <c r="E159" s="35">
        <f t="shared" si="116"/>
        <v>0.33100000000000002</v>
      </c>
      <c r="F159" s="35">
        <f t="shared" si="116"/>
        <v>0.23499999999999999</v>
      </c>
      <c r="G159" s="35">
        <f t="shared" si="116"/>
        <v>0.28000000000000003</v>
      </c>
      <c r="H159" s="35">
        <f t="shared" si="116"/>
        <v>0.57699999999999996</v>
      </c>
      <c r="I159" s="35">
        <f t="shared" si="116"/>
        <v>0.63400000000000001</v>
      </c>
      <c r="J159" s="17">
        <f t="shared" si="116"/>
        <v>0.502</v>
      </c>
      <c r="K159" s="17">
        <f t="shared" si="116"/>
        <v>0.41299999999999998</v>
      </c>
      <c r="L159" s="17">
        <f t="shared" si="116"/>
        <v>0.42899999999999999</v>
      </c>
      <c r="M159" s="17">
        <f t="shared" si="116"/>
        <v>0.46100000000000002</v>
      </c>
      <c r="N159" s="17">
        <f t="shared" si="116"/>
        <v>0.48599999999999999</v>
      </c>
      <c r="O159" s="16">
        <f t="shared" si="116"/>
        <v>0.50700000000000001</v>
      </c>
      <c r="P159" s="16">
        <f t="shared" si="116"/>
        <v>0.52800000000000002</v>
      </c>
      <c r="Q159" s="16">
        <f t="shared" si="116"/>
        <v>0.54300000000000004</v>
      </c>
      <c r="R159" s="16">
        <f t="shared" si="116"/>
        <v>0.55300000000000005</v>
      </c>
      <c r="S159" s="16">
        <f t="shared" si="116"/>
        <v>0.55800000000000005</v>
      </c>
      <c r="T159" s="16">
        <f t="shared" si="116"/>
        <v>0.55700000000000005</v>
      </c>
      <c r="U159" s="16">
        <f t="shared" si="116"/>
        <v>0.54800000000000004</v>
      </c>
      <c r="V159" s="16">
        <f t="shared" si="116"/>
        <v>0.53400000000000003</v>
      </c>
      <c r="W159" s="16">
        <f t="shared" si="116"/>
        <v>0.51800000000000002</v>
      </c>
      <c r="X159" s="16">
        <f t="shared" si="116"/>
        <v>0.498</v>
      </c>
    </row>
    <row r="160" spans="1:24" x14ac:dyDescent="0.25">
      <c r="A160" s="11" t="s">
        <v>864</v>
      </c>
      <c r="B160" s="10" t="str">
        <f>$B$38</f>
        <v>From Fiscal Forecasts</v>
      </c>
      <c r="C160" s="13"/>
      <c r="D160" s="35">
        <f ca="1">'Fiscal Forecasts'!D$166-SUM(D$158:D$159)</f>
        <v>0.23392000000000002</v>
      </c>
      <c r="E160" s="35">
        <f ca="1">'Fiscal Forecasts'!E$166-SUM(E$158:E$159)</f>
        <v>0.16567999999999994</v>
      </c>
      <c r="F160" s="35">
        <f ca="1">'Fiscal Forecasts'!F$166-SUM(F$158:F$159)</f>
        <v>0.15451999999999999</v>
      </c>
      <c r="G160" s="35">
        <f ca="1">'Fiscal Forecasts'!G$166-SUM(G$158:G$159)</f>
        <v>0.10411999999999999</v>
      </c>
      <c r="H160" s="35">
        <f ca="1">'Fiscal Forecasts'!H$166-SUM(H$158:H$159)</f>
        <v>1.7042000000000002</v>
      </c>
      <c r="I160" s="35">
        <f ca="1">'Fiscal Forecasts'!I$166-SUM(I$158:I$159)</f>
        <v>3.0770399999999998</v>
      </c>
      <c r="J160" s="17">
        <f ca="1">'Fiscal Forecasts'!J$166-SUM(J$158:J$159)+IF($C$3="Yes",OFFSET(Assumptions!$B$47,0,$C$1)*(J$384-'NZSF Adjuster'!U$14),0)</f>
        <v>2.8267999999999995</v>
      </c>
      <c r="K160" s="17">
        <f ca="1">'Fiscal Forecasts'!K$166-SUM(K$158:K$159)+IF($C$3="Yes",OFFSET(Assumptions!$B$47,0,$C$1)*(K$384-'NZSF Adjuster'!V$14),0)</f>
        <v>2.5228800000000002</v>
      </c>
      <c r="L160" s="17">
        <f ca="1">'Fiscal Forecasts'!L$166-SUM(L$158:L$159)+IF($C$3="Yes",OFFSET(Assumptions!$B$47,0,$C$1)*(L$384-'NZSF Adjuster'!W$14),0)</f>
        <v>2.5806399999999998</v>
      </c>
      <c r="M160" s="17">
        <f ca="1">'Fiscal Forecasts'!M$166-SUM(M$158:M$159)+IF($C$3="Yes",OFFSET(Assumptions!$B$47,0,$C$1)*(M$384-'NZSF Adjuster'!X$14),0)</f>
        <v>2.8080799999999999</v>
      </c>
      <c r="N160" s="17">
        <f ca="1">'Fiscal Forecasts'!N$166-SUM(N$158:N$159)+IF($C$3="Yes",OFFSET(Assumptions!$B$47,0,$C$1)*(N$384-'NZSF Adjuster'!Y$14),0)</f>
        <v>2.9759599999999997</v>
      </c>
      <c r="O160" s="16">
        <f t="shared" ref="O160:X160" ca="1" si="117">N$160*AVERAGE(1+O$29,O$234/N$234)</f>
        <v>3.0109788121259271</v>
      </c>
      <c r="P160" s="16">
        <f t="shared" ca="1" si="117"/>
        <v>3.0463909577499391</v>
      </c>
      <c r="Q160" s="16">
        <f t="shared" ca="1" si="117"/>
        <v>3.0822007575886547</v>
      </c>
      <c r="R160" s="16">
        <f t="shared" ca="1" si="117"/>
        <v>3.1184125790569905</v>
      </c>
      <c r="S160" s="16">
        <f t="shared" ca="1" si="117"/>
        <v>3.1550308367678506</v>
      </c>
      <c r="T160" s="16">
        <f t="shared" ca="1" si="117"/>
        <v>3.1865811451355293</v>
      </c>
      <c r="U160" s="16">
        <f t="shared" ca="1" si="117"/>
        <v>3.2184469565868845</v>
      </c>
      <c r="V160" s="16">
        <f t="shared" ca="1" si="117"/>
        <v>3.2506314261527534</v>
      </c>
      <c r="W160" s="16">
        <f t="shared" ca="1" si="117"/>
        <v>3.283137740414281</v>
      </c>
      <c r="X160" s="16">
        <f t="shared" ca="1" si="117"/>
        <v>3.3159691178184239</v>
      </c>
    </row>
    <row r="161" spans="1:24" x14ac:dyDescent="0.25">
      <c r="A161" s="9" t="s">
        <v>865</v>
      </c>
      <c r="B161" s="9"/>
      <c r="C161" s="13"/>
      <c r="D161" s="65">
        <f t="shared" ref="D161:X161" ca="1" si="118">SUM(D$158:D$160)</f>
        <v>1.06</v>
      </c>
      <c r="E161" s="65">
        <f t="shared" ca="1" si="118"/>
        <v>0.85</v>
      </c>
      <c r="F161" s="65">
        <f t="shared" ca="1" si="118"/>
        <v>0.71599999999999997</v>
      </c>
      <c r="G161" s="65">
        <f t="shared" ca="1" si="118"/>
        <v>0.85799999999999998</v>
      </c>
      <c r="H161" s="65">
        <f t="shared" ca="1" si="118"/>
        <v>2.8620000000000001</v>
      </c>
      <c r="I161" s="65">
        <f t="shared" ca="1" si="118"/>
        <v>4.4409999999999998</v>
      </c>
      <c r="J161" s="66">
        <f t="shared" ca="1" si="118"/>
        <v>4.0789999999999997</v>
      </c>
      <c r="K161" s="66">
        <f t="shared" ca="1" si="118"/>
        <v>3.7160000000000002</v>
      </c>
      <c r="L161" s="66">
        <f t="shared" ca="1" si="118"/>
        <v>3.8319999999999999</v>
      </c>
      <c r="M161" s="66">
        <f t="shared" ca="1" si="118"/>
        <v>4.1459999999999999</v>
      </c>
      <c r="N161" s="66">
        <f t="shared" ca="1" si="118"/>
        <v>4.3929999999999998</v>
      </c>
      <c r="O161" s="67">
        <f t="shared" ca="1" si="118"/>
        <v>4.50517493462364</v>
      </c>
      <c r="P161" s="67">
        <f t="shared" ca="1" si="118"/>
        <v>4.6203561963731872</v>
      </c>
      <c r="Q161" s="67">
        <f t="shared" ca="1" si="118"/>
        <v>4.7321448398518182</v>
      </c>
      <c r="R161" s="67">
        <f t="shared" ca="1" si="118"/>
        <v>4.8412289599152052</v>
      </c>
      <c r="S161" s="67">
        <f t="shared" ca="1" si="118"/>
        <v>4.9472906580201528</v>
      </c>
      <c r="T161" s="67">
        <f t="shared" ca="1" si="118"/>
        <v>5.0438159677376264</v>
      </c>
      <c r="U161" s="67">
        <f t="shared" ca="1" si="118"/>
        <v>5.1341079458979921</v>
      </c>
      <c r="V161" s="67">
        <f t="shared" ca="1" si="118"/>
        <v>5.2210895045072103</v>
      </c>
      <c r="W161" s="67">
        <f t="shared" ca="1" si="118"/>
        <v>5.3082556432703445</v>
      </c>
      <c r="X161" s="67">
        <f t="shared" ca="1" si="118"/>
        <v>5.3944150460258573</v>
      </c>
    </row>
    <row r="162" spans="1:24" x14ac:dyDescent="0.25">
      <c r="A162" s="11" t="s">
        <v>707</v>
      </c>
      <c r="B162" s="10" t="str">
        <f>$B$38</f>
        <v>From Fiscal Forecasts</v>
      </c>
      <c r="C162" s="13"/>
      <c r="D162" s="35">
        <f>'Fiscal Forecasts'!D$233</f>
        <v>1.016</v>
      </c>
      <c r="E162" s="35">
        <f>'Fiscal Forecasts'!E$233</f>
        <v>0.94699999999999995</v>
      </c>
      <c r="F162" s="35">
        <f>'Fiscal Forecasts'!F$233</f>
        <v>0.78500000000000003</v>
      </c>
      <c r="G162" s="35">
        <f>'Fiscal Forecasts'!G$233</f>
        <v>0.82699999999999996</v>
      </c>
      <c r="H162" s="35">
        <f>'Fiscal Forecasts'!H$233</f>
        <v>2.097</v>
      </c>
      <c r="I162" s="35">
        <f>'Fiscal Forecasts'!I$233</f>
        <v>3.56</v>
      </c>
      <c r="J162" s="17">
        <f>'Fiscal Forecasts'!J$233</f>
        <v>4.0650000000000004</v>
      </c>
      <c r="K162" s="17">
        <f>'Fiscal Forecasts'!K$233</f>
        <v>4.1219999999999999</v>
      </c>
      <c r="L162" s="17">
        <f>'Fiscal Forecasts'!L$233</f>
        <v>4.16</v>
      </c>
      <c r="M162" s="17">
        <f>'Fiscal Forecasts'!M$233</f>
        <v>4.2519999999999998</v>
      </c>
      <c r="N162" s="17">
        <f>'Fiscal Forecasts'!N$233</f>
        <v>4.5149999999999997</v>
      </c>
      <c r="O162" s="16">
        <f t="shared" ref="O162:X162" ca="1" si="119">N$162*AVERAGE(1+O$29,O$234/N$234)</f>
        <v>4.5681290530613854</v>
      </c>
      <c r="P162" s="16">
        <f t="shared" ca="1" si="119"/>
        <v>4.6218548549849379</v>
      </c>
      <c r="Q162" s="16">
        <f t="shared" ca="1" si="119"/>
        <v>4.6761839609782312</v>
      </c>
      <c r="R162" s="16">
        <f t="shared" ca="1" si="119"/>
        <v>4.7311229970975122</v>
      </c>
      <c r="S162" s="16">
        <f t="shared" ca="1" si="119"/>
        <v>4.7866786610058085</v>
      </c>
      <c r="T162" s="16">
        <f t="shared" ca="1" si="119"/>
        <v>4.8345454476158665</v>
      </c>
      <c r="U162" s="16">
        <f t="shared" ca="1" si="119"/>
        <v>4.8828909020920248</v>
      </c>
      <c r="V162" s="16">
        <f t="shared" ca="1" si="119"/>
        <v>4.931719811112945</v>
      </c>
      <c r="W162" s="16">
        <f t="shared" ca="1" si="119"/>
        <v>4.9810370092240746</v>
      </c>
      <c r="X162" s="16">
        <f t="shared" ca="1" si="119"/>
        <v>5.0308473793163158</v>
      </c>
    </row>
    <row r="163" spans="1:24" x14ac:dyDescent="0.25">
      <c r="A163" s="11" t="s">
        <v>904</v>
      </c>
      <c r="B163" s="10" t="str">
        <f>$B$38</f>
        <v>From Fiscal Forecasts</v>
      </c>
      <c r="C163" s="13"/>
      <c r="D163" s="35">
        <f>'Fiscal Forecasts'!D$234</f>
        <v>1.014</v>
      </c>
      <c r="E163" s="35">
        <f>'Fiscal Forecasts'!E$234</f>
        <v>0.95299999999999996</v>
      </c>
      <c r="F163" s="35">
        <f>'Fiscal Forecasts'!F$234</f>
        <v>0.79100000000000004</v>
      </c>
      <c r="G163" s="35">
        <f>'Fiscal Forecasts'!G$234</f>
        <v>0.95699999999999996</v>
      </c>
      <c r="H163" s="35">
        <f>'Fiscal Forecasts'!H$234</f>
        <v>0.67500000000000004</v>
      </c>
      <c r="I163" s="35">
        <f>'Fiscal Forecasts'!I$234</f>
        <v>0.22800000000000001</v>
      </c>
      <c r="J163" s="17">
        <f>'Fiscal Forecasts'!J$234</f>
        <v>0.124</v>
      </c>
      <c r="K163" s="17">
        <f>'Fiscal Forecasts'!K$234</f>
        <v>8.4000000000000005E-2</v>
      </c>
      <c r="L163" s="17">
        <f>'Fiscal Forecasts'!L$234</f>
        <v>7.6999999999999999E-2</v>
      </c>
      <c r="M163" s="17">
        <f>'Fiscal Forecasts'!M$234</f>
        <v>8.8999999999999996E-2</v>
      </c>
      <c r="N163" s="17">
        <f>'Fiscal Forecasts'!N$234</f>
        <v>0.1</v>
      </c>
      <c r="O163" s="16">
        <f t="shared" ref="O163:X163" ca="1" si="120">N$163*AVERAGE(1+O$29,O$234/N$234)</f>
        <v>0.10117672321287677</v>
      </c>
      <c r="P163" s="16">
        <f t="shared" ca="1" si="120"/>
        <v>0.1023666634548159</v>
      </c>
      <c r="Q163" s="16">
        <f t="shared" ca="1" si="120"/>
        <v>0.10356996591313912</v>
      </c>
      <c r="R163" s="16">
        <f t="shared" ca="1" si="120"/>
        <v>0.10478677734435243</v>
      </c>
      <c r="S163" s="16">
        <f t="shared" ca="1" si="120"/>
        <v>0.10601724609093707</v>
      </c>
      <c r="T163" s="16">
        <f t="shared" ca="1" si="120"/>
        <v>0.10707741855184645</v>
      </c>
      <c r="U163" s="16">
        <f t="shared" ca="1" si="120"/>
        <v>0.10814819273736492</v>
      </c>
      <c r="V163" s="16">
        <f t="shared" ca="1" si="120"/>
        <v>0.10922967466473857</v>
      </c>
      <c r="W163" s="16">
        <f t="shared" ca="1" si="120"/>
        <v>0.11032197141138596</v>
      </c>
      <c r="X163" s="16">
        <f t="shared" ca="1" si="120"/>
        <v>0.11142519112549981</v>
      </c>
    </row>
    <row r="164" spans="1:24" x14ac:dyDescent="0.25">
      <c r="A164" s="11" t="s">
        <v>866</v>
      </c>
      <c r="B164" s="10" t="str">
        <f>$B$38</f>
        <v>From Fiscal Forecasts</v>
      </c>
      <c r="C164" s="13"/>
      <c r="D164" s="35">
        <f>'Fiscal Forecasts'!D$235</f>
        <v>-0.44400000000000001</v>
      </c>
      <c r="E164" s="35">
        <f>'Fiscal Forecasts'!E$235</f>
        <v>-0.45</v>
      </c>
      <c r="F164" s="35">
        <f>'Fiscal Forecasts'!F$235</f>
        <v>-0.34899999999999998</v>
      </c>
      <c r="G164" s="35">
        <f>'Fiscal Forecasts'!G$235</f>
        <v>-0.35</v>
      </c>
      <c r="H164" s="35">
        <f>'Fiscal Forecasts'!H$235</f>
        <v>-0.622</v>
      </c>
      <c r="I164" s="35">
        <f>'Fiscal Forecasts'!I$235</f>
        <v>-1.109</v>
      </c>
      <c r="J164" s="17">
        <f>'Fiscal Forecasts'!J$235</f>
        <v>-1.3979999999999999</v>
      </c>
      <c r="K164" s="17">
        <f>'Fiscal Forecasts'!K$235</f>
        <v>-1.514</v>
      </c>
      <c r="L164" s="17">
        <f>'Fiscal Forecasts'!L$235</f>
        <v>-1.61</v>
      </c>
      <c r="M164" s="17">
        <f>'Fiscal Forecasts'!M$235</f>
        <v>-1.732</v>
      </c>
      <c r="N164" s="17">
        <f>'Fiscal Forecasts'!N$235</f>
        <v>-1.8520000000000001</v>
      </c>
      <c r="O164" s="16">
        <f t="shared" ref="O164:X164" ca="1" si="121">N$164*O$162/N$162</f>
        <v>-1.8737929139024778</v>
      </c>
      <c r="P164" s="16">
        <f t="shared" ca="1" si="121"/>
        <v>-1.8958306071831907</v>
      </c>
      <c r="Q164" s="16">
        <f t="shared" ca="1" si="121"/>
        <v>-1.9181157687113368</v>
      </c>
      <c r="R164" s="16">
        <f t="shared" ca="1" si="121"/>
        <v>-1.9406511164174074</v>
      </c>
      <c r="S164" s="16">
        <f t="shared" ca="1" si="121"/>
        <v>-1.9634393976041549</v>
      </c>
      <c r="T164" s="16">
        <f t="shared" ca="1" si="121"/>
        <v>-1.9830737915801961</v>
      </c>
      <c r="U164" s="16">
        <f t="shared" ca="1" si="121"/>
        <v>-2.0029045294959982</v>
      </c>
      <c r="V164" s="16">
        <f t="shared" ca="1" si="121"/>
        <v>-2.0229335747909585</v>
      </c>
      <c r="W164" s="16">
        <f t="shared" ca="1" si="121"/>
        <v>-2.043162910538868</v>
      </c>
      <c r="X164" s="16">
        <f t="shared" ca="1" si="121"/>
        <v>-2.063594539644257</v>
      </c>
    </row>
    <row r="165" spans="1:24" x14ac:dyDescent="0.25">
      <c r="A165" s="9" t="s">
        <v>911</v>
      </c>
      <c r="B165" s="9"/>
      <c r="C165" s="13"/>
      <c r="D165" s="65">
        <f t="shared" ref="D165:X165" ca="1" si="122">SUM(D$161:D$164)</f>
        <v>2.6459999999999999</v>
      </c>
      <c r="E165" s="65">
        <f t="shared" ca="1" si="122"/>
        <v>2.2999999999999998</v>
      </c>
      <c r="F165" s="65">
        <f t="shared" ca="1" si="122"/>
        <v>1.9429999999999998</v>
      </c>
      <c r="G165" s="65">
        <f t="shared" ca="1" si="122"/>
        <v>2.2919999999999998</v>
      </c>
      <c r="H165" s="65">
        <f t="shared" ca="1" si="122"/>
        <v>5.0119999999999996</v>
      </c>
      <c r="I165" s="65">
        <f t="shared" ca="1" si="122"/>
        <v>7.1199999999999992</v>
      </c>
      <c r="J165" s="66">
        <f t="shared" ca="1" si="122"/>
        <v>6.870000000000001</v>
      </c>
      <c r="K165" s="66">
        <f t="shared" ca="1" si="122"/>
        <v>6.4079999999999995</v>
      </c>
      <c r="L165" s="66">
        <f t="shared" ca="1" si="122"/>
        <v>6.4590000000000005</v>
      </c>
      <c r="M165" s="66">
        <f t="shared" ca="1" si="122"/>
        <v>6.7549999999999999</v>
      </c>
      <c r="N165" s="66">
        <f t="shared" ca="1" si="122"/>
        <v>7.1559999999999988</v>
      </c>
      <c r="O165" s="67">
        <f t="shared" ca="1" si="122"/>
        <v>7.3006877969954251</v>
      </c>
      <c r="P165" s="67">
        <f t="shared" ca="1" si="122"/>
        <v>7.4487471076297513</v>
      </c>
      <c r="Q165" s="67">
        <f t="shared" ca="1" si="122"/>
        <v>7.5937829980318519</v>
      </c>
      <c r="R165" s="67">
        <f t="shared" ca="1" si="122"/>
        <v>7.7364876179396633</v>
      </c>
      <c r="S165" s="67">
        <f t="shared" ca="1" si="122"/>
        <v>7.8765471675127436</v>
      </c>
      <c r="T165" s="67">
        <f t="shared" ca="1" si="122"/>
        <v>8.0023650423251418</v>
      </c>
      <c r="U165" s="67">
        <f t="shared" ca="1" si="122"/>
        <v>8.1222425112313843</v>
      </c>
      <c r="V165" s="67">
        <f t="shared" ca="1" si="122"/>
        <v>8.2391054154939365</v>
      </c>
      <c r="W165" s="67">
        <f t="shared" ca="1" si="122"/>
        <v>8.3564517133669369</v>
      </c>
      <c r="X165" s="67">
        <f t="shared" ca="1" si="122"/>
        <v>8.4730930768234156</v>
      </c>
    </row>
    <row r="166" spans="1:24" x14ac:dyDescent="0.25">
      <c r="A166" s="9"/>
      <c r="B166" s="9"/>
      <c r="C166" s="13"/>
      <c r="D166" s="40"/>
      <c r="E166" s="40"/>
      <c r="F166" s="40"/>
      <c r="G166" s="40"/>
      <c r="H166" s="40"/>
      <c r="I166" s="40"/>
    </row>
    <row r="167" spans="1:24" x14ac:dyDescent="0.25">
      <c r="A167" s="9" t="s">
        <v>902</v>
      </c>
      <c r="B167" s="9"/>
      <c r="C167" s="13"/>
      <c r="D167" s="40"/>
      <c r="E167" s="40"/>
      <c r="F167" s="40"/>
      <c r="G167" s="40"/>
      <c r="H167" s="40"/>
      <c r="I167" s="40"/>
    </row>
    <row r="168" spans="1:24" x14ac:dyDescent="0.25">
      <c r="A168" s="11" t="s">
        <v>899</v>
      </c>
      <c r="B168" s="9"/>
      <c r="C168" s="13"/>
      <c r="D168" s="35">
        <f ca="1">OFFSET(Assumptions!$B$48,0,$C$1)*D$384</f>
        <v>0.54010000000000002</v>
      </c>
      <c r="E168" s="35">
        <f ca="1">OFFSET(Assumptions!$B$48,0,$C$1)*E$384</f>
        <v>0.44165000000000004</v>
      </c>
      <c r="F168" s="35">
        <f ca="1">OFFSET(Assumptions!$B$48,0,$C$1)*F$384</f>
        <v>0.40810000000000002</v>
      </c>
      <c r="G168" s="35">
        <f ca="1">OFFSET(Assumptions!$B$48,0,$C$1)*G$384</f>
        <v>0.59235000000000004</v>
      </c>
      <c r="H168" s="35">
        <f ca="1">OFFSET(Assumptions!$B$48,0,$C$1)*H$384</f>
        <v>0.72600000000000009</v>
      </c>
      <c r="I168" s="35">
        <f ca="1">OFFSET(Assumptions!$B$48,0,$C$1)*I$384</f>
        <v>0.91245000000000009</v>
      </c>
      <c r="J168" s="17">
        <f ca="1">OFFSET(Assumptions!$B$48,0,$C$1)*J$384</f>
        <v>0.93775000000000008</v>
      </c>
      <c r="K168" s="17">
        <f ca="1">OFFSET(Assumptions!$B$48,0,$C$1)*K$384</f>
        <v>0.97515000000000007</v>
      </c>
      <c r="L168" s="17">
        <f ca="1">OFFSET(Assumptions!$B$48,0,$C$1)*L$384</f>
        <v>1.0279500000000001</v>
      </c>
      <c r="M168" s="17">
        <f ca="1">OFFSET(Assumptions!$B$48,0,$C$1)*M$384</f>
        <v>1.0961500000000002</v>
      </c>
      <c r="N168" s="17">
        <f ca="1">OFFSET(Assumptions!$B$48,0,$C$1)*N$384</f>
        <v>1.1638000000000002</v>
      </c>
      <c r="O168" s="16">
        <f ca="1">OFFSET(Assumptions!$B$48,0,$C$1)*O$384</f>
        <v>1.2339951531221409</v>
      </c>
      <c r="P168" s="16">
        <f ca="1">OFFSET(Assumptions!$B$48,0,$C$1)*P$384</f>
        <v>1.3074565482790597</v>
      </c>
      <c r="Q168" s="16">
        <f ca="1">OFFSET(Assumptions!$B$48,0,$C$1)*Q$384</f>
        <v>1.3836801028289551</v>
      </c>
      <c r="R168" s="16">
        <f ca="1">OFFSET(Assumptions!$B$48,0,$C$1)*R$384</f>
        <v>1.4622704760727681</v>
      </c>
      <c r="S168" s="16">
        <f ca="1">OFFSET(Assumptions!$B$48,0,$C$1)*S$384</f>
        <v>1.5428247765653775</v>
      </c>
      <c r="T168" s="16">
        <f ca="1">OFFSET(Assumptions!$B$48,0,$C$1)*T$384</f>
        <v>1.6252935282526217</v>
      </c>
      <c r="U168" s="16">
        <f ca="1">OFFSET(Assumptions!$B$48,0,$C$1)*U$384</f>
        <v>1.7095762366388845</v>
      </c>
      <c r="V168" s="16">
        <f ca="1">OFFSET(Assumptions!$B$48,0,$C$1)*V$384</f>
        <v>1.7955725979430714</v>
      </c>
      <c r="W168" s="16">
        <f ca="1">OFFSET(Assumptions!$B$48,0,$C$1)*W$384</f>
        <v>1.8838973785700792</v>
      </c>
      <c r="X168" s="16">
        <f ca="1">OFFSET(Assumptions!$B$48,0,$C$1)*X$384</f>
        <v>1.9755574102592912</v>
      </c>
    </row>
    <row r="169" spans="1:24" x14ac:dyDescent="0.25">
      <c r="A169" s="11" t="s">
        <v>900</v>
      </c>
      <c r="B169" s="10" t="str">
        <f>$B$38</f>
        <v>From Fiscal Forecasts</v>
      </c>
      <c r="C169" s="13"/>
      <c r="D169" s="35">
        <f ca="1">'Fiscal Forecasts'!D$238-D$168</f>
        <v>0.92290000000000005</v>
      </c>
      <c r="E169" s="35">
        <f ca="1">'Fiscal Forecasts'!E$238-E$168</f>
        <v>0.89434999999999998</v>
      </c>
      <c r="F169" s="35">
        <f ca="1">'Fiscal Forecasts'!F$238-F$168</f>
        <v>0.68590000000000007</v>
      </c>
      <c r="G169" s="35">
        <f ca="1">'Fiscal Forecasts'!G$238-G$168</f>
        <v>0.79864999999999997</v>
      </c>
      <c r="H169" s="35">
        <f ca="1">'Fiscal Forecasts'!H$238-H$168</f>
        <v>1.3620000000000001</v>
      </c>
      <c r="I169" s="35">
        <f ca="1">'Fiscal Forecasts'!I$238-I$168</f>
        <v>0.79554999999999987</v>
      </c>
      <c r="J169" s="17">
        <f ca="1">'Fiscal Forecasts'!J$238-J$168+IF($C$3="Yes",OFFSET(Assumptions!$B$48,0,$C$1)*(J$384-'NZSF Adjuster'!U$14),0)</f>
        <v>0.59024999999999994</v>
      </c>
      <c r="K169" s="17">
        <f ca="1">'Fiscal Forecasts'!K$238-K$168+IF($C$3="Yes",OFFSET(Assumptions!$B$48,0,$C$1)*(K$384-'NZSF Adjuster'!V$14),0)</f>
        <v>0.60784999999999989</v>
      </c>
      <c r="L169" s="17">
        <f ca="1">'Fiscal Forecasts'!L$238-L$168+IF($C$3="Yes",OFFSET(Assumptions!$B$48,0,$C$1)*(L$384-'NZSF Adjuster'!W$14),0)</f>
        <v>0.61004999999999976</v>
      </c>
      <c r="M169" s="17">
        <f ca="1">'Fiscal Forecasts'!M$238-M$168+IF($C$3="Yes",OFFSET(Assumptions!$B$48,0,$C$1)*(M$384-'NZSF Adjuster'!X$14),0)</f>
        <v>0.64484999999999992</v>
      </c>
      <c r="N169" s="17">
        <f ca="1">'Fiscal Forecasts'!N$238-N$168+IF($C$3="Yes",OFFSET(Assumptions!$B$48,0,$C$1)*(N$384-'NZSF Adjuster'!Y$14),0)</f>
        <v>0.72419999999999973</v>
      </c>
      <c r="O169" s="16">
        <f t="shared" ref="O169:X169" ca="1" si="123">N$169*(1+O$19)*(1+O$29)</f>
        <v>0.74783477290297851</v>
      </c>
      <c r="P169" s="16">
        <f t="shared" ca="1" si="123"/>
        <v>0.77169313287135066</v>
      </c>
      <c r="Q169" s="16">
        <f t="shared" ca="1" si="123"/>
        <v>0.79583831360012602</v>
      </c>
      <c r="R169" s="16">
        <f t="shared" ca="1" si="123"/>
        <v>0.82005367645425398</v>
      </c>
      <c r="S169" s="16">
        <f t="shared" ca="1" si="123"/>
        <v>0.84446775088574089</v>
      </c>
      <c r="T169" s="16">
        <f t="shared" ca="1" si="123"/>
        <v>0.86902332022833928</v>
      </c>
      <c r="U169" s="16">
        <f t="shared" ca="1" si="123"/>
        <v>0.89404141816176042</v>
      </c>
      <c r="V169" s="16">
        <f t="shared" ca="1" si="123"/>
        <v>0.91939698207019815</v>
      </c>
      <c r="W169" s="16">
        <f t="shared" ca="1" si="123"/>
        <v>0.94472888564499247</v>
      </c>
      <c r="X169" s="16">
        <f t="shared" ca="1" si="123"/>
        <v>0.970304424843901</v>
      </c>
    </row>
    <row r="170" spans="1:24" x14ac:dyDescent="0.25">
      <c r="A170" s="9" t="s">
        <v>901</v>
      </c>
      <c r="B170" s="10"/>
      <c r="C170" s="13"/>
      <c r="D170" s="65">
        <f t="shared" ref="D170:X170" ca="1" si="124">SUM(D$168:D$169)</f>
        <v>1.4630000000000001</v>
      </c>
      <c r="E170" s="65">
        <f t="shared" ca="1" si="124"/>
        <v>1.3360000000000001</v>
      </c>
      <c r="F170" s="65">
        <f t="shared" ca="1" si="124"/>
        <v>1.0940000000000001</v>
      </c>
      <c r="G170" s="65">
        <f t="shared" ca="1" si="124"/>
        <v>1.391</v>
      </c>
      <c r="H170" s="65">
        <f t="shared" ca="1" si="124"/>
        <v>2.0880000000000001</v>
      </c>
      <c r="I170" s="65">
        <f t="shared" ca="1" si="124"/>
        <v>1.708</v>
      </c>
      <c r="J170" s="66">
        <f t="shared" ca="1" si="124"/>
        <v>1.528</v>
      </c>
      <c r="K170" s="66">
        <f t="shared" ca="1" si="124"/>
        <v>1.583</v>
      </c>
      <c r="L170" s="66">
        <f t="shared" ca="1" si="124"/>
        <v>1.6379999999999999</v>
      </c>
      <c r="M170" s="66">
        <f t="shared" ca="1" si="124"/>
        <v>1.7410000000000001</v>
      </c>
      <c r="N170" s="66">
        <f t="shared" ca="1" si="124"/>
        <v>1.8879999999999999</v>
      </c>
      <c r="O170" s="67">
        <f t="shared" ca="1" si="124"/>
        <v>1.9818299260251195</v>
      </c>
      <c r="P170" s="67">
        <f t="shared" ca="1" si="124"/>
        <v>2.0791496811504104</v>
      </c>
      <c r="Q170" s="67">
        <f t="shared" ca="1" si="124"/>
        <v>2.1795184164290813</v>
      </c>
      <c r="R170" s="67">
        <f t="shared" ca="1" si="124"/>
        <v>2.2823241525270221</v>
      </c>
      <c r="S170" s="67">
        <f t="shared" ca="1" si="124"/>
        <v>2.3872925274511183</v>
      </c>
      <c r="T170" s="67">
        <f t="shared" ca="1" si="124"/>
        <v>2.494316848480961</v>
      </c>
      <c r="U170" s="67">
        <f t="shared" ca="1" si="124"/>
        <v>2.6036176548006447</v>
      </c>
      <c r="V170" s="67">
        <f t="shared" ca="1" si="124"/>
        <v>2.7149695800132694</v>
      </c>
      <c r="W170" s="67">
        <f t="shared" ca="1" si="124"/>
        <v>2.8286262642150719</v>
      </c>
      <c r="X170" s="67">
        <f t="shared" ca="1" si="124"/>
        <v>2.9458618351031922</v>
      </c>
    </row>
    <row r="171" spans="1:24" x14ac:dyDescent="0.25">
      <c r="A171" s="11" t="s">
        <v>707</v>
      </c>
      <c r="B171" s="9"/>
      <c r="C171" s="13"/>
      <c r="D171" s="35">
        <f>'Fiscal Forecasts'!D$239</f>
        <v>0.42399999999999999</v>
      </c>
      <c r="E171" s="35">
        <f>'Fiscal Forecasts'!E$239</f>
        <v>0.39500000000000002</v>
      </c>
      <c r="F171" s="35">
        <f>'Fiscal Forecasts'!F$239</f>
        <v>0.44700000000000001</v>
      </c>
      <c r="G171" s="35">
        <f>'Fiscal Forecasts'!G$239</f>
        <v>0.52200000000000002</v>
      </c>
      <c r="H171" s="35">
        <f>'Fiscal Forecasts'!H$239</f>
        <v>0.60499999999999998</v>
      </c>
      <c r="I171" s="35">
        <f>'Fiscal Forecasts'!I$239</f>
        <v>0.63</v>
      </c>
      <c r="J171" s="17">
        <f>'Fiscal Forecasts'!J$239</f>
        <v>0.67100000000000004</v>
      </c>
      <c r="K171" s="17">
        <f>'Fiscal Forecasts'!K$239</f>
        <v>0.50600000000000001</v>
      </c>
      <c r="L171" s="17">
        <f>'Fiscal Forecasts'!L$239</f>
        <v>0.50700000000000001</v>
      </c>
      <c r="M171" s="17">
        <f>'Fiscal Forecasts'!M$239</f>
        <v>0.51200000000000001</v>
      </c>
      <c r="N171" s="17">
        <f>'Fiscal Forecasts'!N$239</f>
        <v>0.52200000000000002</v>
      </c>
      <c r="O171" s="16">
        <f>N$171*Exogenous!Z$29/Exogenous!Y$29</f>
        <v>0.55993653052481185</v>
      </c>
      <c r="P171" s="16">
        <f>O$171*Exogenous!AA$29/Exogenous!Z$29</f>
        <v>0.59921687753195196</v>
      </c>
      <c r="Q171" s="16">
        <f>P$171*Exogenous!AB$29/Exogenous!AA$29</f>
        <v>0.6405431792135341</v>
      </c>
      <c r="R171" s="16">
        <f>Q$171*Exogenous!AC$29/Exogenous!AB$29</f>
        <v>0.68088904174981446</v>
      </c>
      <c r="S171" s="16">
        <f>R$171*Exogenous!AD$29/Exogenous!AC$29</f>
        <v>0.71901058242729976</v>
      </c>
      <c r="T171" s="16">
        <f>S$171*Exogenous!AE$29/Exogenous!AD$29</f>
        <v>0.76070892538747026</v>
      </c>
      <c r="U171" s="16">
        <f>T$171*Exogenous!AF$29/Exogenous!AE$29</f>
        <v>0.81012945848256734</v>
      </c>
      <c r="V171" s="16">
        <f>U$171*Exogenous!AG$29/Exogenous!AF$29</f>
        <v>0.86678899566931389</v>
      </c>
      <c r="W171" s="16">
        <f>V$171*Exogenous!AH$29/Exogenous!AG$29</f>
        <v>0.92792583455579747</v>
      </c>
      <c r="X171" s="16">
        <f>W$171*Exogenous!AI$29/Exogenous!AH$29</f>
        <v>0.99167656096189905</v>
      </c>
    </row>
    <row r="172" spans="1:24" x14ac:dyDescent="0.25">
      <c r="A172" s="11" t="s">
        <v>903</v>
      </c>
      <c r="B172" s="9"/>
      <c r="C172" s="13"/>
      <c r="D172" s="35">
        <f>'Fiscal Forecasts'!D$240</f>
        <v>-0.81699999999999995</v>
      </c>
      <c r="E172" s="35">
        <f>'Fiscal Forecasts'!E$240</f>
        <v>-0.82499999999999996</v>
      </c>
      <c r="F172" s="35">
        <f>'Fiscal Forecasts'!F$240</f>
        <v>-0.63800000000000001</v>
      </c>
      <c r="G172" s="35">
        <f>'Fiscal Forecasts'!G$240</f>
        <v>-0.66500000000000004</v>
      </c>
      <c r="H172" s="35">
        <f>'Fiscal Forecasts'!H$240</f>
        <v>-1.35</v>
      </c>
      <c r="I172" s="35">
        <f>'Fiscal Forecasts'!I$240</f>
        <v>-0.90800000000000003</v>
      </c>
      <c r="J172" s="17">
        <f>'Fiscal Forecasts'!J$240</f>
        <v>-0.69599999999999995</v>
      </c>
      <c r="K172" s="17">
        <f>'Fiscal Forecasts'!K$240</f>
        <v>-0.73499999999999999</v>
      </c>
      <c r="L172" s="17">
        <f>'Fiscal Forecasts'!L$240</f>
        <v>-0.75900000000000001</v>
      </c>
      <c r="M172" s="17">
        <f>'Fiscal Forecasts'!M$240</f>
        <v>-0.80900000000000005</v>
      </c>
      <c r="N172" s="17">
        <f>'Fiscal Forecasts'!N$240</f>
        <v>-0.91200000000000003</v>
      </c>
      <c r="O172" s="16">
        <f t="shared" ref="O172:X172" si="125">N$172*O$171/N$171</f>
        <v>-0.9782799153996713</v>
      </c>
      <c r="P172" s="16">
        <f t="shared" si="125"/>
        <v>-1.0469076481018011</v>
      </c>
      <c r="Q172" s="16">
        <f t="shared" si="125"/>
        <v>-1.1191099223041057</v>
      </c>
      <c r="R172" s="16">
        <f t="shared" si="125"/>
        <v>-1.1895992453559978</v>
      </c>
      <c r="S172" s="16">
        <f t="shared" si="125"/>
        <v>-1.256202396884478</v>
      </c>
      <c r="T172" s="16">
        <f t="shared" si="125"/>
        <v>-1.3290546742401783</v>
      </c>
      <c r="U172" s="16">
        <f t="shared" si="125"/>
        <v>-1.4153985941304628</v>
      </c>
      <c r="V172" s="16">
        <f t="shared" si="125"/>
        <v>-1.5143899694452383</v>
      </c>
      <c r="W172" s="16">
        <f t="shared" si="125"/>
        <v>-1.6212037569250717</v>
      </c>
      <c r="X172" s="16">
        <f t="shared" si="125"/>
        <v>-1.7325843363932032</v>
      </c>
    </row>
    <row r="173" spans="1:24" x14ac:dyDescent="0.25">
      <c r="A173" s="9" t="s">
        <v>912</v>
      </c>
      <c r="B173" s="9"/>
      <c r="C173" s="13"/>
      <c r="D173" s="65">
        <f t="shared" ref="D173:X173" ca="1" si="126">SUM(D$170:D$172)</f>
        <v>1.07</v>
      </c>
      <c r="E173" s="65">
        <f t="shared" ca="1" si="126"/>
        <v>0.90600000000000014</v>
      </c>
      <c r="F173" s="65">
        <f t="shared" ca="1" si="126"/>
        <v>0.90300000000000014</v>
      </c>
      <c r="G173" s="65">
        <f t="shared" ca="1" si="126"/>
        <v>1.248</v>
      </c>
      <c r="H173" s="65">
        <f t="shared" ca="1" si="126"/>
        <v>1.343</v>
      </c>
      <c r="I173" s="65">
        <f t="shared" ca="1" si="126"/>
        <v>1.4300000000000002</v>
      </c>
      <c r="J173" s="66">
        <f t="shared" ca="1" si="126"/>
        <v>1.5029999999999999</v>
      </c>
      <c r="K173" s="66">
        <f t="shared" ca="1" si="126"/>
        <v>1.3540000000000001</v>
      </c>
      <c r="L173" s="66">
        <f t="shared" ca="1" si="126"/>
        <v>1.3860000000000001</v>
      </c>
      <c r="M173" s="66">
        <f t="shared" ca="1" si="126"/>
        <v>1.444</v>
      </c>
      <c r="N173" s="66">
        <f t="shared" ca="1" si="126"/>
        <v>1.4980000000000002</v>
      </c>
      <c r="O173" s="67">
        <f t="shared" ca="1" si="126"/>
        <v>1.5634865411502599</v>
      </c>
      <c r="P173" s="67">
        <f t="shared" ca="1" si="126"/>
        <v>1.631458910580561</v>
      </c>
      <c r="Q173" s="67">
        <f t="shared" ca="1" si="126"/>
        <v>1.7009516733385095</v>
      </c>
      <c r="R173" s="67">
        <f t="shared" ca="1" si="126"/>
        <v>1.7736139489208387</v>
      </c>
      <c r="S173" s="67">
        <f t="shared" ca="1" si="126"/>
        <v>1.85010071299394</v>
      </c>
      <c r="T173" s="67">
        <f t="shared" ca="1" si="126"/>
        <v>1.9259710996282531</v>
      </c>
      <c r="U173" s="67">
        <f t="shared" ca="1" si="126"/>
        <v>1.9983485191527492</v>
      </c>
      <c r="V173" s="67">
        <f t="shared" ca="1" si="126"/>
        <v>2.0673686062373449</v>
      </c>
      <c r="W173" s="67">
        <f t="shared" ca="1" si="126"/>
        <v>2.1353483418457975</v>
      </c>
      <c r="X173" s="67">
        <f t="shared" ca="1" si="126"/>
        <v>2.2049540596718882</v>
      </c>
    </row>
    <row r="174" spans="1:24" x14ac:dyDescent="0.25">
      <c r="B174" s="9"/>
      <c r="C174" s="13"/>
      <c r="D174" s="40"/>
      <c r="E174" s="40"/>
      <c r="F174" s="40"/>
      <c r="G174" s="40"/>
      <c r="H174" s="40"/>
      <c r="I174" s="40"/>
    </row>
    <row r="175" spans="1:24" x14ac:dyDescent="0.25">
      <c r="A175" s="9" t="s">
        <v>532</v>
      </c>
      <c r="B175" s="9"/>
      <c r="C175" s="13"/>
      <c r="D175" s="40"/>
      <c r="E175" s="40"/>
      <c r="F175" s="40"/>
      <c r="G175" s="40"/>
      <c r="H175" s="40"/>
      <c r="I175" s="40"/>
    </row>
    <row r="176" spans="1:24" x14ac:dyDescent="0.25">
      <c r="A176" s="11" t="s">
        <v>905</v>
      </c>
      <c r="B176" s="9"/>
      <c r="C176" s="13"/>
      <c r="D176" s="35">
        <f t="shared" ref="D176:X176" ca="1" si="127">D$384-SUM(D$158,D$168)</f>
        <v>9.8199999999999399E-3</v>
      </c>
      <c r="E176" s="35">
        <f t="shared" ca="1" si="127"/>
        <v>8.0299999999999816E-3</v>
      </c>
      <c r="F176" s="35">
        <f t="shared" ca="1" si="127"/>
        <v>7.4199999999999822E-3</v>
      </c>
      <c r="G176" s="35">
        <f t="shared" ca="1" si="127"/>
        <v>1.0769999999999946E-2</v>
      </c>
      <c r="H176" s="35">
        <f t="shared" ca="1" si="127"/>
        <v>1.3200000000000101E-2</v>
      </c>
      <c r="I176" s="35">
        <f t="shared" ca="1" si="127"/>
        <v>1.6589999999999883E-2</v>
      </c>
      <c r="J176" s="17">
        <f t="shared" ca="1" si="127"/>
        <v>1.7049999999999788E-2</v>
      </c>
      <c r="K176" s="17">
        <f t="shared" ca="1" si="127"/>
        <v>1.7730000000000024E-2</v>
      </c>
      <c r="L176" s="17">
        <f t="shared" ca="1" si="127"/>
        <v>1.8689999999999873E-2</v>
      </c>
      <c r="M176" s="17">
        <f t="shared" ca="1" si="127"/>
        <v>1.9929999999999781E-2</v>
      </c>
      <c r="N176" s="17">
        <f t="shared" ca="1" si="127"/>
        <v>2.1159999999999624E-2</v>
      </c>
      <c r="O176" s="16">
        <f t="shared" ca="1" si="127"/>
        <v>2.2436275511311443E-2</v>
      </c>
      <c r="P176" s="16">
        <f t="shared" ca="1" si="127"/>
        <v>2.3771937241437335E-2</v>
      </c>
      <c r="Q176" s="16">
        <f t="shared" ca="1" si="127"/>
        <v>2.5157820051435742E-2</v>
      </c>
      <c r="R176" s="16">
        <f t="shared" ca="1" si="127"/>
        <v>2.6586735928595839E-2</v>
      </c>
      <c r="S176" s="16">
        <f t="shared" ca="1" si="127"/>
        <v>2.8051359573916024E-2</v>
      </c>
      <c r="T176" s="16">
        <f t="shared" ca="1" si="127"/>
        <v>2.9550791422774836E-2</v>
      </c>
      <c r="U176" s="16">
        <f t="shared" ca="1" si="127"/>
        <v>3.1083204302524869E-2</v>
      </c>
      <c r="V176" s="16">
        <f t="shared" ca="1" si="127"/>
        <v>3.2646774508055643E-2</v>
      </c>
      <c r="W176" s="16">
        <f t="shared" ca="1" si="127"/>
        <v>3.4252679610365266E-2</v>
      </c>
      <c r="X176" s="16">
        <f t="shared" ca="1" si="127"/>
        <v>3.5919225641077634E-2</v>
      </c>
    </row>
    <row r="177" spans="1:24" x14ac:dyDescent="0.25">
      <c r="A177" s="11" t="s">
        <v>906</v>
      </c>
      <c r="B177" s="10" t="str">
        <f>$B$38</f>
        <v>From Fiscal Forecasts</v>
      </c>
      <c r="C177" s="13"/>
      <c r="D177" s="35">
        <f ca="1">'Fiscal Forecasts'!D$167-SUM(D$170,D$176)</f>
        <v>0.9131800000000001</v>
      </c>
      <c r="E177" s="35">
        <f ca="1">'Fiscal Forecasts'!E$167-SUM(E$170,E$176)</f>
        <v>0.95396999999999998</v>
      </c>
      <c r="F177" s="35">
        <f ca="1">'Fiscal Forecasts'!F$167-SUM(F$170,F$176)</f>
        <v>0.87958000000000003</v>
      </c>
      <c r="G177" s="35">
        <f ca="1">'Fiscal Forecasts'!G$167-SUM(G$170,G$176)</f>
        <v>1.0842300000000002</v>
      </c>
      <c r="H177" s="35">
        <f ca="1">'Fiscal Forecasts'!H$167-SUM(H$170,H$176)</f>
        <v>1.1537999999999995</v>
      </c>
      <c r="I177" s="35">
        <f ca="1">'Fiscal Forecasts'!I$167-SUM(I$170,I$176)</f>
        <v>1.1014100000000002</v>
      </c>
      <c r="J177" s="17">
        <f ca="1">'Fiscal Forecasts'!J$167-SUM(J$170,J$176)+IF($C$3="Yes",(1-OFFSET(Assumptions!$B$47,0,$C$1))*(J$384-'NZSF Adjuster'!U$14),0)</f>
        <v>1.15395</v>
      </c>
      <c r="K177" s="17">
        <f ca="1">'Fiscal Forecasts'!K$167-SUM(K$170,K$176)+IF($C$3="Yes",(1-OFFSET(Assumptions!$B$47,0,$C$1))*(K$384-'NZSF Adjuster'!V$14),0)</f>
        <v>2.5542700000000003</v>
      </c>
      <c r="L177" s="17">
        <f ca="1">'Fiscal Forecasts'!L$167-SUM(L$170,L$176)+IF($C$3="Yes",(1-OFFSET(Assumptions!$B$47,0,$C$1))*(L$384-'NZSF Adjuster'!W$14),0)</f>
        <v>1.1493100000000003</v>
      </c>
      <c r="M177" s="17">
        <f ca="1">'Fiscal Forecasts'!M$167-SUM(M$170,M$176)+IF($C$3="Yes",(1-OFFSET(Assumptions!$B$47,0,$C$1))*(M$384-'NZSF Adjuster'!X$14),0)</f>
        <v>1.1260700000000001</v>
      </c>
      <c r="N177" s="17">
        <f ca="1">'Fiscal Forecasts'!N$167-SUM(N$170,N$176)+IF($C$3="Yes",(1-OFFSET(Assumptions!$B$47,0,$C$1))*(N$384-'NZSF Adjuster'!Y$14),0)</f>
        <v>1.1098400000000006</v>
      </c>
      <c r="O177" s="16">
        <f t="shared" ref="O177:X177" ca="1" si="128">N$177*(1+O$19)*(1+O$29)</f>
        <v>1.1460604036987607</v>
      </c>
      <c r="P177" s="16">
        <f t="shared" ca="1" si="128"/>
        <v>1.1826234556558142</v>
      </c>
      <c r="Q177" s="16">
        <f t="shared" ca="1" si="128"/>
        <v>1.2196260618143671</v>
      </c>
      <c r="R177" s="16">
        <f t="shared" ca="1" si="128"/>
        <v>1.2567362224192073</v>
      </c>
      <c r="S177" s="16">
        <f t="shared" ca="1" si="128"/>
        <v>1.2941509094767074</v>
      </c>
      <c r="T177" s="16">
        <f t="shared" ca="1" si="128"/>
        <v>1.3317824381693193</v>
      </c>
      <c r="U177" s="16">
        <f t="shared" ca="1" si="128"/>
        <v>1.3701227941627303</v>
      </c>
      <c r="V177" s="16">
        <f t="shared" ca="1" si="128"/>
        <v>1.4089803183937999</v>
      </c>
      <c r="W177" s="16">
        <f t="shared" ca="1" si="128"/>
        <v>1.4478015830492124</v>
      </c>
      <c r="X177" s="16">
        <f t="shared" ca="1" si="128"/>
        <v>1.4869962204760512</v>
      </c>
    </row>
    <row r="178" spans="1:24" x14ac:dyDescent="0.25">
      <c r="A178" s="9" t="s">
        <v>907</v>
      </c>
      <c r="B178" s="9"/>
      <c r="C178" s="13"/>
      <c r="D178" s="65">
        <f t="shared" ref="D178:X178" ca="1" si="129">SUM(D$176:D$177)</f>
        <v>0.92300000000000004</v>
      </c>
      <c r="E178" s="65">
        <f t="shared" ca="1" si="129"/>
        <v>0.96199999999999997</v>
      </c>
      <c r="F178" s="65">
        <f t="shared" ca="1" si="129"/>
        <v>0.88700000000000001</v>
      </c>
      <c r="G178" s="65">
        <f t="shared" ca="1" si="129"/>
        <v>1.0950000000000002</v>
      </c>
      <c r="H178" s="65">
        <f t="shared" ca="1" si="129"/>
        <v>1.1669999999999996</v>
      </c>
      <c r="I178" s="65">
        <f t="shared" ca="1" si="129"/>
        <v>1.1180000000000001</v>
      </c>
      <c r="J178" s="66">
        <f t="shared" ca="1" si="129"/>
        <v>1.1709999999999998</v>
      </c>
      <c r="K178" s="66">
        <f t="shared" ca="1" si="129"/>
        <v>2.5720000000000001</v>
      </c>
      <c r="L178" s="66">
        <f t="shared" ca="1" si="129"/>
        <v>1.1680000000000001</v>
      </c>
      <c r="M178" s="66">
        <f t="shared" ca="1" si="129"/>
        <v>1.1459999999999999</v>
      </c>
      <c r="N178" s="66">
        <f t="shared" ca="1" si="129"/>
        <v>1.1310000000000002</v>
      </c>
      <c r="O178" s="67">
        <f t="shared" ca="1" si="129"/>
        <v>1.1684966792100722</v>
      </c>
      <c r="P178" s="67">
        <f t="shared" ca="1" si="129"/>
        <v>1.2063953928972515</v>
      </c>
      <c r="Q178" s="67">
        <f t="shared" ca="1" si="129"/>
        <v>1.2447838818658028</v>
      </c>
      <c r="R178" s="67">
        <f t="shared" ca="1" si="129"/>
        <v>1.2833229583478032</v>
      </c>
      <c r="S178" s="67">
        <f t="shared" ca="1" si="129"/>
        <v>1.3222022690506234</v>
      </c>
      <c r="T178" s="67">
        <f t="shared" ca="1" si="129"/>
        <v>1.3613332295920941</v>
      </c>
      <c r="U178" s="67">
        <f t="shared" ca="1" si="129"/>
        <v>1.4012059984652552</v>
      </c>
      <c r="V178" s="67">
        <f t="shared" ca="1" si="129"/>
        <v>1.4416270929018555</v>
      </c>
      <c r="W178" s="67">
        <f t="shared" ca="1" si="129"/>
        <v>1.4820542626595776</v>
      </c>
      <c r="X178" s="67">
        <f t="shared" ca="1" si="129"/>
        <v>1.5229154461171288</v>
      </c>
    </row>
    <row r="179" spans="1:24" x14ac:dyDescent="0.25">
      <c r="A179" s="9" t="s">
        <v>913</v>
      </c>
      <c r="B179" s="10" t="str">
        <f>$B$38</f>
        <v>From Fiscal Forecasts</v>
      </c>
      <c r="C179" s="13"/>
      <c r="D179" s="68">
        <f ca="1">'Fiscal Forecasts'!D$13-D$173</f>
        <v>3.8789999999999996</v>
      </c>
      <c r="E179" s="68">
        <f ca="1">'Fiscal Forecasts'!E$13-E$173</f>
        <v>3.57</v>
      </c>
      <c r="F179" s="68">
        <f ca="1">'Fiscal Forecasts'!F$13-F$173</f>
        <v>3.589</v>
      </c>
      <c r="G179" s="68">
        <f ca="1">'Fiscal Forecasts'!G$13-G$173</f>
        <v>3.8780000000000001</v>
      </c>
      <c r="H179" s="68">
        <f ca="1">'Fiscal Forecasts'!H$13-H$173</f>
        <v>4.5830000000000002</v>
      </c>
      <c r="I179" s="68">
        <f ca="1">'Fiscal Forecasts'!I$13-I$173</f>
        <v>4.3360000000000003</v>
      </c>
      <c r="J179" s="69">
        <f ca="1">'Fiscal Forecasts'!J$13-J$173+IF($C$3="Yes",(1-OFFSET(Assumptions!$B$47,0,$C$1))*(J$384-'NZSF Adjuster'!U$14),0)</f>
        <v>4.3</v>
      </c>
      <c r="K179" s="69">
        <f ca="1">'Fiscal Forecasts'!K$13-K$173+IF($C$3="Yes",(1-OFFSET(Assumptions!$B$47,0,$C$1))*(K$384-'NZSF Adjuster'!V$14),0)</f>
        <v>5.3319999999999999</v>
      </c>
      <c r="L179" s="69">
        <f ca="1">'Fiscal Forecasts'!L$13-L$173+IF($C$3="Yes",(1-OFFSET(Assumptions!$B$47,0,$C$1))*(L$384-'NZSF Adjuster'!W$14),0)</f>
        <v>4.0069999999999997</v>
      </c>
      <c r="M179" s="69">
        <f ca="1">'Fiscal Forecasts'!M$13-M$173+IF($C$3="Yes",(1-OFFSET(Assumptions!$B$47,0,$C$1))*(M$384-'NZSF Adjuster'!X$14),0)</f>
        <v>4.0670000000000002</v>
      </c>
      <c r="N179" s="69">
        <f ca="1">'Fiscal Forecasts'!N$13-N$173+IF($C$3="Yes",(1-OFFSET(Assumptions!$B$47,0,$C$1))*(N$384-'NZSF Adjuster'!Y$14),0)</f>
        <v>4.2549999999999999</v>
      </c>
      <c r="O179" s="47">
        <f t="shared" ref="O179:X179" ca="1" si="130">O$178+(N$179-N$178)*(1+O$19)*(1+O$29)</f>
        <v>4.3944506015366471</v>
      </c>
      <c r="P179" s="47">
        <f t="shared" ca="1" si="130"/>
        <v>4.5352677307736666</v>
      </c>
      <c r="Q179" s="47">
        <f t="shared" ca="1" si="130"/>
        <v>4.6778119013173276</v>
      </c>
      <c r="R179" s="47">
        <f t="shared" ca="1" si="130"/>
        <v>4.8208094057975277</v>
      </c>
      <c r="S179" s="47">
        <f t="shared" ca="1" si="130"/>
        <v>4.9650043316949981</v>
      </c>
      <c r="T179" s="47">
        <f t="shared" ca="1" si="130"/>
        <v>5.1100612776359133</v>
      </c>
      <c r="U179" s="47">
        <f t="shared" ca="1" si="130"/>
        <v>5.2578552532806953</v>
      </c>
      <c r="V179" s="47">
        <f t="shared" ca="1" si="130"/>
        <v>5.4076532900674188</v>
      </c>
      <c r="W179" s="47">
        <f t="shared" ca="1" si="130"/>
        <v>5.55735533799092</v>
      </c>
      <c r="X179" s="47">
        <f t="shared" ca="1" si="130"/>
        <v>5.708542376816311</v>
      </c>
    </row>
    <row r="180" spans="1:24" x14ac:dyDescent="0.25">
      <c r="A180" s="9"/>
      <c r="B180" s="9"/>
      <c r="C180" s="13"/>
      <c r="D180" s="40"/>
      <c r="E180" s="40"/>
      <c r="F180" s="40"/>
      <c r="G180" s="40"/>
      <c r="H180" s="40"/>
      <c r="I180" s="40"/>
    </row>
    <row r="181" spans="1:24" x14ac:dyDescent="0.25">
      <c r="A181" s="9" t="s">
        <v>534</v>
      </c>
      <c r="B181" s="9"/>
      <c r="C181" s="13"/>
    </row>
    <row r="182" spans="1:24" x14ac:dyDescent="0.25">
      <c r="A182" s="11" t="s">
        <v>158</v>
      </c>
      <c r="B182" s="10" t="str">
        <f>$B$38</f>
        <v>From Fiscal Forecasts</v>
      </c>
      <c r="C182" s="13"/>
      <c r="D182" s="35">
        <f>'Fiscal Forecasts'!D$243</f>
        <v>14.561999999999999</v>
      </c>
      <c r="E182" s="35">
        <f>'Fiscal Forecasts'!E$243</f>
        <v>15.521000000000001</v>
      </c>
      <c r="F182" s="35">
        <f>'Fiscal Forecasts'!F$243</f>
        <v>16.568999999999999</v>
      </c>
      <c r="G182" s="35">
        <f>'Fiscal Forecasts'!G$243</f>
        <v>17.763999999999999</v>
      </c>
      <c r="H182" s="35">
        <f>'Fiscal Forecasts'!H$243</f>
        <v>19.516999999999999</v>
      </c>
      <c r="I182" s="35">
        <f>'Fiscal Forecasts'!I$243</f>
        <v>21.574000000000002</v>
      </c>
      <c r="J182" s="17">
        <f>'Fiscal Forecasts'!J$243+IF($C$2="Yes",'Fiscal Forecast Adjuster'!C$16/1000,0)</f>
        <v>23.18</v>
      </c>
      <c r="K182" s="17">
        <f>'Fiscal Forecasts'!K$243+IF($C$2="Yes",'Fiscal Forecast Adjuster'!D$16/1000,0)</f>
        <v>24.690999999999999</v>
      </c>
      <c r="L182" s="17">
        <f>'Fiscal Forecasts'!L$243+IF($C$2="Yes",'Fiscal Forecast Adjuster'!E$16/1000,0)</f>
        <v>26.116</v>
      </c>
      <c r="M182" s="17">
        <f>'Fiscal Forecasts'!M$243+IF($C$2="Yes",'Fiscal Forecast Adjuster'!F$16/1000,0)</f>
        <v>27.605</v>
      </c>
      <c r="N182" s="17">
        <f>'Fiscal Forecasts'!N$243+IF($C$2="Yes",'Fiscal Forecast Adjuster'!G$16/1000,0)</f>
        <v>28.957000000000001</v>
      </c>
      <c r="O182" s="16">
        <f ca="1">N$182*(1+'Population Treasury'!Z$305)*O$204/N$204</f>
        <v>30.37041879496639</v>
      </c>
      <c r="P182" s="16">
        <f ca="1">O$182*(1+'Population Treasury'!AA$305)*P$204/O$204</f>
        <v>31.999756351441523</v>
      </c>
      <c r="Q182" s="16">
        <f ca="1">P$182*(1+'Population Treasury'!AB$305)*Q$204/P$204</f>
        <v>33.696220128329777</v>
      </c>
      <c r="R182" s="16">
        <f ca="1">Q$182*(1+'Population Treasury'!AC$305)*R$204/Q$204</f>
        <v>35.480996174658827</v>
      </c>
      <c r="S182" s="16">
        <f ca="1">R$182*(1+'Population Treasury'!AD$305)*S$204/R$204</f>
        <v>37.354790331355304</v>
      </c>
      <c r="T182" s="16">
        <f ca="1">S$182*(1+'Population Treasury'!AE$305)*T$204/S$204</f>
        <v>39.268426072255281</v>
      </c>
      <c r="U182" s="16">
        <f ca="1">T$182*(1+'Population Treasury'!AF$305)*U$204/T$204</f>
        <v>41.282924805544866</v>
      </c>
      <c r="V182" s="16">
        <f ca="1">U$182*(1+'Population Treasury'!AG$305)*V$204/U$204</f>
        <v>43.317411388539483</v>
      </c>
      <c r="W182" s="16">
        <f ca="1">V$182*(1+'Population Treasury'!AH$305)*W$204/V$204</f>
        <v>45.312617527876625</v>
      </c>
      <c r="X182" s="16">
        <f ca="1">W$182*(1+'Population Treasury'!AI$305)*X$204/W$204</f>
        <v>47.272576696491754</v>
      </c>
    </row>
    <row r="183" spans="1:24" x14ac:dyDescent="0.25">
      <c r="A183" s="11" t="s">
        <v>923</v>
      </c>
      <c r="B183" s="10" t="str">
        <f>$B$38</f>
        <v>From Fiscal Forecasts</v>
      </c>
      <c r="C183" s="13"/>
      <c r="D183" s="35">
        <f>'Fiscal Forecasts'!D$244</f>
        <v>1.8540000000000001</v>
      </c>
      <c r="E183" s="35">
        <f>'Fiscal Forecasts'!E$244</f>
        <v>2.2850000000000001</v>
      </c>
      <c r="F183" s="35">
        <f>'Fiscal Forecasts'!F$244</f>
        <v>3.2240000000000002</v>
      </c>
      <c r="G183" s="35">
        <f>'Fiscal Forecasts'!G$244</f>
        <v>3.33</v>
      </c>
      <c r="H183" s="35">
        <f>'Fiscal Forecasts'!H$244</f>
        <v>3.4729999999999999</v>
      </c>
      <c r="I183" s="35">
        <f>'Fiscal Forecasts'!I$244</f>
        <v>4.0620000000000003</v>
      </c>
      <c r="J183" s="17">
        <f>'Fiscal Forecasts'!J$244+IF($C$2="Yes",'Fiscal Forecast Adjuster'!C$17/1000,0)</f>
        <v>4.6440000000000001</v>
      </c>
      <c r="K183" s="17">
        <f>'Fiscal Forecasts'!K$244+IF($C$2="Yes",'Fiscal Forecast Adjuster'!D$17/1000,0)</f>
        <v>4.8390000000000004</v>
      </c>
      <c r="L183" s="17">
        <f>'Fiscal Forecasts'!L$244+IF($C$2="Yes",'Fiscal Forecast Adjuster'!E$17/1000,0)</f>
        <v>4.7149999999999999</v>
      </c>
      <c r="M183" s="17">
        <f>'Fiscal Forecasts'!M$244+IF($C$2="Yes",'Fiscal Forecast Adjuster'!F$17/1000,0)</f>
        <v>4.4969999999999999</v>
      </c>
      <c r="N183" s="17">
        <f>'Fiscal Forecasts'!N$244+IF($C$2="Yes",'Fiscal Forecast Adjuster'!G$17/1000,0)</f>
        <v>4.42</v>
      </c>
      <c r="O183" s="16">
        <f ca="1">N$183*AVERAGE(1+SUMPRODUCT(Exogenous!$B$42:$B$52,'Population Treasury'!Z$242:Z$252)+SUMPRODUCT(Exogenous!$C$42:$C$52,'Population Treasury'!Z$287:Z$297),O$16*O$23/(N$16*N$23))*(1+O$29)</f>
        <v>4.517458326425472</v>
      </c>
      <c r="P183" s="16">
        <f ca="1">O$183*AVERAGE(1+SUMPRODUCT(Exogenous!$B$42:$B$52,'Population Treasury'!AA$242:AA$252)+SUMPRODUCT(Exogenous!$C$42:$C$52,'Population Treasury'!AA$287:AA$297),P$16*P$23/(O$16*O$23))*(1+P$29)</f>
        <v>4.6197764915196027</v>
      </c>
      <c r="Q183" s="16">
        <f ca="1">P$183*AVERAGE(1+SUMPRODUCT(Exogenous!$B$42:$B$52,'Population Treasury'!AB$242:AB$252)+SUMPRODUCT(Exogenous!$C$42:$C$52,'Population Treasury'!AB$287:AB$297),Q$16*Q$23/(P$16*P$23))*(1+Q$29)</f>
        <v>4.7543055181087901</v>
      </c>
      <c r="R183" s="16">
        <f ca="1">Q$183*AVERAGE(1+SUMPRODUCT(Exogenous!$B$42:$B$52,'Population Treasury'!AC$242:AC$252)+SUMPRODUCT(Exogenous!$C$42:$C$52,'Population Treasury'!AC$287:AC$297),R$16*R$23/(Q$16*Q$23))*(1+R$29)</f>
        <v>4.8890717460427382</v>
      </c>
      <c r="S183" s="16">
        <f ca="1">R$183*AVERAGE(1+SUMPRODUCT(Exogenous!$B$42:$B$52,'Population Treasury'!AD$242:AD$252)+SUMPRODUCT(Exogenous!$C$42:$C$52,'Population Treasury'!AD$287:AD$297),S$16*S$23/(R$16*R$23))*(1+S$29)</f>
        <v>5.0229020741017569</v>
      </c>
      <c r="T183" s="16">
        <f ca="1">S$183*AVERAGE(1+SUMPRODUCT(Exogenous!$B$42:$B$52,'Population Treasury'!AE$242:AE$252)+SUMPRODUCT(Exogenous!$C$42:$C$52,'Population Treasury'!AE$287:AE$297),T$16*T$23/(S$16*S$23))*(1+T$29)</f>
        <v>5.1571371934521171</v>
      </c>
      <c r="U183" s="16">
        <f ca="1">T$183*AVERAGE(1+SUMPRODUCT(Exogenous!$B$42:$B$52,'Population Treasury'!AF$242:AF$252)+SUMPRODUCT(Exogenous!$C$42:$C$52,'Population Treasury'!AF$287:AF$297),U$16*U$23/(T$16*T$23))*(1+U$29)</f>
        <v>5.290256742117438</v>
      </c>
      <c r="V183" s="16">
        <f ca="1">U$183*AVERAGE(1+SUMPRODUCT(Exogenous!$B$42:$B$52,'Population Treasury'!AG$242:AG$252)+SUMPRODUCT(Exogenous!$C$42:$C$52,'Population Treasury'!AG$287:AG$297),V$16*V$23/(U$16*U$23))*(1+V$29)</f>
        <v>5.4260694271538501</v>
      </c>
      <c r="W183" s="16">
        <f ca="1">V$183*AVERAGE(1+SUMPRODUCT(Exogenous!$B$42:$B$52,'Population Treasury'!AH$242:AH$252)+SUMPRODUCT(Exogenous!$C$42:$C$52,'Population Treasury'!AH$287:AH$297),W$16*W$23/(V$16*V$23))*(1+W$29)</f>
        <v>5.5647889941677873</v>
      </c>
      <c r="X183" s="16">
        <f ca="1">W$183*AVERAGE(1+SUMPRODUCT(Exogenous!$B$42:$B$52,'Population Treasury'!AI$242:AI$252)+SUMPRODUCT(Exogenous!$C$42:$C$52,'Population Treasury'!AI$287:AI$297),X$16*X$23/(W$16*W$23))*(1+X$29)</f>
        <v>5.7064120365369799</v>
      </c>
    </row>
    <row r="184" spans="1:24" x14ac:dyDescent="0.25">
      <c r="A184" s="11" t="s">
        <v>716</v>
      </c>
      <c r="B184" s="10" t="str">
        <f t="shared" ref="B184:B196" si="131">$B$38</f>
        <v>From Fiscal Forecasts</v>
      </c>
      <c r="C184" s="13"/>
      <c r="D184" s="35">
        <f>'Fiscal Forecasts'!D$245</f>
        <v>1.556</v>
      </c>
      <c r="E184" s="35">
        <f>'Fiscal Forecasts'!E$245</f>
        <v>1.65</v>
      </c>
      <c r="F184" s="35">
        <f>'Fiscal Forecasts'!F$245</f>
        <v>1.8260000000000001</v>
      </c>
      <c r="G184" s="35">
        <f>'Fiscal Forecasts'!G$245</f>
        <v>2.0470000000000002</v>
      </c>
      <c r="H184" s="35">
        <f>'Fiscal Forecasts'!H$245</f>
        <v>2.3109999999999999</v>
      </c>
      <c r="I184" s="35">
        <f>'Fiscal Forecasts'!I$245</f>
        <v>2.5299999999999998</v>
      </c>
      <c r="J184" s="17">
        <f>'Fiscal Forecasts'!J$245+IF($C$2="Yes",'Fiscal Forecast Adjuster'!C$18/1000,0)</f>
        <v>2.669</v>
      </c>
      <c r="K184" s="17">
        <f>'Fiscal Forecasts'!K$245+IF($C$2="Yes",'Fiscal Forecast Adjuster'!D$18/1000,0)</f>
        <v>2.782</v>
      </c>
      <c r="L184" s="17">
        <f>'Fiscal Forecasts'!L$245+IF($C$2="Yes",'Fiscal Forecast Adjuster'!E$18/1000,0)</f>
        <v>2.8809999999999998</v>
      </c>
      <c r="M184" s="17">
        <f>'Fiscal Forecasts'!M$245+IF($C$2="Yes",'Fiscal Forecast Adjuster'!F$18/1000,0)</f>
        <v>2.9750000000000001</v>
      </c>
      <c r="N184" s="17">
        <f>'Fiscal Forecasts'!N$245+IF($C$2="Yes",'Fiscal Forecast Adjuster'!G$18/1000,0)</f>
        <v>3.0230000000000001</v>
      </c>
      <c r="O184" s="16">
        <f ca="1">N$184*(1+SUMPRODUCT(Exogenous!$I$42:$I$52,'Population Treasury'!Z$242:Z$252)+SUMPRODUCT(Exogenous!$J$42:$J$52,'Population Treasury'!Z$287:Z$297))*(1+O$29)</f>
        <v>3.1043958345517408</v>
      </c>
      <c r="P184" s="16">
        <f ca="1">O$184*(1+SUMPRODUCT(Exogenous!$I$42:$I$52,'Population Treasury'!AA$242:AA$252)+SUMPRODUCT(Exogenous!$J$42:$J$52,'Population Treasury'!AA$287:AA$297))*(1+P$29)</f>
        <v>3.1904398795185078</v>
      </c>
      <c r="Q184" s="16">
        <f ca="1">P$184*(1+SUMPRODUCT(Exogenous!$I$42:$I$52,'Population Treasury'!AB$242:AB$252)+SUMPRODUCT(Exogenous!$J$42:$J$52,'Population Treasury'!AB$287:AB$297))*(1+Q$29)</f>
        <v>3.2770124490467345</v>
      </c>
      <c r="R184" s="16">
        <f ca="1">Q$184*(1+SUMPRODUCT(Exogenous!$I$42:$I$52,'Population Treasury'!AC$242:AC$252)+SUMPRODUCT(Exogenous!$J$42:$J$52,'Population Treasury'!AC$287:AC$297))*(1+R$29)</f>
        <v>3.3622673797612532</v>
      </c>
      <c r="S184" s="16">
        <f ca="1">R$184*(1+SUMPRODUCT(Exogenous!$I$42:$I$52,'Population Treasury'!AD$242:AD$252)+SUMPRODUCT(Exogenous!$J$42:$J$52,'Population Treasury'!AD$287:AD$297))*(1+S$29)</f>
        <v>3.4455498357148011</v>
      </c>
      <c r="T184" s="16">
        <f ca="1">S$184*(1+SUMPRODUCT(Exogenous!$I$42:$I$52,'Population Treasury'!AE$242:AE$252)+SUMPRODUCT(Exogenous!$J$42:$J$52,'Population Treasury'!AE$287:AE$297))*(1+T$29)</f>
        <v>3.5308588251900002</v>
      </c>
      <c r="U184" s="16">
        <f ca="1">T$184*(1+SUMPRODUCT(Exogenous!$I$42:$I$52,'Population Treasury'!AF$242:AF$252)+SUMPRODUCT(Exogenous!$J$42:$J$52,'Population Treasury'!AF$287:AF$297))*(1+U$29)</f>
        <v>3.612351609496407</v>
      </c>
      <c r="V184" s="16">
        <f ca="1">U$184*(1+SUMPRODUCT(Exogenous!$I$42:$I$52,'Population Treasury'!AG$242:AG$252)+SUMPRODUCT(Exogenous!$J$42:$J$52,'Population Treasury'!AG$287:AG$297))*(1+V$29)</f>
        <v>3.6984365486116544</v>
      </c>
      <c r="W184" s="16">
        <f ca="1">V$184*(1+SUMPRODUCT(Exogenous!$I$42:$I$52,'Population Treasury'!AH$242:AH$252)+SUMPRODUCT(Exogenous!$J$42:$J$52,'Population Treasury'!AH$287:AH$297))*(1+W$29)</f>
        <v>3.7926119873713398</v>
      </c>
      <c r="X184" s="16">
        <f ca="1">W$184*(1+SUMPRODUCT(Exogenous!$I$42:$I$52,'Population Treasury'!AI$242:AI$252)+SUMPRODUCT(Exogenous!$J$42:$J$52,'Population Treasury'!AI$287:AI$297))*(1+X$29)</f>
        <v>3.8944781235817163</v>
      </c>
    </row>
    <row r="185" spans="1:24" x14ac:dyDescent="0.25">
      <c r="A185" s="11" t="s">
        <v>717</v>
      </c>
      <c r="B185" s="10" t="str">
        <f t="shared" si="131"/>
        <v>From Fiscal Forecasts</v>
      </c>
      <c r="C185" s="13"/>
      <c r="D185" s="35">
        <f>'Fiscal Forecasts'!D$246</f>
        <v>1.115</v>
      </c>
      <c r="E185" s="35">
        <f>'Fiscal Forecasts'!E$246</f>
        <v>1.2310000000000001</v>
      </c>
      <c r="F185" s="35">
        <f>'Fiscal Forecasts'!F$246</f>
        <v>1.4550000000000001</v>
      </c>
      <c r="G185" s="35">
        <f>'Fiscal Forecasts'!G$246</f>
        <v>1.704</v>
      </c>
      <c r="H185" s="35">
        <f>'Fiscal Forecasts'!H$246</f>
        <v>1.917</v>
      </c>
      <c r="I185" s="35">
        <f>'Fiscal Forecasts'!I$246</f>
        <v>2.097</v>
      </c>
      <c r="J185" s="17">
        <f>'Fiscal Forecasts'!J$246+IF($C$2="Yes",'Fiscal Forecast Adjuster'!C$19/1000,0)</f>
        <v>2.2570000000000001</v>
      </c>
      <c r="K185" s="17">
        <f>'Fiscal Forecasts'!K$246+IF($C$2="Yes",'Fiscal Forecast Adjuster'!D$19/1000,0)</f>
        <v>2.331</v>
      </c>
      <c r="L185" s="17">
        <f>'Fiscal Forecasts'!L$246+IF($C$2="Yes",'Fiscal Forecast Adjuster'!E$19/1000,0)</f>
        <v>2.3029999999999999</v>
      </c>
      <c r="M185" s="17">
        <f>'Fiscal Forecasts'!M$246+IF($C$2="Yes",'Fiscal Forecast Adjuster'!F$19/1000,0)</f>
        <v>2.27</v>
      </c>
      <c r="N185" s="17">
        <f>'Fiscal Forecasts'!N$246+IF($C$2="Yes",'Fiscal Forecast Adjuster'!G$19/1000,0)</f>
        <v>2.169</v>
      </c>
      <c r="O185" s="16">
        <f ca="1">N$185*(1+SUMPRODUCT(Exogenous!$P$42:$P$52,'Population Treasury'!Z$242:Z$252)+SUMPRODUCT(Exogenous!$Q$42:$Q$52,'Population Treasury'!Z$287:Z$297))*(1+O$29)</f>
        <v>2.2342412185630129</v>
      </c>
      <c r="P185" s="16">
        <f ca="1">O$185*(1+SUMPRODUCT(Exogenous!$P$42:$P$52,'Population Treasury'!AA$242:AA$252)+SUMPRODUCT(Exogenous!$Q$42:$Q$52,'Population Treasury'!AA$287:AA$297))*(1+P$29)</f>
        <v>2.3001843848237082</v>
      </c>
      <c r="Q185" s="16">
        <f ca="1">P$185*(1+SUMPRODUCT(Exogenous!$P$42:$P$52,'Population Treasury'!AB$242:AB$252)+SUMPRODUCT(Exogenous!$Q$42:$Q$52,'Population Treasury'!AB$287:AB$297))*(1+Q$29)</f>
        <v>2.367548588826268</v>
      </c>
      <c r="R185" s="16">
        <f ca="1">Q$185*(1+SUMPRODUCT(Exogenous!$P$42:$P$52,'Population Treasury'!AC$242:AC$252)+SUMPRODUCT(Exogenous!$Q$42:$Q$52,'Population Treasury'!AC$287:AC$297))*(1+R$29)</f>
        <v>2.4358445983825128</v>
      </c>
      <c r="S185" s="16">
        <f ca="1">R$185*(1+SUMPRODUCT(Exogenous!$P$42:$P$52,'Population Treasury'!AD$242:AD$252)+SUMPRODUCT(Exogenous!$Q$42:$Q$52,'Population Treasury'!AD$287:AD$297))*(1+S$29)</f>
        <v>2.5027452563444292</v>
      </c>
      <c r="T185" s="16">
        <f ca="1">S$185*(1+SUMPRODUCT(Exogenous!$P$42:$P$52,'Population Treasury'!AE$242:AE$252)+SUMPRODUCT(Exogenous!$Q$42:$Q$52,'Population Treasury'!AE$287:AE$297))*(1+T$29)</f>
        <v>2.5691662890347424</v>
      </c>
      <c r="U185" s="16">
        <f ca="1">T$185*(1+SUMPRODUCT(Exogenous!$P$42:$P$52,'Population Treasury'!AF$242:AF$252)+SUMPRODUCT(Exogenous!$Q$42:$Q$52,'Population Treasury'!AF$287:AF$297))*(1+U$29)</f>
        <v>2.6345615238006572</v>
      </c>
      <c r="V185" s="16">
        <f ca="1">U$185*(1+SUMPRODUCT(Exogenous!$P$42:$P$52,'Population Treasury'!AG$242:AG$252)+SUMPRODUCT(Exogenous!$Q$42:$Q$52,'Population Treasury'!AG$287:AG$297))*(1+V$29)</f>
        <v>2.7015501793468539</v>
      </c>
      <c r="W185" s="16">
        <f ca="1">V$185*(1+SUMPRODUCT(Exogenous!$P$42:$P$52,'Population Treasury'!AH$242:AH$252)+SUMPRODUCT(Exogenous!$Q$42:$Q$52,'Population Treasury'!AH$287:AH$297))*(1+W$29)</f>
        <v>2.7669100585309674</v>
      </c>
      <c r="X185" s="16">
        <f ca="1">W$185*(1+SUMPRODUCT(Exogenous!$P$42:$P$52,'Population Treasury'!AI$242:AI$252)+SUMPRODUCT(Exogenous!$Q$42:$Q$52,'Population Treasury'!AI$287:AI$297))*(1+X$29)</f>
        <v>2.8307312888794827</v>
      </c>
    </row>
    <row r="186" spans="1:24" x14ac:dyDescent="0.25">
      <c r="A186" s="11" t="s">
        <v>718</v>
      </c>
      <c r="B186" s="10" t="str">
        <f t="shared" si="131"/>
        <v>From Fiscal Forecasts</v>
      </c>
      <c r="D186" s="35">
        <f>'Fiscal Forecasts'!D$247</f>
        <v>2.766</v>
      </c>
      <c r="E186" s="35">
        <f>'Fiscal Forecasts'!E$247</f>
        <v>2.83</v>
      </c>
      <c r="F186" s="35">
        <f>'Fiscal Forecasts'!F$247</f>
        <v>2.6880000000000002</v>
      </c>
      <c r="G186" s="35">
        <f>'Fiscal Forecasts'!G$247</f>
        <v>2.536</v>
      </c>
      <c r="H186" s="35">
        <f>'Fiscal Forecasts'!H$247</f>
        <v>2.6269999999999998</v>
      </c>
      <c r="I186" s="35">
        <f>'Fiscal Forecasts'!I$247</f>
        <v>2.7450000000000001</v>
      </c>
      <c r="J186" s="17">
        <f>'Fiscal Forecasts'!J$247+IF($C$2="Yes",'Fiscal Forecast Adjuster'!C$20/1000,0)</f>
        <v>2.9990000000000001</v>
      </c>
      <c r="K186" s="17">
        <f>'Fiscal Forecasts'!K$247+IF($C$2="Yes",'Fiscal Forecast Adjuster'!D$20/1000,0)</f>
        <v>2.97</v>
      </c>
      <c r="L186" s="17">
        <f>'Fiscal Forecasts'!L$247+IF($C$2="Yes",'Fiscal Forecast Adjuster'!E$20/1000,0)</f>
        <v>3.05</v>
      </c>
      <c r="M186" s="17">
        <f>'Fiscal Forecasts'!M$247+IF($C$2="Yes",'Fiscal Forecast Adjuster'!F$20/1000,0)</f>
        <v>3.2229999999999999</v>
      </c>
      <c r="N186" s="17">
        <f>'Fiscal Forecasts'!N$247+IF($C$2="Yes",'Fiscal Forecast Adjuster'!G$20/1000,0)</f>
        <v>3.141</v>
      </c>
      <c r="O186" s="16">
        <f ca="1">N$186*(1+O$19)*(1+O$29)</f>
        <v>3.2435087292022318</v>
      </c>
      <c r="P186" s="16">
        <f t="shared" ref="P186:X186" ca="1" si="132">O$186*(1+P$19)*(1+P$29)</f>
        <v>3.3469872001503909</v>
      </c>
      <c r="Q186" s="16">
        <f t="shared" ca="1" si="132"/>
        <v>3.4517096700055183</v>
      </c>
      <c r="R186" s="16">
        <f t="shared" ca="1" si="132"/>
        <v>3.5567365337514669</v>
      </c>
      <c r="S186" s="16">
        <f t="shared" ca="1" si="132"/>
        <v>3.6626252492848841</v>
      </c>
      <c r="T186" s="16">
        <f t="shared" ca="1" si="132"/>
        <v>3.7691276564998821</v>
      </c>
      <c r="U186" s="16">
        <f t="shared" ca="1" si="132"/>
        <v>3.8776361425657146</v>
      </c>
      <c r="V186" s="16">
        <f t="shared" ca="1" si="132"/>
        <v>3.9876082859465529</v>
      </c>
      <c r="W186" s="16">
        <f t="shared" ca="1" si="132"/>
        <v>4.0974778097361542</v>
      </c>
      <c r="X186" s="16">
        <f t="shared" ca="1" si="132"/>
        <v>4.2084040298739227</v>
      </c>
    </row>
    <row r="187" spans="1:24" x14ac:dyDescent="0.25">
      <c r="A187" s="11" t="s">
        <v>719</v>
      </c>
      <c r="B187" s="10" t="str">
        <f t="shared" si="131"/>
        <v>From Fiscal Forecasts</v>
      </c>
      <c r="D187" s="35">
        <f>'Fiscal Forecasts'!D$248</f>
        <v>1.64</v>
      </c>
      <c r="E187" s="35">
        <f>'Fiscal Forecasts'!E$248</f>
        <v>1.923</v>
      </c>
      <c r="F187" s="35">
        <f>'Fiscal Forecasts'!F$248</f>
        <v>2.302</v>
      </c>
      <c r="G187" s="35">
        <f>'Fiscal Forecasts'!G$248</f>
        <v>2.3860000000000001</v>
      </c>
      <c r="H187" s="35">
        <f>'Fiscal Forecasts'!H$248</f>
        <v>2.3490000000000002</v>
      </c>
      <c r="I187" s="35">
        <f>'Fiscal Forecasts'!I$248</f>
        <v>2.411</v>
      </c>
      <c r="J187" s="17">
        <f>'Fiscal Forecasts'!J$248+IF($C$2="Yes",'Fiscal Forecast Adjuster'!C$21/1000,0)</f>
        <v>2.3039999999999998</v>
      </c>
      <c r="K187" s="17">
        <f>'Fiscal Forecasts'!K$248+IF($C$2="Yes",'Fiscal Forecast Adjuster'!D$21/1000,0)</f>
        <v>2.35</v>
      </c>
      <c r="L187" s="17">
        <f>'Fiscal Forecasts'!L$248+IF($C$2="Yes",'Fiscal Forecast Adjuster'!E$21/1000,0)</f>
        <v>2.3180000000000001</v>
      </c>
      <c r="M187" s="17">
        <f>'Fiscal Forecasts'!M$248+IF($C$2="Yes",'Fiscal Forecast Adjuster'!F$21/1000,0)</f>
        <v>2.3109999999999999</v>
      </c>
      <c r="N187" s="17">
        <f>'Fiscal Forecasts'!N$248+IF($C$2="Yes",'Fiscal Forecast Adjuster'!G$21/1000,0)</f>
        <v>2.1859999999999999</v>
      </c>
      <c r="O187" s="16">
        <f ca="1">N$187*(1+O$19)*(1+O$29)</f>
        <v>2.2573416370697479</v>
      </c>
      <c r="P187" s="16">
        <f t="shared" ref="P187:X187" ca="1" si="133">O$187*(1+P$19)*(1+P$29)</f>
        <v>2.3293581724064798</v>
      </c>
      <c r="Q187" s="16">
        <f t="shared" ca="1" si="133"/>
        <v>2.4022404771194084</v>
      </c>
      <c r="R187" s="16">
        <f t="shared" ca="1" si="133"/>
        <v>2.4753346268006067</v>
      </c>
      <c r="S187" s="16">
        <f t="shared" ca="1" si="133"/>
        <v>2.5490285880091546</v>
      </c>
      <c r="T187" s="16">
        <f t="shared" ca="1" si="133"/>
        <v>2.6231496520562692</v>
      </c>
      <c r="U187" s="16">
        <f t="shared" ca="1" si="133"/>
        <v>2.6986668601237347</v>
      </c>
      <c r="V187" s="16">
        <f t="shared" ca="1" si="133"/>
        <v>2.7752027103085521</v>
      </c>
      <c r="W187" s="16">
        <f t="shared" ca="1" si="133"/>
        <v>2.8516671417011241</v>
      </c>
      <c r="X187" s="16">
        <f t="shared" ca="1" si="133"/>
        <v>2.9288669879988514</v>
      </c>
    </row>
    <row r="188" spans="1:24" x14ac:dyDescent="0.25">
      <c r="A188" s="11" t="s">
        <v>720</v>
      </c>
      <c r="B188" s="10" t="str">
        <f t="shared" si="131"/>
        <v>From Fiscal Forecasts</v>
      </c>
      <c r="C188" s="13"/>
      <c r="D188" s="35">
        <f>'Fiscal Forecasts'!D$249</f>
        <v>2.351</v>
      </c>
      <c r="E188" s="35">
        <f>'Fiscal Forecasts'!E$249</f>
        <v>14.971</v>
      </c>
      <c r="F188" s="35">
        <f>'Fiscal Forecasts'!F$249</f>
        <v>5.0529999999999999</v>
      </c>
      <c r="G188" s="35">
        <f>'Fiscal Forecasts'!G$249</f>
        <v>11.973000000000001</v>
      </c>
      <c r="H188" s="35">
        <f>'Fiscal Forecasts'!H$249</f>
        <v>4.1159999999999997</v>
      </c>
      <c r="I188" s="35">
        <f>'Fiscal Forecasts'!I$249</f>
        <v>3.7759999999999998</v>
      </c>
      <c r="J188" s="17">
        <f>'Fiscal Forecasts'!J$249+IF($C$2="Yes",'Fiscal Forecast Adjuster'!C$22/1000,0)</f>
        <v>4.0570000000000004</v>
      </c>
      <c r="K188" s="17">
        <f>'Fiscal Forecasts'!K$249+IF($C$2="Yes",'Fiscal Forecast Adjuster'!D$22/1000,0)</f>
        <v>4.3849999999999998</v>
      </c>
      <c r="L188" s="17">
        <f>'Fiscal Forecasts'!L$249+IF($C$2="Yes",'Fiscal Forecast Adjuster'!E$22/1000,0)</f>
        <v>4.4329999999999998</v>
      </c>
      <c r="M188" s="17">
        <f>'Fiscal Forecasts'!M$249+IF($C$2="Yes",'Fiscal Forecast Adjuster'!F$22/1000,0)</f>
        <v>4.5750000000000002</v>
      </c>
      <c r="N188" s="17">
        <f>'Fiscal Forecasts'!N$249+IF($C$2="Yes",'Fiscal Forecast Adjuster'!G$22/1000,0)</f>
        <v>4.6130000000000004</v>
      </c>
      <c r="O188" s="16">
        <f ca="1">N$188*(1+O$19)*(1+O$29)</f>
        <v>4.7635484774943953</v>
      </c>
      <c r="P188" s="16">
        <f t="shared" ref="P188:X188" ca="1" si="134">O$188*(1+P$19)*(1+P$29)</f>
        <v>4.9155211570499056</v>
      </c>
      <c r="Q188" s="16">
        <f t="shared" ca="1" si="134"/>
        <v>5.0693208238571978</v>
      </c>
      <c r="R188" s="16">
        <f t="shared" ca="1" si="134"/>
        <v>5.2235675358788667</v>
      </c>
      <c r="S188" s="16">
        <f t="shared" ca="1" si="134"/>
        <v>5.379079998392605</v>
      </c>
      <c r="T188" s="16">
        <f t="shared" ca="1" si="134"/>
        <v>5.5354937534014512</v>
      </c>
      <c r="U188" s="16">
        <f t="shared" ca="1" si="134"/>
        <v>5.694853717177855</v>
      </c>
      <c r="V188" s="16">
        <f t="shared" ca="1" si="134"/>
        <v>5.856363267453502</v>
      </c>
      <c r="W188" s="16">
        <f t="shared" ca="1" si="134"/>
        <v>6.0177221064351736</v>
      </c>
      <c r="X188" s="16">
        <f t="shared" ca="1" si="134"/>
        <v>6.1806328525337175</v>
      </c>
    </row>
    <row r="189" spans="1:24" x14ac:dyDescent="0.25">
      <c r="A189" s="9" t="s">
        <v>950</v>
      </c>
      <c r="B189" s="10"/>
      <c r="C189" s="13"/>
      <c r="D189" s="65">
        <f t="shared" ref="D189:O189" si="135">SUM(D$182:D$188)</f>
        <v>25.844000000000001</v>
      </c>
      <c r="E189" s="65">
        <f t="shared" si="135"/>
        <v>40.411000000000001</v>
      </c>
      <c r="F189" s="65">
        <f t="shared" si="135"/>
        <v>33.116999999999997</v>
      </c>
      <c r="G189" s="65">
        <f t="shared" si="135"/>
        <v>41.74</v>
      </c>
      <c r="H189" s="65">
        <f t="shared" si="135"/>
        <v>36.31</v>
      </c>
      <c r="I189" s="65">
        <f t="shared" si="135"/>
        <v>39.195000000000007</v>
      </c>
      <c r="J189" s="66">
        <f t="shared" si="135"/>
        <v>42.110000000000007</v>
      </c>
      <c r="K189" s="66">
        <f t="shared" si="135"/>
        <v>44.347999999999999</v>
      </c>
      <c r="L189" s="66">
        <f t="shared" si="135"/>
        <v>45.815999999999988</v>
      </c>
      <c r="M189" s="66">
        <f t="shared" si="135"/>
        <v>47.45600000000001</v>
      </c>
      <c r="N189" s="66">
        <f t="shared" si="135"/>
        <v>48.509</v>
      </c>
      <c r="O189" s="67">
        <f t="shared" ca="1" si="135"/>
        <v>50.490913018272991</v>
      </c>
      <c r="P189" s="67">
        <f t="shared" ref="P189:X189" ca="1" si="136">SUM(P$182:P$188)</f>
        <v>52.702023636910113</v>
      </c>
      <c r="Q189" s="67">
        <f t="shared" ca="1" si="136"/>
        <v>55.018357655293691</v>
      </c>
      <c r="R189" s="67">
        <f t="shared" ca="1" si="136"/>
        <v>57.423818595276281</v>
      </c>
      <c r="S189" s="67">
        <f t="shared" ca="1" si="136"/>
        <v>59.916721333202943</v>
      </c>
      <c r="T189" s="67">
        <f t="shared" ca="1" si="136"/>
        <v>62.453359441889745</v>
      </c>
      <c r="U189" s="67">
        <f t="shared" ca="1" si="136"/>
        <v>65.091251400826664</v>
      </c>
      <c r="V189" s="67">
        <f t="shared" ca="1" si="136"/>
        <v>67.762641807360438</v>
      </c>
      <c r="W189" s="67">
        <f t="shared" ca="1" si="136"/>
        <v>70.403795625819171</v>
      </c>
      <c r="X189" s="67">
        <f t="shared" ca="1" si="136"/>
        <v>73.022102015896422</v>
      </c>
    </row>
    <row r="190" spans="1:24" x14ac:dyDescent="0.25">
      <c r="A190" s="11" t="s">
        <v>721</v>
      </c>
      <c r="B190" s="10" t="str">
        <f t="shared" si="131"/>
        <v>From Fiscal Forecasts</v>
      </c>
      <c r="C190" s="13"/>
      <c r="D190" s="35">
        <f>'Fiscal Forecasts'!D$250</f>
        <v>0.58299999999999996</v>
      </c>
      <c r="E190" s="35">
        <f>'Fiscal Forecasts'!E$250</f>
        <v>0.56699999999999995</v>
      </c>
      <c r="F190" s="35">
        <f>'Fiscal Forecasts'!F$250</f>
        <v>0.59</v>
      </c>
      <c r="G190" s="35">
        <f>'Fiscal Forecasts'!G$250</f>
        <v>0.55600000000000005</v>
      </c>
      <c r="H190" s="35">
        <f>'Fiscal Forecasts'!H$250</f>
        <v>0.52500000000000002</v>
      </c>
      <c r="I190" s="35">
        <f>'Fiscal Forecasts'!I$250</f>
        <v>0.52600000000000002</v>
      </c>
      <c r="J190" s="17">
        <f>'Fiscal Forecasts'!J$250+IF($C$2="Yes",'Fiscal Forecast Adjuster'!C$23/1000,0)</f>
        <v>0.57799999999999996</v>
      </c>
      <c r="K190" s="17">
        <f>'Fiscal Forecasts'!K$250+IF($C$2="Yes",'Fiscal Forecast Adjuster'!D$23/1000,0)</f>
        <v>0.63500000000000001</v>
      </c>
      <c r="L190" s="17">
        <f>'Fiscal Forecasts'!L$250+IF($C$2="Yes",'Fiscal Forecast Adjuster'!E$23/1000,0)</f>
        <v>0.64</v>
      </c>
      <c r="M190" s="17">
        <f>'Fiscal Forecasts'!M$250+IF($C$2="Yes",'Fiscal Forecast Adjuster'!F$23/1000,0)</f>
        <v>0.63700000000000001</v>
      </c>
      <c r="N190" s="17">
        <f>'Fiscal Forecasts'!N$250+IF($C$2="Yes",'Fiscal Forecast Adjuster'!G$23/1000,0)</f>
        <v>0.628</v>
      </c>
      <c r="O190" s="16">
        <f ca="1">N$190*(1+'Population Treasury'!Z$304)*(1+O$29)</f>
        <v>0.64562485974176986</v>
      </c>
      <c r="P190" s="16">
        <f ca="1">O$190*(1+'Population Treasury'!AA$304)*(1+P$29)</f>
        <v>0.66194568964686296</v>
      </c>
      <c r="Q190" s="16">
        <f ca="1">P$190*(1+'Population Treasury'!AB$304)*(1+Q$29)</f>
        <v>0.67712377808722313</v>
      </c>
      <c r="R190" s="16">
        <f ca="1">Q$190*(1+'Population Treasury'!AC$304)*(1+R$29)</f>
        <v>0.69245219913184963</v>
      </c>
      <c r="S190" s="16">
        <f ca="1">R$190*(1+'Population Treasury'!AD$304)*(1+S$29)</f>
        <v>0.70825442012990725</v>
      </c>
      <c r="T190" s="16">
        <f ca="1">S$190*(1+'Population Treasury'!AE$304)*(1+T$29)</f>
        <v>0.72507180469317367</v>
      </c>
      <c r="U190" s="16">
        <f ca="1">T$190*(1+'Population Treasury'!AF$304)*(1+U$29)</f>
        <v>0.74154264390725988</v>
      </c>
      <c r="V190" s="16">
        <f ca="1">U$190*(1+'Population Treasury'!AG$304)*(1+V$29)</f>
        <v>0.75822655773090308</v>
      </c>
      <c r="W190" s="16">
        <f ca="1">V$190*(1+'Population Treasury'!AH$304)*(1+W$29)</f>
        <v>0.77527296537521928</v>
      </c>
      <c r="X190" s="16">
        <f ca="1">W$190*(1+'Population Treasury'!AI$304)*(1+X$29)</f>
        <v>0.79306000206523053</v>
      </c>
    </row>
    <row r="191" spans="1:24" x14ac:dyDescent="0.25">
      <c r="A191" s="9" t="s">
        <v>951</v>
      </c>
      <c r="B191" s="10"/>
      <c r="C191" s="13"/>
      <c r="D191" s="65">
        <f t="shared" ref="D191:O191" si="137">SUM(D$189:D$190)</f>
        <v>26.427</v>
      </c>
      <c r="E191" s="65">
        <f t="shared" si="137"/>
        <v>40.978000000000002</v>
      </c>
      <c r="F191" s="65">
        <f t="shared" si="137"/>
        <v>33.707000000000001</v>
      </c>
      <c r="G191" s="65">
        <f t="shared" si="137"/>
        <v>42.295999999999999</v>
      </c>
      <c r="H191" s="65">
        <f t="shared" si="137"/>
        <v>36.835000000000001</v>
      </c>
      <c r="I191" s="65">
        <f t="shared" si="137"/>
        <v>39.721000000000011</v>
      </c>
      <c r="J191" s="66">
        <f t="shared" si="137"/>
        <v>42.688000000000009</v>
      </c>
      <c r="K191" s="66">
        <f t="shared" si="137"/>
        <v>44.982999999999997</v>
      </c>
      <c r="L191" s="66">
        <f t="shared" si="137"/>
        <v>46.455999999999989</v>
      </c>
      <c r="M191" s="66">
        <f t="shared" si="137"/>
        <v>48.093000000000011</v>
      </c>
      <c r="N191" s="66">
        <f t="shared" si="137"/>
        <v>49.137</v>
      </c>
      <c r="O191" s="67">
        <f t="shared" ca="1" si="137"/>
        <v>51.136537878014764</v>
      </c>
      <c r="P191" s="67">
        <f t="shared" ref="P191:X191" ca="1" si="138">SUM(P$189:P$190)</f>
        <v>53.363969326556976</v>
      </c>
      <c r="Q191" s="67">
        <f t="shared" ca="1" si="138"/>
        <v>55.695481433380913</v>
      </c>
      <c r="R191" s="67">
        <f t="shared" ca="1" si="138"/>
        <v>58.11627079440813</v>
      </c>
      <c r="S191" s="67">
        <f t="shared" ca="1" si="138"/>
        <v>60.624975753332848</v>
      </c>
      <c r="T191" s="67">
        <f t="shared" ca="1" si="138"/>
        <v>63.178431246582917</v>
      </c>
      <c r="U191" s="67">
        <f t="shared" ca="1" si="138"/>
        <v>65.83279404473393</v>
      </c>
      <c r="V191" s="67">
        <f t="shared" ca="1" si="138"/>
        <v>68.520868365091346</v>
      </c>
      <c r="W191" s="67">
        <f t="shared" ca="1" si="138"/>
        <v>71.179068591194394</v>
      </c>
      <c r="X191" s="67">
        <f t="shared" ca="1" si="138"/>
        <v>73.815162017961654</v>
      </c>
    </row>
    <row r="192" spans="1:24" x14ac:dyDescent="0.25">
      <c r="A192" s="11" t="s">
        <v>952</v>
      </c>
      <c r="B192" s="10" t="str">
        <f t="shared" si="131"/>
        <v>From Fiscal Forecasts</v>
      </c>
      <c r="C192" s="13"/>
      <c r="D192" s="35">
        <f>'Fiscal Forecasts'!D$251</f>
        <v>0.95099999999999996</v>
      </c>
      <c r="E192" s="35">
        <f>'Fiscal Forecasts'!E$251</f>
        <v>0.89300000000000002</v>
      </c>
      <c r="F192" s="35">
        <f>'Fiscal Forecasts'!F$251</f>
        <v>0.91600000000000004</v>
      </c>
      <c r="G192" s="35">
        <f>'Fiscal Forecasts'!G$251</f>
        <v>0.96399999999999997</v>
      </c>
      <c r="H192" s="35">
        <f>'Fiscal Forecasts'!H$251</f>
        <v>0.997</v>
      </c>
      <c r="I192" s="35">
        <f>'Fiscal Forecasts'!I$251</f>
        <v>1.014</v>
      </c>
      <c r="J192" s="17">
        <f>'Fiscal Forecasts'!J$251+IF($C$2="Yes",'Fiscal Forecast Adjuster'!C$24/1000,0)</f>
        <v>1.06</v>
      </c>
      <c r="K192" s="17">
        <f>'Fiscal Forecasts'!K$251+IF($C$2="Yes",'Fiscal Forecast Adjuster'!D$24/1000,0)</f>
        <v>0.54500000000000004</v>
      </c>
      <c r="L192" s="17">
        <f>'Fiscal Forecasts'!L$251+IF($C$2="Yes",'Fiscal Forecast Adjuster'!E$24/1000,0)</f>
        <v>0.56499999999999995</v>
      </c>
      <c r="M192" s="17">
        <f>'Fiscal Forecasts'!M$251+IF($C$2="Yes",'Fiscal Forecast Adjuster'!F$24/1000,0)</f>
        <v>0.58799999999999997</v>
      </c>
      <c r="N192" s="17">
        <f>'Fiscal Forecasts'!N$251+IF($C$2="Yes",'Fiscal Forecast Adjuster'!G$24/1000,0)</f>
        <v>0.61299999999999999</v>
      </c>
      <c r="O192" s="16">
        <f>IF(ISBLANK(Exogenous!Z$37),N$192*(1+O$14),Exogenous!Z$37)</f>
        <v>0.63900000000000001</v>
      </c>
      <c r="P192" s="16">
        <f>IF(ISBLANK(Exogenous!AA$37),O$192*(1+P$14),Exogenous!AA$37)</f>
        <v>0.67</v>
      </c>
      <c r="Q192" s="16">
        <f>IF(ISBLANK(Exogenous!AB$37),P$192*(1+Q$14),Exogenous!AB$37)</f>
        <v>0.7</v>
      </c>
      <c r="R192" s="16">
        <f ca="1">IF(ISBLANK(Exogenous!AC$37),Q$192*(1+R$14),Exogenous!AC$37)</f>
        <v>0.72756355019879493</v>
      </c>
      <c r="S192" s="16">
        <f ca="1">IF(ISBLANK(Exogenous!AD$37),R$192*(1+S$14),Exogenous!AD$37)</f>
        <v>0.75573486733594508</v>
      </c>
      <c r="T192" s="16">
        <f ca="1">IF(ISBLANK(Exogenous!AE$37),S$192*(1+T$14),Exogenous!AE$37)</f>
        <v>0.78447095946271272</v>
      </c>
      <c r="U192" s="16">
        <f ca="1">IF(ISBLANK(Exogenous!AF$37),T$192*(1+U$14),Exogenous!AF$37)</f>
        <v>0.81359019140303346</v>
      </c>
      <c r="V192" s="16">
        <f ca="1">IF(ISBLANK(Exogenous!AG$37),U$192*(1+V$14),Exogenous!AG$37)</f>
        <v>0.84314722537661679</v>
      </c>
      <c r="W192" s="16">
        <f ca="1">IF(ISBLANK(Exogenous!AH$37),V$192*(1+W$14),Exogenous!AH$37)</f>
        <v>0.87314096019223619</v>
      </c>
      <c r="X192" s="16">
        <f ca="1">IF(ISBLANK(Exogenous!AI$37),W$192*(1+X$14),Exogenous!AI$37)</f>
        <v>0.90379741452028528</v>
      </c>
    </row>
    <row r="193" spans="1:24" x14ac:dyDescent="0.25">
      <c r="A193" s="11" t="s">
        <v>723</v>
      </c>
      <c r="B193" s="10" t="str">
        <f t="shared" si="131"/>
        <v>From Fiscal Forecasts</v>
      </c>
      <c r="C193" s="13"/>
      <c r="D193" s="35">
        <f>'Fiscal Forecasts'!D$252</f>
        <v>0.70799999999999996</v>
      </c>
      <c r="E193" s="35">
        <f>'Fiscal Forecasts'!E$252</f>
        <v>0.73599999999999999</v>
      </c>
      <c r="F193" s="35">
        <f>'Fiscal Forecasts'!F$252</f>
        <v>0.80400000000000005</v>
      </c>
      <c r="G193" s="35">
        <f>'Fiscal Forecasts'!G$252</f>
        <v>0.82699999999999996</v>
      </c>
      <c r="H193" s="35">
        <f>'Fiscal Forecasts'!H$252</f>
        <v>0.97099999999999997</v>
      </c>
      <c r="I193" s="35">
        <f>'Fiscal Forecasts'!I$252</f>
        <v>1.202</v>
      </c>
      <c r="J193" s="17">
        <f>'Fiscal Forecasts'!J$252</f>
        <v>1.1160000000000001</v>
      </c>
      <c r="K193" s="17">
        <f>'Fiscal Forecasts'!K$252</f>
        <v>0.995</v>
      </c>
      <c r="L193" s="17">
        <f>'Fiscal Forecasts'!L$252</f>
        <v>0.94099999999999995</v>
      </c>
      <c r="M193" s="17">
        <f>'Fiscal Forecasts'!M$252</f>
        <v>0.94099999999999995</v>
      </c>
      <c r="N193" s="17">
        <f>'Fiscal Forecasts'!N$252</f>
        <v>0.94099999999999995</v>
      </c>
      <c r="O193" s="16">
        <f t="shared" ref="O193:X193" si="139">N$193</f>
        <v>0.94099999999999995</v>
      </c>
      <c r="P193" s="16">
        <f t="shared" si="139"/>
        <v>0.94099999999999995</v>
      </c>
      <c r="Q193" s="16">
        <f t="shared" si="139"/>
        <v>0.94099999999999995</v>
      </c>
      <c r="R193" s="16">
        <f t="shared" si="139"/>
        <v>0.94099999999999995</v>
      </c>
      <c r="S193" s="16">
        <f t="shared" si="139"/>
        <v>0.94099999999999995</v>
      </c>
      <c r="T193" s="16">
        <f t="shared" si="139"/>
        <v>0.94099999999999995</v>
      </c>
      <c r="U193" s="16">
        <f t="shared" si="139"/>
        <v>0.94099999999999995</v>
      </c>
      <c r="V193" s="16">
        <f t="shared" si="139"/>
        <v>0.94099999999999995</v>
      </c>
      <c r="W193" s="16">
        <f t="shared" si="139"/>
        <v>0.94099999999999995</v>
      </c>
      <c r="X193" s="16">
        <f t="shared" si="139"/>
        <v>0.94099999999999995</v>
      </c>
    </row>
    <row r="194" spans="1:24" x14ac:dyDescent="0.25">
      <c r="A194" s="9" t="s">
        <v>957</v>
      </c>
      <c r="B194" s="10"/>
      <c r="C194" s="13"/>
      <c r="D194" s="65">
        <f t="shared" ref="D194:X194" si="140">SUM(D$191:D$193)</f>
        <v>28.085999999999999</v>
      </c>
      <c r="E194" s="65">
        <f t="shared" si="140"/>
        <v>42.606999999999999</v>
      </c>
      <c r="F194" s="65">
        <f t="shared" si="140"/>
        <v>35.427</v>
      </c>
      <c r="G194" s="65">
        <f t="shared" si="140"/>
        <v>44.086999999999996</v>
      </c>
      <c r="H194" s="65">
        <f t="shared" si="140"/>
        <v>38.802999999999997</v>
      </c>
      <c r="I194" s="65">
        <f t="shared" si="140"/>
        <v>41.937000000000012</v>
      </c>
      <c r="J194" s="66">
        <f t="shared" si="140"/>
        <v>44.864000000000011</v>
      </c>
      <c r="K194" s="66">
        <f t="shared" si="140"/>
        <v>46.522999999999996</v>
      </c>
      <c r="L194" s="66">
        <f t="shared" si="140"/>
        <v>47.961999999999989</v>
      </c>
      <c r="M194" s="66">
        <f t="shared" si="140"/>
        <v>49.622000000000014</v>
      </c>
      <c r="N194" s="66">
        <f t="shared" si="140"/>
        <v>50.691000000000003</v>
      </c>
      <c r="O194" s="67">
        <f t="shared" ca="1" si="140"/>
        <v>52.716537878014769</v>
      </c>
      <c r="P194" s="67">
        <f t="shared" ca="1" si="140"/>
        <v>54.97496932655698</v>
      </c>
      <c r="Q194" s="67">
        <f t="shared" ca="1" si="140"/>
        <v>57.336481433380918</v>
      </c>
      <c r="R194" s="67">
        <f t="shared" ca="1" si="140"/>
        <v>59.784834344606928</v>
      </c>
      <c r="S194" s="67">
        <f t="shared" ca="1" si="140"/>
        <v>62.321710620668796</v>
      </c>
      <c r="T194" s="67">
        <f t="shared" ca="1" si="140"/>
        <v>64.903902206045629</v>
      </c>
      <c r="U194" s="67">
        <f t="shared" ca="1" si="140"/>
        <v>67.58738423613697</v>
      </c>
      <c r="V194" s="67">
        <f t="shared" ca="1" si="140"/>
        <v>70.30501559046796</v>
      </c>
      <c r="W194" s="67">
        <f t="shared" ca="1" si="140"/>
        <v>72.993209551386627</v>
      </c>
      <c r="X194" s="67">
        <f t="shared" ca="1" si="140"/>
        <v>75.659959432481941</v>
      </c>
    </row>
    <row r="195" spans="1:24" x14ac:dyDescent="0.25">
      <c r="A195" s="9" t="s">
        <v>1098</v>
      </c>
      <c r="B195" s="10" t="str">
        <f t="shared" si="131"/>
        <v>From Fiscal Forecasts</v>
      </c>
      <c r="C195" s="13"/>
      <c r="D195" s="42">
        <f>'Fiscal Forecasts'!D$170</f>
        <v>29.015000000000001</v>
      </c>
      <c r="E195" s="42">
        <f>'Fiscal Forecasts'!E$170</f>
        <v>43.616</v>
      </c>
      <c r="F195" s="42">
        <f>'Fiscal Forecasts'!F$170</f>
        <v>36.521000000000001</v>
      </c>
      <c r="G195" s="42">
        <f>'Fiscal Forecasts'!G$170</f>
        <v>45.265999999999998</v>
      </c>
      <c r="H195" s="42">
        <f>'Fiscal Forecasts'!H$170</f>
        <v>40.003</v>
      </c>
      <c r="I195" s="42">
        <f>'Fiscal Forecasts'!I$170</f>
        <v>43.265000000000001</v>
      </c>
      <c r="J195" s="43">
        <f>'Fiscal Forecasts'!J$170+IF($C$2="Yes",SUM('Fiscal Forecast Adjuster'!C$16:C$24)/1000,0)</f>
        <v>46.338000000000001</v>
      </c>
      <c r="K195" s="43">
        <f>'Fiscal Forecasts'!K$170+IF($C$2="Yes",SUM('Fiscal Forecast Adjuster'!D$16:D$24)/1000,0)</f>
        <v>48.189</v>
      </c>
      <c r="L195" s="43">
        <f>'Fiscal Forecasts'!L$170+IF($C$2="Yes",SUM('Fiscal Forecast Adjuster'!E$16:E$24)/1000,0)</f>
        <v>49.661999999999999</v>
      </c>
      <c r="M195" s="43">
        <f>'Fiscal Forecasts'!M$170+IF($C$2="Yes",SUM('Fiscal Forecast Adjuster'!F$16:F$24)/1000,0)</f>
        <v>51.345999999999997</v>
      </c>
      <c r="N195" s="43">
        <f>'Fiscal Forecasts'!N$170+IF($C$2="Yes",SUM('Fiscal Forecast Adjuster'!G$16:G$24)/1000,0)</f>
        <v>52.415999999999997</v>
      </c>
      <c r="O195" s="47">
        <f t="shared" ref="O195:X195" ca="1" si="141">O$194</f>
        <v>52.716537878014769</v>
      </c>
      <c r="P195" s="47">
        <f t="shared" ca="1" si="141"/>
        <v>54.97496932655698</v>
      </c>
      <c r="Q195" s="47">
        <f t="shared" ca="1" si="141"/>
        <v>57.336481433380918</v>
      </c>
      <c r="R195" s="47">
        <f t="shared" ca="1" si="141"/>
        <v>59.784834344606928</v>
      </c>
      <c r="S195" s="47">
        <f t="shared" ca="1" si="141"/>
        <v>62.321710620668796</v>
      </c>
      <c r="T195" s="47">
        <f t="shared" ca="1" si="141"/>
        <v>64.903902206045629</v>
      </c>
      <c r="U195" s="47">
        <f t="shared" ca="1" si="141"/>
        <v>67.58738423613697</v>
      </c>
      <c r="V195" s="47">
        <f t="shared" ca="1" si="141"/>
        <v>70.30501559046796</v>
      </c>
      <c r="W195" s="47">
        <f t="shared" ca="1" si="141"/>
        <v>72.993209551386627</v>
      </c>
      <c r="X195" s="47">
        <f t="shared" ca="1" si="141"/>
        <v>75.659959432481941</v>
      </c>
    </row>
    <row r="196" spans="1:24" x14ac:dyDescent="0.25">
      <c r="A196" s="11" t="s">
        <v>953</v>
      </c>
      <c r="B196" s="10" t="str">
        <f t="shared" si="131"/>
        <v>From Fiscal Forecasts</v>
      </c>
      <c r="C196" s="64" cm="1">
        <f t="array" aca="1" ref="C196" ca="1">SUMPRODUCT(OFFSET($N$196,0,0,1,-OFFSET(Assumptions!$B$59,0,$C$1))/OFFSET($N$13,0,0,1,-OFFSET(Assumptions!$B$59,0,$C$1)))/OFFSET(Assumptions!$B$59,0,$C$1)</f>
        <v>1.1123663750879913E-2</v>
      </c>
      <c r="D196" s="35">
        <f>'Fiscal Forecasts'!D$57-D$189</f>
        <v>2.8959999999999972</v>
      </c>
      <c r="E196" s="35">
        <f>'Fiscal Forecasts'!E$57-E$189</f>
        <v>3.6169999999999973</v>
      </c>
      <c r="F196" s="35">
        <f>'Fiscal Forecasts'!F$57-F$189</f>
        <v>3.642000000000003</v>
      </c>
      <c r="G196" s="35">
        <f>'Fiscal Forecasts'!G$57-G$189</f>
        <v>1.1199999999999974</v>
      </c>
      <c r="H196" s="35">
        <f>'Fiscal Forecasts'!H$57-H$189</f>
        <v>5.2040000000000006</v>
      </c>
      <c r="I196" s="35">
        <f>'Fiscal Forecasts'!I$57-I$189</f>
        <v>5.3939999999999912</v>
      </c>
      <c r="J196" s="17">
        <f ca="1">'Fiscal Forecasts'!J$57-J$189+IF(OFFSET(Assumptions!$B$56,0,$C$1)="Yes",Allocation!C$14,0)+IF($C$2="Yes",SUM('Fiscal Forecast Adjuster'!C$16:C$22)/1000,0)</f>
        <v>5.5619999999999905</v>
      </c>
      <c r="K196" s="17">
        <f ca="1">'Fiscal Forecasts'!K$57-K$189+IF(OFFSET(Assumptions!$B$56,0,$C$1)="Yes",Allocation!D$14,0)+IF($C$2="Yes",SUM('Fiscal Forecast Adjuster'!D$16:D$22)/1000,0)</f>
        <v>5.8130000000000024</v>
      </c>
      <c r="L196" s="17">
        <f ca="1">'Fiscal Forecasts'!L$57-L$189+IF(OFFSET(Assumptions!$B$56,0,$C$1)="Yes",Allocation!E$14,0)+IF($C$2="Yes",SUM('Fiscal Forecast Adjuster'!E$16:E$22)/1000,0)</f>
        <v>5.8570000000000135</v>
      </c>
      <c r="M196" s="17">
        <f ca="1">'Fiscal Forecasts'!M$57-M$189+IF(OFFSET(Assumptions!$B$56,0,$C$1)="Yes",Allocation!F$14,0)+IF($C$2="Yes",SUM('Fiscal Forecast Adjuster'!F$16:F$22)/1000,0)</f>
        <v>5.7789999999999893</v>
      </c>
      <c r="N196" s="17">
        <f ca="1">'Fiscal Forecasts'!N$57-N$189+IF(OFFSET(Assumptions!$B$56,0,$C$1)="Yes",Allocation!G$14,0)+IF($C$2="Yes",SUM('Fiscal Forecast Adjuster'!G$16:G$22)/1000,0)</f>
        <v>5.8089999999999975</v>
      </c>
      <c r="O196" s="16">
        <f ca="1">IF(OFFSET(Assumptions!$B$57,0,$C$1)="Yes",$N$196+Allocation!$B$14*SUM($O$247:O$247),IF(OFFSET(Assumptions!$B$58,0,$C$1)="Yes",(N$196/N$13+MIN(ABS($C$196-N$196/N$13),OFFSET(Assumptions!$B$60,0,$C$1))*SIGN($C$196-N$196/N$13))*O$13,$N$196))</f>
        <v>5.8089999999999975</v>
      </c>
      <c r="P196" s="16">
        <f ca="1">IF(OFFSET(Assumptions!$B$57,0,$C$1)="Yes",$N$196+Allocation!$B$14*SUM($O$247:P$247),IF(OFFSET(Assumptions!$B$58,0,$C$1)="Yes",(O$196/O$13+MIN(ABS($C$196-O$196/O$13),OFFSET(Assumptions!$B$60,0,$C$1))*SIGN($C$196-O$196/O$13))*P$13,$N$196))</f>
        <v>5.8089999999999975</v>
      </c>
      <c r="Q196" s="16">
        <f ca="1">IF(OFFSET(Assumptions!$B$57,0,$C$1)="Yes",$N$196+Allocation!$B$14*SUM($O$247:Q$247),IF(OFFSET(Assumptions!$B$58,0,$C$1)="Yes",(P$196/P$13+MIN(ABS($C$196-P$196/P$13),OFFSET(Assumptions!$B$60,0,$C$1))*SIGN($C$196-P$196/P$13))*Q$13,$N$196))</f>
        <v>5.8089999999999975</v>
      </c>
      <c r="R196" s="16">
        <f ca="1">IF(OFFSET(Assumptions!$B$57,0,$C$1)="Yes",$N$196+Allocation!$B$14*SUM($O$247:R$247),IF(OFFSET(Assumptions!$B$58,0,$C$1)="Yes",(Q$196/Q$13+MIN(ABS($C$196-Q$196/Q$13),OFFSET(Assumptions!$B$60,0,$C$1))*SIGN($C$196-Q$196/Q$13))*R$13,$N$196))</f>
        <v>5.8089999999999975</v>
      </c>
      <c r="S196" s="16">
        <f ca="1">IF(OFFSET(Assumptions!$B$57,0,$C$1)="Yes",$N$196+Allocation!$B$14*SUM($O$247:S$247),IF(OFFSET(Assumptions!$B$58,0,$C$1)="Yes",(R$196/R$13+MIN(ABS($C$196-R$196/R$13),OFFSET(Assumptions!$B$60,0,$C$1))*SIGN($C$196-R$196/R$13))*S$13,$N$196))</f>
        <v>5.8089999999999975</v>
      </c>
      <c r="T196" s="16">
        <f ca="1">IF(OFFSET(Assumptions!$B$57,0,$C$1)="Yes",$N$196+Allocation!$B$14*SUM($O$247:T$247),IF(OFFSET(Assumptions!$B$58,0,$C$1)="Yes",(S$196/S$13+MIN(ABS($C$196-S$196/S$13),OFFSET(Assumptions!$B$60,0,$C$1))*SIGN($C$196-S$196/S$13))*T$13,$N$196))</f>
        <v>5.8089999999999975</v>
      </c>
      <c r="U196" s="16">
        <f ca="1">IF(OFFSET(Assumptions!$B$57,0,$C$1)="Yes",$N$196+Allocation!$B$14*SUM($O$247:U$247),IF(OFFSET(Assumptions!$B$58,0,$C$1)="Yes",(T$196/T$13+MIN(ABS($C$196-T$196/T$13),OFFSET(Assumptions!$B$60,0,$C$1))*SIGN($C$196-T$196/T$13))*U$13,$N$196))</f>
        <v>5.8089999999999975</v>
      </c>
      <c r="V196" s="16">
        <f ca="1">IF(OFFSET(Assumptions!$B$57,0,$C$1)="Yes",$N$196+Allocation!$B$14*SUM($O$247:V$247),IF(OFFSET(Assumptions!$B$58,0,$C$1)="Yes",(U$196/U$13+MIN(ABS($C$196-U$196/U$13),OFFSET(Assumptions!$B$60,0,$C$1))*SIGN($C$196-U$196/U$13))*V$13,$N$196))</f>
        <v>5.8089999999999975</v>
      </c>
      <c r="W196" s="16">
        <f ca="1">IF(OFFSET(Assumptions!$B$57,0,$C$1)="Yes",$N$196+Allocation!$B$14*SUM($O$247:W$247),IF(OFFSET(Assumptions!$B$58,0,$C$1)="Yes",(V$196/V$13+MIN(ABS($C$196-V$196/V$13),OFFSET(Assumptions!$B$60,0,$C$1))*SIGN($C$196-V$196/V$13))*W$13,$N$196))</f>
        <v>5.8089999999999975</v>
      </c>
      <c r="X196" s="16">
        <f ca="1">IF(OFFSET(Assumptions!$B$57,0,$C$1)="Yes",$N$196+Allocation!$B$14*SUM($O$247:X$247),IF(OFFSET(Assumptions!$B$58,0,$C$1)="Yes",(W$196/W$13+MIN(ABS($C$196-W$196/W$13),OFFSET(Assumptions!$B$60,0,$C$1))*SIGN($C$196-W$196/W$13))*X$13,$N$196))</f>
        <v>5.8089999999999975</v>
      </c>
    </row>
    <row r="197" spans="1:24" x14ac:dyDescent="0.25">
      <c r="A197" s="9" t="s">
        <v>954</v>
      </c>
      <c r="B197" s="10"/>
      <c r="C197" s="13"/>
      <c r="D197" s="42">
        <f t="shared" ref="D197:X197" si="142">SUM(D$189,D$196)</f>
        <v>28.74</v>
      </c>
      <c r="E197" s="42">
        <f t="shared" si="142"/>
        <v>44.027999999999999</v>
      </c>
      <c r="F197" s="42">
        <f t="shared" si="142"/>
        <v>36.759</v>
      </c>
      <c r="G197" s="42">
        <f t="shared" si="142"/>
        <v>42.86</v>
      </c>
      <c r="H197" s="42">
        <f t="shared" si="142"/>
        <v>41.514000000000003</v>
      </c>
      <c r="I197" s="42">
        <f t="shared" si="142"/>
        <v>44.588999999999999</v>
      </c>
      <c r="J197" s="43">
        <f t="shared" ca="1" si="142"/>
        <v>47.671999999999997</v>
      </c>
      <c r="K197" s="43">
        <f t="shared" ca="1" si="142"/>
        <v>50.161000000000001</v>
      </c>
      <c r="L197" s="43">
        <f t="shared" ca="1" si="142"/>
        <v>51.673000000000002</v>
      </c>
      <c r="M197" s="43">
        <f t="shared" ca="1" si="142"/>
        <v>53.234999999999999</v>
      </c>
      <c r="N197" s="43">
        <f t="shared" ca="1" si="142"/>
        <v>54.317999999999998</v>
      </c>
      <c r="O197" s="47">
        <f t="shared" ca="1" si="142"/>
        <v>56.299913018272989</v>
      </c>
      <c r="P197" s="47">
        <f t="shared" ca="1" si="142"/>
        <v>58.51102363691011</v>
      </c>
      <c r="Q197" s="47">
        <f t="shared" ca="1" si="142"/>
        <v>60.827357655293689</v>
      </c>
      <c r="R197" s="47">
        <f t="shared" ca="1" si="142"/>
        <v>63.232818595276278</v>
      </c>
      <c r="S197" s="47">
        <f t="shared" ca="1" si="142"/>
        <v>65.725721333202941</v>
      </c>
      <c r="T197" s="47">
        <f t="shared" ca="1" si="142"/>
        <v>68.262359441889743</v>
      </c>
      <c r="U197" s="47">
        <f t="shared" ca="1" si="142"/>
        <v>70.900251400826662</v>
      </c>
      <c r="V197" s="47">
        <f t="shared" ca="1" si="142"/>
        <v>73.571641807360436</v>
      </c>
      <c r="W197" s="47">
        <f t="shared" ca="1" si="142"/>
        <v>76.212795625819169</v>
      </c>
      <c r="X197" s="47">
        <f t="shared" ca="1" si="142"/>
        <v>78.83110201589642</v>
      </c>
    </row>
    <row r="198" spans="1:24" x14ac:dyDescent="0.25">
      <c r="A198" s="11" t="s">
        <v>955</v>
      </c>
      <c r="B198" s="10" t="str">
        <f t="shared" ref="B198:B199" si="143">$B$38</f>
        <v>From Fiscal Forecasts</v>
      </c>
      <c r="C198" s="13"/>
      <c r="D198" s="35">
        <f>'Fiscal Forecasts'!D$206</f>
        <v>6.6790000000000003</v>
      </c>
      <c r="E198" s="35">
        <f>'Fiscal Forecasts'!E$206</f>
        <v>7.6630000000000003</v>
      </c>
      <c r="F198" s="35">
        <f>'Fiscal Forecasts'!F$206</f>
        <v>7.968</v>
      </c>
      <c r="G198" s="35">
        <f>'Fiscal Forecasts'!G$206</f>
        <v>7.3879999999999999</v>
      </c>
      <c r="H198" s="35">
        <f>'Fiscal Forecasts'!H$206</f>
        <v>9.3290000000000006</v>
      </c>
      <c r="I198" s="35">
        <f>'Fiscal Forecasts'!I$206</f>
        <v>11.634</v>
      </c>
      <c r="J198" s="17">
        <f>'Fiscal Forecasts'!J$206</f>
        <v>12.664999999999999</v>
      </c>
      <c r="K198" s="17">
        <f>'Fiscal Forecasts'!K$206</f>
        <v>12.111000000000001</v>
      </c>
      <c r="L198" s="17">
        <f>'Fiscal Forecasts'!L$206</f>
        <v>12.856</v>
      </c>
      <c r="M198" s="17">
        <f>'Fiscal Forecasts'!M$206</f>
        <v>13.465</v>
      </c>
      <c r="N198" s="17">
        <f>'Fiscal Forecasts'!N$206</f>
        <v>13.920999999999999</v>
      </c>
      <c r="O198" s="16">
        <f>N$198*Exogenous!Z$28/Exogenous!Y$28</f>
        <v>14.741060183307349</v>
      </c>
      <c r="P198" s="16">
        <f>O$198*Exogenous!AA$28/Exogenous!Z$28</f>
        <v>15.609291136995271</v>
      </c>
      <c r="Q198" s="16">
        <f>P$198*Exogenous!AB$28/Exogenous!AA$28</f>
        <v>16.498221635934527</v>
      </c>
      <c r="R198" s="16">
        <f>Q$198*Exogenous!AC$28/Exogenous!AB$28</f>
        <v>17.390181269487861</v>
      </c>
      <c r="S198" s="16">
        <f>R$198*Exogenous!AD$28/Exogenous!AC$28</f>
        <v>18.295203937066184</v>
      </c>
      <c r="T198" s="16">
        <f>S$198*Exogenous!AE$28/Exogenous!AD$28</f>
        <v>19.182051122296574</v>
      </c>
      <c r="U198" s="16">
        <f>T$198*Exogenous!AF$28/Exogenous!AE$28</f>
        <v>20.126712029200899</v>
      </c>
      <c r="V198" s="16">
        <f>U$198*Exogenous!AG$28/Exogenous!AF$28</f>
        <v>21.078560641678465</v>
      </c>
      <c r="W198" s="16">
        <f>V$198*Exogenous!AH$28/Exogenous!AG$28</f>
        <v>22.065449450621678</v>
      </c>
      <c r="X198" s="16">
        <f>W$198*Exogenous!AI$28/Exogenous!AH$28</f>
        <v>23.098985950547377</v>
      </c>
    </row>
    <row r="199" spans="1:24" x14ac:dyDescent="0.25">
      <c r="A199" s="11" t="s">
        <v>956</v>
      </c>
      <c r="B199" s="10" t="str">
        <f t="shared" si="143"/>
        <v>From Fiscal Forecasts</v>
      </c>
      <c r="C199" s="13"/>
      <c r="D199" s="35">
        <f>'Fiscal Forecasts'!D$40-SUM(D$197:D$198)</f>
        <v>-1.5169999999999959</v>
      </c>
      <c r="E199" s="35">
        <f>'Fiscal Forecasts'!E$40-SUM(E$197:E$198)</f>
        <v>-1.7910000000000039</v>
      </c>
      <c r="F199" s="35">
        <f>'Fiscal Forecasts'!F$40-SUM(F$197:F$198)</f>
        <v>-1.8350000000000009</v>
      </c>
      <c r="G199" s="35">
        <f>'Fiscal Forecasts'!G$40-SUM(G$197:G$198)</f>
        <v>-1.9450000000000003</v>
      </c>
      <c r="H199" s="35">
        <f>'Fiscal Forecasts'!H$40-SUM(H$197:H$198)</f>
        <v>-1.9980000000000047</v>
      </c>
      <c r="I199" s="35">
        <f>'Fiscal Forecasts'!I$40-SUM(I$197:I$198)</f>
        <v>-2.2269999999999968</v>
      </c>
      <c r="J199" s="17">
        <f ca="1">'Fiscal Forecasts'!J$40-SUM(J$197:J$198)+IF(OFFSET(Assumptions!$B$56,0,$C$1)="Yes",Allocation!C$14,0)+IF($C$2="Yes",SUM('Fiscal Forecast Adjuster'!C$16:C$22)/1000,0)</f>
        <v>-2.4979999999999976</v>
      </c>
      <c r="K199" s="17">
        <f ca="1">'Fiscal Forecasts'!K$40-SUM(K$197:K$198)+IF(OFFSET(Assumptions!$B$56,0,$C$1)="Yes",Allocation!D$14,0)+IF($C$2="Yes",SUM('Fiscal Forecast Adjuster'!D$16:D$22)/1000,0)</f>
        <v>-2.7970000000000041</v>
      </c>
      <c r="L199" s="17">
        <f ca="1">'Fiscal Forecasts'!L$40-SUM(L$197:L$198)+IF(OFFSET(Assumptions!$B$56,0,$C$1)="Yes",Allocation!E$14,0)+IF($C$2="Yes",SUM('Fiscal Forecast Adjuster'!E$16:E$22)/1000,0)</f>
        <v>-2.9379999999999953</v>
      </c>
      <c r="M199" s="17">
        <f ca="1">'Fiscal Forecasts'!M$40-SUM(M$197:M$198)+IF(OFFSET(Assumptions!$B$56,0,$C$1)="Yes",Allocation!F$14,0)+IF($C$2="Yes",SUM('Fiscal Forecast Adjuster'!F$16:F$22)/1000,0)</f>
        <v>-3.027000000000001</v>
      </c>
      <c r="N199" s="17">
        <f ca="1">'Fiscal Forecasts'!N$40-SUM(N$197:N$198)+IF(OFFSET(Assumptions!$B$56,0,$C$1)="Yes",Allocation!G$14,0)+IF($C$2="Yes",SUM('Fiscal Forecast Adjuster'!G$16:G$22)/1000,0)</f>
        <v>-3.0949999999999989</v>
      </c>
      <c r="O199" s="16">
        <f ca="1">N$199*Exogenous!Z$27/Exogenous!Y$27</f>
        <v>-3.3271249999999983</v>
      </c>
      <c r="P199" s="16">
        <f ca="1">O$199*Exogenous!AA$27/Exogenous!Z$27</f>
        <v>-3.5766593749999975</v>
      </c>
      <c r="Q199" s="16">
        <f ca="1">P$199*Exogenous!AB$27/Exogenous!AA$27</f>
        <v>-3.8449088281249972</v>
      </c>
      <c r="R199" s="16">
        <f ca="1">Q$199*Exogenous!AC$27/Exogenous!AB$27</f>
        <v>-4.1332769902343722</v>
      </c>
      <c r="S199" s="16">
        <f ca="1">R$199*Exogenous!AD$27/Exogenous!AC$27</f>
        <v>-4.4432727645019501</v>
      </c>
      <c r="T199" s="16">
        <f ca="1">S$199*Exogenous!AE$27/Exogenous!AD$27</f>
        <v>-4.776518221839595</v>
      </c>
      <c r="U199" s="16">
        <f ca="1">T$199*Exogenous!AF$27/Exogenous!AE$27</f>
        <v>-5.1347570884775662</v>
      </c>
      <c r="V199" s="16">
        <f ca="1">U$199*Exogenous!AG$27/Exogenous!AF$27</f>
        <v>-5.3396158360370007</v>
      </c>
      <c r="W199" s="16">
        <f ca="1">V$199*Exogenous!AH$27/Exogenous!AG$27</f>
        <v>-5.4869186271160197</v>
      </c>
      <c r="X199" s="16">
        <f ca="1">W$199*Exogenous!AI$27/Exogenous!AH$27</f>
        <v>-5.6476138435834713</v>
      </c>
    </row>
    <row r="200" spans="1:24" x14ac:dyDescent="0.25">
      <c r="A200" s="9" t="s">
        <v>958</v>
      </c>
      <c r="C200" s="13"/>
      <c r="D200" s="65">
        <f t="shared" ref="D200:I200" si="144">SUM(D$197:D$199)</f>
        <v>33.902000000000001</v>
      </c>
      <c r="E200" s="65">
        <f t="shared" si="144"/>
        <v>49.9</v>
      </c>
      <c r="F200" s="65">
        <f t="shared" si="144"/>
        <v>42.892000000000003</v>
      </c>
      <c r="G200" s="65">
        <f t="shared" si="144"/>
        <v>48.302999999999997</v>
      </c>
      <c r="H200" s="65">
        <f t="shared" si="144"/>
        <v>48.844999999999999</v>
      </c>
      <c r="I200" s="65">
        <f t="shared" si="144"/>
        <v>53.996000000000002</v>
      </c>
      <c r="J200" s="66">
        <f t="shared" ref="J200:X200" ca="1" si="145">SUM(J$197:J$199)</f>
        <v>57.838999999999999</v>
      </c>
      <c r="K200" s="66">
        <f t="shared" ca="1" si="145"/>
        <v>59.475000000000001</v>
      </c>
      <c r="L200" s="66">
        <f t="shared" ca="1" si="145"/>
        <v>61.591000000000001</v>
      </c>
      <c r="M200" s="66">
        <f t="shared" ca="1" si="145"/>
        <v>63.673000000000002</v>
      </c>
      <c r="N200" s="66">
        <f t="shared" ca="1" si="145"/>
        <v>65.144000000000005</v>
      </c>
      <c r="O200" s="67">
        <f t="shared" ca="1" si="145"/>
        <v>67.713848201580348</v>
      </c>
      <c r="P200" s="67">
        <f t="shared" ca="1" si="145"/>
        <v>70.543655398905386</v>
      </c>
      <c r="Q200" s="67">
        <f t="shared" ca="1" si="145"/>
        <v>73.480670463103223</v>
      </c>
      <c r="R200" s="67">
        <f t="shared" ca="1" si="145"/>
        <v>76.489722874529761</v>
      </c>
      <c r="S200" s="67">
        <f t="shared" ca="1" si="145"/>
        <v>79.577652505767162</v>
      </c>
      <c r="T200" s="67">
        <f t="shared" ca="1" si="145"/>
        <v>82.667892342346718</v>
      </c>
      <c r="U200" s="67">
        <f t="shared" ca="1" si="145"/>
        <v>85.892206341549993</v>
      </c>
      <c r="V200" s="67">
        <f t="shared" ca="1" si="145"/>
        <v>89.310586613001902</v>
      </c>
      <c r="W200" s="67">
        <f t="shared" ca="1" si="145"/>
        <v>92.791326449324814</v>
      </c>
      <c r="X200" s="67">
        <f t="shared" ca="1" si="145"/>
        <v>96.282474122860322</v>
      </c>
    </row>
    <row r="201" spans="1:24" x14ac:dyDescent="0.25">
      <c r="A201" s="12" t="s">
        <v>159</v>
      </c>
      <c r="C201" s="13"/>
      <c r="D201" s="11"/>
      <c r="E201" s="11"/>
      <c r="F201" s="11"/>
      <c r="G201" s="11"/>
      <c r="H201" s="11"/>
      <c r="I201" s="11"/>
      <c r="J201" s="11"/>
      <c r="K201" s="11"/>
      <c r="L201" s="11"/>
      <c r="M201" s="11"/>
      <c r="N201" s="11"/>
    </row>
    <row r="202" spans="1:24" x14ac:dyDescent="0.25">
      <c r="A202" s="11" t="s">
        <v>160</v>
      </c>
      <c r="C202" s="13"/>
      <c r="D202" s="39">
        <f>'Economic Forecasts'!Q$18</f>
        <v>1205.79</v>
      </c>
      <c r="E202" s="39">
        <f>'Economic Forecasts'!R$18</f>
        <v>1241.4100000000001</v>
      </c>
      <c r="F202" s="39">
        <f>'Economic Forecasts'!S$18</f>
        <v>1287.81</v>
      </c>
      <c r="G202" s="39">
        <f>'Economic Forecasts'!T$18</f>
        <v>1360.1</v>
      </c>
      <c r="H202" s="39">
        <f>'Economic Forecasts'!U$18</f>
        <v>1462.81</v>
      </c>
      <c r="I202" s="39">
        <f>'Economic Forecasts'!V$18</f>
        <v>1556.16</v>
      </c>
      <c r="J202" s="27">
        <f>'Economic Forecasts'!W$18</f>
        <v>1622.73</v>
      </c>
      <c r="K202" s="27">
        <f>'Economic Forecasts'!X$18</f>
        <v>1651.37</v>
      </c>
      <c r="L202" s="27">
        <f>'Economic Forecasts'!Y$18</f>
        <v>1688.46</v>
      </c>
      <c r="M202" s="27">
        <f>'Economic Forecasts'!Z$18</f>
        <v>1731.59</v>
      </c>
      <c r="N202" s="27">
        <f>'Economic Forecasts'!AA$18</f>
        <v>1778.16</v>
      </c>
      <c r="O202" s="26">
        <f t="shared" ref="O202:X202" ca="1" si="146">N$202*(1+O$26)</f>
        <v>1830.0467088</v>
      </c>
      <c r="P202" s="26">
        <f t="shared" ca="1" si="146"/>
        <v>1884.007466055677</v>
      </c>
      <c r="Q202" s="26">
        <f t="shared" ca="1" si="146"/>
        <v>1940.1358164844078</v>
      </c>
      <c r="R202" s="26">
        <f t="shared" ca="1" si="146"/>
        <v>1998.5300242889555</v>
      </c>
      <c r="S202" s="26">
        <f t="shared" ca="1" si="146"/>
        <v>2058.8856310224819</v>
      </c>
      <c r="T202" s="26">
        <f t="shared" ca="1" si="146"/>
        <v>2121.0639770793609</v>
      </c>
      <c r="U202" s="26">
        <f t="shared" ca="1" si="146"/>
        <v>2184.4710636101713</v>
      </c>
      <c r="V202" s="26">
        <f t="shared" ca="1" si="146"/>
        <v>2249.1051934402694</v>
      </c>
      <c r="W202" s="26">
        <f t="shared" ca="1" si="146"/>
        <v>2314.9634917145877</v>
      </c>
      <c r="X202" s="26">
        <f t="shared" ca="1" si="146"/>
        <v>2382.5141264028193</v>
      </c>
    </row>
    <row r="203" spans="1:24" x14ac:dyDescent="0.25">
      <c r="A203" s="11" t="s">
        <v>75</v>
      </c>
      <c r="C203" s="13"/>
      <c r="D203" s="39">
        <f>'Economic Forecasts'!Q$19</f>
        <v>958.37</v>
      </c>
      <c r="E203" s="39">
        <f>'Economic Forecasts'!R$19</f>
        <v>987.95</v>
      </c>
      <c r="F203" s="39">
        <f>'Economic Forecasts'!S$19</f>
        <v>1018.53</v>
      </c>
      <c r="G203" s="39">
        <f>'Economic Forecasts'!T$19</f>
        <v>1066.06</v>
      </c>
      <c r="H203" s="39">
        <f>'Economic Forecasts'!U$19</f>
        <v>1132.5999999999999</v>
      </c>
      <c r="I203" s="39">
        <f>'Economic Forecasts'!V$19</f>
        <v>1192.4000000000001</v>
      </c>
      <c r="J203" s="27">
        <f>'Economic Forecasts'!W$19</f>
        <v>1255.05</v>
      </c>
      <c r="K203" s="27">
        <f>'Economic Forecasts'!X$19</f>
        <v>1272.31</v>
      </c>
      <c r="L203" s="27">
        <f>'Economic Forecasts'!Y$19</f>
        <v>1295.19</v>
      </c>
      <c r="M203" s="27">
        <f>'Economic Forecasts'!Z$19</f>
        <v>1323.35</v>
      </c>
      <c r="N203" s="27">
        <f>'Economic Forecasts'!AA$19</f>
        <v>1353.55</v>
      </c>
      <c r="O203" s="26">
        <f ca="1">IF(O$6&lt;OFFSET(Assumptions!$B$8,0,$C$1)+OFFSET(Assumptions!$B$36,0,$C$1),O$202-ROUND(IF(ROUNDDOWN(52*O$202,0)&gt;Exogenous!$C$59,(ROUNDDOWN(52*O$202,0)-Exogenous!$C$59)*Exogenous!$B$60+Exogenous!$E$59,IF(ROUNDDOWN(52*O$202,0)&gt;Exogenous!$C$58,(ROUNDDOWN(52*O$202,0)-Exogenous!$C$58)*Exogenous!$B$59+Exogenous!$E$58,IF(ROUNDDOWN(52*O$202,0)&gt;Exogenous!$C$57,(ROUNDDOWN(52*O$202,0)-Exogenous!$C$57)*Exogenous!$B$58+Exogenous!$E$57,IF(ROUNDDOWN(52*O$202,0)&gt;Exogenous!$C$56,(ROUNDDOWN(52*O$202,0)-Exogenous!$C$56)*Exogenous!$B$57+Exogenous!$E$56,ROUNDDOWN(52*O$202,0)*Exogenous!$B$56))))/52+O$202*Exogenous!$B$61,2),ROUND(N$203*(1+O$26),2))</f>
        <v>1393.05</v>
      </c>
      <c r="P203" s="26">
        <f ca="1">IF(P$6&lt;OFFSET(Assumptions!$B$8,0,$C$1)+OFFSET(Assumptions!$B$36,0,$C$1),P$202-ROUND(IF(ROUNDDOWN(52*P$202,0)&gt;Exogenous!$C$59,(ROUNDDOWN(52*P$202,0)-Exogenous!$C$59)*Exogenous!$B$60+Exogenous!$E$59,IF(ROUNDDOWN(52*P$202,0)&gt;Exogenous!$C$58,(ROUNDDOWN(52*P$202,0)-Exogenous!$C$58)*Exogenous!$B$59+Exogenous!$E$58,IF(ROUNDDOWN(52*P$202,0)&gt;Exogenous!$C$57,(ROUNDDOWN(52*P$202,0)-Exogenous!$C$57)*Exogenous!$B$58+Exogenous!$E$57,IF(ROUNDDOWN(52*P$202,0)&gt;Exogenous!$C$56,(ROUNDDOWN(52*P$202,0)-Exogenous!$C$56)*Exogenous!$B$57+Exogenous!$E$56,ROUNDDOWN(52*P$202,0)*Exogenous!$B$56))))/52+P$202*Exogenous!$B$61,2),ROUND(O$203*(1+P$26),2))</f>
        <v>1434.13</v>
      </c>
      <c r="Q203" s="26">
        <f ca="1">IF(Q$6&lt;OFFSET(Assumptions!$B$8,0,$C$1)+OFFSET(Assumptions!$B$36,0,$C$1),Q$202-ROUND(IF(ROUNDDOWN(52*Q$202,0)&gt;Exogenous!$C$59,(ROUNDDOWN(52*Q$202,0)-Exogenous!$C$59)*Exogenous!$B$60+Exogenous!$E$59,IF(ROUNDDOWN(52*Q$202,0)&gt;Exogenous!$C$58,(ROUNDDOWN(52*Q$202,0)-Exogenous!$C$58)*Exogenous!$B$59+Exogenous!$E$58,IF(ROUNDDOWN(52*Q$202,0)&gt;Exogenous!$C$57,(ROUNDDOWN(52*Q$202,0)-Exogenous!$C$57)*Exogenous!$B$58+Exogenous!$E$57,IF(ROUNDDOWN(52*Q$202,0)&gt;Exogenous!$C$56,(ROUNDDOWN(52*Q$202,0)-Exogenous!$C$56)*Exogenous!$B$57+Exogenous!$E$56,ROUNDDOWN(52*Q$202,0)*Exogenous!$B$56))))/52+Q$202*Exogenous!$B$61,2),ROUND(P$203*(1+Q$26),2))</f>
        <v>1476.86</v>
      </c>
      <c r="R203" s="26">
        <f ca="1">IF(R$6&lt;OFFSET(Assumptions!$B$8,0,$C$1)+OFFSET(Assumptions!$B$36,0,$C$1),R$202-ROUND(IF(ROUNDDOWN(52*R$202,0)&gt;Exogenous!$C$59,(ROUNDDOWN(52*R$202,0)-Exogenous!$C$59)*Exogenous!$B$60+Exogenous!$E$59,IF(ROUNDDOWN(52*R$202,0)&gt;Exogenous!$C$58,(ROUNDDOWN(52*R$202,0)-Exogenous!$C$58)*Exogenous!$B$59+Exogenous!$E$58,IF(ROUNDDOWN(52*R$202,0)&gt;Exogenous!$C$57,(ROUNDDOWN(52*R$202,0)-Exogenous!$C$57)*Exogenous!$B$58+Exogenous!$E$57,IF(ROUNDDOWN(52*R$202,0)&gt;Exogenous!$C$56,(ROUNDDOWN(52*R$202,0)-Exogenous!$C$56)*Exogenous!$B$57+Exogenous!$E$56,ROUNDDOWN(52*R$202,0)*Exogenous!$B$56))))/52+R$202*Exogenous!$B$61,2),ROUND(Q$203*(1+R$26),2))</f>
        <v>1521.31</v>
      </c>
      <c r="S203" s="26">
        <f ca="1">IF(S$6&lt;OFFSET(Assumptions!$B$8,0,$C$1)+OFFSET(Assumptions!$B$36,0,$C$1),S$202-ROUND(IF(ROUNDDOWN(52*S$202,0)&gt;Exogenous!$C$59,(ROUNDDOWN(52*S$202,0)-Exogenous!$C$59)*Exogenous!$B$60+Exogenous!$E$59,IF(ROUNDDOWN(52*S$202,0)&gt;Exogenous!$C$58,(ROUNDDOWN(52*S$202,0)-Exogenous!$C$58)*Exogenous!$B$59+Exogenous!$E$58,IF(ROUNDDOWN(52*S$202,0)&gt;Exogenous!$C$57,(ROUNDDOWN(52*S$202,0)-Exogenous!$C$57)*Exogenous!$B$58+Exogenous!$E$57,IF(ROUNDDOWN(52*S$202,0)&gt;Exogenous!$C$56,(ROUNDDOWN(52*S$202,0)-Exogenous!$C$56)*Exogenous!$B$57+Exogenous!$E$56,ROUNDDOWN(52*S$202,0)*Exogenous!$B$56))))/52+S$202*Exogenous!$B$61,2),ROUND(R$203*(1+S$26),2))</f>
        <v>1567.25</v>
      </c>
      <c r="T203" s="26">
        <f ca="1">IF(T$6&lt;OFFSET(Assumptions!$B$8,0,$C$1)+OFFSET(Assumptions!$B$36,0,$C$1),T$202-ROUND(IF(ROUNDDOWN(52*T$202,0)&gt;Exogenous!$C$59,(ROUNDDOWN(52*T$202,0)-Exogenous!$C$59)*Exogenous!$B$60+Exogenous!$E$59,IF(ROUNDDOWN(52*T$202,0)&gt;Exogenous!$C$58,(ROUNDDOWN(52*T$202,0)-Exogenous!$C$58)*Exogenous!$B$59+Exogenous!$E$58,IF(ROUNDDOWN(52*T$202,0)&gt;Exogenous!$C$57,(ROUNDDOWN(52*T$202,0)-Exogenous!$C$57)*Exogenous!$B$58+Exogenous!$E$57,IF(ROUNDDOWN(52*T$202,0)&gt;Exogenous!$C$56,(ROUNDDOWN(52*T$202,0)-Exogenous!$C$56)*Exogenous!$B$57+Exogenous!$E$56,ROUNDDOWN(52*T$202,0)*Exogenous!$B$56))))/52+T$202*Exogenous!$B$61,2),ROUND(S$203*(1+T$26),2))</f>
        <v>1614.58</v>
      </c>
      <c r="U203" s="26">
        <f ca="1">IF(U$6&lt;OFFSET(Assumptions!$B$8,0,$C$1)+OFFSET(Assumptions!$B$36,0,$C$1),U$202-ROUND(IF(ROUNDDOWN(52*U$202,0)&gt;Exogenous!$C$59,(ROUNDDOWN(52*U$202,0)-Exogenous!$C$59)*Exogenous!$B$60+Exogenous!$E$59,IF(ROUNDDOWN(52*U$202,0)&gt;Exogenous!$C$58,(ROUNDDOWN(52*U$202,0)-Exogenous!$C$58)*Exogenous!$B$59+Exogenous!$E$58,IF(ROUNDDOWN(52*U$202,0)&gt;Exogenous!$C$57,(ROUNDDOWN(52*U$202,0)-Exogenous!$C$57)*Exogenous!$B$58+Exogenous!$E$57,IF(ROUNDDOWN(52*U$202,0)&gt;Exogenous!$C$56,(ROUNDDOWN(52*U$202,0)-Exogenous!$C$56)*Exogenous!$B$57+Exogenous!$E$56,ROUNDDOWN(52*U$202,0)*Exogenous!$B$56))))/52+U$202*Exogenous!$B$61,2),ROUND(T$203*(1+U$26),2))</f>
        <v>1662.85</v>
      </c>
      <c r="V203" s="26">
        <f ca="1">IF(V$6&lt;OFFSET(Assumptions!$B$8,0,$C$1)+OFFSET(Assumptions!$B$36,0,$C$1),V$202-ROUND(IF(ROUNDDOWN(52*V$202,0)&gt;Exogenous!$C$59,(ROUNDDOWN(52*V$202,0)-Exogenous!$C$59)*Exogenous!$B$60+Exogenous!$E$59,IF(ROUNDDOWN(52*V$202,0)&gt;Exogenous!$C$58,(ROUNDDOWN(52*V$202,0)-Exogenous!$C$58)*Exogenous!$B$59+Exogenous!$E$58,IF(ROUNDDOWN(52*V$202,0)&gt;Exogenous!$C$57,(ROUNDDOWN(52*V$202,0)-Exogenous!$C$57)*Exogenous!$B$58+Exogenous!$E$57,IF(ROUNDDOWN(52*V$202,0)&gt;Exogenous!$C$56,(ROUNDDOWN(52*V$202,0)-Exogenous!$C$56)*Exogenous!$B$57+Exogenous!$E$56,ROUNDDOWN(52*V$202,0)*Exogenous!$B$56))))/52+V$202*Exogenous!$B$61,2),ROUND(U$203*(1+V$26),2))</f>
        <v>1712.05</v>
      </c>
      <c r="W203" s="26">
        <f ca="1">IF(W$6&lt;OFFSET(Assumptions!$B$8,0,$C$1)+OFFSET(Assumptions!$B$36,0,$C$1),W$202-ROUND(IF(ROUNDDOWN(52*W$202,0)&gt;Exogenous!$C$59,(ROUNDDOWN(52*W$202,0)-Exogenous!$C$59)*Exogenous!$B$60+Exogenous!$E$59,IF(ROUNDDOWN(52*W$202,0)&gt;Exogenous!$C$58,(ROUNDDOWN(52*W$202,0)-Exogenous!$C$58)*Exogenous!$B$59+Exogenous!$E$58,IF(ROUNDDOWN(52*W$202,0)&gt;Exogenous!$C$57,(ROUNDDOWN(52*W$202,0)-Exogenous!$C$57)*Exogenous!$B$58+Exogenous!$E$57,IF(ROUNDDOWN(52*W$202,0)&gt;Exogenous!$C$56,(ROUNDDOWN(52*W$202,0)-Exogenous!$C$56)*Exogenous!$B$57+Exogenous!$E$56,ROUNDDOWN(52*W$202,0)*Exogenous!$B$56))))/52+W$202*Exogenous!$B$61,2),ROUND(V$203*(1+W$26),2))</f>
        <v>1762.18</v>
      </c>
      <c r="X203" s="26">
        <f ca="1">IF(X$6&lt;OFFSET(Assumptions!$B$8,0,$C$1)+OFFSET(Assumptions!$B$36,0,$C$1),X$202-ROUND(IF(ROUNDDOWN(52*X$202,0)&gt;Exogenous!$C$59,(ROUNDDOWN(52*X$202,0)-Exogenous!$C$59)*Exogenous!$B$60+Exogenous!$E$59,IF(ROUNDDOWN(52*X$202,0)&gt;Exogenous!$C$58,(ROUNDDOWN(52*X$202,0)-Exogenous!$C$58)*Exogenous!$B$59+Exogenous!$E$58,IF(ROUNDDOWN(52*X$202,0)&gt;Exogenous!$C$57,(ROUNDDOWN(52*X$202,0)-Exogenous!$C$57)*Exogenous!$B$58+Exogenous!$E$57,IF(ROUNDDOWN(52*X$202,0)&gt;Exogenous!$C$56,(ROUNDDOWN(52*X$202,0)-Exogenous!$C$56)*Exogenous!$B$57+Exogenous!$E$56,ROUNDDOWN(52*X$202,0)*Exogenous!$B$56))))/52+X$202*Exogenous!$B$61,2),ROUND(W$203*(1+X$26),2))</f>
        <v>1813.6</v>
      </c>
    </row>
    <row r="204" spans="1:24" x14ac:dyDescent="0.25">
      <c r="A204" s="11" t="s">
        <v>74</v>
      </c>
      <c r="C204" s="13"/>
      <c r="D204" s="39">
        <f>'Economic Forecasts'!Q$20</f>
        <v>360.42</v>
      </c>
      <c r="E204" s="39">
        <f>'Economic Forecasts'!R$20</f>
        <v>372.27</v>
      </c>
      <c r="F204" s="39">
        <f>'Economic Forecasts'!S$20</f>
        <v>384.46</v>
      </c>
      <c r="G204" s="39">
        <f>'Economic Forecasts'!T$20</f>
        <v>408.66</v>
      </c>
      <c r="H204" s="39">
        <f>'Economic Forecasts'!U$20</f>
        <v>439.79</v>
      </c>
      <c r="I204" s="39">
        <f>'Economic Forecasts'!V$20</f>
        <v>461.41</v>
      </c>
      <c r="J204" s="27">
        <f>'Economic Forecasts'!W$20</f>
        <v>476.47</v>
      </c>
      <c r="K204" s="27">
        <f>'Economic Forecasts'!X$20</f>
        <v>488.1</v>
      </c>
      <c r="L204" s="27">
        <f>'Economic Forecasts'!Y$20</f>
        <v>498.32</v>
      </c>
      <c r="M204" s="27">
        <f>'Economic Forecasts'!Z$20</f>
        <v>508.71</v>
      </c>
      <c r="N204" s="27">
        <f>'Economic Forecasts'!AA$20</f>
        <v>519.45000000000005</v>
      </c>
      <c r="O204" s="26">
        <f ca="1">IF(O$6&lt;OFFSET(Assumptions!$B$8,0,$C$1)+OFFSET(Assumptions!$B$36,0,$C$1),IF(52*O$205&gt;Exogenous!$D$59,(52*O$205-Exogenous!$C$59*Exogenous!$B$60+Exogenous!$E$59)/(1-Exogenous!$B$60),IF(52*O$205&gt;Exogenous!$D$58,(52*O$205-Exogenous!$C$58*Exogenous!$B$59+Exogenous!$E$58)/(1-Exogenous!$B$59),IF(52*O$205&gt;Exogenous!$D$57,(52*O$205-Exogenous!$C$57*Exogenous!$B$58+Exogenous!$E$57)/(1-Exogenous!$B$58),IF(52*O$205&gt;Exogenous!$D$56,(52*O$205-Exogenous!$C$56*Exogenous!$B$57+Exogenous!$E$56)/(1-Exogenous!$B$57),52*O$205/(1-Exogenous!$B$56)))))/52,N$204*O$205/N$205)</f>
        <v>531.09121149611906</v>
      </c>
      <c r="P204" s="26">
        <f ca="1">IF(P$6&lt;OFFSET(Assumptions!$B$8,0,$C$1)+OFFSET(Assumptions!$B$36,0,$C$1),IF(52*P$205&gt;Exogenous!$D$59,(52*P$205-Exogenous!$C$59*Exogenous!$B$60+Exogenous!$E$59)/(1-Exogenous!$B$60),IF(52*P$205&gt;Exogenous!$D$58,(52*P$205-Exogenous!$C$58*Exogenous!$B$59+Exogenous!$E$58)/(1-Exogenous!$B$59),IF(52*P$205&gt;Exogenous!$D$57,(52*P$205-Exogenous!$C$57*Exogenous!$B$58+Exogenous!$E$57)/(1-Exogenous!$B$58),IF(52*P$205&gt;Exogenous!$D$56,(52*P$205-Exogenous!$C$56*Exogenous!$B$57+Exogenous!$E$56)/(1-Exogenous!$B$57),52*P$205/(1-Exogenous!$B$56)))))/52,O$204*P$205/O$205)</f>
        <v>546.75269311433851</v>
      </c>
      <c r="Q204" s="26">
        <f ca="1">IF(Q$6&lt;OFFSET(Assumptions!$B$8,0,$C$1)+OFFSET(Assumptions!$B$36,0,$C$1),IF(52*Q$205&gt;Exogenous!$D$59,(52*Q$205-Exogenous!$C$59*Exogenous!$B$60+Exogenous!$E$59)/(1-Exogenous!$B$60),IF(52*Q$205&gt;Exogenous!$D$58,(52*Q$205-Exogenous!$C$58*Exogenous!$B$59+Exogenous!$E$58)/(1-Exogenous!$B$59),IF(52*Q$205&gt;Exogenous!$D$57,(52*Q$205-Exogenous!$C$57*Exogenous!$B$58+Exogenous!$E$57)/(1-Exogenous!$B$58),IF(52*Q$205&gt;Exogenous!$D$56,(52*Q$205-Exogenous!$C$56*Exogenous!$B$57+Exogenous!$E$56)/(1-Exogenous!$B$57),52*Q$205/(1-Exogenous!$B$56)))))/52,P$204*Q$205/P$205)</f>
        <v>563.04322645286118</v>
      </c>
      <c r="R204" s="26">
        <f ca="1">IF(R$6&lt;OFFSET(Assumptions!$B$8,0,$C$1)+OFFSET(Assumptions!$B$36,0,$C$1),IF(52*R$205&gt;Exogenous!$D$59,(52*R$205-Exogenous!$C$59*Exogenous!$B$60+Exogenous!$E$59)/(1-Exogenous!$B$60),IF(52*R$205&gt;Exogenous!$D$58,(52*R$205-Exogenous!$C$58*Exogenous!$B$59+Exogenous!$E$58)/(1-Exogenous!$B$59),IF(52*R$205&gt;Exogenous!$D$57,(52*R$205-Exogenous!$C$57*Exogenous!$B$58+Exogenous!$E$57)/(1-Exogenous!$B$58),IF(52*R$205&gt;Exogenous!$D$56,(52*R$205-Exogenous!$C$56*Exogenous!$B$57+Exogenous!$E$56)/(1-Exogenous!$B$57),52*R$205/(1-Exogenous!$B$56)))))/52,Q$204*R$205/Q$205)</f>
        <v>579.98949855436695</v>
      </c>
      <c r="S204" s="26">
        <f ca="1">IF(S$6&lt;OFFSET(Assumptions!$B$8,0,$C$1)+OFFSET(Assumptions!$B$36,0,$C$1),IF(52*S$205&gt;Exogenous!$D$59,(52*S$205-Exogenous!$C$59*Exogenous!$B$60+Exogenous!$E$59)/(1-Exogenous!$B$60),IF(52*S$205&gt;Exogenous!$D$58,(52*S$205-Exogenous!$C$58*Exogenous!$B$59+Exogenous!$E$58)/(1-Exogenous!$B$59),IF(52*S$205&gt;Exogenous!$D$57,(52*S$205-Exogenous!$C$57*Exogenous!$B$58+Exogenous!$E$57)/(1-Exogenous!$B$58),IF(52*S$205&gt;Exogenous!$D$56,(52*S$205-Exogenous!$C$56*Exogenous!$B$57+Exogenous!$E$56)/(1-Exogenous!$B$57),52*S$205/(1-Exogenous!$B$56)))))/52,R$204*S$205/R$205)</f>
        <v>597.50382342147986</v>
      </c>
      <c r="T204" s="26">
        <f ca="1">IF(T$6&lt;OFFSET(Assumptions!$B$8,0,$C$1)+OFFSET(Assumptions!$B$36,0,$C$1),IF(52*T$205&gt;Exogenous!$D$59,(52*T$205-Exogenous!$C$59*Exogenous!$B$60+Exogenous!$E$59)/(1-Exogenous!$B$60),IF(52*T$205&gt;Exogenous!$D$58,(52*T$205-Exogenous!$C$58*Exogenous!$B$59+Exogenous!$E$58)/(1-Exogenous!$B$59),IF(52*T$205&gt;Exogenous!$D$57,(52*T$205-Exogenous!$C$57*Exogenous!$B$58+Exogenous!$E$57)/(1-Exogenous!$B$58),IF(52*T$205&gt;Exogenous!$D$56,(52*T$205-Exogenous!$C$56*Exogenous!$B$57+Exogenous!$E$56)/(1-Exogenous!$B$57),52*T$205/(1-Exogenous!$B$56)))))/52,S$204*T$205/S$205)</f>
        <v>615.54807670751507</v>
      </c>
      <c r="U204" s="26">
        <f ca="1">IF(U$6&lt;OFFSET(Assumptions!$B$8,0,$C$1)+OFFSET(Assumptions!$B$36,0,$C$1),IF(52*U$205&gt;Exogenous!$D$59,(52*U$205-Exogenous!$C$59*Exogenous!$B$60+Exogenous!$E$59)/(1-Exogenous!$B$60),IF(52*U$205&gt;Exogenous!$D$58,(52*U$205-Exogenous!$C$58*Exogenous!$B$59+Exogenous!$E$58)/(1-Exogenous!$B$59),IF(52*U$205&gt;Exogenous!$D$57,(52*U$205-Exogenous!$C$57*Exogenous!$B$58+Exogenous!$E$57)/(1-Exogenous!$B$58),IF(52*U$205&gt;Exogenous!$D$56,(52*U$205-Exogenous!$C$56*Exogenous!$B$57+Exogenous!$E$56)/(1-Exogenous!$B$57),52*U$205/(1-Exogenous!$B$56)))))/52,T$204*U$205/T$205)</f>
        <v>633.95069885238968</v>
      </c>
      <c r="V204" s="26">
        <f ca="1">IF(V$6&lt;OFFSET(Assumptions!$B$8,0,$C$1)+OFFSET(Assumptions!$B$36,0,$C$1),IF(52*V$205&gt;Exogenous!$D$59,(52*V$205-Exogenous!$C$59*Exogenous!$B$60+Exogenous!$E$59)/(1-Exogenous!$B$60),IF(52*V$205&gt;Exogenous!$D$58,(52*V$205-Exogenous!$C$58*Exogenous!$B$59+Exogenous!$E$58)/(1-Exogenous!$B$59),IF(52*V$205&gt;Exogenous!$D$57,(52*V$205-Exogenous!$C$57*Exogenous!$B$58+Exogenous!$E$57)/(1-Exogenous!$B$58),IF(52*V$205&gt;Exogenous!$D$56,(52*V$205-Exogenous!$C$56*Exogenous!$B$57+Exogenous!$E$56)/(1-Exogenous!$B$57),52*V$205/(1-Exogenous!$B$56)))))/52,U$204*V$205/U$205)</f>
        <v>652.70787742143534</v>
      </c>
      <c r="W204" s="26">
        <f ca="1">IF(W$6&lt;OFFSET(Assumptions!$B$8,0,$C$1)+OFFSET(Assumptions!$B$36,0,$C$1),IF(52*W$205&gt;Exogenous!$D$59,(52*W$205-Exogenous!$C$59*Exogenous!$B$60+Exogenous!$E$59)/(1-Exogenous!$B$60),IF(52*W$205&gt;Exogenous!$D$58,(52*W$205-Exogenous!$C$58*Exogenous!$B$59+Exogenous!$E$58)/(1-Exogenous!$B$59),IF(52*W$205&gt;Exogenous!$D$57,(52*W$205-Exogenous!$C$57*Exogenous!$B$58+Exogenous!$E$57)/(1-Exogenous!$B$58),IF(52*W$205&gt;Exogenous!$D$56,(52*W$205-Exogenous!$C$56*Exogenous!$B$57+Exogenous!$E$56)/(1-Exogenous!$B$57),52*W$205/(1-Exogenous!$B$56)))))/52,V$204*W$205/V$205)</f>
        <v>671.81961241465194</v>
      </c>
      <c r="X204" s="26">
        <f ca="1">IF(X$6&lt;OFFSET(Assumptions!$B$8,0,$C$1)+OFFSET(Assumptions!$B$36,0,$C$1),IF(52*X$205&gt;Exogenous!$D$59,(52*X$205-Exogenous!$C$59*Exogenous!$B$60+Exogenous!$E$59)/(1-Exogenous!$B$60),IF(52*X$205&gt;Exogenous!$D$58,(52*X$205-Exogenous!$C$58*Exogenous!$B$59+Exogenous!$E$58)/(1-Exogenous!$B$59),IF(52*X$205&gt;Exogenous!$D$57,(52*X$205-Exogenous!$C$57*Exogenous!$B$58+Exogenous!$E$57)/(1-Exogenous!$B$58),IF(52*X$205&gt;Exogenous!$D$56,(52*X$205-Exogenous!$C$56*Exogenous!$B$57+Exogenous!$E$56)/(1-Exogenous!$B$57),52*X$205/(1-Exogenous!$B$56)))))/52,W$204*X$205/W$205)</f>
        <v>691.42315148010573</v>
      </c>
    </row>
    <row r="205" spans="1:24" x14ac:dyDescent="0.25">
      <c r="A205" s="11" t="s">
        <v>73</v>
      </c>
      <c r="C205" s="13"/>
      <c r="D205" s="39">
        <f>'Economic Forecasts'!Q$21</f>
        <v>316.27</v>
      </c>
      <c r="E205" s="39">
        <f>'Economic Forecasts'!R$21</f>
        <v>326.02</v>
      </c>
      <c r="F205" s="39">
        <f>'Economic Forecasts'!S$21</f>
        <v>336.11</v>
      </c>
      <c r="G205" s="39">
        <f>'Economic Forecasts'!T$21</f>
        <v>356.11</v>
      </c>
      <c r="H205" s="39">
        <f>'Economic Forecasts'!U$21</f>
        <v>381.82</v>
      </c>
      <c r="I205" s="39">
        <f>'Economic Forecasts'!V$21</f>
        <v>399.59</v>
      </c>
      <c r="J205" s="27">
        <f>'Economic Forecasts'!W$21</f>
        <v>414.17</v>
      </c>
      <c r="K205" s="27">
        <f>'Economic Forecasts'!X$21</f>
        <v>423.7</v>
      </c>
      <c r="L205" s="27">
        <f>'Economic Forecasts'!Y$21</f>
        <v>432.17</v>
      </c>
      <c r="M205" s="27">
        <f>'Economic Forecasts'!Z$21</f>
        <v>440.81</v>
      </c>
      <c r="N205" s="27">
        <f>'Economic Forecasts'!AA$21</f>
        <v>449.63</v>
      </c>
      <c r="O205" s="26">
        <f ca="1">IF(2*N$205*(1+O$29)&gt;OFFSET(Assumptions!$B$38,0,$C$1)*O$203,OFFSET(Assumptions!$B$38,0,$C$1)*O$203,IF(2*N$205*(1+O$29)&lt;OFFSET(Assumptions!$B$37,0,$C$1)*O$203,OFFSET(Assumptions!$B$37,0,$C$1)*O$203,2*N$205*(1+O$29)))/2</f>
        <v>459.70650000000001</v>
      </c>
      <c r="P205" s="26">
        <f ca="1">IF(2*O$205*(1+P$29)&gt;OFFSET(Assumptions!$B$38,0,$C$1)*P$203,OFFSET(Assumptions!$B$38,0,$C$1)*P$203,IF(2*O$205*(1+P$29)&lt;OFFSET(Assumptions!$B$37,0,$C$1)*P$203,OFFSET(Assumptions!$B$37,0,$C$1)*P$203,2*O$205*(1+P$29)))/2</f>
        <v>473.26290000000006</v>
      </c>
      <c r="Q205" s="26">
        <f ca="1">IF(2*P$205*(1+Q$29)&gt;OFFSET(Assumptions!$B$38,0,$C$1)*Q$203,OFFSET(Assumptions!$B$38,0,$C$1)*Q$203,IF(2*P$205*(1+Q$29)&lt;OFFSET(Assumptions!$B$37,0,$C$1)*Q$203,OFFSET(Assumptions!$B$37,0,$C$1)*Q$203,2*P$205*(1+Q$29)))/2</f>
        <v>487.36379999999997</v>
      </c>
      <c r="R205" s="26">
        <f ca="1">IF(2*Q$205*(1+R$29)&gt;OFFSET(Assumptions!$B$38,0,$C$1)*R$203,OFFSET(Assumptions!$B$38,0,$C$1)*R$203,IF(2*Q$205*(1+R$29)&lt;OFFSET(Assumptions!$B$37,0,$C$1)*R$203,OFFSET(Assumptions!$B$37,0,$C$1)*R$203,2*Q$205*(1+R$29)))/2</f>
        <v>502.03230000000002</v>
      </c>
      <c r="S205" s="26">
        <f ca="1">IF(2*R$205*(1+S$29)&gt;OFFSET(Assumptions!$B$38,0,$C$1)*S$203,OFFSET(Assumptions!$B$38,0,$C$1)*S$203,IF(2*R$205*(1+S$29)&lt;OFFSET(Assumptions!$B$37,0,$C$1)*S$203,OFFSET(Assumptions!$B$37,0,$C$1)*S$203,2*R$205*(1+S$29)))/2</f>
        <v>517.1925</v>
      </c>
      <c r="T205" s="26">
        <f ca="1">IF(2*S$205*(1+T$29)&gt;OFFSET(Assumptions!$B$38,0,$C$1)*T$203,OFFSET(Assumptions!$B$38,0,$C$1)*T$203,IF(2*S$205*(1+T$29)&lt;OFFSET(Assumptions!$B$37,0,$C$1)*T$203,OFFSET(Assumptions!$B$37,0,$C$1)*T$203,2*S$205*(1+T$29)))/2</f>
        <v>532.81140000000005</v>
      </c>
      <c r="U205" s="26">
        <f ca="1">IF(2*T$205*(1+U$29)&gt;OFFSET(Assumptions!$B$38,0,$C$1)*U$203,OFFSET(Assumptions!$B$38,0,$C$1)*U$203,IF(2*T$205*(1+U$29)&lt;OFFSET(Assumptions!$B$37,0,$C$1)*U$203,OFFSET(Assumptions!$B$37,0,$C$1)*U$203,2*T$205*(1+U$29)))/2</f>
        <v>548.7405</v>
      </c>
      <c r="V205" s="26">
        <f ca="1">IF(2*U$205*(1+V$29)&gt;OFFSET(Assumptions!$B$38,0,$C$1)*V$203,OFFSET(Assumptions!$B$38,0,$C$1)*V$203,IF(2*U$205*(1+V$29)&lt;OFFSET(Assumptions!$B$37,0,$C$1)*V$203,OFFSET(Assumptions!$B$37,0,$C$1)*V$203,2*U$205*(1+V$29)))/2</f>
        <v>564.97649999999999</v>
      </c>
      <c r="W205" s="26">
        <f ca="1">IF(2*V$205*(1+W$29)&gt;OFFSET(Assumptions!$B$38,0,$C$1)*W$203,OFFSET(Assumptions!$B$38,0,$C$1)*W$203,IF(2*V$205*(1+W$29)&lt;OFFSET(Assumptions!$B$37,0,$C$1)*W$203,OFFSET(Assumptions!$B$37,0,$C$1)*W$203,2*V$205*(1+W$29)))/2</f>
        <v>581.51940000000002</v>
      </c>
      <c r="X205" s="26">
        <f ca="1">IF(2*W$205*(1+X$29)&gt;OFFSET(Assumptions!$B$38,0,$C$1)*X$203,OFFSET(Assumptions!$B$38,0,$C$1)*X$203,IF(2*W$205*(1+X$29)&lt;OFFSET(Assumptions!$B$37,0,$C$1)*X$203,OFFSET(Assumptions!$B$37,0,$C$1)*X$203,2*W$205*(1+X$29)))/2</f>
        <v>598.48799999999994</v>
      </c>
    </row>
    <row r="207" spans="1:24" x14ac:dyDescent="0.25">
      <c r="A207" s="9" t="s">
        <v>535</v>
      </c>
    </row>
    <row r="208" spans="1:24" x14ac:dyDescent="0.25">
      <c r="A208" s="9" t="s">
        <v>1099</v>
      </c>
      <c r="B208" s="10" t="str">
        <f t="shared" ref="B208:B211" si="147">$B$38</f>
        <v>From Fiscal Forecasts</v>
      </c>
      <c r="C208" s="71"/>
      <c r="D208" s="42">
        <f>'Fiscal Forecasts'!D$171</f>
        <v>7.7939999999999996</v>
      </c>
      <c r="E208" s="42">
        <f>'Fiscal Forecasts'!E$171</f>
        <v>8.48</v>
      </c>
      <c r="F208" s="42">
        <f>'Fiscal Forecasts'!F$171</f>
        <v>9.3580000000000005</v>
      </c>
      <c r="G208" s="42">
        <f>'Fiscal Forecasts'!G$171</f>
        <v>9.9450000000000003</v>
      </c>
      <c r="H208" s="42">
        <f>'Fiscal Forecasts'!H$171</f>
        <v>10.449</v>
      </c>
      <c r="I208" s="42">
        <f>'Fiscal Forecasts'!I$171</f>
        <v>11.26</v>
      </c>
      <c r="J208" s="43">
        <f>'Fiscal Forecasts'!J$171</f>
        <v>11.407</v>
      </c>
      <c r="K208" s="43">
        <f>'Fiscal Forecasts'!K$171</f>
        <v>11.778</v>
      </c>
      <c r="L208" s="43">
        <f>'Fiscal Forecasts'!L$171</f>
        <v>11.878</v>
      </c>
      <c r="M208" s="43">
        <f>'Fiscal Forecasts'!M$171</f>
        <v>11.847</v>
      </c>
      <c r="N208" s="43">
        <f>'Fiscal Forecasts'!N$171</f>
        <v>11.896000000000001</v>
      </c>
      <c r="O208" s="47">
        <f ca="1">SUM(O$251,IF(O$6=OFFSET(Assumptions!$B$8,0,$C$1),AVERAGE((L$208-L$251)/SUM(L$208,L$215,L$222,-L$251,-L$333),(M$208-M$251)/SUM(M$208,M$215,M$222,-M$251,-M$333),(N$208-N$251)/SUM(N$208,N$215,N$222,-N$251,-N$333)),(N$208-N$251)/SUM(N$208,N$215,N$222,-N$251,-N$333))*(O$332-O$261-SUM(O$267:O$270,O$273)))</f>
        <v>12.441610972860351</v>
      </c>
      <c r="P208" s="47">
        <f ca="1">SUM(P$251,IF(P$6=OFFSET(Assumptions!$B$8,0,$C$1),AVERAGE((M$208-M$251)/SUM(M$208,M$215,M$222,-M$251,-M$333),(N$208-N$251)/SUM(N$208,N$215,N$222,-N$251,-N$333),(O$208-O$251)/SUM(O$208,O$215,O$222,-O$251,-O$333)),(O$208-O$251)/SUM(O$208,O$215,O$222,-O$251,-O$333))*(P$332-P$261-SUM(P$267:P$270,P$273)))</f>
        <v>12.452157149338831</v>
      </c>
      <c r="Q208" s="47">
        <f ca="1">SUM(Q$251,IF(Q$6=OFFSET(Assumptions!$B$8,0,$C$1),AVERAGE((N$208-N$251)/SUM(N$208,N$215,N$222,-N$251,-N$333),(O$208-O$251)/SUM(O$208,O$215,O$222,-O$251,-O$333),(P$208-P$251)/SUM(P$208,P$215,P$222,-P$251,-P$333)),(P$208-P$251)/SUM(P$208,P$215,P$222,-P$251,-P$333))*(Q$332-Q$261-SUM(Q$267:Q$270,Q$273)))</f>
        <v>12.462953180644588</v>
      </c>
      <c r="R208" s="47">
        <f ca="1">SUM(R$251,IF(R$6=OFFSET(Assumptions!$B$8,0,$C$1),AVERAGE((O$208-O$251)/SUM(O$208,O$215,O$222,-O$251,-O$333),(P$208-P$251)/SUM(P$208,P$215,P$222,-P$251,-P$333),(Q$208-Q$251)/SUM(Q$208,Q$215,Q$222,-Q$251,-Q$333)),(Q$208-Q$251)/SUM(Q$208,Q$215,Q$222,-Q$251,-Q$333))*(R$332-R$261-SUM(R$267:R$270,R$273)))</f>
        <v>12.47400406387418</v>
      </c>
      <c r="S208" s="47">
        <f ca="1">SUM(S$251,IF(S$6=OFFSET(Assumptions!$B$8,0,$C$1),AVERAGE((P$208-P$251)/SUM(P$208,P$215,P$222,-P$251,-P$333),(Q$208-Q$251)/SUM(Q$208,Q$215,Q$222,-Q$251,-Q$333),(R$208-R$251)/SUM(R$208,R$215,R$222,-R$251,-R$333)),(R$208-R$251)/SUM(R$208,R$215,R$222,-R$251,-R$333))*(S$332-S$261-SUM(S$267:S$270,S$273)))</f>
        <v>12.48531489606607</v>
      </c>
      <c r="T208" s="47">
        <f ca="1">SUM(T$251,IF(T$6=OFFSET(Assumptions!$B$8,0,$C$1),AVERAGE((Q$208-Q$251)/SUM(Q$208,Q$215,Q$222,-Q$251,-Q$333),(R$208-R$251)/SUM(R$208,R$215,R$222,-R$251,-R$333),(S$208-S$251)/SUM(S$208,S$215,S$222,-S$251,-S$333)),(S$208-S$251)/SUM(S$208,S$215,S$222,-S$251,-S$333))*(T$332-T$261-SUM(T$267:T$270,T$273)))</f>
        <v>12.496776372382714</v>
      </c>
      <c r="U208" s="47">
        <f ca="1">SUM(U$251,IF(U$6=OFFSET(Assumptions!$B$8,0,$C$1),AVERAGE((R$208-R$251)/SUM(R$208,R$215,R$222,-R$251,-R$333),(S$208-S$251)/SUM(S$208,S$215,S$222,-S$251,-S$333),(T$208-T$251)/SUM(T$208,T$215,T$222,-T$251,-T$333)),(T$208-T$251)/SUM(T$208,T$215,T$222,-T$251,-T$333))*(U$332-U$261-SUM(U$267:U$270,U$273)))</f>
        <v>12.50873730723332</v>
      </c>
      <c r="V208" s="47">
        <f ca="1">SUM(V$251,IF(V$6=OFFSET(Assumptions!$B$8,0,$C$1),AVERAGE((S$208-S$251)/SUM(S$208,S$215,S$222,-S$251,-S$333),(T$208-T$251)/SUM(T$208,T$215,T$222,-T$251,-T$333),(U$208-U$251)/SUM(U$208,U$215,U$222,-U$251,-U$333)),(U$208-U$251)/SUM(U$208,U$215,U$222,-U$251,-U$333))*(V$332-V$261-SUM(V$267:V$270,V$273)))</f>
        <v>12.520974102002315</v>
      </c>
      <c r="W208" s="47">
        <f ca="1">SUM(W$251,IF(W$6=OFFSET(Assumptions!$B$8,0,$C$1),AVERAGE((T$208-T$251)/SUM(T$208,T$215,T$222,-T$251,-T$333),(U$208-U$251)/SUM(U$208,U$215,U$222,-U$251,-U$333),(V$208-V$251)/SUM(V$208,V$215,V$222,-V$251,-V$333)),(V$208-V$251)/SUM(V$208,V$215,V$222,-V$251,-V$333))*(W$332-W$261-SUM(W$267:W$270,W$273)))</f>
        <v>12.533377770071265</v>
      </c>
      <c r="X208" s="47">
        <f ca="1">SUM(X$251,IF(X$6=OFFSET(Assumptions!$B$8,0,$C$1),AVERAGE((U$208-U$251)/SUM(U$208,U$215,U$222,-U$251,-U$333),(V$208-V$251)/SUM(V$208,V$215,V$222,-V$251,-V$333),(W$208-W$251)/SUM(W$208,W$215,W$222,-W$251,-W$333)),(W$208-W$251)/SUM(W$208,W$215,W$222,-W$251,-W$333))*(X$332-X$261-SUM(X$267:X$270,X$273)))</f>
        <v>12.546068442799321</v>
      </c>
    </row>
    <row r="209" spans="1:24" x14ac:dyDescent="0.25">
      <c r="A209" s="11" t="s">
        <v>707</v>
      </c>
      <c r="B209" s="10" t="str">
        <f t="shared" si="147"/>
        <v>From Fiscal Forecasts</v>
      </c>
      <c r="D209" s="35">
        <f>'Fiscal Forecasts'!D$255</f>
        <v>15.085000000000001</v>
      </c>
      <c r="E209" s="35">
        <f>'Fiscal Forecasts'!E$255</f>
        <v>16.317</v>
      </c>
      <c r="F209" s="35">
        <f>'Fiscal Forecasts'!F$255</f>
        <v>17.928999999999998</v>
      </c>
      <c r="G209" s="35">
        <f>'Fiscal Forecasts'!G$255</f>
        <v>19.896999999999998</v>
      </c>
      <c r="H209" s="35">
        <f>'Fiscal Forecasts'!H$255</f>
        <v>22.326000000000001</v>
      </c>
      <c r="I209" s="35">
        <f>'Fiscal Forecasts'!I$255</f>
        <v>24.337</v>
      </c>
      <c r="J209" s="17">
        <f>'Fiscal Forecasts'!J$255</f>
        <v>24.657</v>
      </c>
      <c r="K209" s="17">
        <f>'Fiscal Forecasts'!K$255</f>
        <v>25.32</v>
      </c>
      <c r="L209" s="17">
        <f>'Fiscal Forecasts'!L$255</f>
        <v>25.808</v>
      </c>
      <c r="M209" s="17">
        <f>'Fiscal Forecasts'!M$255</f>
        <v>26.111999999999998</v>
      </c>
      <c r="N209" s="17">
        <f>'Fiscal Forecasts'!N$255</f>
        <v>26.395</v>
      </c>
      <c r="O209" s="16">
        <f ca="1">SUM(O$252-O$251,IF(O$6=OFFSET(Assumptions!$B$8,0,$C$1),AVERAGE(SUM(L$209,-(L$252-L$251))/SUM(L$209,-(L$252-L$251),L$216,L$223),(M$209-(M$252-M$251))/SUM(M$209,-(M$252-M$251),M$216,M$223),(N$209-(N$252-N$251))/SUM(N$209,-(N$252-N$251),N$216,N$223)),(N$209-(N$252-N$251))/SUM(N$209,-(N$252-N$251),N$216,N$223))*SUM(O$198-O$238,O$262,O$275,O$293,O$335,-(O$252-O$251)))</f>
        <v>26.164334773757691</v>
      </c>
      <c r="P209" s="16">
        <f ca="1">SUM(P$252-P$251,IF(P$6=OFFSET(Assumptions!$B$8,0,$C$1),AVERAGE(SUM(M$209,-(M$252-M$251))/SUM(M$209,-(M$252-M$251),M$216,M$223),(N$209-(N$252-N$251))/SUM(N$209,-(N$252-N$251),N$216,N$223),(O$209-(O$252-O$251))/SUM(O$209,-(O$252-O$251),O$216,O$223)),(O$209-(O$252-O$251))/SUM(O$209,-(O$252-O$251),O$216,O$223))*SUM(P$198-P$238,P$262,P$275,P$293,P$335,-(P$252-P$251)))</f>
        <v>26.294054362324243</v>
      </c>
      <c r="Q209" s="16">
        <f ca="1">SUM(Q$252-Q$251,IF(Q$6=OFFSET(Assumptions!$B$8,0,$C$1),AVERAGE(SUM(N$209,-(N$252-N$251))/SUM(N$209,-(N$252-N$251),N$216,N$223),(O$209-(O$252-O$251))/SUM(O$209,-(O$252-O$251),O$216,O$223),(P$209-(P$252-P$251))/SUM(P$209,-(P$252-P$251),P$216,P$223)),(P$209-(P$252-P$251))/SUM(P$209,-(P$252-P$251),P$216,P$223))*SUM(Q$198-Q$238,Q$262,Q$275,Q$293,Q$335,-(Q$252-Q$251)))</f>
        <v>26.50401243318597</v>
      </c>
      <c r="R209" s="16">
        <f ca="1">SUM(R$252-R$251,IF(R$6=OFFSET(Assumptions!$B$8,0,$C$1),AVERAGE(SUM(O$209,-(O$252-O$251))/SUM(O$209,-(O$252-O$251),O$216,O$223),(P$209-(P$252-P$251))/SUM(P$209,-(P$252-P$251),P$216,P$223),(Q$209-(Q$252-Q$251))/SUM(Q$209,-(Q$252-Q$251),Q$216,Q$223)),(Q$209-(Q$252-Q$251))/SUM(Q$209,-(Q$252-Q$251),Q$216,Q$223))*SUM(R$198-R$238,R$262,R$275,R$293,R$335,-(R$252-R$251)))</f>
        <v>26.731696964360072</v>
      </c>
      <c r="S209" s="16">
        <f ca="1">SUM(S$252-S$251,IF(S$6=OFFSET(Assumptions!$B$8,0,$C$1),AVERAGE(SUM(P$209,-(P$252-P$251))/SUM(P$209,-(P$252-P$251),P$216,P$223),(Q$209-(Q$252-Q$251))/SUM(Q$209,-(Q$252-Q$251),Q$216,Q$223),(R$209-(R$252-R$251))/SUM(R$209,-(R$252-R$251),R$216,R$223)),(R$209-(R$252-R$251))/SUM(R$209,-(R$252-R$251),R$216,R$223))*SUM(S$198-S$238,S$262,S$275,S$293,S$335,-(S$252-S$251)))</f>
        <v>26.96377888119552</v>
      </c>
      <c r="T209" s="16">
        <f ca="1">SUM(T$252-T$251,IF(T$6=OFFSET(Assumptions!$B$8,0,$C$1),AVERAGE(SUM(Q$209,-(Q$252-Q$251))/SUM(Q$209,-(Q$252-Q$251),Q$216,Q$223),(R$209-(R$252-R$251))/SUM(R$209,-(R$252-R$251),R$216,R$223),(S$209-(S$252-S$251))/SUM(S$209,-(S$252-S$251),S$216,S$223)),(S$209-(S$252-S$251))/SUM(S$209,-(S$252-S$251),S$216,S$223))*SUM(T$198-T$238,T$262,T$275,T$293,T$335,-(T$252-T$251)))</f>
        <v>27.197804078884211</v>
      </c>
      <c r="U209" s="16">
        <f ca="1">SUM(U$252-U$251,IF(U$6=OFFSET(Assumptions!$B$8,0,$C$1),AVERAGE(SUM(R$209,-(R$252-R$251))/SUM(R$209,-(R$252-R$251),R$216,R$223),(S$209-(S$252-S$251))/SUM(S$209,-(S$252-S$251),S$216,S$223),(T$209-(T$252-T$251))/SUM(T$209,-(T$252-T$251),T$216,T$223)),(T$209-(T$252-T$251))/SUM(T$209,-(T$252-T$251),T$216,T$223))*SUM(U$198-U$238,U$262,U$275,U$293,U$335,-(U$252-U$251)))</f>
        <v>27.439192524104005</v>
      </c>
      <c r="V209" s="16">
        <f ca="1">SUM(V$252-V$251,IF(V$6=OFFSET(Assumptions!$B$8,0,$C$1),AVERAGE(SUM(S$209,-(S$252-S$251))/SUM(S$209,-(S$252-S$251),S$216,S$223),(T$209-(T$252-T$251))/SUM(T$209,-(T$252-T$251),T$216,T$223),(U$209-(U$252-U$251))/SUM(U$209,-(U$252-U$251),U$216,U$223)),(U$209-(U$252-U$251))/SUM(U$209,-(U$252-U$251),U$216,U$223))*SUM(V$198-V$238,V$262,V$275,V$293,V$335,-(V$252-V$251)))</f>
        <v>27.684224025400084</v>
      </c>
      <c r="W209" s="16">
        <f ca="1">SUM(W$252-W$251,IF(W$6=OFFSET(Assumptions!$B$8,0,$C$1),AVERAGE(SUM(T$209,-(T$252-T$251))/SUM(T$209,-(T$252-T$251),T$216,T$223),(U$209-(U$252-U$251))/SUM(U$209,-(U$252-U$251),U$216,U$223),(V$209-(V$252-V$251))/SUM(V$209,-(V$252-V$251),V$216,V$223)),(V$209-(V$252-V$251))/SUM(V$209,-(V$252-V$251),V$216,V$223))*SUM(W$198-W$238,W$262,W$275,W$293,W$335,-(W$252-W$251)))</f>
        <v>27.934826721815387</v>
      </c>
      <c r="X209" s="16">
        <f ca="1">SUM(X$252-X$251,IF(X$6=OFFSET(Assumptions!$B$8,0,$C$1),AVERAGE(SUM(U$209,-(U$252-U$251))/SUM(U$209,-(U$252-U$251),U$216,U$223),(V$209-(V$252-V$251))/SUM(V$209,-(V$252-V$251),V$216,V$223),(W$209-(W$252-W$251))/SUM(W$209,-(W$252-W$251),W$216,W$223)),(W$209-(W$252-W$251))/SUM(W$209,-(W$252-W$251),W$216,W$223))*SUM(X$198-X$238,X$262,X$275,X$293,X$335,-(X$252-X$251)))</f>
        <v>28.192591723477104</v>
      </c>
    </row>
    <row r="210" spans="1:24" x14ac:dyDescent="0.25">
      <c r="A210" s="11" t="s">
        <v>904</v>
      </c>
      <c r="B210" s="10" t="str">
        <f t="shared" si="147"/>
        <v>From Fiscal Forecasts</v>
      </c>
      <c r="D210" s="35">
        <f>'Fiscal Forecasts'!D$256</f>
        <v>3.0960000000000001</v>
      </c>
      <c r="E210" s="35">
        <f>'Fiscal Forecasts'!E$256</f>
        <v>3.0230000000000001</v>
      </c>
      <c r="F210" s="35">
        <f>'Fiscal Forecasts'!F$256</f>
        <v>2.5819999999999999</v>
      </c>
      <c r="G210" s="35">
        <f>'Fiscal Forecasts'!G$256</f>
        <v>2.8610000000000002</v>
      </c>
      <c r="H210" s="35">
        <f>'Fiscal Forecasts'!H$256</f>
        <v>3.33</v>
      </c>
      <c r="I210" s="35">
        <f>'Fiscal Forecasts'!I$256</f>
        <v>3.5459999999999998</v>
      </c>
      <c r="J210" s="17">
        <f>'Fiscal Forecasts'!J$256</f>
        <v>3.6120000000000001</v>
      </c>
      <c r="K210" s="17">
        <f>'Fiscal Forecasts'!K$256</f>
        <v>3.7280000000000002</v>
      </c>
      <c r="L210" s="17">
        <f>'Fiscal Forecasts'!L$256</f>
        <v>3.8580000000000001</v>
      </c>
      <c r="M210" s="17">
        <f>'Fiscal Forecasts'!M$256</f>
        <v>3.9929999999999999</v>
      </c>
      <c r="N210" s="17">
        <f>'Fiscal Forecasts'!N$256</f>
        <v>4.09</v>
      </c>
      <c r="O210" s="16">
        <f ca="1">IF(O$6=OFFSET(Assumptions!$B$8,0,$C$1),AVERAGE(L$210/SUM(L$210,L$217,L$224),M$210/SUM(M$210,M$217,M$224),N$210/SUM(N$210,N$217,N$224)),N$210/SUM(N$210,N$217,N$224))*SUM(O$294,O$336-O$239)</f>
        <v>4.1976490813182066</v>
      </c>
      <c r="P210" s="16">
        <f ca="1">IF(P$6=OFFSET(Assumptions!$B$8,0,$C$1),AVERAGE(M$210/SUM(M$210,M$217,M$224),N$210/SUM(N$210,N$217,N$224),O$210/SUM(O$210,O$217,O$224)),O$210/SUM(O$210,O$217,O$224))*SUM(P$294,P$336-P$239)</f>
        <v>4.3047935229228331</v>
      </c>
      <c r="Q210" s="16">
        <f ca="1">IF(Q$6=OFFSET(Assumptions!$B$8,0,$C$1),AVERAGE(N$210/SUM(N$210,N$217,N$224),O$210/SUM(O$210,O$217,O$224),P$210/SUM(P$210,P$217,P$224)),P$210/SUM(P$210,P$217,P$224))*SUM(Q$294,Q$336-Q$239)</f>
        <v>4.4135818586776345</v>
      </c>
      <c r="R210" s="16">
        <f ca="1">IF(R$6=OFFSET(Assumptions!$B$8,0,$C$1),AVERAGE(O$210/SUM(O$210,O$217,O$224),P$210/SUM(P$210,P$217,P$224),Q$210/SUM(Q$210,Q$217,Q$224)),Q$210/SUM(Q$210,Q$217,Q$224))*SUM(R$294,R$336-R$239)</f>
        <v>4.5234682697409809</v>
      </c>
      <c r="S210" s="16">
        <f ca="1">IF(S$6=OFFSET(Assumptions!$B$8,0,$C$1),AVERAGE(P$210/SUM(P$210,P$217,P$224),Q$210/SUM(Q$210,Q$217,Q$224),R$210/SUM(R$210,R$217,R$224)),R$210/SUM(R$210,R$217,R$224))*SUM(S$294,S$336-S$239)</f>
        <v>4.6348054209035725</v>
      </c>
      <c r="T210" s="16">
        <f ca="1">IF(T$6=OFFSET(Assumptions!$B$8,0,$C$1),AVERAGE(Q$210/SUM(Q$210,Q$217,Q$224),R$210/SUM(R$210,R$217,R$224),S$210/SUM(S$210,S$217,S$224)),S$210/SUM(S$210,S$217,S$224))*SUM(T$294,T$336-T$239)</f>
        <v>4.7474684514724323</v>
      </c>
      <c r="U210" s="16">
        <f ca="1">IF(U$6=OFFSET(Assumptions!$B$8,0,$C$1),AVERAGE(R$210/SUM(R$210,R$217,R$224),S$210/SUM(S$210,S$217,S$224),T$210/SUM(T$210,T$217,T$224)),T$210/SUM(T$210,T$217,T$224))*SUM(U$294,U$336-U$239)</f>
        <v>4.8623018677780134</v>
      </c>
      <c r="V210" s="16">
        <f ca="1">IF(V$6=OFFSET(Assumptions!$B$8,0,$C$1),AVERAGE(S$210/SUM(S$210,S$217,S$224),T$210/SUM(T$210,T$217,T$224),U$210/SUM(U$210,U$217,U$224)),U$210/SUM(U$210,U$217,U$224))*SUM(V$294,V$336-V$239)</f>
        <v>4.9790077631443097</v>
      </c>
      <c r="W210" s="16">
        <f ca="1">IF(W$6=OFFSET(Assumptions!$B$8,0,$C$1),AVERAGE(T$210/SUM(T$210,T$217,T$224),U$210/SUM(U$210,U$217,U$224),V$210/SUM(V$210,V$217,V$224)),V$210/SUM(V$210,V$217,V$224))*SUM(W$294,W$336-W$239)</f>
        <v>5.0966545884082466</v>
      </c>
      <c r="X210" s="16">
        <f ca="1">IF(X$6=OFFSET(Assumptions!$B$8,0,$C$1),AVERAGE(U$210/SUM(U$210,U$217,U$224),V$210/SUM(V$210,V$217,V$224),W$210/SUM(W$210,W$217,W$224)),W$210/SUM(W$210,W$217,W$224))*SUM(X$294,X$336-X$239)</f>
        <v>5.21596013506056</v>
      </c>
    </row>
    <row r="211" spans="1:24" x14ac:dyDescent="0.25">
      <c r="A211" s="11" t="s">
        <v>866</v>
      </c>
      <c r="B211" s="10" t="str">
        <f t="shared" si="147"/>
        <v>From Fiscal Forecasts</v>
      </c>
      <c r="D211" s="35">
        <f>'Fiscal Forecasts'!D$257</f>
        <v>-4.2000000000000003E-2</v>
      </c>
      <c r="E211" s="35">
        <f>'Fiscal Forecasts'!E$257</f>
        <v>-4.4999999999999998E-2</v>
      </c>
      <c r="F211" s="35">
        <f>'Fiscal Forecasts'!F$257</f>
        <v>-5.1999999999999998E-2</v>
      </c>
      <c r="G211" s="35">
        <f>'Fiscal Forecasts'!G$257</f>
        <v>-5.5E-2</v>
      </c>
      <c r="H211" s="35">
        <f>'Fiscal Forecasts'!H$257</f>
        <v>-5.2999999999999999E-2</v>
      </c>
      <c r="I211" s="35">
        <f>'Fiscal Forecasts'!I$257</f>
        <v>-0.06</v>
      </c>
      <c r="J211" s="17">
        <f>'Fiscal Forecasts'!J$257</f>
        <v>-6.6000000000000003E-2</v>
      </c>
      <c r="K211" s="17">
        <f>'Fiscal Forecasts'!K$257</f>
        <v>-6.8000000000000005E-2</v>
      </c>
      <c r="L211" s="17">
        <f>'Fiscal Forecasts'!L$257</f>
        <v>-6.9000000000000006E-2</v>
      </c>
      <c r="M211" s="17">
        <f>'Fiscal Forecasts'!M$257</f>
        <v>-6.8000000000000005E-2</v>
      </c>
      <c r="N211" s="17">
        <f>'Fiscal Forecasts'!N$257</f>
        <v>-7.0000000000000007E-2</v>
      </c>
      <c r="O211" s="16">
        <f ca="1">IF(O$6=OFFSET(Assumptions!$B$8,0,$C$1),AVERAGE(L$211/SUM(L$211,L$225),M$211/SUM(M$211,M$225),N$211/SUM(N$211,N$225)),N$211/SUM(N$211,N$225))*SUM(O$199,O$263,O$276,O$295,O$337)</f>
        <v>-7.1883462317298252E-2</v>
      </c>
      <c r="P211" s="16">
        <f ca="1">IF(P$6=OFFSET(Assumptions!$B$8,0,$C$1),AVERAGE(M$211/SUM(M$211,M$225),N$211/SUM(N$211,N$225),O$211/SUM(O$211,O$225)),O$211/SUM(O$211,O$225))*SUM(P$199,P$263,P$276,P$295,P$337)</f>
        <v>-7.2262335090459609E-2</v>
      </c>
      <c r="Q211" s="16">
        <f ca="1">IF(Q$6=OFFSET(Assumptions!$B$8,0,$C$1),AVERAGE(N$211/SUM(N$211,N$225),O$211/SUM(O$211,O$225),P$211/SUM(P$211,P$225)),P$211/SUM(P$211,P$225))*SUM(Q$199,Q$263,Q$276,Q$295,Q$337)</f>
        <v>-7.2894370387615162E-2</v>
      </c>
      <c r="R211" s="16">
        <f ca="1">IF(R$6=OFFSET(Assumptions!$B$8,0,$C$1),AVERAGE(O$211/SUM(O$211,O$225),P$211/SUM(P$211,P$225),Q$211/SUM(Q$211,Q$225)),Q$211/SUM(Q$211,Q$225))*SUM(R$199,R$263,R$276,R$295,R$337)</f>
        <v>-7.3599354913664913E-2</v>
      </c>
      <c r="S211" s="16">
        <f ca="1">IF(S$6=OFFSET(Assumptions!$B$8,0,$C$1),AVERAGE(P$211/SUM(P$211,P$225),Q$211/SUM(Q$211,Q$225),R$211/SUM(R$211,R$225)),R$211/SUM(R$211,R$225))*SUM(S$199,S$263,S$276,S$295,S$337)</f>
        <v>-7.4338111025831641E-2</v>
      </c>
      <c r="T211" s="16">
        <f ca="1">IF(T$6=OFFSET(Assumptions!$B$8,0,$C$1),AVERAGE(Q$211/SUM(Q$211,Q$225),R$211/SUM(R$211,R$225),S$211/SUM(S$211,S$225)),S$211/SUM(S$211,S$225))*SUM(T$199,T$263,T$276,T$295,T$337)</f>
        <v>-7.5112177285189236E-2</v>
      </c>
      <c r="U211" s="16">
        <f ca="1">IF(U$6=OFFSET(Assumptions!$B$8,0,$C$1),AVERAGE(R$211/SUM(R$211,R$225),S$211/SUM(S$211,S$225),T$211/SUM(T$211,T$225)),T$211/SUM(T$211,T$225))*SUM(U$199,U$263,U$276,U$295,U$337)</f>
        <v>-7.5922281429904509E-2</v>
      </c>
      <c r="V211" s="16">
        <f ca="1">IF(V$6=OFFSET(Assumptions!$B$8,0,$C$1),AVERAGE(S$211/SUM(S$211,S$225),T$211/SUM(T$211,T$225),U$211/SUM(U$211,U$225)),U$211/SUM(U$211,U$225))*SUM(V$199,V$263,V$276,V$295,V$337)</f>
        <v>-7.6553598542768886E-2</v>
      </c>
      <c r="W211" s="16">
        <f ca="1">IF(W$6=OFFSET(Assumptions!$B$8,0,$C$1),AVERAGE(T$211/SUM(T$211,T$225),U$211/SUM(U$211,U$225),V$211/SUM(V$211,V$225)),V$211/SUM(V$211,V$225))*SUM(W$199,W$263,W$276,W$295,W$337)</f>
        <v>-7.7121708283821477E-2</v>
      </c>
      <c r="X211" s="16">
        <f ca="1">IF(X$6=OFFSET(Assumptions!$B$8,0,$C$1),AVERAGE(U$211/SUM(U$211,U$225),V$211/SUM(V$211,V$225),W$211/SUM(W$211,W$225)),W$211/SUM(W$211,W$225))*SUM(X$199,X$263,X$276,X$295,X$337)</f>
        <v>-7.7714377366232434E-2</v>
      </c>
    </row>
    <row r="212" spans="1:24" x14ac:dyDescent="0.25">
      <c r="A212" s="9" t="s">
        <v>959</v>
      </c>
      <c r="D212" s="65">
        <f t="shared" ref="D212:X212" si="148">SUM(D$208:D$211)</f>
        <v>25.933</v>
      </c>
      <c r="E212" s="65">
        <f t="shared" si="148"/>
        <v>27.774999999999999</v>
      </c>
      <c r="F212" s="65">
        <f t="shared" si="148"/>
        <v>29.817</v>
      </c>
      <c r="G212" s="65">
        <f t="shared" si="148"/>
        <v>32.647999999999996</v>
      </c>
      <c r="H212" s="65">
        <f t="shared" si="148"/>
        <v>36.052</v>
      </c>
      <c r="I212" s="65">
        <f t="shared" si="148"/>
        <v>39.082999999999998</v>
      </c>
      <c r="J212" s="66">
        <f t="shared" si="148"/>
        <v>39.61</v>
      </c>
      <c r="K212" s="66">
        <f t="shared" si="148"/>
        <v>40.758000000000003</v>
      </c>
      <c r="L212" s="66">
        <f t="shared" si="148"/>
        <v>41.474999999999994</v>
      </c>
      <c r="M212" s="66">
        <f t="shared" si="148"/>
        <v>41.884</v>
      </c>
      <c r="N212" s="66">
        <f t="shared" si="148"/>
        <v>42.311</v>
      </c>
      <c r="O212" s="67">
        <f t="shared" ca="1" si="148"/>
        <v>42.731711365618949</v>
      </c>
      <c r="P212" s="67">
        <f t="shared" ca="1" si="148"/>
        <v>42.978742699495456</v>
      </c>
      <c r="Q212" s="67">
        <f t="shared" ca="1" si="148"/>
        <v>43.307653102120582</v>
      </c>
      <c r="R212" s="67">
        <f t="shared" ca="1" si="148"/>
        <v>43.655569943061565</v>
      </c>
      <c r="S212" s="67">
        <f t="shared" ca="1" si="148"/>
        <v>44.009561087139332</v>
      </c>
      <c r="T212" s="67">
        <f t="shared" ca="1" si="148"/>
        <v>44.366936725454167</v>
      </c>
      <c r="U212" s="67">
        <f t="shared" ca="1" si="148"/>
        <v>44.734309417685438</v>
      </c>
      <c r="V212" s="67">
        <f t="shared" ca="1" si="148"/>
        <v>45.107652292003941</v>
      </c>
      <c r="W212" s="67">
        <f t="shared" ca="1" si="148"/>
        <v>45.487737372011082</v>
      </c>
      <c r="X212" s="67">
        <f t="shared" ca="1" si="148"/>
        <v>45.876905923970753</v>
      </c>
    </row>
    <row r="214" spans="1:24" x14ac:dyDescent="0.25">
      <c r="A214" s="9" t="s">
        <v>536</v>
      </c>
    </row>
    <row r="215" spans="1:24" x14ac:dyDescent="0.25">
      <c r="A215" s="9" t="s">
        <v>1100</v>
      </c>
      <c r="B215" s="10" t="str">
        <f t="shared" ref="B215:B219" si="149">$B$38</f>
        <v>From Fiscal Forecasts</v>
      </c>
      <c r="D215" s="42">
        <f>'Fiscal Forecasts'!D$260</f>
        <v>1.5009999999999999</v>
      </c>
      <c r="E215" s="42">
        <f>'Fiscal Forecasts'!E$260</f>
        <v>1.675</v>
      </c>
      <c r="F215" s="42">
        <f>'Fiscal Forecasts'!F$260</f>
        <v>1.883</v>
      </c>
      <c r="G215" s="42">
        <f>'Fiscal Forecasts'!G$260</f>
        <v>2.0019999999999998</v>
      </c>
      <c r="H215" s="42">
        <f>'Fiscal Forecasts'!H$260</f>
        <v>2.4</v>
      </c>
      <c r="I215" s="42">
        <f>'Fiscal Forecasts'!I$260</f>
        <v>2.81</v>
      </c>
      <c r="J215" s="43">
        <f>'Fiscal Forecasts'!J$260</f>
        <v>2.7429999999999999</v>
      </c>
      <c r="K215" s="43">
        <f>'Fiscal Forecasts'!K$260</f>
        <v>2.9079999999999999</v>
      </c>
      <c r="L215" s="43">
        <f>'Fiscal Forecasts'!L$260</f>
        <v>2.9940000000000002</v>
      </c>
      <c r="M215" s="43">
        <f>'Fiscal Forecasts'!M$260</f>
        <v>3.069</v>
      </c>
      <c r="N215" s="43">
        <f>'Fiscal Forecasts'!N$260</f>
        <v>3.073</v>
      </c>
      <c r="O215" s="47">
        <f t="shared" ref="O215:X215" si="150">O$431</f>
        <v>3.073</v>
      </c>
      <c r="P215" s="47">
        <f t="shared" si="150"/>
        <v>3.073</v>
      </c>
      <c r="Q215" s="47">
        <f t="shared" si="150"/>
        <v>3.073</v>
      </c>
      <c r="R215" s="47">
        <f t="shared" si="150"/>
        <v>3.073</v>
      </c>
      <c r="S215" s="47">
        <f t="shared" si="150"/>
        <v>3.073</v>
      </c>
      <c r="T215" s="47">
        <f t="shared" si="150"/>
        <v>3.073</v>
      </c>
      <c r="U215" s="47">
        <f t="shared" si="150"/>
        <v>3.073</v>
      </c>
      <c r="V215" s="47">
        <f t="shared" si="150"/>
        <v>3.073</v>
      </c>
      <c r="W215" s="47">
        <f t="shared" si="150"/>
        <v>3.073</v>
      </c>
      <c r="X215" s="47">
        <f t="shared" si="150"/>
        <v>3.073</v>
      </c>
    </row>
    <row r="216" spans="1:24" x14ac:dyDescent="0.25">
      <c r="A216" s="11" t="s">
        <v>707</v>
      </c>
      <c r="B216" s="10" t="str">
        <f t="shared" si="149"/>
        <v>From Fiscal Forecasts</v>
      </c>
      <c r="D216" s="35">
        <f>'Fiscal Forecasts'!D$261</f>
        <v>1.587</v>
      </c>
      <c r="E216" s="35">
        <f>'Fiscal Forecasts'!E$261</f>
        <v>1.776</v>
      </c>
      <c r="F216" s="35">
        <f>'Fiscal Forecasts'!F$261</f>
        <v>1.9530000000000001</v>
      </c>
      <c r="G216" s="35">
        <f>'Fiscal Forecasts'!G$261</f>
        <v>2.2509999999999999</v>
      </c>
      <c r="H216" s="35">
        <f>'Fiscal Forecasts'!H$261</f>
        <v>2.5110000000000001</v>
      </c>
      <c r="I216" s="35">
        <f>'Fiscal Forecasts'!I$261</f>
        <v>2.9</v>
      </c>
      <c r="J216" s="17">
        <f>'Fiscal Forecasts'!J$261</f>
        <v>3.012</v>
      </c>
      <c r="K216" s="17">
        <f>'Fiscal Forecasts'!K$261</f>
        <v>3.129</v>
      </c>
      <c r="L216" s="17">
        <f>'Fiscal Forecasts'!L$261</f>
        <v>3.177</v>
      </c>
      <c r="M216" s="17">
        <f>'Fiscal Forecasts'!M$261</f>
        <v>3.226</v>
      </c>
      <c r="N216" s="17">
        <f>'Fiscal Forecasts'!N$261</f>
        <v>3.274</v>
      </c>
      <c r="O216" s="16">
        <f t="shared" ref="O216:X216" si="151">N$216</f>
        <v>3.274</v>
      </c>
      <c r="P216" s="16">
        <f t="shared" si="151"/>
        <v>3.274</v>
      </c>
      <c r="Q216" s="16">
        <f t="shared" si="151"/>
        <v>3.274</v>
      </c>
      <c r="R216" s="16">
        <f t="shared" si="151"/>
        <v>3.274</v>
      </c>
      <c r="S216" s="16">
        <f t="shared" si="151"/>
        <v>3.274</v>
      </c>
      <c r="T216" s="16">
        <f t="shared" si="151"/>
        <v>3.274</v>
      </c>
      <c r="U216" s="16">
        <f t="shared" si="151"/>
        <v>3.274</v>
      </c>
      <c r="V216" s="16">
        <f t="shared" si="151"/>
        <v>3.274</v>
      </c>
      <c r="W216" s="16">
        <f t="shared" si="151"/>
        <v>3.274</v>
      </c>
      <c r="X216" s="16">
        <f t="shared" si="151"/>
        <v>3.274</v>
      </c>
    </row>
    <row r="217" spans="1:24" x14ac:dyDescent="0.25">
      <c r="A217" s="11" t="s">
        <v>904</v>
      </c>
      <c r="B217" s="10" t="str">
        <f t="shared" si="149"/>
        <v>From Fiscal Forecasts</v>
      </c>
      <c r="D217" s="35">
        <f>'Fiscal Forecasts'!D$262</f>
        <v>1.466</v>
      </c>
      <c r="E217" s="35">
        <f>'Fiscal Forecasts'!E$262</f>
        <v>1.843</v>
      </c>
      <c r="F217" s="35">
        <f>'Fiscal Forecasts'!F$262</f>
        <v>1.73</v>
      </c>
      <c r="G217" s="35">
        <f>'Fiscal Forecasts'!G$262</f>
        <v>1.899</v>
      </c>
      <c r="H217" s="35">
        <f>'Fiscal Forecasts'!H$262</f>
        <v>1.69</v>
      </c>
      <c r="I217" s="35">
        <f>'Fiscal Forecasts'!I$262</f>
        <v>1.911</v>
      </c>
      <c r="J217" s="17">
        <f>'Fiscal Forecasts'!J$262</f>
        <v>2.3050000000000002</v>
      </c>
      <c r="K217" s="17">
        <f>'Fiscal Forecasts'!K$262</f>
        <v>2.387</v>
      </c>
      <c r="L217" s="17">
        <f>'Fiscal Forecasts'!L$262</f>
        <v>2.5459999999999998</v>
      </c>
      <c r="M217" s="17">
        <f>'Fiscal Forecasts'!M$262</f>
        <v>2.7690000000000001</v>
      </c>
      <c r="N217" s="17">
        <f>'Fiscal Forecasts'!N$262</f>
        <v>2.8580000000000001</v>
      </c>
      <c r="O217" s="16">
        <f t="shared" ref="O217:X217" ca="1" si="152">N$217*O$428/N$428</f>
        <v>2.8867767255345771</v>
      </c>
      <c r="P217" s="16">
        <f t="shared" ca="1" si="152"/>
        <v>2.9155053385363265</v>
      </c>
      <c r="Q217" s="16">
        <f t="shared" ca="1" si="152"/>
        <v>2.9446104230131529</v>
      </c>
      <c r="R217" s="16">
        <f t="shared" ca="1" si="152"/>
        <v>2.9741784522143893</v>
      </c>
      <c r="S217" s="16">
        <f t="shared" ca="1" si="152"/>
        <v>3.0042196339142793</v>
      </c>
      <c r="T217" s="16">
        <f t="shared" ca="1" si="152"/>
        <v>3.0347434538140505</v>
      </c>
      <c r="U217" s="16">
        <f t="shared" ca="1" si="152"/>
        <v>3.0657563469539673</v>
      </c>
      <c r="V217" s="16">
        <f t="shared" ca="1" si="152"/>
        <v>3.0972656664558227</v>
      </c>
      <c r="W217" s="16">
        <f t="shared" ca="1" si="152"/>
        <v>3.1292787469463068</v>
      </c>
      <c r="X217" s="16">
        <f t="shared" ca="1" si="152"/>
        <v>3.1618067191578474</v>
      </c>
    </row>
    <row r="218" spans="1:24" x14ac:dyDescent="0.25">
      <c r="A218" s="9" t="s">
        <v>964</v>
      </c>
      <c r="D218" s="65">
        <f t="shared" ref="D218:X218" si="153">SUM(D$215:D$217)</f>
        <v>4.5540000000000003</v>
      </c>
      <c r="E218" s="65">
        <f t="shared" si="153"/>
        <v>5.2940000000000005</v>
      </c>
      <c r="F218" s="65">
        <f t="shared" si="153"/>
        <v>5.5660000000000007</v>
      </c>
      <c r="G218" s="65">
        <f t="shared" si="153"/>
        <v>6.1520000000000001</v>
      </c>
      <c r="H218" s="65">
        <f t="shared" si="153"/>
        <v>6.6009999999999991</v>
      </c>
      <c r="I218" s="65">
        <f t="shared" si="153"/>
        <v>7.6210000000000004</v>
      </c>
      <c r="J218" s="66">
        <f t="shared" si="153"/>
        <v>8.06</v>
      </c>
      <c r="K218" s="66">
        <f t="shared" si="153"/>
        <v>8.4239999999999995</v>
      </c>
      <c r="L218" s="66">
        <f t="shared" si="153"/>
        <v>8.7170000000000005</v>
      </c>
      <c r="M218" s="66">
        <f t="shared" si="153"/>
        <v>9.0640000000000001</v>
      </c>
      <c r="N218" s="66">
        <f t="shared" si="153"/>
        <v>9.2050000000000001</v>
      </c>
      <c r="O218" s="67">
        <f t="shared" ca="1" si="153"/>
        <v>9.2337767255345771</v>
      </c>
      <c r="P218" s="67">
        <f t="shared" ca="1" si="153"/>
        <v>9.2625053385363252</v>
      </c>
      <c r="Q218" s="67">
        <f t="shared" ca="1" si="153"/>
        <v>9.291610423013152</v>
      </c>
      <c r="R218" s="67">
        <f t="shared" ca="1" si="153"/>
        <v>9.3211784522143883</v>
      </c>
      <c r="S218" s="67">
        <f t="shared" ca="1" si="153"/>
        <v>9.3512196339142797</v>
      </c>
      <c r="T218" s="67">
        <f t="shared" ca="1" si="153"/>
        <v>9.3817434538140496</v>
      </c>
      <c r="U218" s="67">
        <f t="shared" ca="1" si="153"/>
        <v>9.4127563469539659</v>
      </c>
      <c r="V218" s="67">
        <f t="shared" ca="1" si="153"/>
        <v>9.4442656664558218</v>
      </c>
      <c r="W218" s="67">
        <f t="shared" ca="1" si="153"/>
        <v>9.4762787469463063</v>
      </c>
      <c r="X218" s="67">
        <f t="shared" ca="1" si="153"/>
        <v>9.508806719157846</v>
      </c>
    </row>
    <row r="219" spans="1:24" x14ac:dyDescent="0.25">
      <c r="A219" s="9" t="s">
        <v>960</v>
      </c>
      <c r="B219" s="10" t="str">
        <f t="shared" si="149"/>
        <v>From Fiscal Forecasts</v>
      </c>
      <c r="D219" s="42">
        <f>'Fiscal Forecasts'!D$265</f>
        <v>0.29399999999999998</v>
      </c>
      <c r="E219" s="42">
        <f>'Fiscal Forecasts'!E$265</f>
        <v>0.57399999999999995</v>
      </c>
      <c r="F219" s="42">
        <f>'Fiscal Forecasts'!F$265</f>
        <v>0.37</v>
      </c>
      <c r="G219" s="42">
        <f>'Fiscal Forecasts'!G$265</f>
        <v>0.316</v>
      </c>
      <c r="H219" s="42">
        <f>'Fiscal Forecasts'!H$265</f>
        <v>0.29399999999999998</v>
      </c>
      <c r="I219" s="42">
        <f>'Fiscal Forecasts'!I$265</f>
        <v>0.33</v>
      </c>
      <c r="J219" s="43">
        <f>'Fiscal Forecasts'!J$265</f>
        <v>0.33600000000000002</v>
      </c>
      <c r="K219" s="43">
        <f>'Fiscal Forecasts'!K$265</f>
        <v>0.34399999999999997</v>
      </c>
      <c r="L219" s="43">
        <f>'Fiscal Forecasts'!L$265</f>
        <v>0.34300000000000003</v>
      </c>
      <c r="M219" s="43">
        <f>'Fiscal Forecasts'!M$265</f>
        <v>0.34200000000000003</v>
      </c>
      <c r="N219" s="43">
        <f>'Fiscal Forecasts'!N$265</f>
        <v>0.34200000000000003</v>
      </c>
      <c r="O219" s="47">
        <f ca="1">IF(O$6=OFFSET(Assumptions!$B$8,0,$C$1),AVERAGE(L$219/L$441,M$219/M$441,N$219/N$441),N$219/N$441)*O$441</f>
        <v>0.33085072805363508</v>
      </c>
      <c r="P219" s="47">
        <f ca="1">IF(P$6=OFFSET(Assumptions!$B$8,0,$C$1),AVERAGE(M$219/M$441,N$219/N$441,O$219/O$441),O$219/O$441)*P$441</f>
        <v>0.33085072805363508</v>
      </c>
      <c r="Q219" s="47">
        <f ca="1">IF(Q$6=OFFSET(Assumptions!$B$8,0,$C$1),AVERAGE(N$219/N$441,O$219/O$441,P$219/P$441),P$219/P$441)*Q$441</f>
        <v>0.33085072805363508</v>
      </c>
      <c r="R219" s="47">
        <f ca="1">IF(R$6=OFFSET(Assumptions!$B$8,0,$C$1),AVERAGE(O$219/O$441,P$219/P$441,Q$219/Q$441),Q$219/Q$441)*R$441</f>
        <v>0.33085072805363508</v>
      </c>
      <c r="S219" s="47">
        <f ca="1">IF(S$6=OFFSET(Assumptions!$B$8,0,$C$1),AVERAGE(P$219/P$441,Q$219/Q$441,R$219/R$441),R$219/R$441)*S$441</f>
        <v>0.33085072805363508</v>
      </c>
      <c r="T219" s="47">
        <f ca="1">IF(T$6=OFFSET(Assumptions!$B$8,0,$C$1),AVERAGE(Q$219/Q$441,R$219/R$441,S$219/S$441),S$219/S$441)*T$441</f>
        <v>0.33085072805363508</v>
      </c>
      <c r="U219" s="47">
        <f ca="1">IF(U$6=OFFSET(Assumptions!$B$8,0,$C$1),AVERAGE(R$219/R$441,S$219/S$441,T$219/T$441),T$219/T$441)*U$441</f>
        <v>0.33085072805363508</v>
      </c>
      <c r="V219" s="47">
        <f ca="1">IF(V$6=OFFSET(Assumptions!$B$8,0,$C$1),AVERAGE(S$219/S$441,T$219/T$441,U$219/U$441),U$219/U$441)*V$441</f>
        <v>0.33085072805363508</v>
      </c>
      <c r="W219" s="47">
        <f ca="1">IF(W$6=OFFSET(Assumptions!$B$8,0,$C$1),AVERAGE(T$219/T$441,U$219/U$441,V$219/V$441),V$219/V$441)*W$441</f>
        <v>0.33085072805363508</v>
      </c>
      <c r="X219" s="47">
        <f ca="1">IF(X$6=OFFSET(Assumptions!$B$8,0,$C$1),AVERAGE(U$219/U$441,V$219/V$441,W$219/W$441),W$219/W$441)*X$441</f>
        <v>0.33085072805363508</v>
      </c>
    </row>
    <row r="220" spans="1:24" x14ac:dyDescent="0.25">
      <c r="A220" s="9"/>
    </row>
    <row r="221" spans="1:24" x14ac:dyDescent="0.25">
      <c r="A221" s="9" t="s">
        <v>537</v>
      </c>
    </row>
    <row r="222" spans="1:24" x14ac:dyDescent="0.25">
      <c r="A222" s="9" t="s">
        <v>1101</v>
      </c>
      <c r="B222" s="10" t="str">
        <f t="shared" ref="B222:B225" si="154">$B$38</f>
        <v>From Fiscal Forecasts</v>
      </c>
      <c r="D222" s="42">
        <f>'Fiscal Forecasts'!D$270</f>
        <v>44.959000000000003</v>
      </c>
      <c r="E222" s="42">
        <f>'Fiscal Forecasts'!E$270</f>
        <v>51.832999999999998</v>
      </c>
      <c r="F222" s="42">
        <f>'Fiscal Forecasts'!F$270</f>
        <v>58.084000000000003</v>
      </c>
      <c r="G222" s="42">
        <f>'Fiscal Forecasts'!G$270</f>
        <v>65.543000000000006</v>
      </c>
      <c r="H222" s="42">
        <f>'Fiscal Forecasts'!H$270</f>
        <v>68.150000000000006</v>
      </c>
      <c r="I222" s="42">
        <f>'Fiscal Forecasts'!I$270</f>
        <v>72.72</v>
      </c>
      <c r="J222" s="43">
        <f ca="1">'Fiscal Forecasts'!J$270+IF(OFFSET(Assumptions!$B$56,0,$C$1)="Yes",SUM(Allocation!C$14:C$24),0)+IF($C$2="Yes",'Fiscal Forecast Adjuster'!C$26/1000,0)+IF($C$3="Yes",'NZSF Adjuster'!U$23-'Fiscal Forecasts'!J$360,0)</f>
        <v>75.578000000000003</v>
      </c>
      <c r="K222" s="43">
        <f ca="1">'Fiscal Forecasts'!K$270+IF(OFFSET(Assumptions!$B$56,0,$C$1)="Yes",SUM(Allocation!D$14:D$24),0)+IF($C$2="Yes",'Fiscal Forecast Adjuster'!D$26/1000,0)+IF($C$3="Yes",'NZSF Adjuster'!V$23-'Fiscal Forecasts'!K$360,0)</f>
        <v>77.138000000000005</v>
      </c>
      <c r="L222" s="43">
        <f ca="1">'Fiscal Forecasts'!L$270+IF(OFFSET(Assumptions!$B$56,0,$C$1)="Yes",SUM(Allocation!E$14:E$24),0)+IF($C$2="Yes",'Fiscal Forecast Adjuster'!E$26/1000,0)+IF($C$3="Yes",'NZSF Adjuster'!W$23-'Fiscal Forecasts'!L$360,0)</f>
        <v>75.927000000000007</v>
      </c>
      <c r="M222" s="43">
        <f ca="1">'Fiscal Forecasts'!M$270+IF(OFFSET(Assumptions!$B$56,0,$C$1)="Yes",SUM(Allocation!F$14:F$24),0)+IF($C$2="Yes",'Fiscal Forecast Adjuster'!F$26/1000,0)+IF($C$3="Yes",'NZSF Adjuster'!X$23-'Fiscal Forecasts'!M$360,0)</f>
        <v>74.025000000000006</v>
      </c>
      <c r="N222" s="43">
        <f ca="1">'Fiscal Forecasts'!N$270+IF(OFFSET(Assumptions!$B$56,0,$C$1)="Yes",SUM(Allocation!G$14:G$24),0)+IF($C$2="Yes",'Fiscal Forecast Adjuster'!G$26/1000,0)+IF($C$3="Yes",'NZSF Adjuster'!Y$23-'Fiscal Forecasts'!N$360,0)</f>
        <v>74.593999999999994</v>
      </c>
      <c r="O222" s="47">
        <f ca="1">SUM(-O$215,O$333,IF(O$6=OFFSET(Assumptions!$B$8,0,$C$1),AVERAGE((L$222+L$215-L$333)/SUM(L$208,L$215,L$222,-L$251,-L$333),(M$222+M$215-M$333)/SUM(M$208,M$215,M$222,-M$251,-M$333),(N$222+N$215-N$333)/SUM(N$208,N$215,N$222,-N$251,-N$333)),(N$222+N$215-N$333)/SUM(N$208,N$215,N$222,-N$251,-N$333))*(O$332-O$261-SUM(O$267:O$270,O$273)))</f>
        <v>75.544304929571609</v>
      </c>
      <c r="P222" s="47">
        <f ca="1">SUM(-P$215,P$333,IF(P$6=OFFSET(Assumptions!$B$8,0,$C$1),AVERAGE((M$222+M$215-M$333)/SUM(M$208,M$215,M$222,-M$251,-M$333),(N$222+N$215-N$333)/SUM(N$208,N$215,N$222,-N$251,-N$333),(O$222+O$215-O$333)/SUM(O$208,O$215,O$222,-O$251,-O$333)),(O$222+O$215-O$333)/SUM(O$208,O$215,O$222,-O$251,-O$333))*(P$332-P$261-SUM(P$267:P$270,P$273)))</f>
        <v>75.634773165008056</v>
      </c>
      <c r="Q222" s="47">
        <f ca="1">SUM(-Q$215,Q$333,IF(Q$6=OFFSET(Assumptions!$B$8,0,$C$1),AVERAGE((N$222+N$215-N$333)/SUM(N$208,N$215,N$222,-N$251,-N$333),(O$222+O$215-O$333)/SUM(O$208,O$215,O$222,-O$251,-O$333),(P$222+P$215-P$333)/SUM(P$208,P$215,P$222,-P$251,-P$333)),(P$222+P$215-P$333)/SUM(P$208,P$215,P$222,-P$251,-P$333))*(Q$332-Q$261-SUM(Q$267:Q$270,Q$273)))</f>
        <v>75.918484729373802</v>
      </c>
      <c r="R222" s="47">
        <f ca="1">SUM(-R$215,R$333,IF(R$6=OFFSET(Assumptions!$B$8,0,$C$1),AVERAGE((O$222+O$215-O$333)/SUM(O$208,O$215,O$222,-O$251,-O$333),(P$222+P$215-P$333)/SUM(P$208,P$215,P$222,-P$251,-P$333),(Q$222+Q$215-Q$333)/SUM(Q$208,Q$215,Q$222,-Q$251,-Q$333)),(Q$222+Q$215-Q$333)/SUM(Q$208,Q$215,Q$222,-Q$251,-Q$333))*(R$332-R$261-SUM(R$267:R$270,R$273)))</f>
        <v>76.241046656111394</v>
      </c>
      <c r="S222" s="47">
        <f ca="1">SUM(-S$215,S$333,IF(S$6=OFFSET(Assumptions!$B$8,0,$C$1),AVERAGE((P$222+P$215-P$333)/SUM(P$208,P$215,P$222,-P$251,-P$333),(Q$222+Q$215-Q$333)/SUM(Q$208,Q$215,Q$222,-Q$251,-Q$333),(R$222+R$215-R$333)/SUM(R$208,R$215,R$222,-R$251,-R$333)),(R$222+R$215-R$333)/SUM(R$208,R$215,R$222,-R$251,-R$333))*(S$332-S$261-SUM(S$267:S$270,S$273)))</f>
        <v>76.568350341849225</v>
      </c>
      <c r="T222" s="47">
        <f ca="1">SUM(-T$215,T$333,IF(T$6=OFFSET(Assumptions!$B$8,0,$C$1),AVERAGE((Q$222+Q$215-Q$333)/SUM(Q$208,Q$215,Q$222,-Q$251,-Q$333),(R$222+R$215-R$333)/SUM(R$208,R$215,R$222,-R$251,-R$333),(S$222+S$215-S$333)/SUM(S$208,S$215,S$222,-S$251,-S$333)),(S$222+S$215-S$333)/SUM(S$208,S$215,S$222,-S$251,-S$333))*(T$332-T$261-SUM(T$267:T$270,T$273)))</f>
        <v>76.900978732099702</v>
      </c>
      <c r="U222" s="47">
        <f ca="1">SUM(-U$215,U$333,IF(U$6=OFFSET(Assumptions!$B$8,0,$C$1),AVERAGE((R$222+R$215-R$333)/SUM(R$208,R$215,R$222,-R$251,-R$333),(S$222+S$215-S$333)/SUM(S$208,S$215,S$222,-S$251,-S$333),(T$222+T$215-T$333)/SUM(T$208,T$215,T$222,-T$251,-T$333)),(T$222+T$215-T$333)/SUM(T$208,T$215,T$222,-T$251,-T$333))*(U$332-U$261-SUM(U$267:U$270,U$273)))</f>
        <v>77.237204874662012</v>
      </c>
      <c r="V222" s="47">
        <f ca="1">SUM(-V$215,V$333,IF(V$6=OFFSET(Assumptions!$B$8,0,$C$1),AVERAGE((S$222+S$215-S$333)/SUM(S$208,S$215,S$222,-S$251,-S$333),(T$222+T$215-T$333)/SUM(T$208,T$215,T$222,-T$251,-T$333),(U$222+U$215-U$333)/SUM(U$208,U$215,U$222,-U$251,-U$333)),(U$222+U$215-U$333)/SUM(U$208,U$215,U$222,-U$251,-U$333))*(V$332-V$261-SUM(V$267:V$270,V$273)))</f>
        <v>77.577514080842661</v>
      </c>
      <c r="W222" s="47">
        <f ca="1">SUM(-W$215,W$333,IF(W$6=OFFSET(Assumptions!$B$8,0,$C$1),AVERAGE((T$222+T$215-T$333)/SUM(T$208,T$215,T$222,-T$251,-T$333),(U$222+U$215-U$333)/SUM(U$208,U$215,U$222,-U$251,-U$333),(V$222+V$215-V$333)/SUM(V$208,V$215,V$222,-V$251,-V$333)),(V$222+V$215-V$333)/SUM(V$208,V$215,V$222,-V$251,-V$333))*(W$332-W$261-SUM(W$267:W$270,W$273)))</f>
        <v>77.924091028433836</v>
      </c>
      <c r="X222" s="47">
        <f ca="1">SUM(-X$215,X$333,IF(X$6=OFFSET(Assumptions!$B$8,0,$C$1),AVERAGE((U$222+U$215-U$333)/SUM(U$208,U$215,U$222,-U$251,-U$333),(V$222+V$215-V$333)/SUM(V$208,V$215,V$222,-V$251,-V$333),(W$222+W$215-W$333)/SUM(W$208,W$215,W$222,-W$251,-W$333)),(W$222+W$215-W$333)/SUM(W$208,W$215,W$222,-W$251,-W$333))*(X$332-X$261-SUM(X$267:X$270,X$273)))</f>
        <v>78.278416993118242</v>
      </c>
    </row>
    <row r="223" spans="1:24" x14ac:dyDescent="0.25">
      <c r="A223" s="11" t="s">
        <v>707</v>
      </c>
      <c r="B223" s="10" t="str">
        <f t="shared" si="154"/>
        <v>From Fiscal Forecasts</v>
      </c>
      <c r="D223" s="35">
        <f>'Fiscal Forecasts'!D$271</f>
        <v>22.132999999999999</v>
      </c>
      <c r="E223" s="35">
        <f>'Fiscal Forecasts'!E$271</f>
        <v>25.504999999999999</v>
      </c>
      <c r="F223" s="35">
        <f>'Fiscal Forecasts'!F$271</f>
        <v>25.257000000000001</v>
      </c>
      <c r="G223" s="35">
        <f>'Fiscal Forecasts'!G$271</f>
        <v>27.652000000000001</v>
      </c>
      <c r="H223" s="35">
        <f>'Fiscal Forecasts'!H$271</f>
        <v>33.918999999999997</v>
      </c>
      <c r="I223" s="35">
        <f>'Fiscal Forecasts'!I$271</f>
        <v>34.594999999999999</v>
      </c>
      <c r="J223" s="17">
        <f>'Fiscal Forecasts'!J$271</f>
        <v>35.579000000000001</v>
      </c>
      <c r="K223" s="17">
        <f>'Fiscal Forecasts'!K$271</f>
        <v>34.938000000000002</v>
      </c>
      <c r="L223" s="17">
        <f>'Fiscal Forecasts'!L$271</f>
        <v>36.030999999999999</v>
      </c>
      <c r="M223" s="17">
        <f>'Fiscal Forecasts'!M$271</f>
        <v>34.314</v>
      </c>
      <c r="N223" s="17">
        <f>'Fiscal Forecasts'!N$271</f>
        <v>34.192999999999998</v>
      </c>
      <c r="O223" s="16">
        <f ca="1">SUM(-O$216,IF(O$6=OFFSET(Assumptions!$B$8,0,$C$1),AVERAGE(SUM(L$216,L$223)/SUM(L$209,-(L$252-L$251),L$216,L$223),SUM(M$216,M$223)/SUM(M$209,-(M$252-M$251),M$216,M$223),SUM(N$216,N$223)/SUM(N$209,-(N$252-N$251),N$216,N$223)),SUM(N$216,N$223)/SUM(N$209,-(N$252-N$251),N$216,N$223))*SUM(O$198-O$238,O$262,O$275,O$293,O$335,-(O$252-O$251)))</f>
        <v>34.875994127349635</v>
      </c>
      <c r="P223" s="16">
        <f ca="1">SUM(-P$216,IF(P$6=OFFSET(Assumptions!$B$8,0,$C$1),AVERAGE(SUM(M$216,M$223)/SUM(M$209,-(M$252-M$251),M$216,M$223),SUM(N$216,N$223)/SUM(N$209,-(N$252-N$251),N$216,N$223),SUM(O$216,O$223)/SUM(O$209,-(O$252-O$251),O$216,O$223)),SUM(O$216,O$223)/SUM(O$209,-(O$252-O$251),O$216,O$223))*SUM(P$198-P$238,P$262,P$275,P$293,P$335,-(P$252-P$251)))</f>
        <v>35.067801858918152</v>
      </c>
      <c r="Q223" s="16">
        <f ca="1">SUM(-Q$216,IF(Q$6=OFFSET(Assumptions!$B$8,0,$C$1),AVERAGE(SUM(N$216,N$223)/SUM(N$209,-(N$252-N$251),N$216,N$223),SUM(O$216,O$223)/SUM(O$209,-(O$252-O$251),O$216,O$223),SUM(P$216,P$223)/SUM(P$209,-(P$252-P$251),P$216,P$223)),SUM(P$216,P$223)/SUM(P$209,-(P$252-P$251),P$216,P$223))*SUM(Q$198-Q$238,Q$262,Q$275,Q$293,Q$335,-(Q$252-Q$251)))</f>
        <v>35.376768301419787</v>
      </c>
      <c r="R223" s="16">
        <f ca="1">SUM(-R$216,IF(R$6=OFFSET(Assumptions!$B$8,0,$C$1),AVERAGE(SUM(O$216,O$223)/SUM(O$209,-(O$252-O$251),O$216,O$223),SUM(P$216,P$223)/SUM(P$209,-(P$252-P$251),P$216,P$223),SUM(Q$216,Q$223)/SUM(Q$209,-(Q$252-Q$251),Q$216,Q$223)),SUM(Q$216,Q$223)/SUM(Q$209,-(Q$252-Q$251),Q$216,Q$223))*SUM(R$198-R$238,R$262,R$275,R$293,R$335,-(R$252-R$251)))</f>
        <v>35.71161770157714</v>
      </c>
      <c r="S223" s="16">
        <f ca="1">SUM(-S$216,IF(S$6=OFFSET(Assumptions!$B$8,0,$C$1),AVERAGE(SUM(P$216,P$223)/SUM(P$209,-(P$252-P$251),P$216,P$223),SUM(Q$216,Q$223)/SUM(Q$209,-(Q$252-Q$251),Q$216,Q$223),SUM(R$216,R$223)/SUM(R$209,-(R$252-R$251),R$216,R$223)),SUM(R$216,R$223)/SUM(R$209,-(R$252-R$251),R$216,R$223))*SUM(S$198-S$238,S$262,S$275,S$293,S$335,-(S$252-S$251)))</f>
        <v>36.052887861709287</v>
      </c>
      <c r="T223" s="16">
        <f ca="1">SUM(-T$216,IF(T$6=OFFSET(Assumptions!$B$8,0,$C$1),AVERAGE(SUM(Q$216,Q$223)/SUM(Q$209,-(Q$252-Q$251),Q$216,Q$223),SUM(R$216,R$223)/SUM(R$209,-(R$252-R$251),R$216,R$223),SUM(S$216,S$223)/SUM(S$209,-(S$252-S$251),S$216,S$223)),SUM(S$216,S$223)/SUM(S$209,-(S$252-S$251),S$216,S$223))*SUM(T$198-T$238,T$262,T$275,T$293,T$335,-(T$252-T$251)))</f>
        <v>36.397136650002203</v>
      </c>
      <c r="U223" s="16">
        <f ca="1">SUM(-U$216,IF(U$6=OFFSET(Assumptions!$B$8,0,$C$1),AVERAGE(SUM(R$216,R$223)/SUM(R$209,-(R$252-R$251),R$216,R$223),SUM(S$216,S$223)/SUM(S$209,-(S$252-S$251),S$216,S$223),SUM(T$216,T$223)/SUM(T$209,-(T$252-T$251),T$216,T$223)),SUM(T$216,T$223)/SUM(T$209,-(T$252-T$251),T$216,T$223))*SUM(U$198-U$238,U$262,U$275,U$293,U$335,-(U$252-U$251)))</f>
        <v>36.751854379364389</v>
      </c>
      <c r="V223" s="16">
        <f ca="1">SUM(-V$216,IF(V$6=OFFSET(Assumptions!$B$8,0,$C$1),AVERAGE(SUM(S$216,S$223)/SUM(S$209,-(S$252-S$251),S$216,S$223),SUM(T$216,T$223)/SUM(T$209,-(T$252-T$251),T$216,T$223),SUM(U$216,U$223)/SUM(U$209,-(U$252-U$251),U$216,U$223)),SUM(U$216,U$223)/SUM(U$209,-(U$252-U$251),U$216,U$223))*SUM(V$198-V$238,V$262,V$275,V$293,V$335,-(V$252-V$251)))</f>
        <v>37.111891448543901</v>
      </c>
      <c r="W223" s="16">
        <f ca="1">SUM(-W$216,IF(W$6=OFFSET(Assumptions!$B$8,0,$C$1),AVERAGE(SUM(T$216,T$223)/SUM(T$209,-(T$252-T$251),T$216,T$223),SUM(U$216,U$223)/SUM(U$209,-(U$252-U$251),U$216,U$223),SUM(V$216,V$223)/SUM(V$209,-(V$252-V$251),V$216,V$223)),SUM(V$216,V$223)/SUM(V$209,-(V$252-V$251),V$216,V$223))*SUM(W$198-W$238,W$262,W$275,W$293,W$335,-(W$252-W$251)))</f>
        <v>37.480204376671963</v>
      </c>
      <c r="X223" s="16">
        <f ca="1">SUM(-X$216,IF(X$6=OFFSET(Assumptions!$B$8,0,$C$1),AVERAGE(SUM(U$216,U$223)/SUM(U$209,-(U$252-U$251),U$216,U$223),SUM(V$216,V$223)/SUM(V$209,-(V$252-V$251),V$216,V$223),SUM(W$216,W$223)/SUM(W$209,-(W$252-W$251),W$216,W$223)),SUM(W$216,W$223)/SUM(W$209,-(W$252-W$251),W$216,W$223))*SUM(X$198-X$238,X$262,X$275,X$293,X$335,-(X$252-X$251)))</f>
        <v>37.858975210108994</v>
      </c>
    </row>
    <row r="224" spans="1:24" x14ac:dyDescent="0.25">
      <c r="A224" s="11" t="s">
        <v>904</v>
      </c>
      <c r="B224" s="10" t="str">
        <f t="shared" si="154"/>
        <v>From Fiscal Forecasts</v>
      </c>
      <c r="D224" s="35">
        <f>'Fiscal Forecasts'!D$272</f>
        <v>9.4740000000000002</v>
      </c>
      <c r="E224" s="35">
        <f>'Fiscal Forecasts'!E$272</f>
        <v>12.164999999999999</v>
      </c>
      <c r="F224" s="35">
        <f>'Fiscal Forecasts'!F$272</f>
        <v>11.702999999999999</v>
      </c>
      <c r="G224" s="35">
        <f>'Fiscal Forecasts'!G$272</f>
        <v>9.8040000000000003</v>
      </c>
      <c r="H224" s="35">
        <f>'Fiscal Forecasts'!H$272</f>
        <v>12.132</v>
      </c>
      <c r="I224" s="35">
        <f>'Fiscal Forecasts'!I$272</f>
        <v>16.550999999999998</v>
      </c>
      <c r="J224" s="17">
        <f>'Fiscal Forecasts'!J$272</f>
        <v>16.504000000000001</v>
      </c>
      <c r="K224" s="17">
        <f>'Fiscal Forecasts'!K$272</f>
        <v>16.885999999999999</v>
      </c>
      <c r="L224" s="17">
        <f>'Fiscal Forecasts'!L$272</f>
        <v>16.931999999999999</v>
      </c>
      <c r="M224" s="17">
        <f>'Fiscal Forecasts'!M$272</f>
        <v>17.684000000000001</v>
      </c>
      <c r="N224" s="17">
        <f>'Fiscal Forecasts'!N$272</f>
        <v>17.927</v>
      </c>
      <c r="O224" s="16">
        <f ca="1">SUM(-O$217,IF(O$6=OFFSET(Assumptions!$B$8,0,$C$1),AVERAGE(SUM(L$217,L$224)/SUM(L$210,L$217,L$224),SUM(M$217,M$224)/SUM(M$210,M$217,M$224),SUM(N$217,N$224)/SUM(N$210,N$217,N$224)),SUM(N$217,N$224)/SUM(N$210,N$217,N$224))*SUM(O$294,O$336-O$239))</f>
        <v>18.454639259170396</v>
      </c>
      <c r="P224" s="16">
        <f ca="1">SUM(-P$217,IF(P$6=OFFSET(Assumptions!$B$8,0,$C$1),AVERAGE(SUM(M$217,M$224)/SUM(M$210,M$217,M$224),SUM(N$217,N$224)/SUM(N$210,N$217,N$224),SUM(O$217,O$224)/SUM(O$210,O$217,O$224)),SUM(O$217,O$224)/SUM(O$210,O$217,O$224))*SUM(P$294,P$336-P$239))</f>
        <v>18.970647486823079</v>
      </c>
      <c r="Q224" s="16">
        <f ca="1">SUM(-Q$217,IF(Q$6=OFFSET(Assumptions!$B$8,0,$C$1),AVERAGE(SUM(N$217,N$224)/SUM(N$210,N$217,N$224),SUM(O$217,O$224)/SUM(O$210,O$217,O$224),SUM(P$217,P$224)/SUM(P$210,P$217,P$224)),SUM(P$217,P$224)/SUM(P$210,P$217,P$224))*SUM(Q$294,Q$336-Q$239))</f>
        <v>19.494637023323449</v>
      </c>
      <c r="R224" s="16">
        <f ca="1">SUM(-R$217,IF(R$6=OFFSET(Assumptions!$B$8,0,$C$1),AVERAGE(SUM(O$217,O$224)/SUM(O$210,O$217,O$224),SUM(P$217,P$224)/SUM(P$210,P$217,P$224),SUM(Q$217,Q$224)/SUM(Q$210,Q$217,Q$224)),SUM(Q$217,Q$224)/SUM(Q$210,Q$217,Q$224))*SUM(R$294,R$336-R$239))</f>
        <v>20.023746378567296</v>
      </c>
      <c r="S224" s="16">
        <f ca="1">SUM(-S$217,IF(S$6=OFFSET(Assumptions!$B$8,0,$C$1),AVERAGE(SUM(P$217,P$224)/SUM(P$210,P$217,P$224),SUM(Q$217,Q$224)/SUM(Q$210,Q$217,Q$224),SUM(R$217,R$224)/SUM(R$210,R$217,R$224)),SUM(R$217,R$224)/SUM(R$210,R$217,R$224))*SUM(S$294,S$336-S$239))</f>
        <v>20.559758340301368</v>
      </c>
      <c r="T224" s="16">
        <f ca="1">SUM(-T$217,IF(T$6=OFFSET(Assumptions!$B$8,0,$C$1),AVERAGE(SUM(Q$217,Q$224)/SUM(Q$210,Q$217,Q$224),SUM(R$217,R$224)/SUM(R$210,R$217,R$224),SUM(S$217,S$224)/SUM(S$210,S$217,S$224)),SUM(S$217,S$224)/SUM(S$210,S$217,S$224))*SUM(T$294,T$336-T$239))</f>
        <v>21.102028614164311</v>
      </c>
      <c r="U224" s="16">
        <f ca="1">SUM(-U$217,IF(U$6=OFFSET(Assumptions!$B$8,0,$C$1),AVERAGE(SUM(R$217,R$224)/SUM(R$210,R$217,R$224),SUM(S$217,S$224)/SUM(S$210,S$217,S$224),SUM(T$217,T$224)/SUM(T$210,T$217,T$224)),SUM(T$217,T$224)/SUM(T$210,T$217,T$224))*SUM(U$294,U$336-U$239))</f>
        <v>21.654844349584405</v>
      </c>
      <c r="V224" s="16">
        <f ca="1">SUM(-V$217,IF(V$6=OFFSET(Assumptions!$B$8,0,$C$1),AVERAGE(SUM(S$217,S$224)/SUM(S$210,S$217,S$224),SUM(T$217,T$224)/SUM(T$210,T$217,T$224),SUM(U$217,U$224)/SUM(U$210,U$217,U$224)),SUM(U$217,U$224)/SUM(U$210,U$217,U$224))*SUM(V$294,V$336-V$239))</f>
        <v>22.216683595584229</v>
      </c>
      <c r="W224" s="16">
        <f ca="1">SUM(-W$217,IF(W$6=OFFSET(Assumptions!$B$8,0,$C$1),AVERAGE(SUM(T$217,T$224)/SUM(T$210,T$217,T$224),SUM(U$217,U$224)/SUM(U$210,U$217,U$224),SUM(V$217,V$224)/SUM(V$210,V$217,V$224)),SUM(V$217,V$224)/SUM(V$210,V$217,V$224))*SUM(W$294,W$336-W$239))</f>
        <v>22.782802895528249</v>
      </c>
      <c r="X224" s="16">
        <f ca="1">SUM(-X$217,IF(X$6=OFFSET(Assumptions!$B$8,0,$C$1),AVERAGE(SUM(U$217,U$224)/SUM(U$210,U$217,U$224),SUM(V$217,V$224)/SUM(V$210,V$217,V$224),SUM(W$217,W$224)/SUM(W$210,W$217,W$224)),SUM(W$217,W$224)/SUM(W$210,W$217,W$224))*SUM(X$294,X$336-X$239))</f>
        <v>23.356840467759515</v>
      </c>
    </row>
    <row r="225" spans="1:24" x14ac:dyDescent="0.25">
      <c r="A225" s="11" t="s">
        <v>866</v>
      </c>
      <c r="B225" s="10" t="str">
        <f t="shared" si="154"/>
        <v>From Fiscal Forecasts</v>
      </c>
      <c r="D225" s="35">
        <f>'Fiscal Forecasts'!D$273</f>
        <v>-33.872999999999998</v>
      </c>
      <c r="E225" s="35">
        <f>'Fiscal Forecasts'!E$273</f>
        <v>-36.92</v>
      </c>
      <c r="F225" s="35">
        <f>'Fiscal Forecasts'!F$273</f>
        <v>-41.241999999999997</v>
      </c>
      <c r="G225" s="35">
        <f>'Fiscal Forecasts'!G$273</f>
        <v>-44.725999999999999</v>
      </c>
      <c r="H225" s="35">
        <f>'Fiscal Forecasts'!H$273</f>
        <v>-50.067</v>
      </c>
      <c r="I225" s="35">
        <f>'Fiscal Forecasts'!I$273</f>
        <v>-53.246000000000002</v>
      </c>
      <c r="J225" s="17">
        <f>'Fiscal Forecasts'!J$273</f>
        <v>-54.987000000000002</v>
      </c>
      <c r="K225" s="17">
        <f>'Fiscal Forecasts'!K$273</f>
        <v>-56.061</v>
      </c>
      <c r="L225" s="17">
        <f>'Fiscal Forecasts'!L$273</f>
        <v>-57.274999999999999</v>
      </c>
      <c r="M225" s="17">
        <f>'Fiscal Forecasts'!M$273</f>
        <v>-56.704999999999998</v>
      </c>
      <c r="N225" s="17">
        <f>'Fiscal Forecasts'!N$273</f>
        <v>-57.371000000000002</v>
      </c>
      <c r="O225" s="16">
        <f ca="1">IF(O$6=OFFSET(Assumptions!$B$8,0,$C$1),AVERAGE(L$225/SUM(L$211,L$225),M$225/SUM(M$211,M$225),N$225/SUM(N$211,N$225)),N$225/SUM(N$211,N$225))*SUM(O$199,O$263,O$276,O$295,O$337)</f>
        <v>-59.505663737415176</v>
      </c>
      <c r="P225" s="16">
        <f ca="1">IF(P$6=OFFSET(Assumptions!$B$8,0,$C$1),AVERAGE(M$225/SUM(M$211,M$225),N$225/SUM(N$211,N$225),O$225/SUM(O$211,O$225)),O$225/SUM(O$211,O$225))*SUM(P$199,P$263,P$276,P$295,P$337)</f>
        <v>-59.819297431622701</v>
      </c>
      <c r="Q225" s="16">
        <f ca="1">IF(Q$6=OFFSET(Assumptions!$B$8,0,$C$1),AVERAGE(N$225/SUM(N$211,N$225),O$225/SUM(O$211,O$225),P$225/SUM(P$211,P$225)),P$225/SUM(P$211,P$225))*SUM(Q$199,Q$263,Q$276,Q$295,Q$337)</f>
        <v>-60.342500942559667</v>
      </c>
      <c r="R225" s="16">
        <f ca="1">IF(R$6=OFFSET(Assumptions!$B$8,0,$C$1),AVERAGE(O$225/SUM(O$211,O$225),P$225/SUM(P$211,P$225),Q$225/SUM(Q$211,Q$225)),Q$225/SUM(Q$211,Q$225))*SUM(R$199,R$263,R$276,R$295,R$337)</f>
        <v>-60.926092366718187</v>
      </c>
      <c r="S225" s="16">
        <f ca="1">IF(S$6=OFFSET(Assumptions!$B$8,0,$C$1),AVERAGE(P$225/SUM(P$211,P$225),Q$225/SUM(Q$211,Q$225),R$225/SUM(R$211,R$225)),R$225/SUM(R$211,R$225))*SUM(S$199,S$263,S$276,S$295,S$337)</f>
        <v>-61.537640160569723</v>
      </c>
      <c r="T225" s="16">
        <f ca="1">IF(T$6=OFFSET(Assumptions!$B$8,0,$C$1),AVERAGE(Q$225/SUM(Q$211,Q$225),R$225/SUM(R$211,R$225),S$225/SUM(S$211,S$225)),S$225/SUM(S$211,S$225))*SUM(T$199,T$263,T$276,T$295,T$337)</f>
        <v>-62.178417956392835</v>
      </c>
      <c r="U225" s="16">
        <f ca="1">IF(U$6=OFFSET(Assumptions!$B$8,0,$C$1),AVERAGE(R$225/SUM(R$211,R$225),S$225/SUM(S$211,S$225),T$225/SUM(T$211,T$225)),T$225/SUM(T$211,T$225))*SUM(U$199,U$263,U$276,U$295,U$337)</f>
        <v>-62.849028181244414</v>
      </c>
      <c r="V225" s="16">
        <f ca="1">IF(V$6=OFFSET(Assumptions!$B$8,0,$C$1),AVERAGE(S$225/SUM(S$211,S$225),T$225/SUM(T$211,T$225),U$225/SUM(U$211,U$225)),U$225/SUM(U$211,U$225))*SUM(V$199,V$263,V$276,V$295,V$337)</f>
        <v>-63.37163717389366</v>
      </c>
      <c r="W225" s="16">
        <f ca="1">IF(W$6=OFFSET(Assumptions!$B$8,0,$C$1),AVERAGE(T$225/SUM(T$211,T$225),U$225/SUM(U$211,U$225),V$225/SUM(V$211,V$225)),V$225/SUM(V$211,V$225))*SUM(W$199,W$263,W$276,W$295,W$337)</f>
        <v>-63.841922634933439</v>
      </c>
      <c r="X225" s="16">
        <f ca="1">IF(X$6=OFFSET(Assumptions!$B$8,0,$C$1),AVERAGE(U$225/SUM(U$211,U$225),V$225/SUM(V$211,V$225),W$225/SUM(W$211,W$225)),W$225/SUM(W$211,W$225))*SUM(X$199,X$263,X$276,X$295,X$337)</f>
        <v>-64.33253850106739</v>
      </c>
    </row>
    <row r="226" spans="1:24" x14ac:dyDescent="0.25">
      <c r="A226" s="9" t="s">
        <v>965</v>
      </c>
      <c r="D226" s="65">
        <f t="shared" ref="D226:X226" si="155">SUM(D$222:D$225)</f>
        <v>42.693000000000005</v>
      </c>
      <c r="E226" s="65">
        <f t="shared" si="155"/>
        <v>52.582999999999984</v>
      </c>
      <c r="F226" s="65">
        <f t="shared" si="155"/>
        <v>53.802000000000014</v>
      </c>
      <c r="G226" s="65">
        <f t="shared" si="155"/>
        <v>58.27300000000001</v>
      </c>
      <c r="H226" s="65">
        <f t="shared" si="155"/>
        <v>64.134000000000015</v>
      </c>
      <c r="I226" s="65">
        <f t="shared" si="155"/>
        <v>70.62</v>
      </c>
      <c r="J226" s="66">
        <f t="shared" ca="1" si="155"/>
        <v>72.674000000000007</v>
      </c>
      <c r="K226" s="66">
        <f t="shared" ca="1" si="155"/>
        <v>72.90100000000001</v>
      </c>
      <c r="L226" s="66">
        <f t="shared" ca="1" si="155"/>
        <v>71.614999999999981</v>
      </c>
      <c r="M226" s="66">
        <f t="shared" ca="1" si="155"/>
        <v>69.317999999999998</v>
      </c>
      <c r="N226" s="66">
        <f t="shared" ca="1" si="155"/>
        <v>69.342999999999989</v>
      </c>
      <c r="O226" s="67">
        <f t="shared" ca="1" si="155"/>
        <v>69.369274578676453</v>
      </c>
      <c r="P226" s="67">
        <f t="shared" ca="1" si="155"/>
        <v>69.853925079126597</v>
      </c>
      <c r="Q226" s="67">
        <f t="shared" ca="1" si="155"/>
        <v>70.447389111557385</v>
      </c>
      <c r="R226" s="67">
        <f t="shared" ca="1" si="155"/>
        <v>71.050318369537649</v>
      </c>
      <c r="S226" s="67">
        <f t="shared" ca="1" si="155"/>
        <v>71.64335638329014</v>
      </c>
      <c r="T226" s="67">
        <f t="shared" ca="1" si="155"/>
        <v>72.221726039873388</v>
      </c>
      <c r="U226" s="67">
        <f t="shared" ca="1" si="155"/>
        <v>72.794875422366374</v>
      </c>
      <c r="V226" s="67">
        <f t="shared" ca="1" si="155"/>
        <v>73.534451951077116</v>
      </c>
      <c r="W226" s="67">
        <f t="shared" ca="1" si="155"/>
        <v>74.345175665700594</v>
      </c>
      <c r="X226" s="67">
        <f t="shared" ca="1" si="155"/>
        <v>75.161694169919357</v>
      </c>
    </row>
    <row r="227" spans="1:24" x14ac:dyDescent="0.25">
      <c r="A227" s="9"/>
    </row>
    <row r="228" spans="1:24" x14ac:dyDescent="0.25">
      <c r="A228" s="9" t="s">
        <v>893</v>
      </c>
    </row>
    <row r="229" spans="1:24" x14ac:dyDescent="0.25">
      <c r="A229" s="9" t="s">
        <v>1102</v>
      </c>
      <c r="B229" s="10" t="str">
        <f>$B$38</f>
        <v>From Fiscal Forecasts</v>
      </c>
      <c r="D229" s="42">
        <f>'Fiscal Forecasts'!D$173</f>
        <v>3.69</v>
      </c>
      <c r="E229" s="42">
        <f>'Fiscal Forecasts'!E$173</f>
        <v>3.2280000000000002</v>
      </c>
      <c r="F229" s="42">
        <f>'Fiscal Forecasts'!F$173</f>
        <v>1.9179999999999999</v>
      </c>
      <c r="G229" s="42">
        <f>'Fiscal Forecasts'!G$173</f>
        <v>2.8839999999999999</v>
      </c>
      <c r="H229" s="42">
        <f>'Fiscal Forecasts'!H$173</f>
        <v>6.569</v>
      </c>
      <c r="I229" s="42">
        <f>'Fiscal Forecasts'!I$173</f>
        <v>8.9429999999999996</v>
      </c>
      <c r="J229" s="43">
        <f>'Fiscal Forecasts'!J$173+IF($C$2="Yes",'Fiscal Forecast Adjuster'!C$37/1000,0)+IF($C$3="Yes",'NZSF Adjuster'!U$9,0)</f>
        <v>8.8390000000000004</v>
      </c>
      <c r="K229" s="43">
        <f>'Fiscal Forecasts'!K$173+IF($C$2="Yes",'Fiscal Forecast Adjuster'!D$37/1000,0)+IF($C$3="Yes",'NZSF Adjuster'!V$9,0)</f>
        <v>9.5129999999999999</v>
      </c>
      <c r="L229" s="43">
        <f>'Fiscal Forecasts'!L$173+IF($C$2="Yes",'Fiscal Forecast Adjuster'!E$37/1000,0)+IF($C$3="Yes",'NZSF Adjuster'!W$9,0)</f>
        <v>10.558999999999999</v>
      </c>
      <c r="M229" s="43">
        <f>'Fiscal Forecasts'!M$173+IF($C$2="Yes",'Fiscal Forecast Adjuster'!F$37/1000,0)+IF($C$3="Yes",'NZSF Adjuster'!X$9,0)</f>
        <v>11.769</v>
      </c>
      <c r="N229" s="43">
        <f>'Fiscal Forecasts'!N$173+IF($C$2="Yes",'Fiscal Forecast Adjuster'!G$37/1000,0)+IF($C$3="Yes",'NZSF Adjuster'!Y$9,0)</f>
        <v>12.673999999999999</v>
      </c>
      <c r="O229" s="47">
        <f t="shared" ref="O229:X229" ca="1" si="156">O$495</f>
        <v>12.980800432315222</v>
      </c>
      <c r="P229" s="47">
        <f t="shared" ca="1" si="156"/>
        <v>13.090310943283994</v>
      </c>
      <c r="Q229" s="47">
        <f t="shared" ca="1" si="156"/>
        <v>13.195249015320956</v>
      </c>
      <c r="R229" s="47">
        <f t="shared" ca="1" si="156"/>
        <v>13.230357020783462</v>
      </c>
      <c r="S229" s="47">
        <f t="shared" ca="1" si="156"/>
        <v>13.194527284340602</v>
      </c>
      <c r="T229" s="47">
        <f t="shared" ca="1" si="156"/>
        <v>13.037809134856799</v>
      </c>
      <c r="U229" s="47">
        <f t="shared" ca="1" si="156"/>
        <v>12.803060829163035</v>
      </c>
      <c r="V229" s="47">
        <f t="shared" ca="1" si="156"/>
        <v>12.488656357506748</v>
      </c>
      <c r="W229" s="47">
        <f t="shared" ca="1" si="156"/>
        <v>12.092861758300087</v>
      </c>
      <c r="X229" s="47">
        <f t="shared" ca="1" si="156"/>
        <v>11.613078148015521</v>
      </c>
    </row>
    <row r="230" spans="1:24" x14ac:dyDescent="0.25">
      <c r="A230" s="11" t="s">
        <v>707</v>
      </c>
      <c r="B230" s="10" t="str">
        <f>$B$38</f>
        <v>From Fiscal Forecasts</v>
      </c>
      <c r="D230" s="35">
        <f>'Fiscal Forecasts'!D$276</f>
        <v>0.11700000000000001</v>
      </c>
      <c r="E230" s="35">
        <f>'Fiscal Forecasts'!E$276</f>
        <v>0.16400000000000001</v>
      </c>
      <c r="F230" s="35">
        <f>'Fiscal Forecasts'!F$276</f>
        <v>0.218</v>
      </c>
      <c r="G230" s="35">
        <f>'Fiscal Forecasts'!G$276</f>
        <v>0.30099999999999999</v>
      </c>
      <c r="H230" s="35">
        <f>'Fiscal Forecasts'!H$276</f>
        <v>0.872</v>
      </c>
      <c r="I230" s="35">
        <f>'Fiscal Forecasts'!I$276</f>
        <v>1.9690000000000001</v>
      </c>
      <c r="J230" s="17">
        <f>'Fiscal Forecasts'!J$276</f>
        <v>2.3170000000000002</v>
      </c>
      <c r="K230" s="17">
        <f>'Fiscal Forecasts'!K$276</f>
        <v>2.4119999999999999</v>
      </c>
      <c r="L230" s="17">
        <f>'Fiscal Forecasts'!L$276</f>
        <v>2.4159999999999999</v>
      </c>
      <c r="M230" s="17">
        <f>'Fiscal Forecasts'!M$276</f>
        <v>2.431</v>
      </c>
      <c r="N230" s="17">
        <f>'Fiscal Forecasts'!N$276</f>
        <v>2.6080000000000001</v>
      </c>
      <c r="O230" s="16">
        <f ca="1">IF(O$6=OFFSET(Assumptions!$B$8,0,$C$1),AVERAGE(L$230/SUM(L$230:L$232),M$230/SUM(M$230:M$232),N$230/SUM(N$230:N$232)),N$230/SUM(N$230:N$232))*(O$96-O$495)</f>
        <v>3.3086925930142201</v>
      </c>
      <c r="P230" s="16">
        <f ca="1">IF(P$6=OFFSET(Assumptions!$B$8,0,$C$1),AVERAGE(M$230/SUM(M$230:M$232),N$230/SUM(N$230:N$232),O$230/SUM(O$230:O$232)),O$230/SUM(O$230:O$232))*(P$96-P$495)</f>
        <v>3.53090384532103</v>
      </c>
      <c r="Q230" s="16">
        <f ca="1">IF(Q$6=OFFSET(Assumptions!$B$8,0,$C$1),AVERAGE(N$230/SUM(N$230:N$232),O$230/SUM(O$230:O$232),P$230/SUM(P$230:P$232)),P$230/SUM(P$230:P$232))*(Q$96-Q$495)</f>
        <v>3.6588916938265057</v>
      </c>
      <c r="R230" s="16">
        <f ca="1">IF(R$6=OFFSET(Assumptions!$B$8,0,$C$1),AVERAGE(O$230/SUM(O$230:O$232),P$230/SUM(P$230:P$232),Q$230/SUM(Q$230:Q$232)),Q$230/SUM(Q$230:Q$232))*(R$96-R$495)</f>
        <v>3.738940330213556</v>
      </c>
      <c r="S230" s="16">
        <f ca="1">IF(S$6=OFFSET(Assumptions!$B$8,0,$C$1),AVERAGE(P$230/SUM(P$230:P$232),Q$230/SUM(Q$230:Q$232),R$230/SUM(R$230:R$232)),R$230/SUM(R$230:R$232))*(S$96-S$495)</f>
        <v>3.767214808292461</v>
      </c>
      <c r="T230" s="16">
        <f ca="1">IF(T$6=OFFSET(Assumptions!$B$8,0,$C$1),AVERAGE(Q$230/SUM(Q$230:Q$232),R$230/SUM(R$230:R$232),S$230/SUM(S$230:S$232)),S$230/SUM(S$230:S$232))*(T$96-T$495)</f>
        <v>3.7232924973892967</v>
      </c>
      <c r="U230" s="16">
        <f ca="1">IF(U$6=OFFSET(Assumptions!$B$8,0,$C$1),AVERAGE(R$230/SUM(R$230:R$232),S$230/SUM(S$230:S$232),T$230/SUM(T$230:T$232)),T$230/SUM(T$230:T$232))*(U$96-U$495)</f>
        <v>3.6136877276722372</v>
      </c>
      <c r="V230" s="16">
        <f ca="1">IF(V$6=OFFSET(Assumptions!$B$8,0,$C$1),AVERAGE(S$230/SUM(S$230:S$232),T$230/SUM(T$230:T$232),U$230/SUM(U$230:U$232)),U$230/SUM(U$230:U$232))*(V$96-V$495)</f>
        <v>3.442883524700997</v>
      </c>
      <c r="W230" s="16">
        <f ca="1">IF(W$6=OFFSET(Assumptions!$B$8,0,$C$1),AVERAGE(T$230/SUM(T$230:T$232),U$230/SUM(U$230:U$232),V$230/SUM(V$230:V$232)),V$230/SUM(V$230:V$232))*(W$96-W$495)</f>
        <v>3.2225236816442138</v>
      </c>
      <c r="X230" s="16">
        <f ca="1">IF(X$6=OFFSET(Assumptions!$B$8,0,$C$1),AVERAGE(U$230/SUM(U$230:U$232),V$230/SUM(V$230:V$232),W$230/SUM(W$230:W$232)),W$230/SUM(W$230:W$232))*(X$96-X$495)</f>
        <v>2.9596139972264806</v>
      </c>
    </row>
    <row r="231" spans="1:24" x14ac:dyDescent="0.25">
      <c r="A231" s="11" t="s">
        <v>904</v>
      </c>
      <c r="B231" s="10" t="str">
        <f>$B$38</f>
        <v>From Fiscal Forecasts</v>
      </c>
      <c r="D231" s="35">
        <f>'Fiscal Forecasts'!D$277</f>
        <v>1.0449999999999999</v>
      </c>
      <c r="E231" s="35">
        <f>'Fiscal Forecasts'!E$277</f>
        <v>0.90100000000000002</v>
      </c>
      <c r="F231" s="35">
        <f>'Fiscal Forecasts'!F$277</f>
        <v>0.59199999999999997</v>
      </c>
      <c r="G231" s="35">
        <f>'Fiscal Forecasts'!G$277</f>
        <v>0.66</v>
      </c>
      <c r="H231" s="35">
        <f>'Fiscal Forecasts'!H$277</f>
        <v>0.68200000000000005</v>
      </c>
      <c r="I231" s="35">
        <f>'Fiscal Forecasts'!I$277</f>
        <v>0.57999999999999996</v>
      </c>
      <c r="J231" s="17">
        <f>'Fiscal Forecasts'!J$277</f>
        <v>0.59499999999999997</v>
      </c>
      <c r="K231" s="17">
        <f>'Fiscal Forecasts'!K$277</f>
        <v>0.68700000000000006</v>
      </c>
      <c r="L231" s="17">
        <f>'Fiscal Forecasts'!L$277</f>
        <v>0.78</v>
      </c>
      <c r="M231" s="17">
        <f>'Fiscal Forecasts'!M$277</f>
        <v>0.89900000000000002</v>
      </c>
      <c r="N231" s="17">
        <f>'Fiscal Forecasts'!N$277</f>
        <v>0.99299999999999999</v>
      </c>
      <c r="O231" s="16">
        <f ca="1">IF(O$6=OFFSET(Assumptions!$B$8,0,$C$1),AVERAGE(L$231/SUM(L$230:L$232),M$231/SUM(M$230:M$232),N$231/SUM(N$230:N$232)),N$231/SUM(N$230:N$232))*(O$96-O$495)</f>
        <v>1.1832956045755458</v>
      </c>
      <c r="P231" s="16">
        <f ca="1">IF(P$6=OFFSET(Assumptions!$B$8,0,$C$1),AVERAGE(M$231/SUM(M$230:M$232),N$231/SUM(N$230:N$232),O$231/SUM(O$230:O$232)),O$231/SUM(O$230:O$232))*(P$96-P$495)</f>
        <v>1.262765543456249</v>
      </c>
      <c r="Q231" s="16">
        <f ca="1">IF(Q$6=OFFSET(Assumptions!$B$8,0,$C$1),AVERAGE(N$231/SUM(N$230:N$232),O$231/SUM(O$230:O$232),P$231/SUM(P$230:P$232)),P$231/SUM(P$230:P$232))*(Q$96-Q$495)</f>
        <v>1.3085381422450781</v>
      </c>
      <c r="R231" s="16">
        <f ca="1">IF(R$6=OFFSET(Assumptions!$B$8,0,$C$1),AVERAGE(O$231/SUM(O$230:O$232),P$231/SUM(P$230:P$232),Q$231/SUM(Q$230:Q$232)),Q$231/SUM(Q$230:Q$232))*(R$96-R$495)</f>
        <v>1.3371661265398571</v>
      </c>
      <c r="S231" s="16">
        <f ca="1">IF(S$6=OFFSET(Assumptions!$B$8,0,$C$1),AVERAGE(P$231/SUM(P$230:P$232),Q$231/SUM(Q$230:Q$232),R$231/SUM(R$230:R$232)),R$231/SUM(R$230:R$232))*(S$96-S$495)</f>
        <v>1.3472779954100795</v>
      </c>
      <c r="T231" s="16">
        <f ca="1">IF(T$6=OFFSET(Assumptions!$B$8,0,$C$1),AVERAGE(Q$231/SUM(Q$230:Q$232),R$231/SUM(R$230:R$232),S$231/SUM(S$230:S$232)),S$231/SUM(S$230:S$232))*(T$96-T$495)</f>
        <v>1.3315699548552551</v>
      </c>
      <c r="U231" s="16">
        <f ca="1">IF(U$6=OFFSET(Assumptions!$B$8,0,$C$1),AVERAGE(R$231/SUM(R$230:R$232),S$231/SUM(S$230:S$232),T$231/SUM(T$230:T$232)),T$231/SUM(T$230:T$232))*(U$96-U$495)</f>
        <v>1.2923717402732957</v>
      </c>
      <c r="V231" s="16">
        <f ca="1">IF(V$6=OFFSET(Assumptions!$B$8,0,$C$1),AVERAGE(S$231/SUM(S$230:S$232),T$231/SUM(T$230:T$232),U$231/SUM(U$230:U$232)),U$231/SUM(U$230:U$232))*(V$96-V$495)</f>
        <v>1.2312866267618061</v>
      </c>
      <c r="W231" s="16">
        <f ca="1">IF(W$6=OFFSET(Assumptions!$B$8,0,$C$1),AVERAGE(T$231/SUM(T$230:T$232),U$231/SUM(U$230:U$232),V$231/SUM(V$230:V$232)),V$231/SUM(V$230:V$232))*(W$96-W$495)</f>
        <v>1.1524788117763396</v>
      </c>
      <c r="X231" s="16">
        <f ca="1">IF(X$6=OFFSET(Assumptions!$B$8,0,$C$1),AVERAGE(U$231/SUM(U$230:U$232),V$231/SUM(V$230:V$232),W$231/SUM(W$230:W$232)),W$231/SUM(W$230:W$232))*(X$96-X$495)</f>
        <v>1.058453795784015</v>
      </c>
    </row>
    <row r="232" spans="1:24" x14ac:dyDescent="0.25">
      <c r="A232" s="11" t="s">
        <v>866</v>
      </c>
      <c r="B232" s="10" t="str">
        <f>$B$38</f>
        <v>From Fiscal Forecasts</v>
      </c>
      <c r="D232" s="35">
        <f>'Fiscal Forecasts'!D$278</f>
        <v>-0.55400000000000005</v>
      </c>
      <c r="E232" s="35">
        <f>'Fiscal Forecasts'!E$278</f>
        <v>-0.53900000000000003</v>
      </c>
      <c r="F232" s="35">
        <f>'Fiscal Forecasts'!F$278</f>
        <v>-0.45600000000000002</v>
      </c>
      <c r="G232" s="35">
        <f>'Fiscal Forecasts'!G$278</f>
        <v>-0.496</v>
      </c>
      <c r="H232" s="35">
        <f>'Fiscal Forecasts'!H$278</f>
        <v>-0.67500000000000004</v>
      </c>
      <c r="I232" s="35">
        <f>'Fiscal Forecasts'!I$278</f>
        <v>-1.1179999999999999</v>
      </c>
      <c r="J232" s="17">
        <f>'Fiscal Forecasts'!J$278</f>
        <v>-1.4390000000000001</v>
      </c>
      <c r="K232" s="17">
        <f>'Fiscal Forecasts'!K$278</f>
        <v>-1.5389999999999999</v>
      </c>
      <c r="L232" s="17">
        <f>'Fiscal Forecasts'!L$278</f>
        <v>-1.633</v>
      </c>
      <c r="M232" s="17">
        <f>'Fiscal Forecasts'!M$278</f>
        <v>-1.7569999999999999</v>
      </c>
      <c r="N232" s="17">
        <f>'Fiscal Forecasts'!N$278</f>
        <v>-1.8759999999999999</v>
      </c>
      <c r="O232" s="16">
        <f ca="1">IF(O$6=OFFSET(Assumptions!$B$8,0,$C$1),AVERAGE(L$232/SUM(L$230:L$232),M$232/SUM(M$230:M$232),N$232/SUM(N$230:N$232)),N$232/SUM(N$230:N$232))*(O$96-O$495)</f>
        <v>-2.3355909094431908</v>
      </c>
      <c r="P232" s="16">
        <f ca="1">IF(P$6=OFFSET(Assumptions!$B$8,0,$C$1),AVERAGE(M$232/SUM(M$230:M$232),N$232/SUM(N$230:N$232),O$232/SUM(O$230:O$232)),O$232/SUM(O$230:O$232))*(P$96-P$495)</f>
        <v>-2.4924488121566513</v>
      </c>
      <c r="Q232" s="16">
        <f ca="1">IF(Q$6=OFFSET(Assumptions!$B$8,0,$C$1),AVERAGE(N$232/SUM(N$230:N$232),O$232/SUM(O$230:O$232),P$232/SUM(P$230:P$232)),P$232/SUM(P$230:P$232))*(Q$96-Q$495)</f>
        <v>-2.5827948467564563</v>
      </c>
      <c r="R232" s="16">
        <f ca="1">IF(R$6=OFFSET(Assumptions!$B$8,0,$C$1),AVERAGE(O$232/SUM(O$230:O$232),P$232/SUM(P$230:P$232),Q$232/SUM(Q$230:Q$232)),Q$232/SUM(Q$230:Q$232))*(R$96-R$495)</f>
        <v>-2.6393008116362568</v>
      </c>
      <c r="S232" s="16">
        <f ca="1">IF(S$6=OFFSET(Assumptions!$B$8,0,$C$1),AVERAGE(P$232/SUM(P$230:P$232),Q$232/SUM(Q$230:Q$232),R$232/SUM(R$230:R$232)),R$232/SUM(R$230:R$232))*(S$96-S$495)</f>
        <v>-2.6592596358890055</v>
      </c>
      <c r="T232" s="16">
        <f ca="1">IF(T$6=OFFSET(Assumptions!$B$8,0,$C$1),AVERAGE(Q$232/SUM(Q$230:Q$232),R$232/SUM(R$230:R$232),S$232/SUM(S$230:S$232)),S$232/SUM(S$230:S$232))*(T$96-T$495)</f>
        <v>-2.628255078293126</v>
      </c>
      <c r="U232" s="16">
        <f ca="1">IF(U$6=OFFSET(Assumptions!$B$8,0,$C$1),AVERAGE(R$232/SUM(R$230:R$232),S$232/SUM(S$230:S$232),T$232/SUM(T$230:T$232)),T$232/SUM(T$230:T$232))*(U$96-U$495)</f>
        <v>-2.5508855746035826</v>
      </c>
      <c r="V232" s="16">
        <f ca="1">IF(V$6=OFFSET(Assumptions!$B$8,0,$C$1),AVERAGE(S$232/SUM(S$230:S$232),T$232/SUM(T$230:T$232),U$232/SUM(U$230:U$232)),U$232/SUM(U$230:U$232))*(V$96-V$495)</f>
        <v>-2.4303156719790255</v>
      </c>
      <c r="W232" s="16">
        <f ca="1">IF(W$6=OFFSET(Assumptions!$B$8,0,$C$1),AVERAGE(T$232/SUM(T$230:T$232),U$232/SUM(U$230:U$232),V$232/SUM(V$230:V$232)),V$232/SUM(V$230:V$232))*(W$96-W$495)</f>
        <v>-2.2747646705543549</v>
      </c>
      <c r="X232" s="16">
        <f ca="1">IF(X$6=OFFSET(Assumptions!$B$8,0,$C$1),AVERAGE(U$232/SUM(U$230:U$232),V$232/SUM(V$230:V$232),W$232/SUM(W$230:W$232)),W$232/SUM(W$230:W$232))*(X$96-X$495)</f>
        <v>-2.0891779314819181</v>
      </c>
    </row>
    <row r="233" spans="1:24" x14ac:dyDescent="0.25">
      <c r="A233" s="9" t="s">
        <v>1103</v>
      </c>
      <c r="D233" s="65">
        <f t="shared" ref="D233:X233" si="157">SUM(D$229:D$232)</f>
        <v>4.298</v>
      </c>
      <c r="E233" s="65">
        <f t="shared" si="157"/>
        <v>3.754</v>
      </c>
      <c r="F233" s="65">
        <f t="shared" si="157"/>
        <v>2.2720000000000002</v>
      </c>
      <c r="G233" s="65">
        <f t="shared" si="157"/>
        <v>3.3490000000000002</v>
      </c>
      <c r="H233" s="65">
        <f t="shared" si="157"/>
        <v>7.4479999999999995</v>
      </c>
      <c r="I233" s="65">
        <f t="shared" si="157"/>
        <v>10.373999999999999</v>
      </c>
      <c r="J233" s="66">
        <f t="shared" si="157"/>
        <v>10.312000000000001</v>
      </c>
      <c r="K233" s="66">
        <f t="shared" si="157"/>
        <v>11.073</v>
      </c>
      <c r="L233" s="66">
        <f t="shared" si="157"/>
        <v>12.122</v>
      </c>
      <c r="M233" s="66">
        <f t="shared" si="157"/>
        <v>13.342000000000001</v>
      </c>
      <c r="N233" s="66">
        <f t="shared" si="157"/>
        <v>14.398999999999999</v>
      </c>
      <c r="O233" s="67">
        <f t="shared" ca="1" si="157"/>
        <v>15.137197720461796</v>
      </c>
      <c r="P233" s="67">
        <f t="shared" ca="1" si="157"/>
        <v>15.391531519904623</v>
      </c>
      <c r="Q233" s="67">
        <f t="shared" ca="1" si="157"/>
        <v>15.579884004636082</v>
      </c>
      <c r="R233" s="67">
        <f t="shared" ca="1" si="157"/>
        <v>15.667162665900616</v>
      </c>
      <c r="S233" s="67">
        <f t="shared" ca="1" si="157"/>
        <v>15.649760452154135</v>
      </c>
      <c r="T233" s="67">
        <f t="shared" ca="1" si="157"/>
        <v>15.464416508808224</v>
      </c>
      <c r="U233" s="67">
        <f t="shared" ca="1" si="157"/>
        <v>15.158234722504986</v>
      </c>
      <c r="V233" s="67">
        <f t="shared" ca="1" si="157"/>
        <v>14.732510836990526</v>
      </c>
      <c r="W233" s="67">
        <f t="shared" ca="1" si="157"/>
        <v>14.193099581166287</v>
      </c>
      <c r="X233" s="67">
        <f t="shared" ca="1" si="157"/>
        <v>13.541968009544098</v>
      </c>
    </row>
    <row r="234" spans="1:24" x14ac:dyDescent="0.25">
      <c r="A234" s="10" t="s">
        <v>892</v>
      </c>
      <c r="E234" s="36">
        <f t="shared" ref="E234:J234" si="158">E$229/AVERAGE(D$71,E$71)</f>
        <v>2.9634933968629935E-2</v>
      </c>
      <c r="F234" s="36">
        <f t="shared" si="158"/>
        <v>1.4817447196427743E-2</v>
      </c>
      <c r="G234" s="36">
        <f t="shared" si="158"/>
        <v>1.9129171655131016E-2</v>
      </c>
      <c r="H234" s="36">
        <f t="shared" si="158"/>
        <v>3.6492923905948361E-2</v>
      </c>
      <c r="I234" s="36">
        <f t="shared" si="158"/>
        <v>4.3905169154937182E-2</v>
      </c>
      <c r="J234" s="19">
        <f t="shared" si="158"/>
        <v>3.8343495075296663E-2</v>
      </c>
      <c r="K234" s="19">
        <f t="shared" ref="K234" si="159">K$229/AVERAGE(J$71,K$71)</f>
        <v>3.7205209433298136E-2</v>
      </c>
      <c r="L234" s="19">
        <f t="shared" ref="L234" si="160">L$229/AVERAGE(K$71,L$71)</f>
        <v>3.8369992986638277E-2</v>
      </c>
      <c r="M234" s="19">
        <f t="shared" ref="M234" si="161">M$229/AVERAGE(L$71,M$71)</f>
        <v>4.062969292113304E-2</v>
      </c>
      <c r="N234" s="19">
        <f t="shared" ref="N234" si="162">N$229/AVERAGE(M$71,N$71)</f>
        <v>4.2253286348194551E-2</v>
      </c>
      <c r="O234" s="78">
        <f ca="1">IF(O$6&lt;OFFSET(Assumptions!$B$8,0,$C$1)+OFFSET(Assumptions!$B$23,0,$C$1),N$234+(OFFSET(N$30,0,OFFSET(Assumptions!$B$8,0,$C$1)+OFFSET(Assumptions!$B$23,0,$C$1)-O$6)-N$234)/(OFFSET(Assumptions!$B$8,0,$C$1)+OFFSET(Assumptions!$B$23,0,$C$1)-O$6),O$30)</f>
        <v>4.2402629078555638E-2</v>
      </c>
      <c r="P234" s="78">
        <f ca="1">IF(P$6&lt;OFFSET(Assumptions!$B$8,0,$C$1)+OFFSET(Assumptions!$B$23,0,$C$1),O$234+(OFFSET(O$30,0,OFFSET(Assumptions!$B$8,0,$C$1)+OFFSET(Assumptions!$B$23,0,$C$1)-P$6)-O$234)/(OFFSET(Assumptions!$B$8,0,$C$1)+OFFSET(Assumptions!$B$23,0,$C$1)-P$6),P$30)</f>
        <v>4.2551971808916726E-2</v>
      </c>
      <c r="Q234" s="78">
        <f ca="1">IF(Q$6&lt;OFFSET(Assumptions!$B$8,0,$C$1)+OFFSET(Assumptions!$B$23,0,$C$1),P$234+(OFFSET(P$30,0,OFFSET(Assumptions!$B$8,0,$C$1)+OFFSET(Assumptions!$B$23,0,$C$1)-Q$6)-P$234)/(OFFSET(Assumptions!$B$8,0,$C$1)+OFFSET(Assumptions!$B$23,0,$C$1)-Q$6),Q$30)</f>
        <v>4.2701314539277814E-2</v>
      </c>
      <c r="R234" s="78">
        <f ca="1">IF(R$6&lt;OFFSET(Assumptions!$B$8,0,$C$1)+OFFSET(Assumptions!$B$23,0,$C$1),Q$234+(OFFSET(Q$30,0,OFFSET(Assumptions!$B$8,0,$C$1)+OFFSET(Assumptions!$B$23,0,$C$1)-R$6)-Q$234)/(OFFSET(Assumptions!$B$8,0,$C$1)+OFFSET(Assumptions!$B$23,0,$C$1)-R$6),R$30)</f>
        <v>4.2850657269638909E-2</v>
      </c>
      <c r="S234" s="78">
        <f ca="1">IF(S$6&lt;OFFSET(Assumptions!$B$8,0,$C$1)+OFFSET(Assumptions!$B$23,0,$C$1),R$234+(OFFSET(R$30,0,OFFSET(Assumptions!$B$8,0,$C$1)+OFFSET(Assumptions!$B$23,0,$C$1)-S$6)-R$234)/(OFFSET(Assumptions!$B$8,0,$C$1)+OFFSET(Assumptions!$B$23,0,$C$1)-S$6),S$30)</f>
        <v>4.2999999999999997E-2</v>
      </c>
      <c r="T234" s="78">
        <f ca="1">IF(T$6&lt;OFFSET(Assumptions!$B$8,0,$C$1)+OFFSET(Assumptions!$B$23,0,$C$1),S$234+(OFFSET(S$30,0,OFFSET(Assumptions!$B$8,0,$C$1)+OFFSET(Assumptions!$B$23,0,$C$1)-T$6)-S$234)/(OFFSET(Assumptions!$B$8,0,$C$1)+OFFSET(Assumptions!$B$23,0,$C$1)-T$6),T$30)</f>
        <v>4.2999999999999997E-2</v>
      </c>
      <c r="U234" s="78">
        <f ca="1">IF(U$6&lt;OFFSET(Assumptions!$B$8,0,$C$1)+OFFSET(Assumptions!$B$23,0,$C$1),T$234+(OFFSET(T$30,0,OFFSET(Assumptions!$B$8,0,$C$1)+OFFSET(Assumptions!$B$23,0,$C$1)-U$6)-T$234)/(OFFSET(Assumptions!$B$8,0,$C$1)+OFFSET(Assumptions!$B$23,0,$C$1)-U$6),U$30)</f>
        <v>4.2999999999999997E-2</v>
      </c>
      <c r="V234" s="78">
        <f ca="1">IF(V$6&lt;OFFSET(Assumptions!$B$8,0,$C$1)+OFFSET(Assumptions!$B$23,0,$C$1),U$234+(OFFSET(U$30,0,OFFSET(Assumptions!$B$8,0,$C$1)+OFFSET(Assumptions!$B$23,0,$C$1)-V$6)-U$234)/(OFFSET(Assumptions!$B$8,0,$C$1)+OFFSET(Assumptions!$B$23,0,$C$1)-V$6),V$30)</f>
        <v>4.2999999999999997E-2</v>
      </c>
      <c r="W234" s="78">
        <f ca="1">IF(W$6&lt;OFFSET(Assumptions!$B$8,0,$C$1)+OFFSET(Assumptions!$B$23,0,$C$1),V$234+(OFFSET(V$30,0,OFFSET(Assumptions!$B$8,0,$C$1)+OFFSET(Assumptions!$B$23,0,$C$1)-W$6)-V$234)/(OFFSET(Assumptions!$B$8,0,$C$1)+OFFSET(Assumptions!$B$23,0,$C$1)-W$6),W$30)</f>
        <v>4.2999999999999997E-2</v>
      </c>
      <c r="X234" s="78">
        <f ca="1">IF(X$6&lt;OFFSET(Assumptions!$B$8,0,$C$1)+OFFSET(Assumptions!$B$23,0,$C$1),W$234+(OFFSET(W$30,0,OFFSET(Assumptions!$B$8,0,$C$1)+OFFSET(Assumptions!$B$23,0,$C$1)-X$6)-W$234)/(OFFSET(Assumptions!$B$8,0,$C$1)+OFFSET(Assumptions!$B$23,0,$C$1)-X$6),X$30)</f>
        <v>4.2999999999999997E-2</v>
      </c>
    </row>
    <row r="235" spans="1:24" x14ac:dyDescent="0.25">
      <c r="A235" s="10"/>
    </row>
    <row r="236" spans="1:24" x14ac:dyDescent="0.25">
      <c r="A236" s="9" t="s">
        <v>539</v>
      </c>
    </row>
    <row r="237" spans="1:24" x14ac:dyDescent="0.25">
      <c r="A237" s="9" t="s">
        <v>996</v>
      </c>
      <c r="B237" s="10" t="str">
        <f>$B$38</f>
        <v>From Fiscal Forecasts</v>
      </c>
      <c r="D237" s="42">
        <f>'Fiscal Forecasts'!D$174</f>
        <v>0</v>
      </c>
      <c r="E237" s="42">
        <f>'Fiscal Forecasts'!E$174</f>
        <v>0</v>
      </c>
      <c r="F237" s="42">
        <f>'Fiscal Forecasts'!F$174</f>
        <v>1E-3</v>
      </c>
      <c r="G237" s="42">
        <f>'Fiscal Forecasts'!G$174</f>
        <v>1E-3</v>
      </c>
      <c r="H237" s="42">
        <f>'Fiscal Forecasts'!H$174</f>
        <v>3.0000000000000001E-3</v>
      </c>
      <c r="I237" s="42">
        <f>'Fiscal Forecasts'!I$174</f>
        <v>2E-3</v>
      </c>
      <c r="J237" s="43">
        <f>'Fiscal Forecasts'!J$174</f>
        <v>3.0000000000000001E-3</v>
      </c>
      <c r="K237" s="43">
        <f>'Fiscal Forecasts'!K$174</f>
        <v>3.0000000000000001E-3</v>
      </c>
      <c r="L237" s="43">
        <f>'Fiscal Forecasts'!L$174</f>
        <v>3.0000000000000001E-3</v>
      </c>
      <c r="M237" s="43">
        <f>'Fiscal Forecasts'!M$174</f>
        <v>2E-3</v>
      </c>
      <c r="N237" s="43">
        <f>'Fiscal Forecasts'!N$174</f>
        <v>3.0000000000000001E-3</v>
      </c>
      <c r="O237" s="47">
        <f ca="1">IF(O$6=OFFSET(Assumptions!$B$8,0,$C$1),OFFSET(Assumptions!$B$9,0,$C$1),N$237)</f>
        <v>0</v>
      </c>
      <c r="P237" s="47">
        <f ca="1">IF(P$6=OFFSET(Assumptions!$B$8,0,$C$1),OFFSET(Assumptions!$B$9,0,$C$1),O$237)</f>
        <v>0</v>
      </c>
      <c r="Q237" s="47">
        <f ca="1">IF(Q$6=OFFSET(Assumptions!$B$8,0,$C$1),OFFSET(Assumptions!$B$9,0,$C$1),P$237)</f>
        <v>0</v>
      </c>
      <c r="R237" s="47">
        <f ca="1">IF(R$6=OFFSET(Assumptions!$B$8,0,$C$1),OFFSET(Assumptions!$B$9,0,$C$1),Q$237)</f>
        <v>0</v>
      </c>
      <c r="S237" s="47">
        <f ca="1">IF(S$6=OFFSET(Assumptions!$B$8,0,$C$1),OFFSET(Assumptions!$B$9,0,$C$1),R$237)</f>
        <v>0</v>
      </c>
      <c r="T237" s="47">
        <f ca="1">IF(T$6=OFFSET(Assumptions!$B$8,0,$C$1),OFFSET(Assumptions!$B$9,0,$C$1),S$237)</f>
        <v>0</v>
      </c>
      <c r="U237" s="47">
        <f ca="1">IF(U$6=OFFSET(Assumptions!$B$8,0,$C$1),OFFSET(Assumptions!$B$9,0,$C$1),T$237)</f>
        <v>0</v>
      </c>
      <c r="V237" s="47">
        <f ca="1">IF(V$6=OFFSET(Assumptions!$B$8,0,$C$1),OFFSET(Assumptions!$B$9,0,$C$1),U$237)</f>
        <v>0</v>
      </c>
      <c r="W237" s="47">
        <f ca="1">IF(W$6=OFFSET(Assumptions!$B$8,0,$C$1),OFFSET(Assumptions!$B$9,0,$C$1),V$237)</f>
        <v>0</v>
      </c>
      <c r="X237" s="47">
        <f ca="1">IF(X$6=OFFSET(Assumptions!$B$8,0,$C$1),OFFSET(Assumptions!$B$9,0,$C$1),W$237)</f>
        <v>0</v>
      </c>
    </row>
    <row r="238" spans="1:24" x14ac:dyDescent="0.25">
      <c r="A238" s="11" t="s">
        <v>707</v>
      </c>
      <c r="B238" s="10" t="str">
        <f>$B$38</f>
        <v>From Fiscal Forecasts</v>
      </c>
      <c r="D238" s="35">
        <f>'Fiscal Forecasts'!D$203</f>
        <v>5.8070000000000004</v>
      </c>
      <c r="E238" s="35">
        <f>'Fiscal Forecasts'!E$203</f>
        <v>6.8959999999999999</v>
      </c>
      <c r="F238" s="35">
        <f>'Fiscal Forecasts'!F$203</f>
        <v>6.8310000000000004</v>
      </c>
      <c r="G238" s="35">
        <f>'Fiscal Forecasts'!G$203</f>
        <v>6.44</v>
      </c>
      <c r="H238" s="35">
        <f>'Fiscal Forecasts'!H$203</f>
        <v>8.7729999999999997</v>
      </c>
      <c r="I238" s="35">
        <f>'Fiscal Forecasts'!I$203</f>
        <v>10.413</v>
      </c>
      <c r="J238" s="17">
        <f>'Fiscal Forecasts'!J$203</f>
        <v>11.276999999999999</v>
      </c>
      <c r="K238" s="17">
        <f>'Fiscal Forecasts'!K$203</f>
        <v>10.643000000000001</v>
      </c>
      <c r="L238" s="17">
        <f>'Fiscal Forecasts'!L$203</f>
        <v>11.305999999999999</v>
      </c>
      <c r="M238" s="17">
        <f>'Fiscal Forecasts'!M$203</f>
        <v>11.878</v>
      </c>
      <c r="N238" s="17">
        <f>'Fiscal Forecasts'!N$203</f>
        <v>12.304</v>
      </c>
      <c r="O238" s="16">
        <f ca="1">IF(O$6=OFFSET(Assumptions!$B$8,0,$C$1),AVERAGE(L$238/SUM(L$241:L$242),M$238/SUM(M$241:M$242),N$238/SUM(N$241:N$242)),N$238/SUM(N$241:N$242))*SUM(O$241:O$242)</f>
        <v>13.015937854480983</v>
      </c>
      <c r="P238" s="16">
        <f ca="1">IF(P$6=OFFSET(Assumptions!$B$8,0,$C$1),AVERAGE(M$238/SUM(M$241:M$242),N$238/SUM(N$241:N$242),O$238/SUM(O$241:O$242)),O$238/SUM(O$241:O$242))*SUM(P$241:P$242)</f>
        <v>13.76800610063982</v>
      </c>
      <c r="Q238" s="16">
        <f ca="1">IF(Q$6=OFFSET(Assumptions!$B$8,0,$C$1),AVERAGE(N$238/SUM(N$241:N$242),O$238/SUM(O$241:O$242),P$238/SUM(P$241:P$242)),P$238/SUM(P$241:P$242))*SUM(Q$241:Q$242)</f>
        <v>14.537176562214606</v>
      </c>
      <c r="R238" s="16">
        <f ca="1">IF(R$6=OFFSET(Assumptions!$B$8,0,$C$1),AVERAGE(O$238/SUM(O$241:O$242),P$238/SUM(P$241:P$242),Q$238/SUM(Q$241:Q$242)),Q$238/SUM(Q$241:Q$242))*SUM(R$241:R$242)</f>
        <v>15.308834198354187</v>
      </c>
      <c r="S238" s="16">
        <f ca="1">IF(S$6=OFFSET(Assumptions!$B$8,0,$C$1),AVERAGE(P$238/SUM(P$241:P$242),Q$238/SUM(Q$241:Q$242),R$238/SUM(R$241:R$242)),R$238/SUM(R$241:R$242))*SUM(S$241:S$242)</f>
        <v>16.092076477099056</v>
      </c>
      <c r="T238" s="16">
        <f ca="1">IF(T$6=OFFSET(Assumptions!$B$8,0,$C$1),AVERAGE(Q$238/SUM(Q$241:Q$242),R$238/SUM(R$241:R$242),S$238/SUM(S$241:S$242)),S$238/SUM(S$241:S$242))*SUM(T$241:T$242)</f>
        <v>16.861159231263176</v>
      </c>
      <c r="U238" s="16">
        <f ca="1">IF(U$6=OFFSET(Assumptions!$B$8,0,$C$1),AVERAGE(R$238/SUM(R$241:R$242),S$238/SUM(S$241:S$242),T$238/SUM(T$241:T$242)),T$238/SUM(T$241:T$242))*SUM(U$241:U$242)</f>
        <v>17.678308857086208</v>
      </c>
      <c r="V238" s="16">
        <f ca="1">IF(V$6=OFFSET(Assumptions!$B$8,0,$C$1),AVERAGE(S$238/SUM(S$241:S$242),T$238/SUM(T$241:T$242),U$238/SUM(U$241:U$242)),U$238/SUM(U$241:U$242))*SUM(V$241:V$242)</f>
        <v>18.501976331093335</v>
      </c>
      <c r="W238" s="16">
        <f ca="1">IF(W$6=OFFSET(Assumptions!$B$8,0,$C$1),AVERAGE(T$238/SUM(T$241:T$242),U$238/SUM(U$241:U$242),V$238/SUM(V$241:V$242)),V$238/SUM(V$241:V$242))*SUM(W$241:W$242)</f>
        <v>19.355060571574853</v>
      </c>
      <c r="X238" s="16">
        <f ca="1">IF(X$6=OFFSET(Assumptions!$B$8,0,$C$1),AVERAGE(U$238/SUM(U$241:U$242),V$238/SUM(V$241:V$242),W$238/SUM(W$241:W$242)),W$238/SUM(W$241:W$242))*SUM(X$241:X$242)</f>
        <v>20.247419242224677</v>
      </c>
    </row>
    <row r="239" spans="1:24" x14ac:dyDescent="0.25">
      <c r="A239" s="11" t="s">
        <v>1076</v>
      </c>
      <c r="B239" s="10" t="str">
        <f>$B$38</f>
        <v>From Fiscal Forecasts</v>
      </c>
      <c r="D239" s="35">
        <f>'Fiscal Forecasts'!D$204</f>
        <v>5.0000000000000001E-3</v>
      </c>
      <c r="E239" s="35">
        <f>'Fiscal Forecasts'!E$204</f>
        <v>7.0000000000000001E-3</v>
      </c>
      <c r="F239" s="35">
        <f>'Fiscal Forecasts'!F$204</f>
        <v>6.0000000000000001E-3</v>
      </c>
      <c r="G239" s="35">
        <f>'Fiscal Forecasts'!G$204</f>
        <v>6.0000000000000001E-3</v>
      </c>
      <c r="H239" s="35">
        <f>'Fiscal Forecasts'!H$204</f>
        <v>8.0000000000000002E-3</v>
      </c>
      <c r="I239" s="35">
        <f>'Fiscal Forecasts'!I$204</f>
        <v>1.0999999999999999E-2</v>
      </c>
      <c r="J239" s="17">
        <f>'Fiscal Forecasts'!J$204</f>
        <v>1.2E-2</v>
      </c>
      <c r="K239" s="17">
        <f>'Fiscal Forecasts'!K$204</f>
        <v>1.2999999999999999E-2</v>
      </c>
      <c r="L239" s="17">
        <f>'Fiscal Forecasts'!L$204</f>
        <v>1.4E-2</v>
      </c>
      <c r="M239" s="17">
        <f>'Fiscal Forecasts'!M$204</f>
        <v>1.4999999999999999E-2</v>
      </c>
      <c r="N239" s="17">
        <f>'Fiscal Forecasts'!N$204</f>
        <v>1.6E-2</v>
      </c>
      <c r="O239" s="16">
        <f t="shared" ref="O239:X239" ca="1" si="163">SUM(O$241:O$242,-O$238)</f>
        <v>1.9433014277430161E-2</v>
      </c>
      <c r="P239" s="16">
        <f t="shared" ca="1" si="163"/>
        <v>2.0555864826395265E-2</v>
      </c>
      <c r="Q239" s="16">
        <f t="shared" ca="1" si="163"/>
        <v>2.1704249270811715E-2</v>
      </c>
      <c r="R239" s="16">
        <f t="shared" ca="1" si="163"/>
        <v>2.2856347108710651E-2</v>
      </c>
      <c r="S239" s="16">
        <f t="shared" ca="1" si="163"/>
        <v>2.4025741012991375E-2</v>
      </c>
      <c r="T239" s="16">
        <f t="shared" ca="1" si="163"/>
        <v>2.5173994508765674E-2</v>
      </c>
      <c r="U239" s="16">
        <f t="shared" ca="1" si="163"/>
        <v>2.6394012652900756E-2</v>
      </c>
      <c r="V239" s="16">
        <f t="shared" ca="1" si="163"/>
        <v>2.7623762054073353E-2</v>
      </c>
      <c r="W239" s="16">
        <f t="shared" ca="1" si="163"/>
        <v>2.8897431182681288E-2</v>
      </c>
      <c r="X239" s="16">
        <f t="shared" ca="1" si="163"/>
        <v>3.0229737696526371E-2</v>
      </c>
    </row>
    <row r="240" spans="1:24" x14ac:dyDescent="0.25">
      <c r="A240" s="9" t="s">
        <v>1104</v>
      </c>
      <c r="D240" s="65">
        <f t="shared" ref="D240:X240" si="164">SUM(D$237:D$239)</f>
        <v>5.8120000000000003</v>
      </c>
      <c r="E240" s="65">
        <f t="shared" si="164"/>
        <v>6.9029999999999996</v>
      </c>
      <c r="F240" s="65">
        <f t="shared" si="164"/>
        <v>6.838000000000001</v>
      </c>
      <c r="G240" s="65">
        <f t="shared" si="164"/>
        <v>6.447000000000001</v>
      </c>
      <c r="H240" s="65">
        <f t="shared" si="164"/>
        <v>8.7839999999999989</v>
      </c>
      <c r="I240" s="65">
        <f t="shared" si="164"/>
        <v>10.426</v>
      </c>
      <c r="J240" s="66">
        <f t="shared" si="164"/>
        <v>11.292</v>
      </c>
      <c r="K240" s="66">
        <f t="shared" si="164"/>
        <v>10.659000000000001</v>
      </c>
      <c r="L240" s="66">
        <f t="shared" si="164"/>
        <v>11.322999999999999</v>
      </c>
      <c r="M240" s="66">
        <f t="shared" si="164"/>
        <v>11.895000000000001</v>
      </c>
      <c r="N240" s="66">
        <f t="shared" si="164"/>
        <v>12.323</v>
      </c>
      <c r="O240" s="67">
        <f t="shared" ca="1" si="164"/>
        <v>13.035370868758413</v>
      </c>
      <c r="P240" s="67">
        <f t="shared" ca="1" si="164"/>
        <v>13.788561965466215</v>
      </c>
      <c r="Q240" s="67">
        <f t="shared" ca="1" si="164"/>
        <v>14.558880811485418</v>
      </c>
      <c r="R240" s="67">
        <f t="shared" ca="1" si="164"/>
        <v>15.331690545462898</v>
      </c>
      <c r="S240" s="67">
        <f t="shared" ca="1" si="164"/>
        <v>16.116102218112047</v>
      </c>
      <c r="T240" s="67">
        <f t="shared" ca="1" si="164"/>
        <v>16.886333225771942</v>
      </c>
      <c r="U240" s="67">
        <f t="shared" ca="1" si="164"/>
        <v>17.704702869739108</v>
      </c>
      <c r="V240" s="67">
        <f t="shared" ca="1" si="164"/>
        <v>18.529600093147408</v>
      </c>
      <c r="W240" s="67">
        <f t="shared" ca="1" si="164"/>
        <v>19.383958002757534</v>
      </c>
      <c r="X240" s="67">
        <f t="shared" ca="1" si="164"/>
        <v>20.277648979921203</v>
      </c>
    </row>
    <row r="241" spans="1:24" x14ac:dyDescent="0.25">
      <c r="A241" s="11" t="s">
        <v>961</v>
      </c>
      <c r="B241" s="10" t="str">
        <f>$B$38</f>
        <v>From Fiscal Forecasts</v>
      </c>
      <c r="D241" s="35">
        <f>'Fiscal Forecasts'!D$281</f>
        <v>5.3620000000000001</v>
      </c>
      <c r="E241" s="35">
        <f>'Fiscal Forecasts'!E$281</f>
        <v>6.2460000000000004</v>
      </c>
      <c r="F241" s="35">
        <f>'Fiscal Forecasts'!F$281</f>
        <v>6.5389999999999997</v>
      </c>
      <c r="G241" s="35">
        <f>'Fiscal Forecasts'!G$281</f>
        <v>5.8330000000000002</v>
      </c>
      <c r="H241" s="35">
        <f>'Fiscal Forecasts'!H$281</f>
        <v>7.6189999999999998</v>
      </c>
      <c r="I241" s="35">
        <f>'Fiscal Forecasts'!I$281</f>
        <v>9.7720000000000002</v>
      </c>
      <c r="J241" s="17">
        <f>'Fiscal Forecasts'!J$281</f>
        <v>10.670999999999999</v>
      </c>
      <c r="K241" s="17">
        <f>'Fiscal Forecasts'!K$281</f>
        <v>9.9830000000000005</v>
      </c>
      <c r="L241" s="17">
        <f>'Fiscal Forecasts'!L$281</f>
        <v>10.589</v>
      </c>
      <c r="M241" s="17">
        <f>'Fiscal Forecasts'!M$281</f>
        <v>11.101000000000001</v>
      </c>
      <c r="N241" s="17">
        <f>'Fiscal Forecasts'!N$281</f>
        <v>11.462999999999999</v>
      </c>
      <c r="O241" s="16">
        <f>N$241*Exogenous!Z$28/Exogenous!Y$28</f>
        <v>12.138263981125791</v>
      </c>
      <c r="P241" s="16">
        <f>O$241*Exogenous!AA$28/Exogenous!Z$28</f>
        <v>12.8531933268714</v>
      </c>
      <c r="Q241" s="16">
        <f>P$241*Exogenous!AB$28/Exogenous!AA$28</f>
        <v>13.585167345213522</v>
      </c>
      <c r="R241" s="16">
        <f>Q$241*Exogenous!AC$28/Exogenous!AB$28</f>
        <v>14.31963565060982</v>
      </c>
      <c r="S241" s="16">
        <f>R$241*Exogenous!AD$28/Exogenous!AC$28</f>
        <v>15.0648604791746</v>
      </c>
      <c r="T241" s="16">
        <f>S$241*Exogenous!AE$28/Exogenous!AD$28</f>
        <v>15.795119029874687</v>
      </c>
      <c r="U241" s="16">
        <f>T$241*Exogenous!AF$28/Exogenous!AE$28</f>
        <v>16.572983262030732</v>
      </c>
      <c r="V241" s="16">
        <f>U$241*Exogenous!AG$28/Exogenous!AF$28</f>
        <v>17.356766082577412</v>
      </c>
      <c r="W241" s="16">
        <f>V$241*Exogenous!AH$28/Exogenous!AG$28</f>
        <v>18.169402130053601</v>
      </c>
      <c r="X241" s="16">
        <f>W$241*Exogenous!AI$28/Exogenous!AH$28</f>
        <v>19.020449389492455</v>
      </c>
    </row>
    <row r="242" spans="1:24" x14ac:dyDescent="0.25">
      <c r="A242" s="11" t="s">
        <v>966</v>
      </c>
      <c r="B242" s="10" t="str">
        <f>$B$38</f>
        <v>From Fiscal Forecasts</v>
      </c>
      <c r="D242" s="35">
        <f>SUM('Fiscal Forecasts'!D$282:D$283)</f>
        <v>0.44999999999999996</v>
      </c>
      <c r="E242" s="35">
        <f>SUM('Fiscal Forecasts'!E$282:E$283)</f>
        <v>0.65700000000000003</v>
      </c>
      <c r="F242" s="35">
        <f>SUM('Fiscal Forecasts'!F$282:F$283)</f>
        <v>0.29900000000000004</v>
      </c>
      <c r="G242" s="35">
        <f>SUM('Fiscal Forecasts'!G$282:G$283)</f>
        <v>0.61399999999999999</v>
      </c>
      <c r="H242" s="35">
        <f>SUM('Fiscal Forecasts'!H$282:H$283)</f>
        <v>1.1649999999999998</v>
      </c>
      <c r="I242" s="35">
        <f>SUM('Fiscal Forecasts'!I$282:I$283)</f>
        <v>0.65399999999999991</v>
      </c>
      <c r="J242" s="17">
        <f>SUM('Fiscal Forecasts'!J$282:J$283)</f>
        <v>0.621</v>
      </c>
      <c r="K242" s="17">
        <f>SUM('Fiscal Forecasts'!K$282:K$283)</f>
        <v>0.67599999999999993</v>
      </c>
      <c r="L242" s="17">
        <f>SUM('Fiscal Forecasts'!L$282:L$283)</f>
        <v>0.73399999999999999</v>
      </c>
      <c r="M242" s="17">
        <f>SUM('Fiscal Forecasts'!M$282:M$283)</f>
        <v>0.79400000000000004</v>
      </c>
      <c r="N242" s="17">
        <f>SUM('Fiscal Forecasts'!N$282:N$283)</f>
        <v>0.86</v>
      </c>
      <c r="O242" s="16">
        <f t="shared" ref="O242:X242" ca="1" si="165">N$242*(1+O$14)</f>
        <v>0.89710688763262303</v>
      </c>
      <c r="P242" s="16">
        <f t="shared" ca="1" si="165"/>
        <v>0.93536863859481512</v>
      </c>
      <c r="Q242" s="16">
        <f t="shared" ca="1" si="165"/>
        <v>0.97371346627189559</v>
      </c>
      <c r="R242" s="16">
        <f t="shared" ca="1" si="165"/>
        <v>1.0120548948530785</v>
      </c>
      <c r="S242" s="16">
        <f t="shared" ca="1" si="165"/>
        <v>1.0512417389374489</v>
      </c>
      <c r="T242" s="16">
        <f t="shared" ca="1" si="165"/>
        <v>1.0912141958972539</v>
      </c>
      <c r="U242" s="16">
        <f t="shared" ca="1" si="165"/>
        <v>1.1317196077083753</v>
      </c>
      <c r="V242" s="16">
        <f t="shared" ca="1" si="165"/>
        <v>1.1728340105699953</v>
      </c>
      <c r="W242" s="16">
        <f t="shared" ca="1" si="165"/>
        <v>1.2145558727039336</v>
      </c>
      <c r="X242" s="16">
        <f t="shared" ca="1" si="165"/>
        <v>1.257199590428749</v>
      </c>
    </row>
    <row r="243" spans="1:24" x14ac:dyDescent="0.25">
      <c r="A243" s="11"/>
    </row>
    <row r="244" spans="1:24" x14ac:dyDescent="0.25">
      <c r="A244" s="9" t="s">
        <v>962</v>
      </c>
    </row>
    <row r="245" spans="1:24" x14ac:dyDescent="0.25">
      <c r="A245" s="9" t="s">
        <v>963</v>
      </c>
      <c r="D245" s="42">
        <f>SUM($D$246:D$247)</f>
        <v>0</v>
      </c>
      <c r="E245" s="42">
        <f>SUM($D$246:E$247)</f>
        <v>0</v>
      </c>
      <c r="F245" s="42">
        <f>SUM($D$246:F$247)</f>
        <v>0</v>
      </c>
      <c r="G245" s="42">
        <f>SUM($D$246:G$247)</f>
        <v>0</v>
      </c>
      <c r="H245" s="42">
        <f>SUM($D$246:H$247)</f>
        <v>0</v>
      </c>
      <c r="I245" s="42">
        <f>SUM($D$246:I$247)</f>
        <v>0</v>
      </c>
      <c r="J245" s="43">
        <f ca="1">IF(OFFSET(Assumptions!$B$56,0,$C$1)="Yes",0,SUM($D$246:J$247))</f>
        <v>0</v>
      </c>
      <c r="K245" s="43">
        <f ca="1">IF(OFFSET(Assumptions!$B$56,0,$C$1)="Yes",0,SUM($D$246:K$247))</f>
        <v>1.72</v>
      </c>
      <c r="L245" s="43">
        <f ca="1">IF(OFFSET(Assumptions!$B$56,0,$C$1)="Yes",0,SUM($D$246:L$247))</f>
        <v>2.7190000000000003</v>
      </c>
      <c r="M245" s="43">
        <f ca="1">IF(OFFSET(Assumptions!$B$56,0,$C$1)="Yes",0,SUM($D$246:M$247))</f>
        <v>5.3689999999999998</v>
      </c>
      <c r="N245" s="43">
        <f ca="1">IF(OFFSET(Assumptions!$B$56,0,$C$1)="Yes",0,SUM($D$246:N$247))</f>
        <v>7.9029999999999996</v>
      </c>
      <c r="O245" s="47">
        <f ca="1">IF(OFFSET(Assumptions!$B$56,0,$C$1)="Yes",0,SUM($D$246:O$247))</f>
        <v>10.302999999999999</v>
      </c>
      <c r="P245" s="47">
        <f ca="1">IF(OFFSET(Assumptions!$B$56,0,$C$1)="Yes",0,SUM($D$246:P$247))</f>
        <v>12.774999999999999</v>
      </c>
      <c r="Q245" s="47">
        <f ca="1">IF(OFFSET(Assumptions!$B$56,0,$C$1)="Yes",0,SUM($D$246:Q$247))</f>
        <v>15.321159999999999</v>
      </c>
      <c r="R245" s="47">
        <f ca="1">IF(OFFSET(Assumptions!$B$56,0,$C$1)="Yes",0,SUM($D$246:R$247))</f>
        <v>17.943704799999999</v>
      </c>
      <c r="S245" s="47">
        <f ca="1">IF(OFFSET(Assumptions!$B$56,0,$C$1)="Yes",0,SUM($D$246:S$247))</f>
        <v>20.644925944000001</v>
      </c>
      <c r="T245" s="47">
        <f ca="1">IF(OFFSET(Assumptions!$B$56,0,$C$1)="Yes",0,SUM($D$246:T$247))</f>
        <v>23.427183722320002</v>
      </c>
      <c r="U245" s="47">
        <f ca="1">IF(OFFSET(Assumptions!$B$56,0,$C$1)="Yes",0,SUM($D$246:U$247))</f>
        <v>26.292909233989604</v>
      </c>
      <c r="V245" s="47">
        <f ca="1">IF(OFFSET(Assumptions!$B$56,0,$C$1)="Yes",0,SUM($D$246:V$247))</f>
        <v>29.244606511009295</v>
      </c>
      <c r="W245" s="47">
        <f ca="1">IF(OFFSET(Assumptions!$B$56,0,$C$1)="Yes",0,SUM($D$246:W$247))</f>
        <v>32.284854706339573</v>
      </c>
      <c r="X245" s="47">
        <f ca="1">IF(OFFSET(Assumptions!$B$56,0,$C$1)="Yes",0,SUM($D$246:X$247))</f>
        <v>35.416310347529759</v>
      </c>
    </row>
    <row r="246" spans="1:24" x14ac:dyDescent="0.25">
      <c r="A246" s="11" t="s">
        <v>742</v>
      </c>
      <c r="B246" s="10" t="str">
        <f>$B$38</f>
        <v>From Fiscal Forecasts</v>
      </c>
      <c r="D246" s="35">
        <f>'Fiscal Forecasts'!D$286-'Fiscal Forecasts'!C$286</f>
        <v>0</v>
      </c>
      <c r="E246" s="35">
        <f>'Fiscal Forecasts'!E$286-'Fiscal Forecasts'!D$286</f>
        <v>0</v>
      </c>
      <c r="F246" s="35">
        <f>'Fiscal Forecasts'!F$286-'Fiscal Forecasts'!E$286</f>
        <v>0</v>
      </c>
      <c r="G246" s="35">
        <f>'Fiscal Forecasts'!G$286-'Fiscal Forecasts'!F$286</f>
        <v>0</v>
      </c>
      <c r="H246" s="35">
        <f>'Fiscal Forecasts'!H$286-'Fiscal Forecasts'!G$286</f>
        <v>0</v>
      </c>
      <c r="I246" s="35">
        <f>'Fiscal Forecasts'!I$286-'Fiscal Forecasts'!H$286</f>
        <v>0</v>
      </c>
      <c r="J246" s="17">
        <f>'Fiscal Forecasts'!J$286-'Fiscal Forecasts'!I$286</f>
        <v>0</v>
      </c>
      <c r="K246" s="17">
        <f>'Fiscal Forecasts'!K$286-'Fiscal Forecasts'!J$286</f>
        <v>1.72</v>
      </c>
      <c r="L246" s="17">
        <f>'Fiscal Forecasts'!L$286-'Fiscal Forecasts'!K$286</f>
        <v>-2.6999999999999913E-2</v>
      </c>
      <c r="M246" s="17">
        <f>'Fiscal Forecasts'!M$286-'Fiscal Forecasts'!L$286</f>
        <v>0.26400000000000001</v>
      </c>
      <c r="N246" s="17">
        <f>'Fiscal Forecasts'!N$286-'Fiscal Forecasts'!M$286</f>
        <v>0.14399999999999991</v>
      </c>
      <c r="O246" s="16">
        <f ca="1">IF(O$6=OFFSET(Assumptions!$B$8,0,$C$1),OFFSET(Assumptions!$B$9,0,$C$1),N$246)</f>
        <v>0</v>
      </c>
      <c r="P246" s="16">
        <f ca="1">IF(P$6=OFFSET(Assumptions!$B$8,0,$C$1),OFFSET(Assumptions!$B$9,0,$C$1),O$246)</f>
        <v>0</v>
      </c>
      <c r="Q246" s="16">
        <f ca="1">IF(Q$6=OFFSET(Assumptions!$B$8,0,$C$1),OFFSET(Assumptions!$B$9,0,$C$1),P$246)</f>
        <v>0</v>
      </c>
      <c r="R246" s="16">
        <f ca="1">IF(R$6=OFFSET(Assumptions!$B$8,0,$C$1),OFFSET(Assumptions!$B$9,0,$C$1),Q$246)</f>
        <v>0</v>
      </c>
      <c r="S246" s="16">
        <f ca="1">IF(S$6=OFFSET(Assumptions!$B$8,0,$C$1),OFFSET(Assumptions!$B$9,0,$C$1),R$246)</f>
        <v>0</v>
      </c>
      <c r="T246" s="16">
        <f ca="1">IF(T$6=OFFSET(Assumptions!$B$8,0,$C$1),OFFSET(Assumptions!$B$9,0,$C$1),S$246)</f>
        <v>0</v>
      </c>
      <c r="U246" s="16">
        <f ca="1">IF(U$6=OFFSET(Assumptions!$B$8,0,$C$1),OFFSET(Assumptions!$B$9,0,$C$1),T$246)</f>
        <v>0</v>
      </c>
      <c r="V246" s="16">
        <f ca="1">IF(V$6=OFFSET(Assumptions!$B$8,0,$C$1),OFFSET(Assumptions!$B$9,0,$C$1),U$246)</f>
        <v>0</v>
      </c>
      <c r="W246" s="16">
        <f ca="1">IF(W$6=OFFSET(Assumptions!$B$8,0,$C$1),OFFSET(Assumptions!$B$9,0,$C$1),V$246)</f>
        <v>0</v>
      </c>
      <c r="X246" s="16">
        <f ca="1">IF(X$6=OFFSET(Assumptions!$B$8,0,$C$1),OFFSET(Assumptions!$B$9,0,$C$1),W$246)</f>
        <v>0</v>
      </c>
    </row>
    <row r="247" spans="1:24" x14ac:dyDescent="0.25">
      <c r="A247" s="11" t="s">
        <v>967</v>
      </c>
      <c r="B247" s="10" t="str">
        <f>$B$38</f>
        <v>From Fiscal Forecasts</v>
      </c>
      <c r="D247" s="35">
        <f>SUM('Fiscal Forecasts'!D$287:D$290)-SUM('Fiscal Forecasts'!C$287:C$290)</f>
        <v>0</v>
      </c>
      <c r="E247" s="35">
        <f>SUM('Fiscal Forecasts'!E$287:E$290)-SUM('Fiscal Forecasts'!D$287:D$290)</f>
        <v>0</v>
      </c>
      <c r="F247" s="35">
        <f>SUM('Fiscal Forecasts'!F$287:F$290)-SUM('Fiscal Forecasts'!E$287:E$290)</f>
        <v>0</v>
      </c>
      <c r="G247" s="35">
        <f>SUM('Fiscal Forecasts'!G$287:G$290)-SUM('Fiscal Forecasts'!F$287:F$290)</f>
        <v>0</v>
      </c>
      <c r="H247" s="35">
        <f>SUM('Fiscal Forecasts'!H$287:H$290)-SUM('Fiscal Forecasts'!G$287:G$290)</f>
        <v>0</v>
      </c>
      <c r="I247" s="35">
        <f>SUM('Fiscal Forecasts'!I$287:I$290)-SUM('Fiscal Forecasts'!H$287:H$290)</f>
        <v>0</v>
      </c>
      <c r="J247" s="17">
        <f>SUM('Fiscal Forecasts'!J$287:J$290)-SUM('Fiscal Forecasts'!I$287:I$290)+IF($C$2="Yes",'Fiscal Forecast Adjuster'!C$28/1000,0)</f>
        <v>0</v>
      </c>
      <c r="K247" s="17">
        <f>SUM('Fiscal Forecasts'!K$287:K$290)-SUM('Fiscal Forecasts'!J$287:J$290)+IF($C$2="Yes",'Fiscal Forecast Adjuster'!D$28/1000,0)</f>
        <v>0</v>
      </c>
      <c r="L247" s="17">
        <f>SUM('Fiscal Forecasts'!L$287:L$290)-SUM('Fiscal Forecasts'!K$287:K$290)+IF($C$2="Yes",'Fiscal Forecast Adjuster'!E$28/1000,0)</f>
        <v>1.026</v>
      </c>
      <c r="M247" s="17">
        <f>SUM('Fiscal Forecasts'!M$287:M$290)-SUM('Fiscal Forecasts'!L$287:L$290)+IF($C$2="Yes",'Fiscal Forecast Adjuster'!F$28/1000,0)</f>
        <v>2.3860000000000001</v>
      </c>
      <c r="N247" s="17">
        <f>SUM('Fiscal Forecasts'!N$287:N$290)-SUM('Fiscal Forecasts'!M$287:M$290)+IF($C$2="Yes",'Fiscal Forecast Adjuster'!G$28/1000,0)</f>
        <v>2.3899999999999997</v>
      </c>
      <c r="O247" s="16">
        <f ca="1">IF(O$6=OFFSET(Assumptions!$B$8,0,$C$1),OFFSET(Assumptions!$B$41,0,$C$1)-IF(OFFSET(Assumptions!$B$57,0,$C$1)="Yes",Allocation!$G$7,0),(N$247+IF(AND(N$6=OFFSET(Assumptions!$B$8,0,$C$1),OFFSET(Assumptions!$B$57,0,$C$1)="Yes"),Allocation!$G$7,0))*(1+OFFSET(Assumptions!$B$42,0,$C$1)))</f>
        <v>2.4</v>
      </c>
      <c r="P247" s="16">
        <f ca="1">IF(P$6=OFFSET(Assumptions!$B$8,0,$C$1),OFFSET(Assumptions!$B$41,0,$C$1)-IF(OFFSET(Assumptions!$B$57,0,$C$1)="Yes",Allocation!$G$7,0),(O$247+IF(AND(O$6=OFFSET(Assumptions!$B$8,0,$C$1),OFFSET(Assumptions!$B$57,0,$C$1)="Yes"),Allocation!$G$7,0))*(1+OFFSET(Assumptions!$B$42,0,$C$1)))</f>
        <v>2.472</v>
      </c>
      <c r="Q247" s="16">
        <f ca="1">IF(Q$6=OFFSET(Assumptions!$B$8,0,$C$1),OFFSET(Assumptions!$B$41,0,$C$1)-IF(OFFSET(Assumptions!$B$57,0,$C$1)="Yes",Allocation!$G$7,0),(P$247+IF(AND(P$6=OFFSET(Assumptions!$B$8,0,$C$1),OFFSET(Assumptions!$B$57,0,$C$1)="Yes"),Allocation!$G$7,0))*(1+OFFSET(Assumptions!$B$42,0,$C$1)))</f>
        <v>2.54616</v>
      </c>
      <c r="R247" s="16">
        <f ca="1">IF(R$6=OFFSET(Assumptions!$B$8,0,$C$1),OFFSET(Assumptions!$B$41,0,$C$1)-IF(OFFSET(Assumptions!$B$57,0,$C$1)="Yes",Allocation!$G$7,0),(Q$247+IF(AND(Q$6=OFFSET(Assumptions!$B$8,0,$C$1),OFFSET(Assumptions!$B$57,0,$C$1)="Yes"),Allocation!$G$7,0))*(1+OFFSET(Assumptions!$B$42,0,$C$1)))</f>
        <v>2.6225448</v>
      </c>
      <c r="S247" s="16">
        <f ca="1">IF(S$6=OFFSET(Assumptions!$B$8,0,$C$1),OFFSET(Assumptions!$B$41,0,$C$1)-IF(OFFSET(Assumptions!$B$57,0,$C$1)="Yes",Allocation!$G$7,0),(R$247+IF(AND(R$6=OFFSET(Assumptions!$B$8,0,$C$1),OFFSET(Assumptions!$B$57,0,$C$1)="Yes"),Allocation!$G$7,0))*(1+OFFSET(Assumptions!$B$42,0,$C$1)))</f>
        <v>2.7012211440000002</v>
      </c>
      <c r="T247" s="16">
        <f ca="1">IF(T$6=OFFSET(Assumptions!$B$8,0,$C$1),OFFSET(Assumptions!$B$41,0,$C$1)-IF(OFFSET(Assumptions!$B$57,0,$C$1)="Yes",Allocation!$G$7,0),(S$247+IF(AND(S$6=OFFSET(Assumptions!$B$8,0,$C$1),OFFSET(Assumptions!$B$57,0,$C$1)="Yes"),Allocation!$G$7,0))*(1+OFFSET(Assumptions!$B$42,0,$C$1)))</f>
        <v>2.7822577783200004</v>
      </c>
      <c r="U247" s="16">
        <f ca="1">IF(U$6=OFFSET(Assumptions!$B$8,0,$C$1),OFFSET(Assumptions!$B$41,0,$C$1)-IF(OFFSET(Assumptions!$B$57,0,$C$1)="Yes",Allocation!$G$7,0),(T$247+IF(AND(T$6=OFFSET(Assumptions!$B$8,0,$C$1),OFFSET(Assumptions!$B$57,0,$C$1)="Yes"),Allocation!$G$7,0))*(1+OFFSET(Assumptions!$B$42,0,$C$1)))</f>
        <v>2.8657255116696003</v>
      </c>
      <c r="V247" s="16">
        <f ca="1">IF(V$6=OFFSET(Assumptions!$B$8,0,$C$1),OFFSET(Assumptions!$B$41,0,$C$1)-IF(OFFSET(Assumptions!$B$57,0,$C$1)="Yes",Allocation!$G$7,0),(U$247+IF(AND(U$6=OFFSET(Assumptions!$B$8,0,$C$1),OFFSET(Assumptions!$B$57,0,$C$1)="Yes"),Allocation!$G$7,0))*(1+OFFSET(Assumptions!$B$42,0,$C$1)))</f>
        <v>2.9516972770196883</v>
      </c>
      <c r="W247" s="16">
        <f ca="1">IF(W$6=OFFSET(Assumptions!$B$8,0,$C$1),OFFSET(Assumptions!$B$41,0,$C$1)-IF(OFFSET(Assumptions!$B$57,0,$C$1)="Yes",Allocation!$G$7,0),(V$247+IF(AND(V$6=OFFSET(Assumptions!$B$8,0,$C$1),OFFSET(Assumptions!$B$57,0,$C$1)="Yes"),Allocation!$G$7,0))*(1+OFFSET(Assumptions!$B$42,0,$C$1)))</f>
        <v>3.0402481953302791</v>
      </c>
      <c r="X247" s="16">
        <f ca="1">IF(X$6=OFFSET(Assumptions!$B$8,0,$C$1),OFFSET(Assumptions!$B$41,0,$C$1)-IF(OFFSET(Assumptions!$B$57,0,$C$1)="Yes",Allocation!$G$7,0),(W$247+IF(AND(W$6=OFFSET(Assumptions!$B$8,0,$C$1),OFFSET(Assumptions!$B$57,0,$C$1)="Yes"),Allocation!$G$7,0))*(1+OFFSET(Assumptions!$B$42,0,$C$1)))</f>
        <v>3.1314556411901875</v>
      </c>
    </row>
    <row r="248" spans="1:24" x14ac:dyDescent="0.25">
      <c r="A248" s="9" t="s">
        <v>541</v>
      </c>
      <c r="B248" s="10" t="str">
        <f>$B$38</f>
        <v>From Fiscal Forecasts</v>
      </c>
      <c r="D248" s="42">
        <f>'Fiscal Forecasts'!D$22</f>
        <v>0</v>
      </c>
      <c r="E248" s="42">
        <f>'Fiscal Forecasts'!E$22</f>
        <v>0</v>
      </c>
      <c r="F248" s="42">
        <f>'Fiscal Forecasts'!F$22</f>
        <v>0</v>
      </c>
      <c r="G248" s="42">
        <f>'Fiscal Forecasts'!G$22</f>
        <v>0</v>
      </c>
      <c r="H248" s="42">
        <f>'Fiscal Forecasts'!H$22</f>
        <v>0</v>
      </c>
      <c r="I248" s="42">
        <f>'Fiscal Forecasts'!I$22</f>
        <v>0</v>
      </c>
      <c r="J248" s="43">
        <f ca="1">IF(OFFSET(Assumptions!$B$56,0,$C$1)="Yes",0,'Fiscal Forecasts'!J$22)</f>
        <v>-2.7</v>
      </c>
      <c r="K248" s="43">
        <f ca="1">IF(OFFSET(Assumptions!$B$56,0,$C$1)="Yes",0,'Fiscal Forecasts'!K$22)</f>
        <v>-0.9</v>
      </c>
      <c r="L248" s="43">
        <f ca="1">IF(OFFSET(Assumptions!$B$56,0,$C$1)="Yes",0,'Fiscal Forecasts'!L$22)</f>
        <v>-0.6</v>
      </c>
      <c r="M248" s="43">
        <f ca="1">IF(OFFSET(Assumptions!$B$56,0,$C$1)="Yes",0,'Fiscal Forecasts'!M$22)</f>
        <v>-0.6</v>
      </c>
      <c r="N248" s="43">
        <f ca="1">IF(OFFSET(Assumptions!$B$56,0,$C$1)="Yes",0,'Fiscal Forecasts'!N$22)</f>
        <v>-0.6</v>
      </c>
      <c r="O248" s="47">
        <f ca="1">IF(O$6=OFFSET(Assumptions!$B$8,0,$C$1),OFFSET(Assumptions!$B$9,0,$C$1),N$248)</f>
        <v>0</v>
      </c>
      <c r="P248" s="47">
        <f ca="1">IF(P$6=OFFSET(Assumptions!$B$8,0,$C$1),OFFSET(Assumptions!$B$9,0,$C$1),O$248)</f>
        <v>0</v>
      </c>
      <c r="Q248" s="47">
        <f ca="1">IF(Q$6=OFFSET(Assumptions!$B$8,0,$C$1),OFFSET(Assumptions!$B$9,0,$C$1),P$248)</f>
        <v>0</v>
      </c>
      <c r="R248" s="47">
        <f ca="1">IF(R$6=OFFSET(Assumptions!$B$8,0,$C$1),OFFSET(Assumptions!$B$9,0,$C$1),Q$248)</f>
        <v>0</v>
      </c>
      <c r="S248" s="47">
        <f ca="1">IF(S$6=OFFSET(Assumptions!$B$8,0,$C$1),OFFSET(Assumptions!$B$9,0,$C$1),R$248)</f>
        <v>0</v>
      </c>
      <c r="T248" s="47">
        <f ca="1">IF(T$6=OFFSET(Assumptions!$B$8,0,$C$1),OFFSET(Assumptions!$B$9,0,$C$1),S$248)</f>
        <v>0</v>
      </c>
      <c r="U248" s="47">
        <f ca="1">IF(U$6=OFFSET(Assumptions!$B$8,0,$C$1),OFFSET(Assumptions!$B$9,0,$C$1),T$248)</f>
        <v>0</v>
      </c>
      <c r="V248" s="47">
        <f ca="1">IF(V$6=OFFSET(Assumptions!$B$8,0,$C$1),OFFSET(Assumptions!$B$9,0,$C$1),U$248)</f>
        <v>0</v>
      </c>
      <c r="W248" s="47">
        <f ca="1">IF(W$6=OFFSET(Assumptions!$B$8,0,$C$1),OFFSET(Assumptions!$B$9,0,$C$1),V$248)</f>
        <v>0</v>
      </c>
      <c r="X248" s="47">
        <f ca="1">IF(X$6=OFFSET(Assumptions!$B$8,0,$C$1),OFFSET(Assumptions!$B$9,0,$C$1),W$248)</f>
        <v>0</v>
      </c>
    </row>
    <row r="250" spans="1:24" x14ac:dyDescent="0.25">
      <c r="A250" s="9" t="s">
        <v>974</v>
      </c>
    </row>
    <row r="251" spans="1:24" x14ac:dyDescent="0.25">
      <c r="A251" s="9" t="s">
        <v>975</v>
      </c>
      <c r="B251" s="10" t="str">
        <f>$B$38</f>
        <v>From Fiscal Forecasts</v>
      </c>
      <c r="D251" s="42">
        <f>'Fiscal Forecasts'!D$69</f>
        <v>6.6000000000000003E-2</v>
      </c>
      <c r="E251" s="42">
        <f>'Fiscal Forecasts'!E$69</f>
        <v>7.2999999999999995E-2</v>
      </c>
      <c r="F251" s="42">
        <f>'Fiscal Forecasts'!F$69</f>
        <v>9.9000000000000005E-2</v>
      </c>
      <c r="G251" s="42">
        <f>'Fiscal Forecasts'!G$69</f>
        <v>9.4E-2</v>
      </c>
      <c r="H251" s="42">
        <f>'Fiscal Forecasts'!H$69</f>
        <v>6.0999999999999999E-2</v>
      </c>
      <c r="I251" s="42">
        <f>'Fiscal Forecasts'!I$69</f>
        <v>6.9000000000000006E-2</v>
      </c>
      <c r="J251" s="43">
        <f>'Fiscal Forecasts'!J$69</f>
        <v>0.05</v>
      </c>
      <c r="K251" s="43">
        <f>'Fiscal Forecasts'!K$69</f>
        <v>4.9000000000000002E-2</v>
      </c>
      <c r="L251" s="43">
        <f>'Fiscal Forecasts'!L$69</f>
        <v>4.8000000000000001E-2</v>
      </c>
      <c r="M251" s="43">
        <f>'Fiscal Forecasts'!M$69</f>
        <v>4.5999999999999999E-2</v>
      </c>
      <c r="N251" s="43">
        <f>'Fiscal Forecasts'!N$69</f>
        <v>4.4999999999999998E-2</v>
      </c>
      <c r="O251" s="47">
        <f>N$251*Exogenous!Z$34/Exogenous!Y$34</f>
        <v>4.32824427480916E-2</v>
      </c>
      <c r="P251" s="47">
        <f>O$251*Exogenous!AA$34/Exogenous!Z$34</f>
        <v>4.1335877862595419E-2</v>
      </c>
      <c r="Q251" s="47">
        <f>P$251*Exogenous!AB$34/Exogenous!AA$34</f>
        <v>3.9389312977099238E-2</v>
      </c>
      <c r="R251" s="47">
        <f>Q$251*Exogenous!AC$34/Exogenous!AB$34</f>
        <v>3.7442748091603063E-2</v>
      </c>
      <c r="S251" s="47">
        <f>R$251*Exogenous!AD$34/Exogenous!AC$34</f>
        <v>3.5496183206106882E-2</v>
      </c>
      <c r="T251" s="47">
        <f>S$251*Exogenous!AE$34/Exogenous!AD$34</f>
        <v>3.3435114503816803E-2</v>
      </c>
      <c r="U251" s="47">
        <f>T$251*Exogenous!AF$34/Exogenous!AE$34</f>
        <v>3.1603053435114513E-2</v>
      </c>
      <c r="V251" s="47">
        <f>U$251*Exogenous!AG$34/Exogenous!AF$34</f>
        <v>2.977099236641222E-2</v>
      </c>
      <c r="W251" s="47">
        <f>V$251*Exogenous!AH$34/Exogenous!AG$34</f>
        <v>2.7824427480916035E-2</v>
      </c>
      <c r="X251" s="47">
        <f>W$251*Exogenous!AI$34/Exogenous!AH$34</f>
        <v>2.5877862595419854E-2</v>
      </c>
    </row>
    <row r="252" spans="1:24" x14ac:dyDescent="0.25">
      <c r="A252" s="9" t="s">
        <v>976</v>
      </c>
      <c r="B252" s="10" t="str">
        <f>$B$38</f>
        <v>From Fiscal Forecasts</v>
      </c>
      <c r="D252" s="42">
        <f>'Fiscal Forecasts'!D$52</f>
        <v>0.08</v>
      </c>
      <c r="E252" s="42">
        <f>'Fiscal Forecasts'!E$52</f>
        <v>8.6999999999999994E-2</v>
      </c>
      <c r="F252" s="42">
        <f>'Fiscal Forecasts'!F$52</f>
        <v>0.114</v>
      </c>
      <c r="G252" s="42">
        <f>'Fiscal Forecasts'!G$52</f>
        <v>0.11</v>
      </c>
      <c r="H252" s="42">
        <f>'Fiscal Forecasts'!H$52</f>
        <v>7.8E-2</v>
      </c>
      <c r="I252" s="42">
        <f>'Fiscal Forecasts'!I$52</f>
        <v>9.4E-2</v>
      </c>
      <c r="J252" s="43">
        <f>'Fiscal Forecasts'!J$52</f>
        <v>8.5999999999999993E-2</v>
      </c>
      <c r="K252" s="43">
        <f>'Fiscal Forecasts'!K$52</f>
        <v>8.5999999999999993E-2</v>
      </c>
      <c r="L252" s="43">
        <f>'Fiscal Forecasts'!L$52</f>
        <v>8.5000000000000006E-2</v>
      </c>
      <c r="M252" s="43">
        <f>'Fiscal Forecasts'!M$52</f>
        <v>8.4000000000000005E-2</v>
      </c>
      <c r="N252" s="43">
        <f>'Fiscal Forecasts'!N$52</f>
        <v>8.3000000000000004E-2</v>
      </c>
      <c r="O252" s="47">
        <f>N$252*Exogenous!Z$34/Exogenous!Y$34</f>
        <v>7.983206106870229E-2</v>
      </c>
      <c r="P252" s="47">
        <f>O$252*Exogenous!AA$34/Exogenous!Z$34</f>
        <v>7.6241730279898209E-2</v>
      </c>
      <c r="Q252" s="47">
        <f>P$252*Exogenous!AB$34/Exogenous!AA$34</f>
        <v>7.2651399491094129E-2</v>
      </c>
      <c r="R252" s="47">
        <f>Q$252*Exogenous!AC$34/Exogenous!AB$34</f>
        <v>6.9061068702290063E-2</v>
      </c>
      <c r="S252" s="47">
        <f>R$252*Exogenous!AD$34/Exogenous!AC$34</f>
        <v>6.5470737913485982E-2</v>
      </c>
      <c r="T252" s="47">
        <f>S$252*Exogenous!AE$34/Exogenous!AD$34</f>
        <v>6.1669211195928726E-2</v>
      </c>
      <c r="U252" s="47">
        <f>T$252*Exogenous!AF$34/Exogenous!AE$34</f>
        <v>5.8290076335877843E-2</v>
      </c>
      <c r="V252" s="47">
        <f>U$252*Exogenous!AG$34/Exogenous!AF$34</f>
        <v>5.4910941475826952E-2</v>
      </c>
      <c r="W252" s="47">
        <f>V$252*Exogenous!AH$34/Exogenous!AG$34</f>
        <v>5.1320610687022879E-2</v>
      </c>
      <c r="X252" s="47">
        <f>W$252*Exogenous!AI$34/Exogenous!AH$34</f>
        <v>4.7730279898218805E-2</v>
      </c>
    </row>
    <row r="254" spans="1:24" x14ac:dyDescent="0.25">
      <c r="A254" s="9" t="s">
        <v>977</v>
      </c>
      <c r="D254" s="2"/>
      <c r="E254" s="2"/>
      <c r="F254" s="2"/>
      <c r="G254" s="2"/>
      <c r="H254" s="2"/>
      <c r="I254" s="2"/>
      <c r="J254" s="2"/>
      <c r="K254" s="2"/>
      <c r="L254" s="2"/>
      <c r="M254" s="2"/>
      <c r="N254" s="2"/>
    </row>
    <row r="255" spans="1:24" x14ac:dyDescent="0.25">
      <c r="A255" s="11" t="s">
        <v>1389</v>
      </c>
      <c r="B255" s="10" t="str">
        <f>$B$38</f>
        <v>From Fiscal Forecasts</v>
      </c>
      <c r="D255" s="35">
        <f>Exogenous!$B$79*'Fiscal Forecasts'!D$58</f>
        <v>3.7266719999999998</v>
      </c>
      <c r="E255" s="35">
        <f>Exogenous!$B$79*'Fiscal Forecasts'!E$58</f>
        <v>4.0577639999999997</v>
      </c>
      <c r="F255" s="35">
        <f>Exogenous!$B$79*'Fiscal Forecasts'!F$58</f>
        <v>4.6479359999999996</v>
      </c>
      <c r="G255" s="35">
        <f>Exogenous!$B$79*'Fiscal Forecasts'!G$58</f>
        <v>5.6673239999999998</v>
      </c>
      <c r="H255" s="35">
        <f>Exogenous!$B$79*'Fiscal Forecasts'!H$58</f>
        <v>5.8117559999999999</v>
      </c>
      <c r="I255" s="35">
        <f>Exogenous!$B$79*'Fiscal Forecasts'!I$58</f>
        <v>6.1197959999999991</v>
      </c>
      <c r="J255" s="17">
        <f ca="1">Exogenous!$B$79*('Fiscal Forecasts'!J$58+IF(OFFSET(Assumptions!$B$56,0,$C$1)="Yes",Allocation!C$15,0))</f>
        <v>6.3107399999999991</v>
      </c>
      <c r="K255" s="17">
        <f ca="1">Exogenous!$B$79*('Fiscal Forecasts'!K$58+IF(OFFSET(Assumptions!$B$56,0,$C$1)="Yes",Allocation!D$15,0))</f>
        <v>6.6726359999999998</v>
      </c>
      <c r="L255" s="17">
        <f ca="1">Exogenous!$B$79*('Fiscal Forecasts'!L$58+IF(OFFSET(Assumptions!$B$56,0,$C$1)="Yes",Allocation!E$15,0))</f>
        <v>6.9472199999999997</v>
      </c>
      <c r="M255" s="17">
        <f ca="1">Exogenous!$B$79*('Fiscal Forecasts'!M$58+IF(OFFSET(Assumptions!$B$56,0,$C$1)="Yes",Allocation!F$15,0))</f>
        <v>6.9755760000000002</v>
      </c>
      <c r="N255" s="17">
        <f ca="1">Exogenous!$B$79*('Fiscal Forecasts'!N$58+IF(OFFSET(Assumptions!$B$56,0,$C$1)="Yes",Allocation!G$15,0))</f>
        <v>7.0053600000000005</v>
      </c>
      <c r="O255" s="16">
        <f ca="1">N$255+IF(OFFSET(Assumptions!$B$57,0,$C$1)="Yes",Exogenous!$B$79*Allocation!$B$15*O$247,IF(OFFSET(Assumptions!$B$58,0,$C$1)="Yes",N$255*(1+(SUMPRODUCT(Exogenous!$B$82:$B$85,'Population Treasury'!Z$238:Z$241)+SUMPRODUCT(Exogenous!$B$86:$B$94,'Population Treasury'!Z$243:Z$251)+SUMPRODUCT(Exogenous!$B$95:$B$100,'Population Treasury'!Z$253:Z$258))/('Population Treasury'!Z$307/'Population Treasury'!Y$307)+(SUMPRODUCT(Exogenous!$C$82:$C$85,'Population Treasury'!Z$283:Z$286)+SUMPRODUCT(Exogenous!$C$86:$C$94,'Population Treasury'!Z$288:Z$296)+SUMPRODUCT(Exogenous!$C$95:$C$100,'Population Treasury'!Z$298:Z$303))/('Population Treasury'!Z$309/'Population Treasury'!Y$309))*(1+O$25)*(1+O$29)*(1+OFFSET(Assumptions!$B$63,0,$C$1))/(1+OFFSET(Assumptions!$B$64,0,$C$1))-N$255,0))</f>
        <v>7.0053600000000005</v>
      </c>
      <c r="P255" s="16">
        <f ca="1">O$255+IF(OFFSET(Assumptions!$B$57,0,$C$1)="Yes",Exogenous!$B$79*Allocation!$B$15*P$247,IF(OFFSET(Assumptions!$B$58,0,$C$1)="Yes",O$255*(1+(SUMPRODUCT(Exogenous!$B$82:$B$85,'Population Treasury'!AA$238:AA$241)+SUMPRODUCT(Exogenous!$B$86:$B$94,'Population Treasury'!AA$243:AA$251)+SUMPRODUCT(Exogenous!$B$95:$B$100,'Population Treasury'!AA$253:AA$258))/('Population Treasury'!AA$307/'Population Treasury'!Z$307)+(SUMPRODUCT(Exogenous!$C$82:$C$85,'Population Treasury'!AA$283:AA$286)+SUMPRODUCT(Exogenous!$C$86:$C$94,'Population Treasury'!AA$288:AA$296)+SUMPRODUCT(Exogenous!$C$95:$C$100,'Population Treasury'!AA$298:AA$303))/('Population Treasury'!AA$309/'Population Treasury'!Z$309))*(1+P$25)*(1+P$29)*(1+OFFSET(Assumptions!$B$63,0,$C$1))/(1+OFFSET(Assumptions!$B$64,0,$C$1))-O$255,0))</f>
        <v>7.0053600000000005</v>
      </c>
      <c r="Q255" s="16">
        <f ca="1">P$255+IF(OFFSET(Assumptions!$B$57,0,$C$1)="Yes",Exogenous!$B$79*Allocation!$B$15*Q$247,IF(OFFSET(Assumptions!$B$58,0,$C$1)="Yes",P$255*(1+(SUMPRODUCT(Exogenous!$B$82:$B$85,'Population Treasury'!AB$238:AB$241)+SUMPRODUCT(Exogenous!$B$86:$B$94,'Population Treasury'!AB$243:AB$251)+SUMPRODUCT(Exogenous!$B$95:$B$100,'Population Treasury'!AB$253:AB$258))/('Population Treasury'!AB$307/'Population Treasury'!AA$307)+(SUMPRODUCT(Exogenous!$C$82:$C$85,'Population Treasury'!AB$283:AB$286)+SUMPRODUCT(Exogenous!$C$86:$C$94,'Population Treasury'!AB$288:AB$296)+SUMPRODUCT(Exogenous!$C$95:$C$100,'Population Treasury'!AB$298:AB$303))/('Population Treasury'!AB$309/'Population Treasury'!AA$309))*(1+Q$25)*(1+Q$29)*(1+OFFSET(Assumptions!$B$63,0,$C$1))/(1+OFFSET(Assumptions!$B$64,0,$C$1))-P$255,0))</f>
        <v>7.0053600000000005</v>
      </c>
      <c r="R255" s="16">
        <f ca="1">Q$255+IF(OFFSET(Assumptions!$B$57,0,$C$1)="Yes",Exogenous!$B$79*Allocation!$B$15*R$247,IF(OFFSET(Assumptions!$B$58,0,$C$1)="Yes",Q$255*(1+(SUMPRODUCT(Exogenous!$B$82:$B$85,'Population Treasury'!AC$238:AC$241)+SUMPRODUCT(Exogenous!$B$86:$B$94,'Population Treasury'!AC$243:AC$251)+SUMPRODUCT(Exogenous!$B$95:$B$100,'Population Treasury'!AC$253:AC$258))/('Population Treasury'!AC$307/'Population Treasury'!AB$307)+(SUMPRODUCT(Exogenous!$C$82:$C$85,'Population Treasury'!AC$283:AC$286)+SUMPRODUCT(Exogenous!$C$86:$C$94,'Population Treasury'!AC$288:AC$296)+SUMPRODUCT(Exogenous!$C$95:$C$100,'Population Treasury'!AC$298:AC$303))/('Population Treasury'!AC$309/'Population Treasury'!AB$309))*(1+R$25)*(1+R$29)*(1+OFFSET(Assumptions!$B$63,0,$C$1))/(1+OFFSET(Assumptions!$B$64,0,$C$1))-Q$255,0))</f>
        <v>7.0053600000000005</v>
      </c>
      <c r="S255" s="16">
        <f ca="1">R$255+IF(OFFSET(Assumptions!$B$57,0,$C$1)="Yes",Exogenous!$B$79*Allocation!$B$15*S$247,IF(OFFSET(Assumptions!$B$58,0,$C$1)="Yes",R$255*(1+(SUMPRODUCT(Exogenous!$B$82:$B$85,'Population Treasury'!AD$238:AD$241)+SUMPRODUCT(Exogenous!$B$86:$B$94,'Population Treasury'!AD$243:AD$251)+SUMPRODUCT(Exogenous!$B$95:$B$100,'Population Treasury'!AD$253:AD$258))/('Population Treasury'!AD$307/'Population Treasury'!AC$307)+(SUMPRODUCT(Exogenous!$C$82:$C$85,'Population Treasury'!AD$283:AD$286)+SUMPRODUCT(Exogenous!$C$86:$C$94,'Population Treasury'!AD$288:AD$296)+SUMPRODUCT(Exogenous!$C$95:$C$100,'Population Treasury'!AD$298:AD$303))/('Population Treasury'!AD$309/'Population Treasury'!AC$309))*(1+S$25)*(1+S$29)*(1+OFFSET(Assumptions!$B$63,0,$C$1))/(1+OFFSET(Assumptions!$B$64,0,$C$1))-R$255,0))</f>
        <v>7.0053600000000005</v>
      </c>
      <c r="T255" s="16">
        <f ca="1">S$255+IF(OFFSET(Assumptions!$B$57,0,$C$1)="Yes",Exogenous!$B$79*Allocation!$B$15*T$247,IF(OFFSET(Assumptions!$B$58,0,$C$1)="Yes",S$255*(1+(SUMPRODUCT(Exogenous!$B$82:$B$85,'Population Treasury'!AE$238:AE$241)+SUMPRODUCT(Exogenous!$B$86:$B$94,'Population Treasury'!AE$243:AE$251)+SUMPRODUCT(Exogenous!$B$95:$B$100,'Population Treasury'!AE$253:AE$258))/('Population Treasury'!AE$307/'Population Treasury'!AD$307)+(SUMPRODUCT(Exogenous!$C$82:$C$85,'Population Treasury'!AE$283:AE$286)+SUMPRODUCT(Exogenous!$C$86:$C$94,'Population Treasury'!AE$288:AE$296)+SUMPRODUCT(Exogenous!$C$95:$C$100,'Population Treasury'!AE$298:AE$303))/('Population Treasury'!AE$309/'Population Treasury'!AD$309))*(1+T$25)*(1+T$29)*(1+OFFSET(Assumptions!$B$63,0,$C$1))/(1+OFFSET(Assumptions!$B$64,0,$C$1))-S$255,0))</f>
        <v>7.0053600000000005</v>
      </c>
      <c r="U255" s="16">
        <f ca="1">T$255+IF(OFFSET(Assumptions!$B$57,0,$C$1)="Yes",Exogenous!$B$79*Allocation!$B$15*U$247,IF(OFFSET(Assumptions!$B$58,0,$C$1)="Yes",T$255*(1+(SUMPRODUCT(Exogenous!$B$82:$B$85,'Population Treasury'!AF$238:AF$241)+SUMPRODUCT(Exogenous!$B$86:$B$94,'Population Treasury'!AF$243:AF$251)+SUMPRODUCT(Exogenous!$B$95:$B$100,'Population Treasury'!AF$253:AF$258))/('Population Treasury'!AF$307/'Population Treasury'!AE$307)+(SUMPRODUCT(Exogenous!$C$82:$C$85,'Population Treasury'!AF$283:AF$286)+SUMPRODUCT(Exogenous!$C$86:$C$94,'Population Treasury'!AF$288:AF$296)+SUMPRODUCT(Exogenous!$C$95:$C$100,'Population Treasury'!AF$298:AF$303))/('Population Treasury'!AF$309/'Population Treasury'!AE$309))*(1+U$25)*(1+U$29)*(1+OFFSET(Assumptions!$B$63,0,$C$1))/(1+OFFSET(Assumptions!$B$64,0,$C$1))-T$255,0))</f>
        <v>7.0053600000000005</v>
      </c>
      <c r="V255" s="16">
        <f ca="1">U$255+IF(OFFSET(Assumptions!$B$57,0,$C$1)="Yes",Exogenous!$B$79*Allocation!$B$15*V$247,IF(OFFSET(Assumptions!$B$58,0,$C$1)="Yes",U$255*(1+(SUMPRODUCT(Exogenous!$B$82:$B$85,'Population Treasury'!AG$238:AG$241)+SUMPRODUCT(Exogenous!$B$86:$B$94,'Population Treasury'!AG$243:AG$251)+SUMPRODUCT(Exogenous!$B$95:$B$100,'Population Treasury'!AG$253:AG$258))/('Population Treasury'!AG$307/'Population Treasury'!AF$307)+(SUMPRODUCT(Exogenous!$C$82:$C$85,'Population Treasury'!AG$283:AG$286)+SUMPRODUCT(Exogenous!$C$86:$C$94,'Population Treasury'!AG$288:AG$296)+SUMPRODUCT(Exogenous!$C$95:$C$100,'Population Treasury'!AG$298:AG$303))/('Population Treasury'!AG$309/'Population Treasury'!AF$309))*(1+V$25)*(1+V$29)*(1+OFFSET(Assumptions!$B$63,0,$C$1))/(1+OFFSET(Assumptions!$B$64,0,$C$1))-U$255,0))</f>
        <v>7.0053600000000005</v>
      </c>
      <c r="W255" s="16">
        <f ca="1">V$255+IF(OFFSET(Assumptions!$B$57,0,$C$1)="Yes",Exogenous!$B$79*Allocation!$B$15*W$247,IF(OFFSET(Assumptions!$B$58,0,$C$1)="Yes",V$255*(1+(SUMPRODUCT(Exogenous!$B$82:$B$85,'Population Treasury'!AH$238:AH$241)+SUMPRODUCT(Exogenous!$B$86:$B$94,'Population Treasury'!AH$243:AH$251)+SUMPRODUCT(Exogenous!$B$95:$B$100,'Population Treasury'!AH$253:AH$258))/('Population Treasury'!AH$307/'Population Treasury'!AG$307)+(SUMPRODUCT(Exogenous!$C$82:$C$85,'Population Treasury'!AH$283:AH$286)+SUMPRODUCT(Exogenous!$C$86:$C$94,'Population Treasury'!AH$288:AH$296)+SUMPRODUCT(Exogenous!$C$95:$C$100,'Population Treasury'!AH$298:AH$303))/('Population Treasury'!AH$309/'Population Treasury'!AG$309))*(1+W$25)*(1+W$29)*(1+OFFSET(Assumptions!$B$63,0,$C$1))/(1+OFFSET(Assumptions!$B$64,0,$C$1))-V$255,0))</f>
        <v>7.0053600000000005</v>
      </c>
      <c r="X255" s="16">
        <f ca="1">W$255+IF(OFFSET(Assumptions!$B$57,0,$C$1)="Yes",Exogenous!$B$79*Allocation!$B$15*X$247,IF(OFFSET(Assumptions!$B$58,0,$C$1)="Yes",W$255*(1+(SUMPRODUCT(Exogenous!$B$82:$B$85,'Population Treasury'!AI$238:AI$241)+SUMPRODUCT(Exogenous!$B$86:$B$94,'Population Treasury'!AI$243:AI$251)+SUMPRODUCT(Exogenous!$B$95:$B$100,'Population Treasury'!AI$253:AI$258))/('Population Treasury'!AI$307/'Population Treasury'!AH$307)+(SUMPRODUCT(Exogenous!$C$82:$C$85,'Population Treasury'!AI$283:AI$286)+SUMPRODUCT(Exogenous!$C$86:$C$94,'Population Treasury'!AI$288:AI$296)+SUMPRODUCT(Exogenous!$C$95:$C$100,'Population Treasury'!AI$298:AI$303))/('Population Treasury'!AI$309/'Population Treasury'!AH$309))*(1+X$25)*(1+X$29)*(1+OFFSET(Assumptions!$B$63,0,$C$1))/(1+OFFSET(Assumptions!$B$64,0,$C$1))-W$255,0))</f>
        <v>7.0053600000000005</v>
      </c>
    </row>
    <row r="256" spans="1:24" x14ac:dyDescent="0.25">
      <c r="A256" s="11" t="s">
        <v>1390</v>
      </c>
      <c r="B256" s="10" t="str">
        <f t="shared" ref="B256:B260" si="166">$B$38</f>
        <v>From Fiscal Forecasts</v>
      </c>
      <c r="D256" s="35">
        <f>Exogenous!$E$79*'Fiscal Forecasts'!D$58</f>
        <v>9.882988000000001</v>
      </c>
      <c r="E256" s="35">
        <f>Exogenous!$E$79*'Fiscal Forecasts'!E$58</f>
        <v>10.761030999999999</v>
      </c>
      <c r="F256" s="35">
        <f>Exogenous!$E$79*'Fiscal Forecasts'!F$58</f>
        <v>12.326144000000001</v>
      </c>
      <c r="G256" s="35">
        <f>Exogenous!$E$79*'Fiscal Forecasts'!G$58</f>
        <v>15.029521000000001</v>
      </c>
      <c r="H256" s="35">
        <f>Exogenous!$E$79*'Fiscal Forecasts'!H$58</f>
        <v>15.412549000000002</v>
      </c>
      <c r="I256" s="35">
        <f>Exogenous!$E$79*'Fiscal Forecasts'!I$58</f>
        <v>16.229459000000002</v>
      </c>
      <c r="J256" s="17">
        <f ca="1">Exogenous!$E$79*('Fiscal Forecasts'!J$58+IF(OFFSET(Assumptions!$B$56,0,$C$1)="Yes",Allocation!C$15,0))</f>
        <v>16.735835000000002</v>
      </c>
      <c r="K256" s="17">
        <f ca="1">Exogenous!$E$79*('Fiscal Forecasts'!K$58+IF(OFFSET(Assumptions!$B$56,0,$C$1)="Yes",Allocation!D$15,0))</f>
        <v>17.695569000000003</v>
      </c>
      <c r="L256" s="17">
        <f ca="1">Exogenous!$E$79*('Fiscal Forecasts'!L$58+IF(OFFSET(Assumptions!$B$56,0,$C$1)="Yes",Allocation!E$15,0))</f>
        <v>18.423755</v>
      </c>
      <c r="M256" s="17">
        <f ca="1">Exogenous!$E$79*('Fiscal Forecasts'!M$58+IF(OFFSET(Assumptions!$B$56,0,$C$1)="Yes",Allocation!F$15,0))</f>
        <v>18.498954000000001</v>
      </c>
      <c r="N256" s="17">
        <f ca="1">Exogenous!$E$79*('Fiscal Forecasts'!N$58+IF(OFFSET(Assumptions!$B$56,0,$C$1)="Yes",Allocation!G$15,0))</f>
        <v>18.577940000000002</v>
      </c>
      <c r="O256" s="16">
        <f ca="1">N$256+IF(OFFSET(Assumptions!$B$57,0,$C$1)="Yes",Exogenous!$E$79*Allocation!$B$15*O$247,IF(OFFSET(Assumptions!$B$58,0,$C$1)="Yes",N$256*(1+(SUMPRODUCT(Exogenous!$E$82:$E$85,'Population Treasury'!Z$238:Z$241)+SUMPRODUCT(Exogenous!$E$86:$E$94,'Population Treasury'!Z$243:Z$251)+SUMPRODUCT(Exogenous!$E$95:$E$100,'Population Treasury'!Z$253:Z$258))/('Population Treasury'!Z$307/'Population Treasury'!Y$307)+(SUMPRODUCT(Exogenous!$F$82:$F$85,'Population Treasury'!Z$283:Z$286)+SUMPRODUCT(Exogenous!$F$86:$F$94,'Population Treasury'!Z$288:Z$296)+SUMPRODUCT(Exogenous!$F$95:$F$100,'Population Treasury'!Z$298:Z$303))/('Population Treasury'!Z$309/'Population Treasury'!Y$309))*(1+O$25)*(1+O$29)*(1+OFFSET(Assumptions!$B$63,0,$C$1))/(1+OFFSET(Assumptions!$B$64,0,$C$1))-N$256,0))</f>
        <v>18.577940000000002</v>
      </c>
      <c r="P256" s="16">
        <f ca="1">O$256+IF(OFFSET(Assumptions!$B$57,0,$C$1)="Yes",Exogenous!$E$79*Allocation!$B$15*P$247,IF(OFFSET(Assumptions!$B$58,0,$C$1)="Yes",O$256*(1+(SUMPRODUCT(Exogenous!$E$82:$E$85,'Population Treasury'!AA$238:AA$241)+SUMPRODUCT(Exogenous!$E$86:$E$94,'Population Treasury'!AA$243:AA$251)+SUMPRODUCT(Exogenous!$E$95:$E$100,'Population Treasury'!AA$253:AA$258))/('Population Treasury'!AA$307/'Population Treasury'!Z$307)+(SUMPRODUCT(Exogenous!$F$82:$F$85,'Population Treasury'!AA$283:AA$286)+SUMPRODUCT(Exogenous!$F$86:$F$94,'Population Treasury'!AA$288:AA$296)+SUMPRODUCT(Exogenous!$F$95:$F$100,'Population Treasury'!AA$298:AA$303))/('Population Treasury'!AA$309/'Population Treasury'!Z$309))*(1+P$25)*(1+P$29)*(1+OFFSET(Assumptions!$B$63,0,$C$1))/(1+OFFSET(Assumptions!$B$64,0,$C$1))-O$256,0))</f>
        <v>18.577940000000002</v>
      </c>
      <c r="Q256" s="16">
        <f ca="1">P$256+IF(OFFSET(Assumptions!$B$57,0,$C$1)="Yes",Exogenous!$E$79*Allocation!$B$15*Q$247,IF(OFFSET(Assumptions!$B$58,0,$C$1)="Yes",P$256*(1+(SUMPRODUCT(Exogenous!$E$82:$E$85,'Population Treasury'!AB$238:AB$241)+SUMPRODUCT(Exogenous!$E$86:$E$94,'Population Treasury'!AB$243:AB$251)+SUMPRODUCT(Exogenous!$E$95:$E$100,'Population Treasury'!AB$253:AB$258))/('Population Treasury'!AB$307/'Population Treasury'!AA$307)+(SUMPRODUCT(Exogenous!$F$82:$F$85,'Population Treasury'!AB$283:AB$286)+SUMPRODUCT(Exogenous!$F$86:$F$94,'Population Treasury'!AB$288:AB$296)+SUMPRODUCT(Exogenous!$F$95:$F$100,'Population Treasury'!AB$298:AB$303))/('Population Treasury'!AB$309/'Population Treasury'!AA$309))*(1+Q$25)*(1+Q$29)*(1+OFFSET(Assumptions!$B$63,0,$C$1))/(1+OFFSET(Assumptions!$B$64,0,$C$1))-P$256,0))</f>
        <v>18.577940000000002</v>
      </c>
      <c r="R256" s="16">
        <f ca="1">Q$256+IF(OFFSET(Assumptions!$B$57,0,$C$1)="Yes",Exogenous!$E$79*Allocation!$B$15*R$247,IF(OFFSET(Assumptions!$B$58,0,$C$1)="Yes",Q$256*(1+(SUMPRODUCT(Exogenous!$E$82:$E$85,'Population Treasury'!AC$238:AC$241)+SUMPRODUCT(Exogenous!$E$86:$E$94,'Population Treasury'!AC$243:AC$251)+SUMPRODUCT(Exogenous!$E$95:$E$100,'Population Treasury'!AC$253:AC$258))/('Population Treasury'!AC$307/'Population Treasury'!AB$307)+(SUMPRODUCT(Exogenous!$F$82:$F$85,'Population Treasury'!AC$283:AC$286)+SUMPRODUCT(Exogenous!$F$86:$F$94,'Population Treasury'!AC$288:AC$296)+SUMPRODUCT(Exogenous!$F$95:$F$100,'Population Treasury'!AC$298:AC$303))/('Population Treasury'!AC$309/'Population Treasury'!AB$309))*(1+R$25)*(1+R$29)*(1+OFFSET(Assumptions!$B$63,0,$C$1))/(1+OFFSET(Assumptions!$B$64,0,$C$1))-Q$256,0))</f>
        <v>18.577940000000002</v>
      </c>
      <c r="S256" s="16">
        <f ca="1">R$256+IF(OFFSET(Assumptions!$B$57,0,$C$1)="Yes",Exogenous!$E$79*Allocation!$B$15*S$247,IF(OFFSET(Assumptions!$B$58,0,$C$1)="Yes",R$256*(1+(SUMPRODUCT(Exogenous!$E$82:$E$85,'Population Treasury'!AD$238:AD$241)+SUMPRODUCT(Exogenous!$E$86:$E$94,'Population Treasury'!AD$243:AD$251)+SUMPRODUCT(Exogenous!$E$95:$E$100,'Population Treasury'!AD$253:AD$258))/('Population Treasury'!AD$307/'Population Treasury'!AC$307)+(SUMPRODUCT(Exogenous!$F$82:$F$85,'Population Treasury'!AD$283:AD$286)+SUMPRODUCT(Exogenous!$F$86:$F$94,'Population Treasury'!AD$288:AD$296)+SUMPRODUCT(Exogenous!$F$95:$F$100,'Population Treasury'!AD$298:AD$303))/('Population Treasury'!AD$309/'Population Treasury'!AC$309))*(1+S$25)*(1+S$29)*(1+OFFSET(Assumptions!$B$63,0,$C$1))/(1+OFFSET(Assumptions!$B$64,0,$C$1))-R$256,0))</f>
        <v>18.577940000000002</v>
      </c>
      <c r="T256" s="16">
        <f ca="1">S$256+IF(OFFSET(Assumptions!$B$57,0,$C$1)="Yes",Exogenous!$E$79*Allocation!$B$15*T$247,IF(OFFSET(Assumptions!$B$58,0,$C$1)="Yes",S$256*(1+(SUMPRODUCT(Exogenous!$E$82:$E$85,'Population Treasury'!AE$238:AE$241)+SUMPRODUCT(Exogenous!$E$86:$E$94,'Population Treasury'!AE$243:AE$251)+SUMPRODUCT(Exogenous!$E$95:$E$100,'Population Treasury'!AE$253:AE$258))/('Population Treasury'!AE$307/'Population Treasury'!AD$307)+(SUMPRODUCT(Exogenous!$F$82:$F$85,'Population Treasury'!AE$283:AE$286)+SUMPRODUCT(Exogenous!$F$86:$F$94,'Population Treasury'!AE$288:AE$296)+SUMPRODUCT(Exogenous!$F$95:$F$100,'Population Treasury'!AE$298:AE$303))/('Population Treasury'!AE$309/'Population Treasury'!AD$309))*(1+T$25)*(1+T$29)*(1+OFFSET(Assumptions!$B$63,0,$C$1))/(1+OFFSET(Assumptions!$B$64,0,$C$1))-S$256,0))</f>
        <v>18.577940000000002</v>
      </c>
      <c r="U256" s="16">
        <f ca="1">T$256+IF(OFFSET(Assumptions!$B$57,0,$C$1)="Yes",Exogenous!$E$79*Allocation!$B$15*U$247,IF(OFFSET(Assumptions!$B$58,0,$C$1)="Yes",T$256*(1+(SUMPRODUCT(Exogenous!$E$82:$E$85,'Population Treasury'!AF$238:AF$241)+SUMPRODUCT(Exogenous!$E$86:$E$94,'Population Treasury'!AF$243:AF$251)+SUMPRODUCT(Exogenous!$E$95:$E$100,'Population Treasury'!AF$253:AF$258))/('Population Treasury'!AF$307/'Population Treasury'!AE$307)+(SUMPRODUCT(Exogenous!$F$82:$F$85,'Population Treasury'!AF$283:AF$286)+SUMPRODUCT(Exogenous!$F$86:$F$94,'Population Treasury'!AF$288:AF$296)+SUMPRODUCT(Exogenous!$F$95:$F$100,'Population Treasury'!AF$298:AF$303))/('Population Treasury'!AF$309/'Population Treasury'!AE$309))*(1+U$25)*(1+U$29)*(1+OFFSET(Assumptions!$B$63,0,$C$1))/(1+OFFSET(Assumptions!$B$64,0,$C$1))-T$256,0))</f>
        <v>18.577940000000002</v>
      </c>
      <c r="V256" s="16">
        <f ca="1">U$256+IF(OFFSET(Assumptions!$B$57,0,$C$1)="Yes",Exogenous!$E$79*Allocation!$B$15*V$247,IF(OFFSET(Assumptions!$B$58,0,$C$1)="Yes",U$256*(1+(SUMPRODUCT(Exogenous!$E$82:$E$85,'Population Treasury'!AG$238:AG$241)+SUMPRODUCT(Exogenous!$E$86:$E$94,'Population Treasury'!AG$243:AG$251)+SUMPRODUCT(Exogenous!$E$95:$E$100,'Population Treasury'!AG$253:AG$258))/('Population Treasury'!AG$307/'Population Treasury'!AF$307)+(SUMPRODUCT(Exogenous!$F$82:$F$85,'Population Treasury'!AG$283:AG$286)+SUMPRODUCT(Exogenous!$F$86:$F$94,'Population Treasury'!AG$288:AG$296)+SUMPRODUCT(Exogenous!$F$95:$F$100,'Population Treasury'!AG$298:AG$303))/('Population Treasury'!AG$309/'Population Treasury'!AF$309))*(1+V$25)*(1+V$29)*(1+OFFSET(Assumptions!$B$63,0,$C$1))/(1+OFFSET(Assumptions!$B$64,0,$C$1))-U$256,0))</f>
        <v>18.577940000000002</v>
      </c>
      <c r="W256" s="16">
        <f ca="1">V$256+IF(OFFSET(Assumptions!$B$57,0,$C$1)="Yes",Exogenous!$E$79*Allocation!$B$15*W$247,IF(OFFSET(Assumptions!$B$58,0,$C$1)="Yes",V$256*(1+(SUMPRODUCT(Exogenous!$E$82:$E$85,'Population Treasury'!AH$238:AH$241)+SUMPRODUCT(Exogenous!$E$86:$E$94,'Population Treasury'!AH$243:AH$251)+SUMPRODUCT(Exogenous!$E$95:$E$100,'Population Treasury'!AH$253:AH$258))/('Population Treasury'!AH$307/'Population Treasury'!AG$307)+(SUMPRODUCT(Exogenous!$F$82:$F$85,'Population Treasury'!AH$283:AH$286)+SUMPRODUCT(Exogenous!$F$86:$F$94,'Population Treasury'!AH$288:AH$296)+SUMPRODUCT(Exogenous!$F$95:$F$100,'Population Treasury'!AH$298:AH$303))/('Population Treasury'!AH$309/'Population Treasury'!AG$309))*(1+W$25)*(1+W$29)*(1+OFFSET(Assumptions!$B$63,0,$C$1))/(1+OFFSET(Assumptions!$B$64,0,$C$1))-V$256,0))</f>
        <v>18.577940000000002</v>
      </c>
      <c r="X256" s="16">
        <f ca="1">W$256+IF(OFFSET(Assumptions!$B$57,0,$C$1)="Yes",Exogenous!$E$79*Allocation!$B$15*X$247,IF(OFFSET(Assumptions!$B$58,0,$C$1)="Yes",W$256*(1+(SUMPRODUCT(Exogenous!$E$82:$E$85,'Population Treasury'!AI$238:AI$241)+SUMPRODUCT(Exogenous!$E$86:$E$94,'Population Treasury'!AI$243:AI$251)+SUMPRODUCT(Exogenous!$E$95:$E$100,'Population Treasury'!AI$253:AI$258))/('Population Treasury'!AI$307/'Population Treasury'!AH$307)+(SUMPRODUCT(Exogenous!$F$82:$F$85,'Population Treasury'!AI$283:AI$286)+SUMPRODUCT(Exogenous!$F$86:$F$94,'Population Treasury'!AI$288:AI$296)+SUMPRODUCT(Exogenous!$F$95:$F$100,'Population Treasury'!AI$298:AI$303))/('Population Treasury'!AI$309/'Population Treasury'!AH$309))*(1+X$25)*(1+X$29)*(1+OFFSET(Assumptions!$B$63,0,$C$1))/(1+OFFSET(Assumptions!$B$64,0,$C$1))-W$256,0))</f>
        <v>18.577940000000002</v>
      </c>
    </row>
    <row r="257" spans="1:24" x14ac:dyDescent="0.25">
      <c r="A257" s="11" t="s">
        <v>1391</v>
      </c>
      <c r="B257" s="10" t="str">
        <f t="shared" si="166"/>
        <v>From Fiscal Forecasts</v>
      </c>
      <c r="D257" s="35">
        <f>Exogenous!$H$79*'Fiscal Forecasts'!D$58</f>
        <v>1.91814</v>
      </c>
      <c r="E257" s="35">
        <f>Exogenous!$H$79*'Fiscal Forecasts'!E$58</f>
        <v>2.0885549999999999</v>
      </c>
      <c r="F257" s="35">
        <f>Exogenous!$H$79*'Fiscal Forecasts'!F$58</f>
        <v>2.3923199999999998</v>
      </c>
      <c r="G257" s="35">
        <f>Exogenous!$H$79*'Fiscal Forecasts'!G$58</f>
        <v>2.9170049999999996</v>
      </c>
      <c r="H257" s="35">
        <f>Exogenous!$H$79*'Fiscal Forecasts'!H$58</f>
        <v>2.9913449999999999</v>
      </c>
      <c r="I257" s="35">
        <f>Exogenous!$H$79*'Fiscal Forecasts'!I$58</f>
        <v>3.1498949999999999</v>
      </c>
      <c r="J257" s="17">
        <f ca="1">Exogenous!$H$79*('Fiscal Forecasts'!J$58+IF(OFFSET(Assumptions!$B$56,0,$C$1)="Yes",Allocation!C$15,0))</f>
        <v>3.2481749999999998</v>
      </c>
      <c r="K257" s="17">
        <f ca="1">Exogenous!$H$79*('Fiscal Forecasts'!K$58+IF(OFFSET(Assumptions!$B$56,0,$C$1)="Yes",Allocation!D$15,0))</f>
        <v>3.4344450000000002</v>
      </c>
      <c r="L257" s="17">
        <f ca="1">Exogenous!$H$79*('Fiscal Forecasts'!L$58+IF(OFFSET(Assumptions!$B$56,0,$C$1)="Yes",Allocation!E$15,0))</f>
        <v>3.5757749999999997</v>
      </c>
      <c r="M257" s="17">
        <f ca="1">Exogenous!$H$79*('Fiscal Forecasts'!M$58+IF(OFFSET(Assumptions!$B$56,0,$C$1)="Yes",Allocation!F$15,0))</f>
        <v>3.5903700000000001</v>
      </c>
      <c r="N257" s="17">
        <f ca="1">Exogenous!$H$79*('Fiscal Forecasts'!N$58+IF(OFFSET(Assumptions!$B$56,0,$C$1)="Yes",Allocation!G$15,0))</f>
        <v>3.6057000000000001</v>
      </c>
      <c r="O257" s="16">
        <f ca="1">N$257+IF(OFFSET(Assumptions!$B$57,0,$C$1)="Yes",Exogenous!$H$79*Allocation!$B$15*O$247,IF(OFFSET(Assumptions!$B$58,0,$C$1)="Yes",N$257*(1+(SUMPRODUCT(Exogenous!$H$82:$H$85,'Population Treasury'!Z$238:Z$241)+SUMPRODUCT(Exogenous!$H$86:$H$94,'Population Treasury'!Z$243:Z$251)+SUMPRODUCT(Exogenous!$H$95:$H$100,'Population Treasury'!Z$253:Z$258))/('Population Treasury'!Z$307/'Population Treasury'!Y$307)+(SUMPRODUCT(Exogenous!$I$82:$I$85,'Population Treasury'!Z$283:Z$286)+SUMPRODUCT(Exogenous!$I$86:$I$94,'Population Treasury'!Z$288:Z$296)+SUMPRODUCT(Exogenous!$I$95:$I$100,'Population Treasury'!Z$298:Z$303))/('Population Treasury'!Z$309/'Population Treasury'!Y$309))*(1+O$25)*(1+O$29)*(1+OFFSET(Assumptions!$B$63,0,$C$1))/(1+OFFSET(Assumptions!$B$64,0,$C$1))-N$257,0))</f>
        <v>3.6057000000000001</v>
      </c>
      <c r="P257" s="16">
        <f ca="1">O$257+IF(OFFSET(Assumptions!$B$57,0,$C$1)="Yes",Exogenous!$H$79*Allocation!$B$15*P$247,IF(OFFSET(Assumptions!$B$58,0,$C$1)="Yes",O$257*(1+(SUMPRODUCT(Exogenous!$H$82:$H$85,'Population Treasury'!AA$238:AA$241)+SUMPRODUCT(Exogenous!$H$86:$H$94,'Population Treasury'!AA$243:AA$251)+SUMPRODUCT(Exogenous!$H$95:$H$100,'Population Treasury'!AA$253:AA$258))/('Population Treasury'!AA$307/'Population Treasury'!Z$307)+(SUMPRODUCT(Exogenous!$I$82:$I$85,'Population Treasury'!AA$283:AA$286)+SUMPRODUCT(Exogenous!$I$86:$I$94,'Population Treasury'!AA$288:AA$296)+SUMPRODUCT(Exogenous!$I$95:$I$100,'Population Treasury'!AA$298:AA$303))/('Population Treasury'!AA$309/'Population Treasury'!Z$309))*(1+P$25)*(1+P$29)*(1+OFFSET(Assumptions!$B$63,0,$C$1))/(1+OFFSET(Assumptions!$B$64,0,$C$1))-O$257,0))</f>
        <v>3.6057000000000001</v>
      </c>
      <c r="Q257" s="16">
        <f ca="1">P$257+IF(OFFSET(Assumptions!$B$57,0,$C$1)="Yes",Exogenous!$H$79*Allocation!$B$15*Q$247,IF(OFFSET(Assumptions!$B$58,0,$C$1)="Yes",P$257*(1+(SUMPRODUCT(Exogenous!$H$82:$H$85,'Population Treasury'!AB$238:AB$241)+SUMPRODUCT(Exogenous!$H$86:$H$94,'Population Treasury'!AB$243:AB$251)+SUMPRODUCT(Exogenous!$H$95:$H$100,'Population Treasury'!AB$253:AB$258))/('Population Treasury'!AB$307/'Population Treasury'!AA$307)+(SUMPRODUCT(Exogenous!$I$82:$I$85,'Population Treasury'!AB$283:AB$286)+SUMPRODUCT(Exogenous!$I$86:$I$94,'Population Treasury'!AB$288:AB$296)+SUMPRODUCT(Exogenous!$I$95:$I$100,'Population Treasury'!AB$298:AB$303))/('Population Treasury'!AB$309/'Population Treasury'!AA$309))*(1+Q$25)*(1+Q$29)*(1+OFFSET(Assumptions!$B$63,0,$C$1))/(1+OFFSET(Assumptions!$B$64,0,$C$1))-P$257,0))</f>
        <v>3.6057000000000001</v>
      </c>
      <c r="R257" s="16">
        <f ca="1">Q$257+IF(OFFSET(Assumptions!$B$57,0,$C$1)="Yes",Exogenous!$H$79*Allocation!$B$15*R$247,IF(OFFSET(Assumptions!$B$58,0,$C$1)="Yes",Q$257*(1+(SUMPRODUCT(Exogenous!$H$82:$H$85,'Population Treasury'!AC$238:AC$241)+SUMPRODUCT(Exogenous!$H$86:$H$94,'Population Treasury'!AC$243:AC$251)+SUMPRODUCT(Exogenous!$H$95:$H$100,'Population Treasury'!AC$253:AC$258))/('Population Treasury'!AC$307/'Population Treasury'!AB$307)+(SUMPRODUCT(Exogenous!$I$82:$I$85,'Population Treasury'!AC$283:AC$286)+SUMPRODUCT(Exogenous!$I$86:$I$94,'Population Treasury'!AC$288:AC$296)+SUMPRODUCT(Exogenous!$I$95:$I$100,'Population Treasury'!AC$298:AC$303))/('Population Treasury'!AC$309/'Population Treasury'!AB$309))*(1+R$25)*(1+R$29)*(1+OFFSET(Assumptions!$B$63,0,$C$1))/(1+OFFSET(Assumptions!$B$64,0,$C$1))-Q$257,0))</f>
        <v>3.6057000000000001</v>
      </c>
      <c r="S257" s="16">
        <f ca="1">R$257+IF(OFFSET(Assumptions!$B$57,0,$C$1)="Yes",Exogenous!$H$79*Allocation!$B$15*S$247,IF(OFFSET(Assumptions!$B$58,0,$C$1)="Yes",R$257*(1+(SUMPRODUCT(Exogenous!$H$82:$H$85,'Population Treasury'!AD$238:AD$241)+SUMPRODUCT(Exogenous!$H$86:$H$94,'Population Treasury'!AD$243:AD$251)+SUMPRODUCT(Exogenous!$H$95:$H$100,'Population Treasury'!AD$253:AD$258))/('Population Treasury'!AD$307/'Population Treasury'!AC$307)+(SUMPRODUCT(Exogenous!$I$82:$I$85,'Population Treasury'!AD$283:AD$286)+SUMPRODUCT(Exogenous!$I$86:$I$94,'Population Treasury'!AD$288:AD$296)+SUMPRODUCT(Exogenous!$I$95:$I$100,'Population Treasury'!AD$298:AD$303))/('Population Treasury'!AD$309/'Population Treasury'!AC$309))*(1+S$25)*(1+S$29)*(1+OFFSET(Assumptions!$B$63,0,$C$1))/(1+OFFSET(Assumptions!$B$64,0,$C$1))-R$257,0))</f>
        <v>3.6057000000000001</v>
      </c>
      <c r="T257" s="16">
        <f ca="1">S$257+IF(OFFSET(Assumptions!$B$57,0,$C$1)="Yes",Exogenous!$H$79*Allocation!$B$15*T$247,IF(OFFSET(Assumptions!$B$58,0,$C$1)="Yes",S$257*(1+(SUMPRODUCT(Exogenous!$H$82:$H$85,'Population Treasury'!AE$238:AE$241)+SUMPRODUCT(Exogenous!$H$86:$H$94,'Population Treasury'!AE$243:AE$251)+SUMPRODUCT(Exogenous!$H$95:$H$100,'Population Treasury'!AE$253:AE$258))/('Population Treasury'!AE$307/'Population Treasury'!AD$307)+(SUMPRODUCT(Exogenous!$I$82:$I$85,'Population Treasury'!AE$283:AE$286)+SUMPRODUCT(Exogenous!$I$86:$I$94,'Population Treasury'!AE$288:AE$296)+SUMPRODUCT(Exogenous!$I$95:$I$100,'Population Treasury'!AE$298:AE$303))/('Population Treasury'!AE$309/'Population Treasury'!AD$309))*(1+T$25)*(1+T$29)*(1+OFFSET(Assumptions!$B$63,0,$C$1))/(1+OFFSET(Assumptions!$B$64,0,$C$1))-S$257,0))</f>
        <v>3.6057000000000001</v>
      </c>
      <c r="U257" s="16">
        <f ca="1">T$257+IF(OFFSET(Assumptions!$B$57,0,$C$1)="Yes",Exogenous!$H$79*Allocation!$B$15*U$247,IF(OFFSET(Assumptions!$B$58,0,$C$1)="Yes",T$257*(1+(SUMPRODUCT(Exogenous!$H$82:$H$85,'Population Treasury'!AF$238:AF$241)+SUMPRODUCT(Exogenous!$H$86:$H$94,'Population Treasury'!AF$243:AF$251)+SUMPRODUCT(Exogenous!$H$95:$H$100,'Population Treasury'!AF$253:AF$258))/('Population Treasury'!AF$307/'Population Treasury'!AE$307)+(SUMPRODUCT(Exogenous!$I$82:$I$85,'Population Treasury'!AF$283:AF$286)+SUMPRODUCT(Exogenous!$I$86:$I$94,'Population Treasury'!AF$288:AF$296)+SUMPRODUCT(Exogenous!$I$95:$I$100,'Population Treasury'!AF$298:AF$303))/('Population Treasury'!AF$309/'Population Treasury'!AE$309))*(1+U$25)*(1+U$29)*(1+OFFSET(Assumptions!$B$63,0,$C$1))/(1+OFFSET(Assumptions!$B$64,0,$C$1))-T$257,0))</f>
        <v>3.6057000000000001</v>
      </c>
      <c r="V257" s="16">
        <f ca="1">U$257+IF(OFFSET(Assumptions!$B$57,0,$C$1)="Yes",Exogenous!$H$79*Allocation!$B$15*V$247,IF(OFFSET(Assumptions!$B$58,0,$C$1)="Yes",U$257*(1+(SUMPRODUCT(Exogenous!$H$82:$H$85,'Population Treasury'!AG$238:AG$241)+SUMPRODUCT(Exogenous!$H$86:$H$94,'Population Treasury'!AG$243:AG$251)+SUMPRODUCT(Exogenous!$H$95:$H$100,'Population Treasury'!AG$253:AG$258))/('Population Treasury'!AG$307/'Population Treasury'!AF$307)+(SUMPRODUCT(Exogenous!$I$82:$I$85,'Population Treasury'!AG$283:AG$286)+SUMPRODUCT(Exogenous!$I$86:$I$94,'Population Treasury'!AG$288:AG$296)+SUMPRODUCT(Exogenous!$I$95:$I$100,'Population Treasury'!AG$298:AG$303))/('Population Treasury'!AG$309/'Population Treasury'!AF$309))*(1+V$25)*(1+V$29)*(1+OFFSET(Assumptions!$B$63,0,$C$1))/(1+OFFSET(Assumptions!$B$64,0,$C$1))-U$257,0))</f>
        <v>3.6057000000000001</v>
      </c>
      <c r="W257" s="16">
        <f ca="1">V$257+IF(OFFSET(Assumptions!$B$57,0,$C$1)="Yes",Exogenous!$H$79*Allocation!$B$15*W$247,IF(OFFSET(Assumptions!$B$58,0,$C$1)="Yes",V$257*(1+(SUMPRODUCT(Exogenous!$H$82:$H$85,'Population Treasury'!AH$238:AH$241)+SUMPRODUCT(Exogenous!$H$86:$H$94,'Population Treasury'!AH$243:AH$251)+SUMPRODUCT(Exogenous!$H$95:$H$100,'Population Treasury'!AH$253:AH$258))/('Population Treasury'!AH$307/'Population Treasury'!AG$307)+(SUMPRODUCT(Exogenous!$I$82:$I$85,'Population Treasury'!AH$283:AH$286)+SUMPRODUCT(Exogenous!$I$86:$I$94,'Population Treasury'!AH$288:AH$296)+SUMPRODUCT(Exogenous!$I$95:$I$100,'Population Treasury'!AH$298:AH$303))/('Population Treasury'!AH$309/'Population Treasury'!AG$309))*(1+W$25)*(1+W$29)*(1+OFFSET(Assumptions!$B$63,0,$C$1))/(1+OFFSET(Assumptions!$B$64,0,$C$1))-V$257,0))</f>
        <v>3.6057000000000001</v>
      </c>
      <c r="X257" s="16">
        <f ca="1">W$257+IF(OFFSET(Assumptions!$B$57,0,$C$1)="Yes",Exogenous!$H$79*Allocation!$B$15*X$247,IF(OFFSET(Assumptions!$B$58,0,$C$1)="Yes",W$257*(1+(SUMPRODUCT(Exogenous!$H$82:$H$85,'Population Treasury'!AI$238:AI$241)+SUMPRODUCT(Exogenous!$H$86:$H$94,'Population Treasury'!AI$243:AI$251)+SUMPRODUCT(Exogenous!$H$95:$H$100,'Population Treasury'!AI$253:AI$258))/('Population Treasury'!AI$307/'Population Treasury'!AH$307)+(SUMPRODUCT(Exogenous!$I$82:$I$85,'Population Treasury'!AI$283:AI$286)+SUMPRODUCT(Exogenous!$I$86:$I$94,'Population Treasury'!AI$288:AI$296)+SUMPRODUCT(Exogenous!$I$95:$I$100,'Population Treasury'!AI$298:AI$303))/('Population Treasury'!AI$309/'Population Treasury'!AH$309))*(1+X$25)*(1+X$29)*(1+OFFSET(Assumptions!$B$63,0,$C$1))/(1+OFFSET(Assumptions!$B$64,0,$C$1))-W$257,0))</f>
        <v>3.6057000000000001</v>
      </c>
    </row>
    <row r="258" spans="1:24" x14ac:dyDescent="0.25">
      <c r="A258" s="11" t="s">
        <v>1392</v>
      </c>
      <c r="B258" s="10" t="str">
        <f t="shared" si="166"/>
        <v>From Fiscal Forecasts</v>
      </c>
      <c r="D258" s="35">
        <f>Exogenous!$K$79*'Fiscal Forecasts'!D$58</f>
        <v>1.6258520000000001</v>
      </c>
      <c r="E258" s="35">
        <f>Exogenous!$K$79*'Fiscal Forecasts'!E$58</f>
        <v>1.7702989999999998</v>
      </c>
      <c r="F258" s="35">
        <f>Exogenous!$K$79*'Fiscal Forecasts'!F$58</f>
        <v>2.0277759999999998</v>
      </c>
      <c r="G258" s="35">
        <f>Exogenous!$K$79*'Fiscal Forecasts'!G$58</f>
        <v>2.4725089999999996</v>
      </c>
      <c r="H258" s="35">
        <f>Exogenous!$K$79*'Fiscal Forecasts'!H$58</f>
        <v>2.5355210000000001</v>
      </c>
      <c r="I258" s="35">
        <f>Exogenous!$K$79*'Fiscal Forecasts'!I$58</f>
        <v>2.6699109999999999</v>
      </c>
      <c r="J258" s="17">
        <f ca="1">Exogenous!$K$79*('Fiscal Forecasts'!J$58+IF(OFFSET(Assumptions!$B$56,0,$C$1)="Yes",Allocation!C$15,0))</f>
        <v>2.753215</v>
      </c>
      <c r="K258" s="17">
        <f ca="1">Exogenous!$K$79*('Fiscal Forecasts'!K$58+IF(OFFSET(Assumptions!$B$56,0,$C$1)="Yes",Allocation!D$15,0))</f>
        <v>2.9111009999999999</v>
      </c>
      <c r="L258" s="17">
        <f ca="1">Exogenous!$K$79*('Fiscal Forecasts'!L$58+IF(OFFSET(Assumptions!$B$56,0,$C$1)="Yes",Allocation!E$15,0))</f>
        <v>3.0308949999999997</v>
      </c>
      <c r="M258" s="17">
        <f ca="1">Exogenous!$K$79*('Fiscal Forecasts'!M$58+IF(OFFSET(Assumptions!$B$56,0,$C$1)="Yes",Allocation!F$15,0))</f>
        <v>3.043266</v>
      </c>
      <c r="N258" s="17">
        <f ca="1">Exogenous!$K$79*('Fiscal Forecasts'!N$58+IF(OFFSET(Assumptions!$B$56,0,$C$1)="Yes",Allocation!G$15,0))</f>
        <v>3.05626</v>
      </c>
      <c r="O258" s="16">
        <f ca="1">N$258+IF(OFFSET(Assumptions!$B$57,0,$C$1)="Yes",Exogenous!$K$79*Allocation!$B$15*O$247,IF(OFFSET(Assumptions!$B$58,0,$C$1)="Yes",N$258*(1+(SUMPRODUCT(Exogenous!$K$82:$K$85,'Population Treasury'!Z$238:Z$241)+SUMPRODUCT(Exogenous!$K$86:$K$94,'Population Treasury'!Z$243:Z$251)+SUMPRODUCT(Exogenous!$K$95:$K$100,'Population Treasury'!Z$253:Z$258))/('Population Treasury'!Z$308/'Population Treasury'!Y$308)+(SUMPRODUCT(Exogenous!$L$82:$L$85,'Population Treasury'!Z$283:Z$286)+SUMPRODUCT(Exogenous!$L$86:$L$94,'Population Treasury'!Z$288:Z$296)+SUMPRODUCT(Exogenous!$L$95:$L$100,'Population Treasury'!Z$298:Z$303))/('Population Treasury'!Z$310/'Population Treasury'!Y$310))*(1+O$25)*(1+O$29)*(1+OFFSET(Assumptions!$B$63,0,$C$1))/(1+OFFSET(Assumptions!$B$64,0,$C$1))-N$258,0))</f>
        <v>3.05626</v>
      </c>
      <c r="P258" s="16">
        <f ca="1">O$258+IF(OFFSET(Assumptions!$B$57,0,$C$1)="Yes",Exogenous!$K$79*Allocation!$B$15*P$247,IF(OFFSET(Assumptions!$B$58,0,$C$1)="Yes",O$258*(1+(SUMPRODUCT(Exogenous!$K$82:$K$85,'Population Treasury'!AA$238:AA$241)+SUMPRODUCT(Exogenous!$K$86:$K$94,'Population Treasury'!AA$243:AA$251)+SUMPRODUCT(Exogenous!$K$95:$K$100,'Population Treasury'!AA$253:AA$258))/('Population Treasury'!AA$308/'Population Treasury'!Z$308)+(SUMPRODUCT(Exogenous!$L$82:$L$85,'Population Treasury'!AA$283:AA$286)+SUMPRODUCT(Exogenous!$L$86:$L$94,'Population Treasury'!AA$288:AA$296)+SUMPRODUCT(Exogenous!$L$95:$L$100,'Population Treasury'!AA$298:AA$303))/('Population Treasury'!AA$310/'Population Treasury'!Z$310))*(1+P$25)*(1+P$29)*(1+OFFSET(Assumptions!$B$63,0,$C$1))/(1+OFFSET(Assumptions!$B$64,0,$C$1))-O$258,0))</f>
        <v>3.05626</v>
      </c>
      <c r="Q258" s="16">
        <f ca="1">P$258+IF(OFFSET(Assumptions!$B$57,0,$C$1)="Yes",Exogenous!$K$79*Allocation!$B$15*Q$247,IF(OFFSET(Assumptions!$B$58,0,$C$1)="Yes",P$258*(1+(SUMPRODUCT(Exogenous!$K$82:$K$85,'Population Treasury'!AB$238:AB$241)+SUMPRODUCT(Exogenous!$K$86:$K$94,'Population Treasury'!AB$243:AB$251)+SUMPRODUCT(Exogenous!$K$95:$K$100,'Population Treasury'!AB$253:AB$258))/('Population Treasury'!AB$308/'Population Treasury'!AA$308)+(SUMPRODUCT(Exogenous!$L$82:$L$85,'Population Treasury'!AB$283:AB$286)+SUMPRODUCT(Exogenous!$L$86:$L$94,'Population Treasury'!AB$288:AB$296)+SUMPRODUCT(Exogenous!$L$95:$L$100,'Population Treasury'!AB$298:AB$303))/('Population Treasury'!AB$310/'Population Treasury'!AA$310))*(1+Q$25)*(1+Q$29)*(1+OFFSET(Assumptions!$B$63,0,$C$1))/(1+OFFSET(Assumptions!$B$64,0,$C$1))-P$258,0))</f>
        <v>3.05626</v>
      </c>
      <c r="R258" s="16">
        <f ca="1">Q$258+IF(OFFSET(Assumptions!$B$57,0,$C$1)="Yes",Exogenous!$K$79*Allocation!$B$15*R$247,IF(OFFSET(Assumptions!$B$58,0,$C$1)="Yes",Q$258*(1+(SUMPRODUCT(Exogenous!$K$82:$K$85,'Population Treasury'!AC$238:AC$241)+SUMPRODUCT(Exogenous!$K$86:$K$94,'Population Treasury'!AC$243:AC$251)+SUMPRODUCT(Exogenous!$K$95:$K$100,'Population Treasury'!AC$253:AC$258))/('Population Treasury'!AC$308/'Population Treasury'!AB$308)+(SUMPRODUCT(Exogenous!$L$82:$L$85,'Population Treasury'!AC$283:AC$286)+SUMPRODUCT(Exogenous!$L$86:$L$94,'Population Treasury'!AC$288:AC$296)+SUMPRODUCT(Exogenous!$L$95:$L$100,'Population Treasury'!AC$298:AC$303))/('Population Treasury'!AC$310/'Population Treasury'!AB$310))*(1+R$25)*(1+R$29)*(1+OFFSET(Assumptions!$B$63,0,$C$1))/(1+OFFSET(Assumptions!$B$64,0,$C$1))-Q$258,0))</f>
        <v>3.05626</v>
      </c>
      <c r="S258" s="16">
        <f ca="1">R$258+IF(OFFSET(Assumptions!$B$57,0,$C$1)="Yes",Exogenous!$K$79*Allocation!$B$15*S$247,IF(OFFSET(Assumptions!$B$58,0,$C$1)="Yes",R$258*(1+(SUMPRODUCT(Exogenous!$K$82:$K$85,'Population Treasury'!AD$238:AD$241)+SUMPRODUCT(Exogenous!$K$86:$K$94,'Population Treasury'!AD$243:AD$251)+SUMPRODUCT(Exogenous!$K$95:$K$100,'Population Treasury'!AD$253:AD$258))/('Population Treasury'!AD$308/'Population Treasury'!AC$308)+(SUMPRODUCT(Exogenous!$L$82:$L$85,'Population Treasury'!AD$283:AD$286)+SUMPRODUCT(Exogenous!$L$86:$L$94,'Population Treasury'!AD$288:AD$296)+SUMPRODUCT(Exogenous!$L$95:$L$100,'Population Treasury'!AD$298:AD$303))/('Population Treasury'!AD$310/'Population Treasury'!AC$310))*(1+S$25)*(1+S$29)*(1+OFFSET(Assumptions!$B$63,0,$C$1))/(1+OFFSET(Assumptions!$B$64,0,$C$1))-R$258,0))</f>
        <v>3.05626</v>
      </c>
      <c r="T258" s="16">
        <f ca="1">S$258+IF(OFFSET(Assumptions!$B$57,0,$C$1)="Yes",Exogenous!$K$79*Allocation!$B$15*T$247,IF(OFFSET(Assumptions!$B$58,0,$C$1)="Yes",S$258*(1+(SUMPRODUCT(Exogenous!$K$82:$K$85,'Population Treasury'!AE$238:AE$241)+SUMPRODUCT(Exogenous!$K$86:$K$94,'Population Treasury'!AE$243:AE$251)+SUMPRODUCT(Exogenous!$K$95:$K$100,'Population Treasury'!AE$253:AE$258))/('Population Treasury'!AE$308/'Population Treasury'!AD$308)+(SUMPRODUCT(Exogenous!$L$82:$L$85,'Population Treasury'!AE$283:AE$286)+SUMPRODUCT(Exogenous!$L$86:$L$94,'Population Treasury'!AE$288:AE$296)+SUMPRODUCT(Exogenous!$L$95:$L$100,'Population Treasury'!AE$298:AE$303))/('Population Treasury'!AE$310/'Population Treasury'!AD$310))*(1+T$25)*(1+T$29)*(1+OFFSET(Assumptions!$B$63,0,$C$1))/(1+OFFSET(Assumptions!$B$64,0,$C$1))-S$258,0))</f>
        <v>3.05626</v>
      </c>
      <c r="U258" s="16">
        <f ca="1">T$258+IF(OFFSET(Assumptions!$B$57,0,$C$1)="Yes",Exogenous!$K$79*Allocation!$B$15*U$247,IF(OFFSET(Assumptions!$B$58,0,$C$1)="Yes",T$258*(1+(SUMPRODUCT(Exogenous!$K$82:$K$85,'Population Treasury'!AF$238:AF$241)+SUMPRODUCT(Exogenous!$K$86:$K$94,'Population Treasury'!AF$243:AF$251)+SUMPRODUCT(Exogenous!$K$95:$K$100,'Population Treasury'!AF$253:AF$258))/('Population Treasury'!AF$308/'Population Treasury'!AE$308)+(SUMPRODUCT(Exogenous!$L$82:$L$85,'Population Treasury'!AF$283:AF$286)+SUMPRODUCT(Exogenous!$L$86:$L$94,'Population Treasury'!AF$288:AF$296)+SUMPRODUCT(Exogenous!$L$95:$L$100,'Population Treasury'!AF$298:AF$303))/('Population Treasury'!AF$310/'Population Treasury'!AE$310))*(1+U$25)*(1+U$29)*(1+OFFSET(Assumptions!$B$63,0,$C$1))/(1+OFFSET(Assumptions!$B$64,0,$C$1))-T$258,0))</f>
        <v>3.05626</v>
      </c>
      <c r="V258" s="16">
        <f ca="1">U$258+IF(OFFSET(Assumptions!$B$57,0,$C$1)="Yes",Exogenous!$K$79*Allocation!$B$15*V$247,IF(OFFSET(Assumptions!$B$58,0,$C$1)="Yes",U$258*(1+(SUMPRODUCT(Exogenous!$K$82:$K$85,'Population Treasury'!AG$238:AG$241)+SUMPRODUCT(Exogenous!$K$86:$K$94,'Population Treasury'!AG$243:AG$251)+SUMPRODUCT(Exogenous!$K$95:$K$100,'Population Treasury'!AG$253:AG$258))/('Population Treasury'!AG$308/'Population Treasury'!AF$308)+(SUMPRODUCT(Exogenous!$L$82:$L$85,'Population Treasury'!AG$283:AG$286)+SUMPRODUCT(Exogenous!$L$86:$L$94,'Population Treasury'!AG$288:AG$296)+SUMPRODUCT(Exogenous!$L$95:$L$100,'Population Treasury'!AG$298:AG$303))/('Population Treasury'!AG$310/'Population Treasury'!AF$310))*(1+V$25)*(1+V$29)*(1+OFFSET(Assumptions!$B$63,0,$C$1))/(1+OFFSET(Assumptions!$B$64,0,$C$1))-U$258,0))</f>
        <v>3.05626</v>
      </c>
      <c r="W258" s="16">
        <f ca="1">V$258+IF(OFFSET(Assumptions!$B$57,0,$C$1)="Yes",Exogenous!$K$79*Allocation!$B$15*W$247,IF(OFFSET(Assumptions!$B$58,0,$C$1)="Yes",V$258*(1+(SUMPRODUCT(Exogenous!$K$82:$K$85,'Population Treasury'!AH$238:AH$241)+SUMPRODUCT(Exogenous!$K$86:$K$94,'Population Treasury'!AH$243:AH$251)+SUMPRODUCT(Exogenous!$K$95:$K$100,'Population Treasury'!AH$253:AH$258))/('Population Treasury'!AH$308/'Population Treasury'!AG$308)+(SUMPRODUCT(Exogenous!$L$82:$L$85,'Population Treasury'!AH$283:AH$286)+SUMPRODUCT(Exogenous!$L$86:$L$94,'Population Treasury'!AH$288:AH$296)+SUMPRODUCT(Exogenous!$L$95:$L$100,'Population Treasury'!AH$298:AH$303))/('Population Treasury'!AH$310/'Population Treasury'!AG$310))*(1+W$25)*(1+W$29)*(1+OFFSET(Assumptions!$B$63,0,$C$1))/(1+OFFSET(Assumptions!$B$64,0,$C$1))-V$258,0))</f>
        <v>3.05626</v>
      </c>
      <c r="X258" s="16">
        <f ca="1">W$258+IF(OFFSET(Assumptions!$B$57,0,$C$1)="Yes",Exogenous!$K$79*Allocation!$B$15*X$247,IF(OFFSET(Assumptions!$B$58,0,$C$1)="Yes",W$258*(1+(SUMPRODUCT(Exogenous!$K$82:$K$85,'Population Treasury'!AI$238:AI$241)+SUMPRODUCT(Exogenous!$K$86:$K$94,'Population Treasury'!AI$243:AI$251)+SUMPRODUCT(Exogenous!$K$95:$K$100,'Population Treasury'!AI$253:AI$258))/('Population Treasury'!AI$308/'Population Treasury'!AH$308)+(SUMPRODUCT(Exogenous!$L$82:$L$85,'Population Treasury'!AI$283:AI$286)+SUMPRODUCT(Exogenous!$L$86:$L$94,'Population Treasury'!AI$288:AI$296)+SUMPRODUCT(Exogenous!$L$95:$L$100,'Population Treasury'!AI$298:AI$303))/('Population Treasury'!AI$310/'Population Treasury'!AH$310))*(1+X$25)*(1+X$29)*(1+OFFSET(Assumptions!$B$63,0,$C$1))/(1+OFFSET(Assumptions!$B$64,0,$C$1))-W$258,0))</f>
        <v>3.05626</v>
      </c>
    </row>
    <row r="259" spans="1:24" x14ac:dyDescent="0.25">
      <c r="A259" s="11" t="s">
        <v>1393</v>
      </c>
      <c r="B259" s="10" t="str">
        <f t="shared" si="166"/>
        <v>From Fiscal Forecasts</v>
      </c>
      <c r="D259" s="35">
        <f>Exogenous!$N$79*'Fiscal Forecasts'!D$58</f>
        <v>0.84032799999999996</v>
      </c>
      <c r="E259" s="35">
        <f>Exogenous!$N$79*'Fiscal Forecasts'!E$58</f>
        <v>0.91498599999999985</v>
      </c>
      <c r="F259" s="35">
        <f>Exogenous!$N$79*'Fiscal Forecasts'!F$58</f>
        <v>1.0480639999999999</v>
      </c>
      <c r="G259" s="35">
        <f>Exogenous!$N$79*'Fiscal Forecasts'!G$58</f>
        <v>1.2779259999999999</v>
      </c>
      <c r="H259" s="35">
        <f>Exogenous!$N$79*'Fiscal Forecasts'!H$58</f>
        <v>1.310494</v>
      </c>
      <c r="I259" s="35">
        <f>Exogenous!$N$79*'Fiscal Forecasts'!I$58</f>
        <v>1.3799539999999999</v>
      </c>
      <c r="J259" s="17">
        <f ca="1">Exogenous!$N$79*('Fiscal Forecasts'!J$58+IF(OFFSET(Assumptions!$B$56,0,$C$1)="Yes",Allocation!C$15,0))</f>
        <v>1.4230099999999999</v>
      </c>
      <c r="K259" s="17">
        <f ca="1">Exogenous!$N$79*('Fiscal Forecasts'!K$58+IF(OFFSET(Assumptions!$B$56,0,$C$1)="Yes",Allocation!D$15,0))</f>
        <v>1.5046140000000001</v>
      </c>
      <c r="L259" s="17">
        <f ca="1">Exogenous!$N$79*('Fiscal Forecasts'!L$58+IF(OFFSET(Assumptions!$B$56,0,$C$1)="Yes",Allocation!E$15,0))</f>
        <v>1.56653</v>
      </c>
      <c r="M259" s="17">
        <f ca="1">Exogenous!$N$79*('Fiscal Forecasts'!M$58+IF(OFFSET(Assumptions!$B$56,0,$C$1)="Yes",Allocation!F$15,0))</f>
        <v>1.572924</v>
      </c>
      <c r="N259" s="17">
        <f ca="1">Exogenous!$N$79*('Fiscal Forecasts'!N$58+IF(OFFSET(Assumptions!$B$56,0,$C$1)="Yes",Allocation!G$15,0))</f>
        <v>1.5796400000000002</v>
      </c>
      <c r="O259" s="16">
        <f ca="1">N$259+IF(OFFSET(Assumptions!$B$57,0,$C$1)="Yes",Exogenous!$N$79*Allocation!$B$15*O$247,IF(OFFSET(Assumptions!$B$58,0,$C$1)="Yes",N$259*(1+(SUMPRODUCT(Exogenous!$N$82:$N$85,'Population Treasury'!Z$238:Z$241)+SUMPRODUCT(Exogenous!$N$86:$N$94,'Population Treasury'!Z$243:Z$251)+SUMPRODUCT(Exogenous!$N$95:$N$100,'Population Treasury'!Z$253:Z$258))/('Population Treasury'!Z$308/'Population Treasury'!Y$308)+(SUMPRODUCT(Exogenous!$O$82:$O$85,'Population Treasury'!Z$283:Z$286)+SUMPRODUCT(Exogenous!$O$86:$O$94,'Population Treasury'!Z$288:Z$296)+SUMPRODUCT(Exogenous!$O$95:$O$100,'Population Treasury'!Z$298:Z$303))/('Population Treasury'!Z$310/'Population Treasury'!Y$310))*(1+O$25)*(1+O$29)*(1+OFFSET(Assumptions!$B$63,0,$C$1))/(1+OFFSET(Assumptions!$B$64,0,$C$1))-N$259,0))</f>
        <v>1.5796400000000002</v>
      </c>
      <c r="P259" s="16">
        <f ca="1">O$259+IF(OFFSET(Assumptions!$B$57,0,$C$1)="Yes",Exogenous!$N$79*Allocation!$B$15*P$247,IF(OFFSET(Assumptions!$B$58,0,$C$1)="Yes",O$259*(1+(SUMPRODUCT(Exogenous!$N$82:$N$85,'Population Treasury'!AA$238:AA$241)+SUMPRODUCT(Exogenous!$N$86:$N$94,'Population Treasury'!AA$243:AA$251)+SUMPRODUCT(Exogenous!$N$95:$N$100,'Population Treasury'!AA$253:AA$258))/('Population Treasury'!AA$308/'Population Treasury'!Z$308)+(SUMPRODUCT(Exogenous!$O$82:$O$85,'Population Treasury'!AA$283:AA$286)+SUMPRODUCT(Exogenous!$O$86:$O$94,'Population Treasury'!AA$288:AA$296)+SUMPRODUCT(Exogenous!$O$95:$O$100,'Population Treasury'!AA$298:AA$303))/('Population Treasury'!AA$310/'Population Treasury'!Z$310))*(1+P$25)*(1+P$29)*(1+OFFSET(Assumptions!$B$63,0,$C$1))/(1+OFFSET(Assumptions!$B$64,0,$C$1))-O$259,0))</f>
        <v>1.5796400000000002</v>
      </c>
      <c r="Q259" s="16">
        <f ca="1">P$259+IF(OFFSET(Assumptions!$B$57,0,$C$1)="Yes",Exogenous!$N$79*Allocation!$B$15*Q$247,IF(OFFSET(Assumptions!$B$58,0,$C$1)="Yes",P$259*(1+(SUMPRODUCT(Exogenous!$N$82:$N$85,'Population Treasury'!AB$238:AB$241)+SUMPRODUCT(Exogenous!$N$86:$N$94,'Population Treasury'!AB$243:AB$251)+SUMPRODUCT(Exogenous!$N$95:$N$100,'Population Treasury'!AB$253:AB$258))/('Population Treasury'!AB$308/'Population Treasury'!AA$308)+(SUMPRODUCT(Exogenous!$O$82:$O$85,'Population Treasury'!AB$283:AB$286)+SUMPRODUCT(Exogenous!$O$86:$O$94,'Population Treasury'!AB$288:AB$296)+SUMPRODUCT(Exogenous!$O$95:$O$100,'Population Treasury'!AB$298:AB$303))/('Population Treasury'!AB$310/'Population Treasury'!AA$310))*(1+Q$25)*(1+Q$29)*(1+OFFSET(Assumptions!$B$63,0,$C$1))/(1+OFFSET(Assumptions!$B$64,0,$C$1))-P$259,0))</f>
        <v>1.5796400000000002</v>
      </c>
      <c r="R259" s="16">
        <f ca="1">Q$259+IF(OFFSET(Assumptions!$B$57,0,$C$1)="Yes",Exogenous!$N$79*Allocation!$B$15*R$247,IF(OFFSET(Assumptions!$B$58,0,$C$1)="Yes",Q$259*(1+(SUMPRODUCT(Exogenous!$N$82:$N$85,'Population Treasury'!AC$238:AC$241)+SUMPRODUCT(Exogenous!$N$86:$N$94,'Population Treasury'!AC$243:AC$251)+SUMPRODUCT(Exogenous!$N$95:$N$100,'Population Treasury'!AC$253:AC$258))/('Population Treasury'!AC$308/'Population Treasury'!AB$308)+(SUMPRODUCT(Exogenous!$O$82:$O$85,'Population Treasury'!AC$283:AC$286)+SUMPRODUCT(Exogenous!$O$86:$O$94,'Population Treasury'!AC$288:AC$296)+SUMPRODUCT(Exogenous!$O$95:$O$100,'Population Treasury'!AC$298:AC$303))/('Population Treasury'!AC$310/'Population Treasury'!AB$310))*(1+R$25)*(1+R$29)*(1+OFFSET(Assumptions!$B$63,0,$C$1))/(1+OFFSET(Assumptions!$B$64,0,$C$1))-Q$259,0))</f>
        <v>1.5796400000000002</v>
      </c>
      <c r="S259" s="16">
        <f ca="1">R$259+IF(OFFSET(Assumptions!$B$57,0,$C$1)="Yes",Exogenous!$N$79*Allocation!$B$15*S$247,IF(OFFSET(Assumptions!$B$58,0,$C$1)="Yes",R$259*(1+(SUMPRODUCT(Exogenous!$N$82:$N$85,'Population Treasury'!AD$238:AD$241)+SUMPRODUCT(Exogenous!$N$86:$N$94,'Population Treasury'!AD$243:AD$251)+SUMPRODUCT(Exogenous!$N$95:$N$100,'Population Treasury'!AD$253:AD$258))/('Population Treasury'!AD$308/'Population Treasury'!AC$308)+(SUMPRODUCT(Exogenous!$O$82:$O$85,'Population Treasury'!AD$283:AD$286)+SUMPRODUCT(Exogenous!$O$86:$O$94,'Population Treasury'!AD$288:AD$296)+SUMPRODUCT(Exogenous!$O$95:$O$100,'Population Treasury'!AD$298:AD$303))/('Population Treasury'!AD$310/'Population Treasury'!AC$310))*(1+S$25)*(1+S$29)*(1+OFFSET(Assumptions!$B$63,0,$C$1))/(1+OFFSET(Assumptions!$B$64,0,$C$1))-R$259,0))</f>
        <v>1.5796400000000002</v>
      </c>
      <c r="T259" s="16">
        <f ca="1">S$259+IF(OFFSET(Assumptions!$B$57,0,$C$1)="Yes",Exogenous!$N$79*Allocation!$B$15*T$247,IF(OFFSET(Assumptions!$B$58,0,$C$1)="Yes",S$259*(1+(SUMPRODUCT(Exogenous!$N$82:$N$85,'Population Treasury'!AE$238:AE$241)+SUMPRODUCT(Exogenous!$N$86:$N$94,'Population Treasury'!AE$243:AE$251)+SUMPRODUCT(Exogenous!$N$95:$N$100,'Population Treasury'!AE$253:AE$258))/('Population Treasury'!AE$308/'Population Treasury'!AD$308)+(SUMPRODUCT(Exogenous!$O$82:$O$85,'Population Treasury'!AE$283:AE$286)+SUMPRODUCT(Exogenous!$O$86:$O$94,'Population Treasury'!AE$288:AE$296)+SUMPRODUCT(Exogenous!$O$95:$O$100,'Population Treasury'!AE$298:AE$303))/('Population Treasury'!AE$310/'Population Treasury'!AD$310))*(1+T$25)*(1+T$29)*(1+OFFSET(Assumptions!$B$63,0,$C$1))/(1+OFFSET(Assumptions!$B$64,0,$C$1))-S$259,0))</f>
        <v>1.5796400000000002</v>
      </c>
      <c r="U259" s="16">
        <f ca="1">T$259+IF(OFFSET(Assumptions!$B$57,0,$C$1)="Yes",Exogenous!$N$79*Allocation!$B$15*U$247,IF(OFFSET(Assumptions!$B$58,0,$C$1)="Yes",T$259*(1+(SUMPRODUCT(Exogenous!$N$82:$N$85,'Population Treasury'!AF$238:AF$241)+SUMPRODUCT(Exogenous!$N$86:$N$94,'Population Treasury'!AF$243:AF$251)+SUMPRODUCT(Exogenous!$N$95:$N$100,'Population Treasury'!AF$253:AF$258))/('Population Treasury'!AF$308/'Population Treasury'!AE$308)+(SUMPRODUCT(Exogenous!$O$82:$O$85,'Population Treasury'!AF$283:AF$286)+SUMPRODUCT(Exogenous!$O$86:$O$94,'Population Treasury'!AF$288:AF$296)+SUMPRODUCT(Exogenous!$O$95:$O$100,'Population Treasury'!AF$298:AF$303))/('Population Treasury'!AF$310/'Population Treasury'!AE$310))*(1+U$25)*(1+U$29)*(1+OFFSET(Assumptions!$B$63,0,$C$1))/(1+OFFSET(Assumptions!$B$64,0,$C$1))-T$259,0))</f>
        <v>1.5796400000000002</v>
      </c>
      <c r="V259" s="16">
        <f ca="1">U$259+IF(OFFSET(Assumptions!$B$57,0,$C$1)="Yes",Exogenous!$N$79*Allocation!$B$15*V$247,IF(OFFSET(Assumptions!$B$58,0,$C$1)="Yes",U$259*(1+(SUMPRODUCT(Exogenous!$N$82:$N$85,'Population Treasury'!AG$238:AG$241)+SUMPRODUCT(Exogenous!$N$86:$N$94,'Population Treasury'!AG$243:AG$251)+SUMPRODUCT(Exogenous!$N$95:$N$100,'Population Treasury'!AG$253:AG$258))/('Population Treasury'!AG$308/'Population Treasury'!AF$308)+(SUMPRODUCT(Exogenous!$O$82:$O$85,'Population Treasury'!AG$283:AG$286)+SUMPRODUCT(Exogenous!$O$86:$O$94,'Population Treasury'!AG$288:AG$296)+SUMPRODUCT(Exogenous!$O$95:$O$100,'Population Treasury'!AG$298:AG$303))/('Population Treasury'!AG$310/'Population Treasury'!AF$310))*(1+V$25)*(1+V$29)*(1+OFFSET(Assumptions!$B$63,0,$C$1))/(1+OFFSET(Assumptions!$B$64,0,$C$1))-U$259,0))</f>
        <v>1.5796400000000002</v>
      </c>
      <c r="W259" s="16">
        <f ca="1">V$259+IF(OFFSET(Assumptions!$B$57,0,$C$1)="Yes",Exogenous!$N$79*Allocation!$B$15*W$247,IF(OFFSET(Assumptions!$B$58,0,$C$1)="Yes",V$259*(1+(SUMPRODUCT(Exogenous!$N$82:$N$85,'Population Treasury'!AH$238:AH$241)+SUMPRODUCT(Exogenous!$N$86:$N$94,'Population Treasury'!AH$243:AH$251)+SUMPRODUCT(Exogenous!$N$95:$N$100,'Population Treasury'!AH$253:AH$258))/('Population Treasury'!AH$308/'Population Treasury'!AG$308)+(SUMPRODUCT(Exogenous!$O$82:$O$85,'Population Treasury'!AH$283:AH$286)+SUMPRODUCT(Exogenous!$O$86:$O$94,'Population Treasury'!AH$288:AH$296)+SUMPRODUCT(Exogenous!$O$95:$O$100,'Population Treasury'!AH$298:AH$303))/('Population Treasury'!AH$310/'Population Treasury'!AG$310))*(1+W$25)*(1+W$29)*(1+OFFSET(Assumptions!$B$63,0,$C$1))/(1+OFFSET(Assumptions!$B$64,0,$C$1))-V$259,0))</f>
        <v>1.5796400000000002</v>
      </c>
      <c r="X259" s="16">
        <f ca="1">W$259+IF(OFFSET(Assumptions!$B$57,0,$C$1)="Yes",Exogenous!$N$79*Allocation!$B$15*X$247,IF(OFFSET(Assumptions!$B$58,0,$C$1)="Yes",W$259*(1+(SUMPRODUCT(Exogenous!$N$82:$N$85,'Population Treasury'!AI$238:AI$241)+SUMPRODUCT(Exogenous!$N$86:$N$94,'Population Treasury'!AI$243:AI$251)+SUMPRODUCT(Exogenous!$N$95:$N$100,'Population Treasury'!AI$253:AI$258))/('Population Treasury'!AI$308/'Population Treasury'!AH$308)+(SUMPRODUCT(Exogenous!$O$82:$O$85,'Population Treasury'!AI$283:AI$286)+SUMPRODUCT(Exogenous!$O$86:$O$94,'Population Treasury'!AI$288:AI$296)+SUMPRODUCT(Exogenous!$O$95:$O$100,'Population Treasury'!AI$298:AI$303))/('Population Treasury'!AI$310/'Population Treasury'!AH$310))*(1+X$25)*(1+X$29)*(1+OFFSET(Assumptions!$B$63,0,$C$1))/(1+OFFSET(Assumptions!$B$64,0,$C$1))-W$259,0))</f>
        <v>1.5796400000000002</v>
      </c>
    </row>
    <row r="260" spans="1:24" x14ac:dyDescent="0.25">
      <c r="A260" s="11" t="s">
        <v>1394</v>
      </c>
      <c r="B260" s="10" t="str">
        <f t="shared" si="166"/>
        <v>From Fiscal Forecasts</v>
      </c>
      <c r="D260" s="35">
        <f>Exogenous!$Q$79*'Fiscal Forecasts'!D$58</f>
        <v>0.27401999999999999</v>
      </c>
      <c r="E260" s="35">
        <f>Exogenous!$Q$79*'Fiscal Forecasts'!E$58</f>
        <v>0.29836499999999994</v>
      </c>
      <c r="F260" s="35">
        <f>Exogenous!$Q$79*'Fiscal Forecasts'!F$58</f>
        <v>0.34175999999999995</v>
      </c>
      <c r="G260" s="35">
        <f>Exogenous!$Q$79*'Fiscal Forecasts'!G$58</f>
        <v>0.41671499999999995</v>
      </c>
      <c r="H260" s="35">
        <f>Exogenous!$Q$79*'Fiscal Forecasts'!H$58</f>
        <v>0.42733500000000002</v>
      </c>
      <c r="I260" s="35">
        <f>Exogenous!$Q$79*'Fiscal Forecasts'!I$58</f>
        <v>0.44998499999999997</v>
      </c>
      <c r="J260" s="17">
        <f ca="1">Exogenous!$Q$79*('Fiscal Forecasts'!J$58+IF(OFFSET(Assumptions!$B$56,0,$C$1)="Yes",Allocation!C$15,0))</f>
        <v>0.46402499999999997</v>
      </c>
      <c r="K260" s="17">
        <f ca="1">Exogenous!$Q$79*('Fiscal Forecasts'!K$58+IF(OFFSET(Assumptions!$B$56,0,$C$1)="Yes",Allocation!D$15,0))</f>
        <v>0.49063500000000004</v>
      </c>
      <c r="L260" s="17">
        <f ca="1">Exogenous!$Q$79*('Fiscal Forecasts'!L$58+IF(OFFSET(Assumptions!$B$56,0,$C$1)="Yes",Allocation!E$15,0))</f>
        <v>0.51082499999999997</v>
      </c>
      <c r="M260" s="17">
        <f ca="1">Exogenous!$Q$79*('Fiscal Forecasts'!M$58+IF(OFFSET(Assumptions!$B$56,0,$C$1)="Yes",Allocation!F$15,0))</f>
        <v>0.51290999999999998</v>
      </c>
      <c r="N260" s="17">
        <f ca="1">Exogenous!$Q$79*('Fiscal Forecasts'!N$58+IF(OFFSET(Assumptions!$B$56,0,$C$1)="Yes",Allocation!G$15,0))</f>
        <v>0.5151</v>
      </c>
      <c r="O260" s="16">
        <f ca="1">N$260+IF(OFFSET(Assumptions!$B$57,0,$C$1)="Yes",Exogenous!$Q$79*Allocation!$B$15*O$247,IF(OFFSET(Assumptions!$B$58,0,$C$1)="Yes",N$260*(1+(SUMPRODUCT(Exogenous!$Q$82:$Q$85,'Population Treasury'!Z$238:Z$241)+SUMPRODUCT(Exogenous!$Q$86:$Q$94,'Population Treasury'!Z$243:Z$251)+SUMPRODUCT(Exogenous!$Q$95:$Q$100,'Population Treasury'!Z$253:Z$258))/('Population Treasury'!Z$307/'Population Treasury'!Y$307)+(SUMPRODUCT(Exogenous!$R$82:$R$85,'Population Treasury'!Z$283:Z$286)+SUMPRODUCT(Exogenous!$R$86:$R$94,'Population Treasury'!Z$288:Z$296)+SUMPRODUCT(Exogenous!$R$95:$R$100,'Population Treasury'!Z$298:Z$303))/('Population Treasury'!Z$309/'Population Treasury'!Y$309))*(1+O$25)*(1+O$29)*(1+OFFSET(Assumptions!$B$63,0,$C$1))/(1+OFFSET(Assumptions!$B$64,0,$C$1))-N$260,0))</f>
        <v>0.5151</v>
      </c>
      <c r="P260" s="16">
        <f ca="1">O$260+IF(OFFSET(Assumptions!$B$57,0,$C$1)="Yes",Exogenous!$Q$79*Allocation!$B$15*P$247,IF(OFFSET(Assumptions!$B$58,0,$C$1)="Yes",O$260*(1+(SUMPRODUCT(Exogenous!$Q$82:$Q$85,'Population Treasury'!AA$238:AA$241)+SUMPRODUCT(Exogenous!$Q$86:$Q$94,'Population Treasury'!AA$243:AA$251)+SUMPRODUCT(Exogenous!$Q$95:$Q$100,'Population Treasury'!AA$253:AA$258))/('Population Treasury'!AA$307/'Population Treasury'!Z$307)+(SUMPRODUCT(Exogenous!$R$82:$R$85,'Population Treasury'!AA$283:AA$286)+SUMPRODUCT(Exogenous!$R$86:$R$94,'Population Treasury'!AA$288:AA$296)+SUMPRODUCT(Exogenous!$R$95:$R$100,'Population Treasury'!AA$298:AA$303))/('Population Treasury'!AA$309/'Population Treasury'!Z$309))*(1+P$25)*(1+P$29)*(1+OFFSET(Assumptions!$B$63,0,$C$1))/(1+OFFSET(Assumptions!$B$64,0,$C$1))-O$260,0))</f>
        <v>0.5151</v>
      </c>
      <c r="Q260" s="16">
        <f ca="1">P$260+IF(OFFSET(Assumptions!$B$57,0,$C$1)="Yes",Exogenous!$Q$79*Allocation!$B$15*Q$247,IF(OFFSET(Assumptions!$B$58,0,$C$1)="Yes",P$260*(1+(SUMPRODUCT(Exogenous!$Q$82:$Q$85,'Population Treasury'!AB$238:AB$241)+SUMPRODUCT(Exogenous!$Q$86:$Q$94,'Population Treasury'!AB$243:AB$251)+SUMPRODUCT(Exogenous!$Q$95:$Q$100,'Population Treasury'!AB$253:AB$258))/('Population Treasury'!AB$307/'Population Treasury'!AA$307)+(SUMPRODUCT(Exogenous!$R$82:$R$85,'Population Treasury'!AB$283:AB$286)+SUMPRODUCT(Exogenous!$R$86:$R$94,'Population Treasury'!AB$288:AB$296)+SUMPRODUCT(Exogenous!$R$95:$R$100,'Population Treasury'!AB$298:AB$303))/('Population Treasury'!AB$309/'Population Treasury'!AA$309))*(1+Q$25)*(1+Q$29)*(1+OFFSET(Assumptions!$B$63,0,$C$1))/(1+OFFSET(Assumptions!$B$64,0,$C$1))-P$260,0))</f>
        <v>0.5151</v>
      </c>
      <c r="R260" s="16">
        <f ca="1">Q$260+IF(OFFSET(Assumptions!$B$57,0,$C$1)="Yes",Exogenous!$Q$79*Allocation!$B$15*R$247,IF(OFFSET(Assumptions!$B$58,0,$C$1)="Yes",Q$260*(1+(SUMPRODUCT(Exogenous!$Q$82:$Q$85,'Population Treasury'!AC$238:AC$241)+SUMPRODUCT(Exogenous!$Q$86:$Q$94,'Population Treasury'!AC$243:AC$251)+SUMPRODUCT(Exogenous!$Q$95:$Q$100,'Population Treasury'!AC$253:AC$258))/('Population Treasury'!AC$307/'Population Treasury'!AB$307)+(SUMPRODUCT(Exogenous!$R$82:$R$85,'Population Treasury'!AC$283:AC$286)+SUMPRODUCT(Exogenous!$R$86:$R$94,'Population Treasury'!AC$288:AC$296)+SUMPRODUCT(Exogenous!$R$95:$R$100,'Population Treasury'!AC$298:AC$303))/('Population Treasury'!AC$309/'Population Treasury'!AB$309))*(1+R$25)*(1+R$29)*(1+OFFSET(Assumptions!$B$63,0,$C$1))/(1+OFFSET(Assumptions!$B$64,0,$C$1))-Q$260,0))</f>
        <v>0.5151</v>
      </c>
      <c r="S260" s="16">
        <f ca="1">R$260+IF(OFFSET(Assumptions!$B$57,0,$C$1)="Yes",Exogenous!$Q$79*Allocation!$B$15*S$247,IF(OFFSET(Assumptions!$B$58,0,$C$1)="Yes",R$260*(1+(SUMPRODUCT(Exogenous!$Q$82:$Q$85,'Population Treasury'!AD$238:AD$241)+SUMPRODUCT(Exogenous!$Q$86:$Q$94,'Population Treasury'!AD$243:AD$251)+SUMPRODUCT(Exogenous!$Q$95:$Q$100,'Population Treasury'!AD$253:AD$258))/('Population Treasury'!AD$307/'Population Treasury'!AC$307)+(SUMPRODUCT(Exogenous!$R$82:$R$85,'Population Treasury'!AD$283:AD$286)+SUMPRODUCT(Exogenous!$R$86:$R$94,'Population Treasury'!AD$288:AD$296)+SUMPRODUCT(Exogenous!$R$95:$R$100,'Population Treasury'!AD$298:AD$303))/('Population Treasury'!AD$309/'Population Treasury'!AC$309))*(1+S$25)*(1+S$29)*(1+OFFSET(Assumptions!$B$63,0,$C$1))/(1+OFFSET(Assumptions!$B$64,0,$C$1))-R$260,0))</f>
        <v>0.5151</v>
      </c>
      <c r="T260" s="16">
        <f ca="1">S$260+IF(OFFSET(Assumptions!$B$57,0,$C$1)="Yes",Exogenous!$Q$79*Allocation!$B$15*T$247,IF(OFFSET(Assumptions!$B$58,0,$C$1)="Yes",S$260*(1+(SUMPRODUCT(Exogenous!$Q$82:$Q$85,'Population Treasury'!AE$238:AE$241)+SUMPRODUCT(Exogenous!$Q$86:$Q$94,'Population Treasury'!AE$243:AE$251)+SUMPRODUCT(Exogenous!$Q$95:$Q$100,'Population Treasury'!AE$253:AE$258))/('Population Treasury'!AE$307/'Population Treasury'!AD$307)+(SUMPRODUCT(Exogenous!$R$82:$R$85,'Population Treasury'!AE$283:AE$286)+SUMPRODUCT(Exogenous!$R$86:$R$94,'Population Treasury'!AE$288:AE$296)+SUMPRODUCT(Exogenous!$R$95:$R$100,'Population Treasury'!AE$298:AE$303))/('Population Treasury'!AE$309/'Population Treasury'!AD$309))*(1+T$25)*(1+T$29)*(1+OFFSET(Assumptions!$B$63,0,$C$1))/(1+OFFSET(Assumptions!$B$64,0,$C$1))-S$260,0))</f>
        <v>0.5151</v>
      </c>
      <c r="U260" s="16">
        <f ca="1">T$260+IF(OFFSET(Assumptions!$B$57,0,$C$1)="Yes",Exogenous!$Q$79*Allocation!$B$15*U$247,IF(OFFSET(Assumptions!$B$58,0,$C$1)="Yes",T$260*(1+(SUMPRODUCT(Exogenous!$Q$82:$Q$85,'Population Treasury'!AF$238:AF$241)+SUMPRODUCT(Exogenous!$Q$86:$Q$94,'Population Treasury'!AF$243:AF$251)+SUMPRODUCT(Exogenous!$Q$95:$Q$100,'Population Treasury'!AF$253:AF$258))/('Population Treasury'!AF$307/'Population Treasury'!AE$307)+(SUMPRODUCT(Exogenous!$R$82:$R$85,'Population Treasury'!AF$283:AF$286)+SUMPRODUCT(Exogenous!$R$86:$R$94,'Population Treasury'!AF$288:AF$296)+SUMPRODUCT(Exogenous!$R$95:$R$100,'Population Treasury'!AF$298:AF$303))/('Population Treasury'!AF$309/'Population Treasury'!AE$309))*(1+U$25)*(1+U$29)*(1+OFFSET(Assumptions!$B$63,0,$C$1))/(1+OFFSET(Assumptions!$B$64,0,$C$1))-T$260,0))</f>
        <v>0.5151</v>
      </c>
      <c r="V260" s="16">
        <f ca="1">U$260+IF(OFFSET(Assumptions!$B$57,0,$C$1)="Yes",Exogenous!$Q$79*Allocation!$B$15*V$247,IF(OFFSET(Assumptions!$B$58,0,$C$1)="Yes",U$260*(1+(SUMPRODUCT(Exogenous!$Q$82:$Q$85,'Population Treasury'!AG$238:AG$241)+SUMPRODUCT(Exogenous!$Q$86:$Q$94,'Population Treasury'!AG$243:AG$251)+SUMPRODUCT(Exogenous!$Q$95:$Q$100,'Population Treasury'!AG$253:AG$258))/('Population Treasury'!AG$307/'Population Treasury'!AF$307)+(SUMPRODUCT(Exogenous!$R$82:$R$85,'Population Treasury'!AG$283:AG$286)+SUMPRODUCT(Exogenous!$R$86:$R$94,'Population Treasury'!AG$288:AG$296)+SUMPRODUCT(Exogenous!$R$95:$R$100,'Population Treasury'!AG$298:AG$303))/('Population Treasury'!AG$309/'Population Treasury'!AF$309))*(1+V$25)*(1+V$29)*(1+OFFSET(Assumptions!$B$63,0,$C$1))/(1+OFFSET(Assumptions!$B$64,0,$C$1))-U$260,0))</f>
        <v>0.5151</v>
      </c>
      <c r="W260" s="16">
        <f ca="1">V$260+IF(OFFSET(Assumptions!$B$57,0,$C$1)="Yes",Exogenous!$Q$79*Allocation!$B$15*W$247,IF(OFFSET(Assumptions!$B$58,0,$C$1)="Yes",V$260*(1+(SUMPRODUCT(Exogenous!$Q$82:$Q$85,'Population Treasury'!AH$238:AH$241)+SUMPRODUCT(Exogenous!$Q$86:$Q$94,'Population Treasury'!AH$243:AH$251)+SUMPRODUCT(Exogenous!$Q$95:$Q$100,'Population Treasury'!AH$253:AH$258))/('Population Treasury'!AH$307/'Population Treasury'!AG$307)+(SUMPRODUCT(Exogenous!$R$82:$R$85,'Population Treasury'!AH$283:AH$286)+SUMPRODUCT(Exogenous!$R$86:$R$94,'Population Treasury'!AH$288:AH$296)+SUMPRODUCT(Exogenous!$R$95:$R$100,'Population Treasury'!AH$298:AH$303))/('Population Treasury'!AH$309/'Population Treasury'!AG$309))*(1+W$25)*(1+W$29)*(1+OFFSET(Assumptions!$B$63,0,$C$1))/(1+OFFSET(Assumptions!$B$64,0,$C$1))-V$260,0))</f>
        <v>0.5151</v>
      </c>
      <c r="X260" s="16">
        <f ca="1">W$260+IF(OFFSET(Assumptions!$B$57,0,$C$1)="Yes",Exogenous!$Q$79*Allocation!$B$15*X$247,IF(OFFSET(Assumptions!$B$58,0,$C$1)="Yes",W$260*(1+(SUMPRODUCT(Exogenous!$Q$82:$Q$85,'Population Treasury'!AI$238:AI$241)+SUMPRODUCT(Exogenous!$Q$86:$Q$94,'Population Treasury'!AI$243:AI$251)+SUMPRODUCT(Exogenous!$Q$95:$Q$100,'Population Treasury'!AI$253:AI$258))/('Population Treasury'!AI$307/'Population Treasury'!AH$307)+(SUMPRODUCT(Exogenous!$R$82:$R$85,'Population Treasury'!AI$283:AI$286)+SUMPRODUCT(Exogenous!$R$86:$R$94,'Population Treasury'!AI$288:AI$296)+SUMPRODUCT(Exogenous!$R$95:$R$100,'Population Treasury'!AI$298:AI$303))/('Population Treasury'!AI$309/'Population Treasury'!AH$309))*(1+X$25)*(1+X$29)*(1+OFFSET(Assumptions!$B$63,0,$C$1))/(1+OFFSET(Assumptions!$B$64,0,$C$1))-W$260,0))</f>
        <v>0.5151</v>
      </c>
    </row>
    <row r="261" spans="1:24" x14ac:dyDescent="0.25">
      <c r="A261" s="9" t="s">
        <v>1105</v>
      </c>
      <c r="B261" s="10"/>
      <c r="D261" s="65">
        <f>SUM(D$255:D$260)</f>
        <v>18.268000000000001</v>
      </c>
      <c r="E261" s="65">
        <f t="shared" ref="E261:X261" si="167">SUM(E$255:E$260)</f>
        <v>19.890999999999998</v>
      </c>
      <c r="F261" s="65">
        <f t="shared" si="167"/>
        <v>22.783999999999999</v>
      </c>
      <c r="G261" s="65">
        <f t="shared" si="167"/>
        <v>27.780999999999999</v>
      </c>
      <c r="H261" s="65">
        <f t="shared" si="167"/>
        <v>28.488999999999997</v>
      </c>
      <c r="I261" s="65">
        <f t="shared" si="167"/>
        <v>29.999000000000002</v>
      </c>
      <c r="J261" s="66">
        <f t="shared" ca="1" si="167"/>
        <v>30.935000000000002</v>
      </c>
      <c r="K261" s="66">
        <f t="shared" ca="1" si="167"/>
        <v>32.709000000000003</v>
      </c>
      <c r="L261" s="66">
        <f t="shared" ca="1" si="167"/>
        <v>34.055</v>
      </c>
      <c r="M261" s="66">
        <f t="shared" ca="1" si="167"/>
        <v>34.194000000000003</v>
      </c>
      <c r="N261" s="66">
        <f t="shared" ca="1" si="167"/>
        <v>34.339999999999996</v>
      </c>
      <c r="O261" s="67">
        <f t="shared" ca="1" si="167"/>
        <v>34.339999999999996</v>
      </c>
      <c r="P261" s="67">
        <f t="shared" ca="1" si="167"/>
        <v>34.339999999999996</v>
      </c>
      <c r="Q261" s="67">
        <f t="shared" ca="1" si="167"/>
        <v>34.339999999999996</v>
      </c>
      <c r="R261" s="67">
        <f t="shared" ca="1" si="167"/>
        <v>34.339999999999996</v>
      </c>
      <c r="S261" s="67">
        <f t="shared" ca="1" si="167"/>
        <v>34.339999999999996</v>
      </c>
      <c r="T261" s="67">
        <f t="shared" ca="1" si="167"/>
        <v>34.339999999999996</v>
      </c>
      <c r="U261" s="67">
        <f t="shared" ca="1" si="167"/>
        <v>34.339999999999996</v>
      </c>
      <c r="V261" s="67">
        <f t="shared" ca="1" si="167"/>
        <v>34.339999999999996</v>
      </c>
      <c r="W261" s="67">
        <f t="shared" ca="1" si="167"/>
        <v>34.339999999999996</v>
      </c>
      <c r="X261" s="67">
        <f t="shared" ca="1" si="167"/>
        <v>34.339999999999996</v>
      </c>
    </row>
    <row r="262" spans="1:24" x14ac:dyDescent="0.25">
      <c r="A262" s="11" t="s">
        <v>707</v>
      </c>
      <c r="B262" s="10" t="str">
        <f>$B$38</f>
        <v>From Fiscal Forecasts</v>
      </c>
      <c r="D262" s="35">
        <f>'Fiscal Forecasts'!D$207</f>
        <v>16.579000000000001</v>
      </c>
      <c r="E262" s="35">
        <f>'Fiscal Forecasts'!E$207</f>
        <v>17.788</v>
      </c>
      <c r="F262" s="35">
        <f>'Fiscal Forecasts'!F$207</f>
        <v>18.856000000000002</v>
      </c>
      <c r="G262" s="35">
        <f>'Fiscal Forecasts'!G$207</f>
        <v>22.004999999999999</v>
      </c>
      <c r="H262" s="35">
        <f>'Fiscal Forecasts'!H$207</f>
        <v>27.765999999999998</v>
      </c>
      <c r="I262" s="35">
        <f>'Fiscal Forecasts'!I$207</f>
        <v>27.89</v>
      </c>
      <c r="J262" s="17">
        <f>'Fiscal Forecasts'!J$207</f>
        <v>28.486999999999998</v>
      </c>
      <c r="K262" s="17">
        <f>'Fiscal Forecasts'!K$207</f>
        <v>28.939</v>
      </c>
      <c r="L262" s="17">
        <f>'Fiscal Forecasts'!L$207</f>
        <v>30.300999999999998</v>
      </c>
      <c r="M262" s="17">
        <f>'Fiscal Forecasts'!M$207</f>
        <v>30.123999999999999</v>
      </c>
      <c r="N262" s="17">
        <f>'Fiscal Forecasts'!N$207</f>
        <v>30.146999999999998</v>
      </c>
      <c r="O262" s="16">
        <f ca="1">N$262+O$261-N$261</f>
        <v>30.146999999999998</v>
      </c>
      <c r="P262" s="16">
        <f t="shared" ref="P262:X262" ca="1" si="168">O$262+P$261-O$261</f>
        <v>30.146999999999998</v>
      </c>
      <c r="Q262" s="16">
        <f t="shared" ca="1" si="168"/>
        <v>30.146999999999998</v>
      </c>
      <c r="R262" s="16">
        <f t="shared" ca="1" si="168"/>
        <v>30.146999999999998</v>
      </c>
      <c r="S262" s="16">
        <f t="shared" ca="1" si="168"/>
        <v>30.146999999999998</v>
      </c>
      <c r="T262" s="16">
        <f t="shared" ca="1" si="168"/>
        <v>30.146999999999998</v>
      </c>
      <c r="U262" s="16">
        <f t="shared" ca="1" si="168"/>
        <v>30.146999999999998</v>
      </c>
      <c r="V262" s="16">
        <f t="shared" ca="1" si="168"/>
        <v>30.146999999999998</v>
      </c>
      <c r="W262" s="16">
        <f t="shared" ca="1" si="168"/>
        <v>30.146999999999998</v>
      </c>
      <c r="X262" s="16">
        <f t="shared" ca="1" si="168"/>
        <v>30.146999999999998</v>
      </c>
    </row>
    <row r="263" spans="1:24" x14ac:dyDescent="0.25">
      <c r="A263" s="11" t="s">
        <v>866</v>
      </c>
      <c r="B263" s="10" t="str">
        <f>$B$38</f>
        <v>From Fiscal Forecasts</v>
      </c>
      <c r="D263" s="35">
        <f>'Fiscal Forecasts'!D$41-SUM(D$261:D$262)</f>
        <v>-16.187000000000001</v>
      </c>
      <c r="E263" s="35">
        <f>'Fiscal Forecasts'!E$41-SUM(E$261:E$262)</f>
        <v>-17.21</v>
      </c>
      <c r="F263" s="35">
        <f>'Fiscal Forecasts'!F$41-SUM(F$261:F$262)</f>
        <v>-19.042000000000002</v>
      </c>
      <c r="G263" s="35">
        <f>'Fiscal Forecasts'!G$41-SUM(G$261:G$262)</f>
        <v>-22.128</v>
      </c>
      <c r="H263" s="35">
        <f>'Fiscal Forecasts'!H$41-SUM(H$261:H$262)</f>
        <v>-26.430999999999994</v>
      </c>
      <c r="I263" s="35">
        <f>'Fiscal Forecasts'!I$41-SUM(I$261:I$262)</f>
        <v>-28.049000000000003</v>
      </c>
      <c r="J263" s="17">
        <f ca="1">'Fiscal Forecasts'!J$41-SUM(J$261:J$262)+IF(OFFSET(Assumptions!$B$56,0,$C$1)="Yes",Allocation!C$15,0)</f>
        <v>-28.708999999999996</v>
      </c>
      <c r="K263" s="17">
        <f ca="1">'Fiscal Forecasts'!K$41-SUM(K$261:K$262)+IF(OFFSET(Assumptions!$B$56,0,$C$1)="Yes",Allocation!D$15,0)</f>
        <v>-30.424000000000003</v>
      </c>
      <c r="L263" s="17">
        <f ca="1">'Fiscal Forecasts'!L$41-SUM(L$261:L$262)+IF(OFFSET(Assumptions!$B$56,0,$C$1)="Yes",Allocation!E$15,0)</f>
        <v>-31.830999999999996</v>
      </c>
      <c r="M263" s="17">
        <f ca="1">'Fiscal Forecasts'!M$41-SUM(M$261:M$262)+IF(OFFSET(Assumptions!$B$56,0,$C$1)="Yes",Allocation!F$15,0)</f>
        <v>-32.004999999999995</v>
      </c>
      <c r="N263" s="17">
        <f ca="1">'Fiscal Forecasts'!N$41-SUM(N$261:N$262)+IF(OFFSET(Assumptions!$B$56,0,$C$1)="Yes",Allocation!G$15,0)</f>
        <v>-32.190999999999995</v>
      </c>
      <c r="O263" s="16">
        <f ca="1">N$263-(O$261-N$261)</f>
        <v>-32.190999999999995</v>
      </c>
      <c r="P263" s="16">
        <f t="shared" ref="P263:X263" ca="1" si="169">O$263-(P$261-O$261)</f>
        <v>-32.190999999999995</v>
      </c>
      <c r="Q263" s="16">
        <f t="shared" ca="1" si="169"/>
        <v>-32.190999999999995</v>
      </c>
      <c r="R263" s="16">
        <f t="shared" ca="1" si="169"/>
        <v>-32.190999999999995</v>
      </c>
      <c r="S263" s="16">
        <f t="shared" ca="1" si="169"/>
        <v>-32.190999999999995</v>
      </c>
      <c r="T263" s="16">
        <f t="shared" ca="1" si="169"/>
        <v>-32.190999999999995</v>
      </c>
      <c r="U263" s="16">
        <f t="shared" ca="1" si="169"/>
        <v>-32.190999999999995</v>
      </c>
      <c r="V263" s="16">
        <f t="shared" ca="1" si="169"/>
        <v>-32.190999999999995</v>
      </c>
      <c r="W263" s="16">
        <f t="shared" ca="1" si="169"/>
        <v>-32.190999999999995</v>
      </c>
      <c r="X263" s="16">
        <f t="shared" ca="1" si="169"/>
        <v>-32.190999999999995</v>
      </c>
    </row>
    <row r="264" spans="1:24" x14ac:dyDescent="0.25">
      <c r="A264" s="9" t="s">
        <v>978</v>
      </c>
      <c r="D264" s="65">
        <f t="shared" ref="D264:I264" si="170">SUM(D$261:D$263)</f>
        <v>18.66</v>
      </c>
      <c r="E264" s="65">
        <f t="shared" si="170"/>
        <v>20.469000000000001</v>
      </c>
      <c r="F264" s="65">
        <f t="shared" si="170"/>
        <v>22.597999999999999</v>
      </c>
      <c r="G264" s="65">
        <f t="shared" si="170"/>
        <v>27.658000000000001</v>
      </c>
      <c r="H264" s="65">
        <f t="shared" si="170"/>
        <v>29.824000000000002</v>
      </c>
      <c r="I264" s="65">
        <f t="shared" si="170"/>
        <v>29.84</v>
      </c>
      <c r="J264" s="66">
        <f t="shared" ref="J264:X264" ca="1" si="171">SUM(J$261:J$263)</f>
        <v>30.713000000000001</v>
      </c>
      <c r="K264" s="66">
        <f t="shared" ca="1" si="171"/>
        <v>31.224</v>
      </c>
      <c r="L264" s="66">
        <f t="shared" ca="1" si="171"/>
        <v>32.524999999999999</v>
      </c>
      <c r="M264" s="66">
        <f t="shared" ca="1" si="171"/>
        <v>32.313000000000002</v>
      </c>
      <c r="N264" s="66">
        <f t="shared" ca="1" si="171"/>
        <v>32.295999999999999</v>
      </c>
      <c r="O264" s="67">
        <f t="shared" ca="1" si="171"/>
        <v>32.295999999999999</v>
      </c>
      <c r="P264" s="67">
        <f t="shared" ca="1" si="171"/>
        <v>32.295999999999999</v>
      </c>
      <c r="Q264" s="67">
        <f t="shared" ca="1" si="171"/>
        <v>32.295999999999999</v>
      </c>
      <c r="R264" s="67">
        <f t="shared" ca="1" si="171"/>
        <v>32.295999999999999</v>
      </c>
      <c r="S264" s="67">
        <f t="shared" ca="1" si="171"/>
        <v>32.295999999999999</v>
      </c>
      <c r="T264" s="67">
        <f t="shared" ca="1" si="171"/>
        <v>32.295999999999999</v>
      </c>
      <c r="U264" s="67">
        <f t="shared" ca="1" si="171"/>
        <v>32.295999999999999</v>
      </c>
      <c r="V264" s="67">
        <f t="shared" ca="1" si="171"/>
        <v>32.295999999999999</v>
      </c>
      <c r="W264" s="67">
        <f t="shared" ca="1" si="171"/>
        <v>32.295999999999999</v>
      </c>
      <c r="X264" s="67">
        <f t="shared" ca="1" si="171"/>
        <v>32.295999999999999</v>
      </c>
    </row>
    <row r="265" spans="1:24" x14ac:dyDescent="0.25">
      <c r="D265" s="112"/>
      <c r="E265" s="112"/>
      <c r="F265" s="112"/>
      <c r="G265" s="112"/>
      <c r="H265" s="112"/>
      <c r="I265" s="112"/>
      <c r="J265" s="112"/>
      <c r="K265" s="112"/>
      <c r="L265" s="112"/>
      <c r="M265" s="112"/>
      <c r="N265" s="112"/>
      <c r="O265" s="112"/>
      <c r="P265" s="112"/>
      <c r="Q265" s="112"/>
      <c r="R265" s="112"/>
      <c r="S265" s="112"/>
      <c r="T265" s="112"/>
      <c r="U265" s="112"/>
      <c r="V265" s="112"/>
      <c r="W265" s="112"/>
      <c r="X265" s="112"/>
    </row>
    <row r="266" spans="1:24" x14ac:dyDescent="0.25">
      <c r="A266" s="9" t="s">
        <v>979</v>
      </c>
    </row>
    <row r="267" spans="1:24" x14ac:dyDescent="0.25">
      <c r="A267" s="11" t="s">
        <v>1258</v>
      </c>
      <c r="B267" s="10" t="str">
        <f>$B$38</f>
        <v>From Fiscal Forecasts</v>
      </c>
      <c r="D267" s="35">
        <f>'Fiscal Forecasts'!D$408</f>
        <v>1.8959999999999999</v>
      </c>
      <c r="E267" s="35">
        <f>'Fiscal Forecasts'!E$408</f>
        <v>2.0070000000000001</v>
      </c>
      <c r="F267" s="35">
        <f>'Fiscal Forecasts'!F$408</f>
        <v>2.1320000000000001</v>
      </c>
      <c r="G267" s="35">
        <f>'Fiscal Forecasts'!G$408</f>
        <v>2.2469999999999999</v>
      </c>
      <c r="H267" s="35">
        <f>'Fiscal Forecasts'!H$408</f>
        <v>2.355</v>
      </c>
      <c r="I267" s="35">
        <f>'Fiscal Forecasts'!I$408</f>
        <v>2.71</v>
      </c>
      <c r="J267" s="17">
        <f ca="1">'Fiscal Forecasts'!J$408+IF(OFFSET(Assumptions!$B$56,0,$C$1)="Yes",Allocation!C$28,0)</f>
        <v>2.9649999999999999</v>
      </c>
      <c r="K267" s="17">
        <f ca="1">'Fiscal Forecasts'!K$408+IF(OFFSET(Assumptions!$B$56,0,$C$1)="Yes",Allocation!D$28,0)</f>
        <v>3.0649999999999999</v>
      </c>
      <c r="L267" s="17">
        <f ca="1">'Fiscal Forecasts'!L$408+IF(OFFSET(Assumptions!$B$56,0,$C$1)="Yes",Allocation!E$28,0)</f>
        <v>3.0990000000000002</v>
      </c>
      <c r="M267" s="17">
        <f ca="1">'Fiscal Forecasts'!M$408+IF(OFFSET(Assumptions!$B$56,0,$C$1)="Yes",Allocation!F$28,0)</f>
        <v>3.1419999999999999</v>
      </c>
      <c r="N267" s="17">
        <f ca="1">'Fiscal Forecasts'!N$408+IF(OFFSET(Assumptions!$B$56,0,$C$1)="Yes",Allocation!G$28,0)</f>
        <v>3.1850000000000001</v>
      </c>
      <c r="O267" s="16">
        <f ca="1">N$267+IF(OFFSET(Assumptions!$B$57,0,$C$1)="Yes",Allocation!$B$28*Allocation!$B$16*O$247,IF(OFFSET(Assumptions!$B$58,0,$C$1)="Yes",N$267*(1+SUMPRODUCT(Exogenous!$B$65:$B$70,'Population Treasury'!Z$214:Z$219)+SUMPRODUCT(Exogenous!$C$65:$C$70,'Population Treasury'!Z$259:Z$264))*(1+O$25)*(1+O$29)*(1+OFFSET(Assumptions!$B$61,0,$C$1))/(1+OFFSET(Assumptions!$B$62,0,$C$1))-N$267,0))</f>
        <v>3.1850000000000001</v>
      </c>
      <c r="P267" s="16">
        <f ca="1">O$267+IF(OFFSET(Assumptions!$B$57,0,$C$1)="Yes",Allocation!$B$28*Allocation!$B$16*P$247,IF(OFFSET(Assumptions!$B$58,0,$C$1)="Yes",O$267*(1+SUMPRODUCT(Exogenous!$B$65:$B$70,'Population Treasury'!AA$214:AA$219)+SUMPRODUCT(Exogenous!$C$65:$C$70,'Population Treasury'!AA$259:AA$264))*(1+P$25)*(1+P$29)*(1+OFFSET(Assumptions!$B$61,0,$C$1))/(1+OFFSET(Assumptions!$B$62,0,$C$1))-O$267,0))</f>
        <v>3.1850000000000001</v>
      </c>
      <c r="Q267" s="16">
        <f ca="1">P$267+IF(OFFSET(Assumptions!$B$57,0,$C$1)="Yes",Allocation!$B$28*Allocation!$B$16*Q$247,IF(OFFSET(Assumptions!$B$58,0,$C$1)="Yes",P$267*(1+SUMPRODUCT(Exogenous!$B$65:$B$70,'Population Treasury'!AB$214:AB$219)+SUMPRODUCT(Exogenous!$C$65:$C$70,'Population Treasury'!AB$259:AB$264))*(1+Q$25)*(1+Q$29)*(1+OFFSET(Assumptions!$B$61,0,$C$1))/(1+OFFSET(Assumptions!$B$62,0,$C$1))-P$267,0))</f>
        <v>3.1850000000000001</v>
      </c>
      <c r="R267" s="16">
        <f ca="1">Q$267+IF(OFFSET(Assumptions!$B$57,0,$C$1)="Yes",Allocation!$B$28*Allocation!$B$16*R$247,IF(OFFSET(Assumptions!$B$58,0,$C$1)="Yes",Q$267*(1+SUMPRODUCT(Exogenous!$B$65:$B$70,'Population Treasury'!AC$214:AC$219)+SUMPRODUCT(Exogenous!$C$65:$C$70,'Population Treasury'!AC$259:AC$264))*(1+R$25)*(1+R$29)*(1+OFFSET(Assumptions!$B$61,0,$C$1))/(1+OFFSET(Assumptions!$B$62,0,$C$1))-Q$267,0))</f>
        <v>3.1850000000000001</v>
      </c>
      <c r="S267" s="16">
        <f ca="1">R$267+IF(OFFSET(Assumptions!$B$57,0,$C$1)="Yes",Allocation!$B$28*Allocation!$B$16*S$247,IF(OFFSET(Assumptions!$B$58,0,$C$1)="Yes",R$267*(1+SUMPRODUCT(Exogenous!$B$65:$B$70,'Population Treasury'!AD$214:AD$219)+SUMPRODUCT(Exogenous!$C$65:$C$70,'Population Treasury'!AD$259:AD$264))*(1+S$25)*(1+S$29)*(1+OFFSET(Assumptions!$B$61,0,$C$1))/(1+OFFSET(Assumptions!$B$62,0,$C$1))-R$267,0))</f>
        <v>3.1850000000000001</v>
      </c>
      <c r="T267" s="16">
        <f ca="1">S$267+IF(OFFSET(Assumptions!$B$57,0,$C$1)="Yes",Allocation!$B$28*Allocation!$B$16*T$247,IF(OFFSET(Assumptions!$B$58,0,$C$1)="Yes",S$267*(1+SUMPRODUCT(Exogenous!$B$65:$B$70,'Population Treasury'!AE$214:AE$219)+SUMPRODUCT(Exogenous!$C$65:$C$70,'Population Treasury'!AE$259:AE$264))*(1+T$25)*(1+T$29)*(1+OFFSET(Assumptions!$B$61,0,$C$1))/(1+OFFSET(Assumptions!$B$62,0,$C$1))-S$267,0))</f>
        <v>3.1850000000000001</v>
      </c>
      <c r="U267" s="16">
        <f ca="1">T$267+IF(OFFSET(Assumptions!$B$57,0,$C$1)="Yes",Allocation!$B$28*Allocation!$B$16*U$247,IF(OFFSET(Assumptions!$B$58,0,$C$1)="Yes",T$267*(1+SUMPRODUCT(Exogenous!$B$65:$B$70,'Population Treasury'!AF$214:AF$219)+SUMPRODUCT(Exogenous!$C$65:$C$70,'Population Treasury'!AF$259:AF$264))*(1+U$25)*(1+U$29)*(1+OFFSET(Assumptions!$B$61,0,$C$1))/(1+OFFSET(Assumptions!$B$62,0,$C$1))-T$267,0))</f>
        <v>3.1850000000000001</v>
      </c>
      <c r="V267" s="16">
        <f ca="1">U$267+IF(OFFSET(Assumptions!$B$57,0,$C$1)="Yes",Allocation!$B$28*Allocation!$B$16*V$247,IF(OFFSET(Assumptions!$B$58,0,$C$1)="Yes",U$267*(1+SUMPRODUCT(Exogenous!$B$65:$B$70,'Population Treasury'!AG$214:AG$219)+SUMPRODUCT(Exogenous!$C$65:$C$70,'Population Treasury'!AG$259:AG$264))*(1+V$25)*(1+V$29)*(1+OFFSET(Assumptions!$B$61,0,$C$1))/(1+OFFSET(Assumptions!$B$62,0,$C$1))-U$267,0))</f>
        <v>3.1850000000000001</v>
      </c>
      <c r="W267" s="16">
        <f ca="1">V$267+IF(OFFSET(Assumptions!$B$57,0,$C$1)="Yes",Allocation!$B$28*Allocation!$B$16*W$247,IF(OFFSET(Assumptions!$B$58,0,$C$1)="Yes",V$267*(1+SUMPRODUCT(Exogenous!$B$65:$B$70,'Population Treasury'!AH$214:AH$219)+SUMPRODUCT(Exogenous!$C$65:$C$70,'Population Treasury'!AH$259:AH$264))*(1+W$25)*(1+W$29)*(1+OFFSET(Assumptions!$B$61,0,$C$1))/(1+OFFSET(Assumptions!$B$62,0,$C$1))-V$267,0))</f>
        <v>3.1850000000000001</v>
      </c>
      <c r="X267" s="16">
        <f ca="1">W$267+IF(OFFSET(Assumptions!$B$57,0,$C$1)="Yes",Allocation!$B$28*Allocation!$B$16*X$247,IF(OFFSET(Assumptions!$B$58,0,$C$1)="Yes",W$267*(1+SUMPRODUCT(Exogenous!$B$65:$B$70,'Population Treasury'!AI$214:AI$219)+SUMPRODUCT(Exogenous!$C$65:$C$70,'Population Treasury'!AI$259:AI$264))*(1+X$25)*(1+X$29)*(1+OFFSET(Assumptions!$B$61,0,$C$1))/(1+OFFSET(Assumptions!$B$62,0,$C$1))-W$267,0))</f>
        <v>3.1850000000000001</v>
      </c>
    </row>
    <row r="268" spans="1:24" x14ac:dyDescent="0.25">
      <c r="A268" s="11" t="s">
        <v>1285</v>
      </c>
      <c r="B268" s="10" t="str">
        <f t="shared" ref="B268:B270" si="172">$B$38</f>
        <v>From Fiscal Forecasts</v>
      </c>
      <c r="D268" s="35">
        <f>'Fiscal Forecasts'!D$409</f>
        <v>3.835</v>
      </c>
      <c r="E268" s="35">
        <f>'Fiscal Forecasts'!E$409</f>
        <v>4.0129999999999999</v>
      </c>
      <c r="F268" s="35">
        <f>'Fiscal Forecasts'!F$409</f>
        <v>4.6470000000000002</v>
      </c>
      <c r="G268" s="35">
        <f>'Fiscal Forecasts'!G$409</f>
        <v>4.7329999999999997</v>
      </c>
      <c r="H268" s="35">
        <f>'Fiscal Forecasts'!H$409</f>
        <v>4.7789999999999999</v>
      </c>
      <c r="I268" s="35">
        <f>'Fiscal Forecasts'!I$409</f>
        <v>5.39</v>
      </c>
      <c r="J268" s="17">
        <f ca="1">'Fiscal Forecasts'!J$409+IF(OFFSET(Assumptions!$B$56,0,$C$1)="Yes",Allocation!C$29,0)</f>
        <v>5.5470000000000006</v>
      </c>
      <c r="K268" s="17">
        <f ca="1">'Fiscal Forecasts'!K$409+IF(OFFSET(Assumptions!$B$56,0,$C$1)="Yes",Allocation!D$29,0)</f>
        <v>5.7140000000000004</v>
      </c>
      <c r="L268" s="17">
        <f ca="1">'Fiscal Forecasts'!L$409+IF(OFFSET(Assumptions!$B$56,0,$C$1)="Yes",Allocation!E$29,0)</f>
        <v>5.6560000000000006</v>
      </c>
      <c r="M268" s="17">
        <f ca="1">'Fiscal Forecasts'!M$409+IF(OFFSET(Assumptions!$B$56,0,$C$1)="Yes",Allocation!F$29,0)</f>
        <v>5.5250000000000004</v>
      </c>
      <c r="N268" s="17">
        <f ca="1">'Fiscal Forecasts'!N$409+IF(OFFSET(Assumptions!$B$56,0,$C$1)="Yes",Allocation!G$29,0)</f>
        <v>5.4489999999999998</v>
      </c>
      <c r="O268" s="16">
        <f ca="1">N$268+IF(OFFSET(Assumptions!$B$57,0,$C$1)="Yes",Allocation!$B$29*Allocation!$B$16*O$247,IF(OFFSET(Assumptions!$B$58,0,$C$1)="Yes",N$268*(1+SUMPRODUCT(Exogenous!$G$65:$G$73,'Population Treasury'!Z$219:Z$227)+SUMPRODUCT(Exogenous!$H$65:$H$73,'Population Treasury'!Z$264:Z$272))*(1+O$25)*(1+O$29)*(1+OFFSET(Assumptions!$B$61,0,$C$1))/(1+OFFSET(Assumptions!$B$62,0,$C$1))-N$268,0))</f>
        <v>5.4489999999999998</v>
      </c>
      <c r="P268" s="16">
        <f ca="1">O$268+IF(OFFSET(Assumptions!$B$57,0,$C$1)="Yes",Allocation!$B$29*Allocation!$B$16*P$247,IF(OFFSET(Assumptions!$B$58,0,$C$1)="Yes",O$268*(1+SUMPRODUCT(Exogenous!$G$65:$G$73,'Population Treasury'!AA$219:AA$227)+SUMPRODUCT(Exogenous!$H$65:$H$73,'Population Treasury'!AA$264:AA$272))*(1+P$25)*(1+P$29)*(1+OFFSET(Assumptions!$B$61,0,$C$1))/(1+OFFSET(Assumptions!$B$62,0,$C$1))-O$268,0))</f>
        <v>5.4489999999999998</v>
      </c>
      <c r="Q268" s="16">
        <f ca="1">P$268+IF(OFFSET(Assumptions!$B$57,0,$C$1)="Yes",Allocation!$B$29*Allocation!$B$16*Q$247,IF(OFFSET(Assumptions!$B$58,0,$C$1)="Yes",P$268*(1+SUMPRODUCT(Exogenous!$G$65:$G$73,'Population Treasury'!AB$219:AB$227)+SUMPRODUCT(Exogenous!$H$65:$H$73,'Population Treasury'!AB$264:AB$272))*(1+Q$25)*(1+Q$29)*(1+OFFSET(Assumptions!$B$61,0,$C$1))/(1+OFFSET(Assumptions!$B$62,0,$C$1))-P$268,0))</f>
        <v>5.4489999999999998</v>
      </c>
      <c r="R268" s="16">
        <f ca="1">Q$268+IF(OFFSET(Assumptions!$B$57,0,$C$1)="Yes",Allocation!$B$29*Allocation!$B$16*R$247,IF(OFFSET(Assumptions!$B$58,0,$C$1)="Yes",Q$268*(1+SUMPRODUCT(Exogenous!$G$65:$G$73,'Population Treasury'!AC$219:AC$227)+SUMPRODUCT(Exogenous!$H$65:$H$73,'Population Treasury'!AC$264:AC$272))*(1+R$25)*(1+R$29)*(1+OFFSET(Assumptions!$B$61,0,$C$1))/(1+OFFSET(Assumptions!$B$62,0,$C$1))-Q$268,0))</f>
        <v>5.4489999999999998</v>
      </c>
      <c r="S268" s="16">
        <f ca="1">R$268+IF(OFFSET(Assumptions!$B$57,0,$C$1)="Yes",Allocation!$B$29*Allocation!$B$16*S$247,IF(OFFSET(Assumptions!$B$58,0,$C$1)="Yes",R$268*(1+SUMPRODUCT(Exogenous!$G$65:$G$73,'Population Treasury'!AD$219:AD$227)+SUMPRODUCT(Exogenous!$H$65:$H$73,'Population Treasury'!AD$264:AD$272))*(1+S$25)*(1+S$29)*(1+OFFSET(Assumptions!$B$61,0,$C$1))/(1+OFFSET(Assumptions!$B$62,0,$C$1))-R$268,0))</f>
        <v>5.4489999999999998</v>
      </c>
      <c r="T268" s="16">
        <f ca="1">S$268+IF(OFFSET(Assumptions!$B$57,0,$C$1)="Yes",Allocation!$B$29*Allocation!$B$16*T$247,IF(OFFSET(Assumptions!$B$58,0,$C$1)="Yes",S$268*(1+SUMPRODUCT(Exogenous!$G$65:$G$73,'Population Treasury'!AE$219:AE$227)+SUMPRODUCT(Exogenous!$H$65:$H$73,'Population Treasury'!AE$264:AE$272))*(1+T$25)*(1+T$29)*(1+OFFSET(Assumptions!$B$61,0,$C$1))/(1+OFFSET(Assumptions!$B$62,0,$C$1))-S$268,0))</f>
        <v>5.4489999999999998</v>
      </c>
      <c r="U268" s="16">
        <f ca="1">T$268+IF(OFFSET(Assumptions!$B$57,0,$C$1)="Yes",Allocation!$B$29*Allocation!$B$16*U$247,IF(OFFSET(Assumptions!$B$58,0,$C$1)="Yes",T$268*(1+SUMPRODUCT(Exogenous!$G$65:$G$73,'Population Treasury'!AF$219:AF$227)+SUMPRODUCT(Exogenous!$H$65:$H$73,'Population Treasury'!AF$264:AF$272))*(1+U$25)*(1+U$29)*(1+OFFSET(Assumptions!$B$61,0,$C$1))/(1+OFFSET(Assumptions!$B$62,0,$C$1))-T$268,0))</f>
        <v>5.4489999999999998</v>
      </c>
      <c r="V268" s="16">
        <f ca="1">U$268+IF(OFFSET(Assumptions!$B$57,0,$C$1)="Yes",Allocation!$B$29*Allocation!$B$16*V$247,IF(OFFSET(Assumptions!$B$58,0,$C$1)="Yes",U$268*(1+SUMPRODUCT(Exogenous!$G$65:$G$73,'Population Treasury'!AG$219:AG$227)+SUMPRODUCT(Exogenous!$H$65:$H$73,'Population Treasury'!AG$264:AG$272))*(1+V$25)*(1+V$29)*(1+OFFSET(Assumptions!$B$61,0,$C$1))/(1+OFFSET(Assumptions!$B$62,0,$C$1))-U$268,0))</f>
        <v>5.4489999999999998</v>
      </c>
      <c r="W268" s="16">
        <f ca="1">V$268+IF(OFFSET(Assumptions!$B$57,0,$C$1)="Yes",Allocation!$B$29*Allocation!$B$16*W$247,IF(OFFSET(Assumptions!$B$58,0,$C$1)="Yes",V$268*(1+SUMPRODUCT(Exogenous!$G$65:$G$73,'Population Treasury'!AH$219:AH$227)+SUMPRODUCT(Exogenous!$H$65:$H$73,'Population Treasury'!AH$264:AH$272))*(1+W$25)*(1+W$29)*(1+OFFSET(Assumptions!$B$61,0,$C$1))/(1+OFFSET(Assumptions!$B$62,0,$C$1))-V$268,0))</f>
        <v>5.4489999999999998</v>
      </c>
      <c r="X268" s="16">
        <f ca="1">W$268+IF(OFFSET(Assumptions!$B$57,0,$C$1)="Yes",Allocation!$B$29*Allocation!$B$16*X$247,IF(OFFSET(Assumptions!$B$58,0,$C$1)="Yes",W$268*(1+SUMPRODUCT(Exogenous!$G$65:$G$73,'Population Treasury'!AI$219:AI$227)+SUMPRODUCT(Exogenous!$H$65:$H$73,'Population Treasury'!AI$264:AI$272))*(1+X$25)*(1+X$29)*(1+OFFSET(Assumptions!$B$61,0,$C$1))/(1+OFFSET(Assumptions!$B$62,0,$C$1))-W$268,0))</f>
        <v>5.4489999999999998</v>
      </c>
    </row>
    <row r="269" spans="1:24" x14ac:dyDescent="0.25">
      <c r="A269" s="11" t="s">
        <v>1286</v>
      </c>
      <c r="B269" s="10" t="str">
        <f t="shared" si="172"/>
        <v>From Fiscal Forecasts</v>
      </c>
      <c r="D269" s="35">
        <f>'Fiscal Forecasts'!D$410</f>
        <v>2.988</v>
      </c>
      <c r="E269" s="35">
        <f>'Fiscal Forecasts'!E$410</f>
        <v>3.0950000000000002</v>
      </c>
      <c r="F269" s="35">
        <f>'Fiscal Forecasts'!F$410</f>
        <v>3.5830000000000002</v>
      </c>
      <c r="G269" s="35">
        <f>'Fiscal Forecasts'!G$410</f>
        <v>3.7450000000000001</v>
      </c>
      <c r="H269" s="35">
        <f>'Fiscal Forecasts'!H$410</f>
        <v>3.8370000000000002</v>
      </c>
      <c r="I269" s="35">
        <f>'Fiscal Forecasts'!I$410</f>
        <v>4.351</v>
      </c>
      <c r="J269" s="17">
        <f ca="1">'Fiscal Forecasts'!J$410+IF(OFFSET(Assumptions!$B$56,0,$C$1)="Yes",Allocation!C$30,0)</f>
        <v>4.5339999999999998</v>
      </c>
      <c r="K269" s="17">
        <f ca="1">'Fiscal Forecasts'!K$410+IF(OFFSET(Assumptions!$B$56,0,$C$1)="Yes",Allocation!D$30,0)</f>
        <v>4.7430000000000003</v>
      </c>
      <c r="L269" s="17">
        <f ca="1">'Fiscal Forecasts'!L$410+IF(OFFSET(Assumptions!$B$56,0,$C$1)="Yes",Allocation!E$30,0)</f>
        <v>4.7009999999999996</v>
      </c>
      <c r="M269" s="17">
        <f ca="1">'Fiscal Forecasts'!M$410+IF(OFFSET(Assumptions!$B$56,0,$C$1)="Yes",Allocation!F$30,0)</f>
        <v>4.6120000000000001</v>
      </c>
      <c r="N269" s="17">
        <f ca="1">'Fiscal Forecasts'!N$410+IF(OFFSET(Assumptions!$B$56,0,$C$1)="Yes",Allocation!G$30,0)</f>
        <v>4.5830000000000002</v>
      </c>
      <c r="O269" s="16">
        <f ca="1">N$269+IF(OFFSET(Assumptions!$B$57,0,$C$1)="Yes",Allocation!$B$30*Allocation!$B$16*O$247,IF(OFFSET(Assumptions!$B$58,0,$C$1)="Yes",N$269*(1+SUMPRODUCT(Exogenous!$L$65:$L$71,'Population Treasury'!Z$227:Z$233)+SUMPRODUCT(Exogenous!$M$65:$M$71,'Population Treasury'!Z$272:Z$278))*(1+O$25)*(1+O$29)*(1+OFFSET(Assumptions!$B$61,0,$C$1))/(1+OFFSET(Assumptions!$B$62,0,$C$1))-N$269,0))</f>
        <v>4.5830000000000002</v>
      </c>
      <c r="P269" s="16">
        <f ca="1">O$269+IF(OFFSET(Assumptions!$B$57,0,$C$1)="Yes",Allocation!$B$30*Allocation!$B$16*P$247,IF(OFFSET(Assumptions!$B$58,0,$C$1)="Yes",O$269*(1+SUMPRODUCT(Exogenous!$L$65:$L$71,'Population Treasury'!AA$227:AA$233)+SUMPRODUCT(Exogenous!$M$65:$M$71,'Population Treasury'!AA$272:AA$278))*(1+P$25)*(1+P$29)*(1+OFFSET(Assumptions!$B$61,0,$C$1))/(1+OFFSET(Assumptions!$B$62,0,$C$1))-O$269,0))</f>
        <v>4.5830000000000002</v>
      </c>
      <c r="Q269" s="16">
        <f ca="1">P$269+IF(OFFSET(Assumptions!$B$57,0,$C$1)="Yes",Allocation!$B$30*Allocation!$B$16*Q$247,IF(OFFSET(Assumptions!$B$58,0,$C$1)="Yes",P$269*(1+SUMPRODUCT(Exogenous!$L$65:$L$71,'Population Treasury'!AB$227:AB$233)+SUMPRODUCT(Exogenous!$M$65:$M$71,'Population Treasury'!AB$272:AB$278))*(1+Q$25)*(1+Q$29)*(1+OFFSET(Assumptions!$B$61,0,$C$1))/(1+OFFSET(Assumptions!$B$62,0,$C$1))-P$269,0))</f>
        <v>4.5830000000000002</v>
      </c>
      <c r="R269" s="16">
        <f ca="1">Q$269+IF(OFFSET(Assumptions!$B$57,0,$C$1)="Yes",Allocation!$B$30*Allocation!$B$16*R$247,IF(OFFSET(Assumptions!$B$58,0,$C$1)="Yes",Q$269*(1+SUMPRODUCT(Exogenous!$L$65:$L$71,'Population Treasury'!AC$227:AC$233)+SUMPRODUCT(Exogenous!$M$65:$M$71,'Population Treasury'!AC$272:AC$278))*(1+R$25)*(1+R$29)*(1+OFFSET(Assumptions!$B$61,0,$C$1))/(1+OFFSET(Assumptions!$B$62,0,$C$1))-Q$269,0))</f>
        <v>4.5830000000000002</v>
      </c>
      <c r="S269" s="16">
        <f ca="1">R$269+IF(OFFSET(Assumptions!$B$57,0,$C$1)="Yes",Allocation!$B$30*Allocation!$B$16*S$247,IF(OFFSET(Assumptions!$B$58,0,$C$1)="Yes",R$269*(1+SUMPRODUCT(Exogenous!$L$65:$L$71,'Population Treasury'!AD$227:AD$233)+SUMPRODUCT(Exogenous!$M$65:$M$71,'Population Treasury'!AD$272:AD$278))*(1+S$25)*(1+S$29)*(1+OFFSET(Assumptions!$B$61,0,$C$1))/(1+OFFSET(Assumptions!$B$62,0,$C$1))-R$269,0))</f>
        <v>4.5830000000000002</v>
      </c>
      <c r="T269" s="16">
        <f ca="1">S$269+IF(OFFSET(Assumptions!$B$57,0,$C$1)="Yes",Allocation!$B$30*Allocation!$B$16*T$247,IF(OFFSET(Assumptions!$B$58,0,$C$1)="Yes",S$269*(1+SUMPRODUCT(Exogenous!$L$65:$L$71,'Population Treasury'!AE$227:AE$233)+SUMPRODUCT(Exogenous!$M$65:$M$71,'Population Treasury'!AE$272:AE$278))*(1+T$25)*(1+T$29)*(1+OFFSET(Assumptions!$B$61,0,$C$1))/(1+OFFSET(Assumptions!$B$62,0,$C$1))-S$269,0))</f>
        <v>4.5830000000000002</v>
      </c>
      <c r="U269" s="16">
        <f ca="1">T$269+IF(OFFSET(Assumptions!$B$57,0,$C$1)="Yes",Allocation!$B$30*Allocation!$B$16*U$247,IF(OFFSET(Assumptions!$B$58,0,$C$1)="Yes",T$269*(1+SUMPRODUCT(Exogenous!$L$65:$L$71,'Population Treasury'!AF$227:AF$233)+SUMPRODUCT(Exogenous!$M$65:$M$71,'Population Treasury'!AF$272:AF$278))*(1+U$25)*(1+U$29)*(1+OFFSET(Assumptions!$B$61,0,$C$1))/(1+OFFSET(Assumptions!$B$62,0,$C$1))-T$269,0))</f>
        <v>4.5830000000000002</v>
      </c>
      <c r="V269" s="16">
        <f ca="1">U$269+IF(OFFSET(Assumptions!$B$57,0,$C$1)="Yes",Allocation!$B$30*Allocation!$B$16*V$247,IF(OFFSET(Assumptions!$B$58,0,$C$1)="Yes",U$269*(1+SUMPRODUCT(Exogenous!$L$65:$L$71,'Population Treasury'!AG$227:AG$233)+SUMPRODUCT(Exogenous!$M$65:$M$71,'Population Treasury'!AG$272:AG$278))*(1+V$25)*(1+V$29)*(1+OFFSET(Assumptions!$B$61,0,$C$1))/(1+OFFSET(Assumptions!$B$62,0,$C$1))-U$269,0))</f>
        <v>4.5830000000000002</v>
      </c>
      <c r="W269" s="16">
        <f ca="1">V$269+IF(OFFSET(Assumptions!$B$57,0,$C$1)="Yes",Allocation!$B$30*Allocation!$B$16*W$247,IF(OFFSET(Assumptions!$B$58,0,$C$1)="Yes",V$269*(1+SUMPRODUCT(Exogenous!$L$65:$L$71,'Population Treasury'!AH$227:AH$233)+SUMPRODUCT(Exogenous!$M$65:$M$71,'Population Treasury'!AH$272:AH$278))*(1+W$25)*(1+W$29)*(1+OFFSET(Assumptions!$B$61,0,$C$1))/(1+OFFSET(Assumptions!$B$62,0,$C$1))-V$269,0))</f>
        <v>4.5830000000000002</v>
      </c>
      <c r="X269" s="16">
        <f ca="1">W$269+IF(OFFSET(Assumptions!$B$57,0,$C$1)="Yes",Allocation!$B$30*Allocation!$B$16*X$247,IF(OFFSET(Assumptions!$B$58,0,$C$1)="Yes",W$269*(1+SUMPRODUCT(Exogenous!$L$65:$L$71,'Population Treasury'!AI$227:AI$233)+SUMPRODUCT(Exogenous!$M$65:$M$71,'Population Treasury'!AI$272:AI$278))*(1+X$25)*(1+X$29)*(1+OFFSET(Assumptions!$B$61,0,$C$1))/(1+OFFSET(Assumptions!$B$62,0,$C$1))-W$269,0))</f>
        <v>4.5830000000000002</v>
      </c>
    </row>
    <row r="270" spans="1:24" x14ac:dyDescent="0.25">
      <c r="A270" s="11" t="s">
        <v>1288</v>
      </c>
      <c r="B270" s="10" t="str">
        <f t="shared" si="172"/>
        <v>From Fiscal Forecasts</v>
      </c>
      <c r="D270" s="35">
        <f>'Fiscal Forecasts'!D$411</f>
        <v>2.9660000000000002</v>
      </c>
      <c r="E270" s="35">
        <f>'Fiscal Forecasts'!E$411</f>
        <v>4.548</v>
      </c>
      <c r="F270" s="35">
        <f>'Fiscal Forecasts'!F$411</f>
        <v>2.4600000000000004</v>
      </c>
      <c r="G270" s="35">
        <f>'Fiscal Forecasts'!G$411</f>
        <v>3.7590000000000003</v>
      </c>
      <c r="H270" s="35">
        <f>'Fiscal Forecasts'!H$411</f>
        <v>3.5869999999999997</v>
      </c>
      <c r="I270" s="35">
        <f>'Fiscal Forecasts'!I$411</f>
        <v>3.9439999999999995</v>
      </c>
      <c r="J270" s="17">
        <f ca="1">'Fiscal Forecasts'!J$411+IF(OFFSET(Assumptions!$B$56,0,$C$1)="Yes",Allocation!C$31,0)</f>
        <v>3.9629999999999996</v>
      </c>
      <c r="K270" s="17">
        <f ca="1">'Fiscal Forecasts'!K$411+IF(OFFSET(Assumptions!$B$56,0,$C$1)="Yes",Allocation!D$31,0)</f>
        <v>3.8710000000000004</v>
      </c>
      <c r="L270" s="17">
        <f ca="1">'Fiscal Forecasts'!L$411+IF(OFFSET(Assumptions!$B$56,0,$C$1)="Yes",Allocation!E$31,0)</f>
        <v>3.8499999999999996</v>
      </c>
      <c r="M270" s="17">
        <f ca="1">'Fiscal Forecasts'!M$411+IF(OFFSET(Assumptions!$B$56,0,$C$1)="Yes",Allocation!F$31,0)</f>
        <v>3.8680000000000003</v>
      </c>
      <c r="N270" s="17">
        <f ca="1">'Fiscal Forecasts'!N$411+IF(OFFSET(Assumptions!$B$56,0,$C$1)="Yes",Allocation!G$31,0)</f>
        <v>3.9330000000000003</v>
      </c>
      <c r="O270" s="16">
        <f ca="1">N$270+IF(OFFSET(Assumptions!$B$57,0,$C$1)="Yes",Allocation!$B$31*Allocation!$B$16*O$247,IF(OFFSET(Assumptions!$B$58,0,$C$1)="Yes",N$270*(1+Exogenous!$Q$65*'Population Treasury'!Z$231+SUMPRODUCT(Exogenous!$Q$66:$Q$69,'Population Treasury'!Z$234:Z$237)+Exogenous!$R$65*'Population Treasury'!Z$276+SUMPRODUCT(Exogenous!$R$66:$R$69,'Population Treasury'!Z$279:Z$282))*(1+O$25)*(1+O$29)*(1+OFFSET(Assumptions!$B$61,0,$C$1))/(1+OFFSET(Assumptions!$B$62,0,$C$1))-N$270,0))</f>
        <v>3.9330000000000003</v>
      </c>
      <c r="P270" s="16">
        <f ca="1">O$270+IF(OFFSET(Assumptions!$B$57,0,$C$1)="Yes",Allocation!$B$31*Allocation!$B$16*P$247,IF(OFFSET(Assumptions!$B$58,0,$C$1)="Yes",O$270*(1+Exogenous!$Q$65*'Population Treasury'!AA$231+SUMPRODUCT(Exogenous!$Q$66:$Q$69,'Population Treasury'!AA$234:AA$237)+Exogenous!$R$65*'Population Treasury'!AA$276+SUMPRODUCT(Exogenous!$R$66:$R$69,'Population Treasury'!AA$279:AA$282))*(1+P$25)*(1+P$29)*(1+OFFSET(Assumptions!$B$61,0,$C$1))/(1+OFFSET(Assumptions!$B$62,0,$C$1))-O$270,0))</f>
        <v>3.9330000000000003</v>
      </c>
      <c r="Q270" s="16">
        <f ca="1">P$270+IF(OFFSET(Assumptions!$B$57,0,$C$1)="Yes",Allocation!$B$31*Allocation!$B$16*Q$247,IF(OFFSET(Assumptions!$B$58,0,$C$1)="Yes",P$270*(1+Exogenous!$Q$65*'Population Treasury'!AB$231+SUMPRODUCT(Exogenous!$Q$66:$Q$69,'Population Treasury'!AB$234:AB$237)+Exogenous!$R$65*'Population Treasury'!AB$276+SUMPRODUCT(Exogenous!$R$66:$R$69,'Population Treasury'!AB$279:AB$282))*(1+Q$25)*(1+Q$29)*(1+OFFSET(Assumptions!$B$61,0,$C$1))/(1+OFFSET(Assumptions!$B$62,0,$C$1))-P$270,0))</f>
        <v>3.9330000000000003</v>
      </c>
      <c r="R270" s="16">
        <f ca="1">Q$270+IF(OFFSET(Assumptions!$B$57,0,$C$1)="Yes",Allocation!$B$31*Allocation!$B$16*R$247,IF(OFFSET(Assumptions!$B$58,0,$C$1)="Yes",Q$270*(1+Exogenous!$Q$65*'Population Treasury'!AC$231+SUMPRODUCT(Exogenous!$Q$66:$Q$69,'Population Treasury'!AC$234:AC$237)+Exogenous!$R$65*'Population Treasury'!AC$276+SUMPRODUCT(Exogenous!$R$66:$R$69,'Population Treasury'!AC$279:AC$282))*(1+R$25)*(1+R$29)*(1+OFFSET(Assumptions!$B$61,0,$C$1))/(1+OFFSET(Assumptions!$B$62,0,$C$1))-Q$270,0))</f>
        <v>3.9330000000000003</v>
      </c>
      <c r="S270" s="16">
        <f ca="1">R$270+IF(OFFSET(Assumptions!$B$57,0,$C$1)="Yes",Allocation!$B$31*Allocation!$B$16*S$247,IF(OFFSET(Assumptions!$B$58,0,$C$1)="Yes",R$270*(1+Exogenous!$Q$65*'Population Treasury'!AD$231+SUMPRODUCT(Exogenous!$Q$66:$Q$69,'Population Treasury'!AD$234:AD$237)+Exogenous!$R$65*'Population Treasury'!AD$276+SUMPRODUCT(Exogenous!$R$66:$R$69,'Population Treasury'!AD$279:AD$282))*(1+S$25)*(1+S$29)*(1+OFFSET(Assumptions!$B$61,0,$C$1))/(1+OFFSET(Assumptions!$B$62,0,$C$1))-R$270,0))</f>
        <v>3.9330000000000003</v>
      </c>
      <c r="T270" s="16">
        <f ca="1">S$270+IF(OFFSET(Assumptions!$B$57,0,$C$1)="Yes",Allocation!$B$31*Allocation!$B$16*T$247,IF(OFFSET(Assumptions!$B$58,0,$C$1)="Yes",S$270*(1+Exogenous!$Q$65*'Population Treasury'!AE$231+SUMPRODUCT(Exogenous!$Q$66:$Q$69,'Population Treasury'!AE$234:AE$237)+Exogenous!$R$65*'Population Treasury'!AE$276+SUMPRODUCT(Exogenous!$R$66:$R$69,'Population Treasury'!AE$279:AE$282))*(1+T$25)*(1+T$29)*(1+OFFSET(Assumptions!$B$61,0,$C$1))/(1+OFFSET(Assumptions!$B$62,0,$C$1))-S$270,0))</f>
        <v>3.9330000000000003</v>
      </c>
      <c r="U270" s="16">
        <f ca="1">T$270+IF(OFFSET(Assumptions!$B$57,0,$C$1)="Yes",Allocation!$B$31*Allocation!$B$16*U$247,IF(OFFSET(Assumptions!$B$58,0,$C$1)="Yes",T$270*(1+Exogenous!$Q$65*'Population Treasury'!AF$231+SUMPRODUCT(Exogenous!$Q$66:$Q$69,'Population Treasury'!AF$234:AF$237)+Exogenous!$R$65*'Population Treasury'!AF$276+SUMPRODUCT(Exogenous!$R$66:$R$69,'Population Treasury'!AF$279:AF$282))*(1+U$25)*(1+U$29)*(1+OFFSET(Assumptions!$B$61,0,$C$1))/(1+OFFSET(Assumptions!$B$62,0,$C$1))-T$270,0))</f>
        <v>3.9330000000000003</v>
      </c>
      <c r="V270" s="16">
        <f ca="1">U$270+IF(OFFSET(Assumptions!$B$57,0,$C$1)="Yes",Allocation!$B$31*Allocation!$B$16*V$247,IF(OFFSET(Assumptions!$B$58,0,$C$1)="Yes",U$270*(1+Exogenous!$Q$65*'Population Treasury'!AG$231+SUMPRODUCT(Exogenous!$Q$66:$Q$69,'Population Treasury'!AG$234:AG$237)+Exogenous!$R$65*'Population Treasury'!AG$276+SUMPRODUCT(Exogenous!$R$66:$R$69,'Population Treasury'!AG$279:AG$282))*(1+V$25)*(1+V$29)*(1+OFFSET(Assumptions!$B$61,0,$C$1))/(1+OFFSET(Assumptions!$B$62,0,$C$1))-U$270,0))</f>
        <v>3.9330000000000003</v>
      </c>
      <c r="W270" s="16">
        <f ca="1">V$270+IF(OFFSET(Assumptions!$B$57,0,$C$1)="Yes",Allocation!$B$31*Allocation!$B$16*W$247,IF(OFFSET(Assumptions!$B$58,0,$C$1)="Yes",V$270*(1+Exogenous!$Q$65*'Population Treasury'!AH$231+SUMPRODUCT(Exogenous!$Q$66:$Q$69,'Population Treasury'!AH$234:AH$237)+Exogenous!$R$65*'Population Treasury'!AH$276+SUMPRODUCT(Exogenous!$R$66:$R$69,'Population Treasury'!AH$279:AH$282))*(1+W$25)*(1+W$29)*(1+OFFSET(Assumptions!$B$61,0,$C$1))/(1+OFFSET(Assumptions!$B$62,0,$C$1))-V$270,0))</f>
        <v>3.9330000000000003</v>
      </c>
      <c r="X270" s="16">
        <f ca="1">W$270+IF(OFFSET(Assumptions!$B$57,0,$C$1)="Yes",Allocation!$B$31*Allocation!$B$16*X$247,IF(OFFSET(Assumptions!$B$58,0,$C$1)="Yes",W$270*(1+Exogenous!$Q$65*'Population Treasury'!AI$231+SUMPRODUCT(Exogenous!$Q$66:$Q$69,'Population Treasury'!AI$234:AI$237)+Exogenous!$R$65*'Population Treasury'!AI$276+SUMPRODUCT(Exogenous!$R$66:$R$69,'Population Treasury'!AI$279:AI$282))*(1+X$25)*(1+X$29)*(1+OFFSET(Assumptions!$B$61,0,$C$1))/(1+OFFSET(Assumptions!$B$62,0,$C$1))-W$270,0))</f>
        <v>3.9330000000000003</v>
      </c>
    </row>
    <row r="271" spans="1:24" x14ac:dyDescent="0.25">
      <c r="A271" s="11" t="s">
        <v>721</v>
      </c>
      <c r="D271" s="35">
        <f>D$190</f>
        <v>0.58299999999999996</v>
      </c>
      <c r="E271" s="35">
        <f t="shared" ref="E271:X271" si="173">E$190</f>
        <v>0.56699999999999995</v>
      </c>
      <c r="F271" s="35">
        <f t="shared" si="173"/>
        <v>0.59</v>
      </c>
      <c r="G271" s="35">
        <f t="shared" si="173"/>
        <v>0.55600000000000005</v>
      </c>
      <c r="H271" s="35">
        <f t="shared" si="173"/>
        <v>0.52500000000000002</v>
      </c>
      <c r="I271" s="35">
        <f t="shared" si="173"/>
        <v>0.52600000000000002</v>
      </c>
      <c r="J271" s="17">
        <f t="shared" si="173"/>
        <v>0.57799999999999996</v>
      </c>
      <c r="K271" s="17">
        <f t="shared" si="173"/>
        <v>0.63500000000000001</v>
      </c>
      <c r="L271" s="17">
        <f t="shared" si="173"/>
        <v>0.64</v>
      </c>
      <c r="M271" s="17">
        <f t="shared" si="173"/>
        <v>0.63700000000000001</v>
      </c>
      <c r="N271" s="17">
        <f t="shared" si="173"/>
        <v>0.628</v>
      </c>
      <c r="O271" s="16">
        <f t="shared" ca="1" si="173"/>
        <v>0.64562485974176986</v>
      </c>
      <c r="P271" s="16">
        <f t="shared" ca="1" si="173"/>
        <v>0.66194568964686296</v>
      </c>
      <c r="Q271" s="16">
        <f t="shared" ca="1" si="173"/>
        <v>0.67712377808722313</v>
      </c>
      <c r="R271" s="16">
        <f t="shared" ca="1" si="173"/>
        <v>0.69245219913184963</v>
      </c>
      <c r="S271" s="16">
        <f t="shared" ca="1" si="173"/>
        <v>0.70825442012990725</v>
      </c>
      <c r="T271" s="16">
        <f t="shared" ca="1" si="173"/>
        <v>0.72507180469317367</v>
      </c>
      <c r="U271" s="16">
        <f t="shared" ca="1" si="173"/>
        <v>0.74154264390725988</v>
      </c>
      <c r="V271" s="16">
        <f t="shared" ca="1" si="173"/>
        <v>0.75822655773090308</v>
      </c>
      <c r="W271" s="16">
        <f t="shared" ca="1" si="173"/>
        <v>0.77527296537521928</v>
      </c>
      <c r="X271" s="16">
        <f t="shared" ca="1" si="173"/>
        <v>0.79306000206523053</v>
      </c>
    </row>
    <row r="272" spans="1:24" x14ac:dyDescent="0.25">
      <c r="A272" s="11" t="s">
        <v>980</v>
      </c>
      <c r="D272" s="35">
        <f>D$411</f>
        <v>0.56299999999999994</v>
      </c>
      <c r="E272" s="35">
        <f t="shared" ref="E272:X272" si="174">E$411</f>
        <v>0.50600000000000001</v>
      </c>
      <c r="F272" s="35">
        <f t="shared" si="174"/>
        <v>0.46899999999999997</v>
      </c>
      <c r="G272" s="35">
        <f t="shared" si="174"/>
        <v>0.48899999999999999</v>
      </c>
      <c r="H272" s="35">
        <f t="shared" si="174"/>
        <v>0.55100000000000005</v>
      </c>
      <c r="I272" s="35">
        <f t="shared" si="174"/>
        <v>0.54400000000000004</v>
      </c>
      <c r="J272" s="17">
        <f t="shared" si="174"/>
        <v>0.56000000000000005</v>
      </c>
      <c r="K272" s="17">
        <f t="shared" si="174"/>
        <v>0.63600000000000001</v>
      </c>
      <c r="L272" s="17">
        <f t="shared" si="174"/>
        <v>0.628</v>
      </c>
      <c r="M272" s="17">
        <f t="shared" si="174"/>
        <v>0.627</v>
      </c>
      <c r="N272" s="17">
        <f t="shared" si="174"/>
        <v>0.65300000000000002</v>
      </c>
      <c r="O272" s="16">
        <f t="shared" si="174"/>
        <v>0.65600000000000003</v>
      </c>
      <c r="P272" s="16">
        <f t="shared" si="174"/>
        <v>0.67400000000000004</v>
      </c>
      <c r="Q272" s="16">
        <f t="shared" si="174"/>
        <v>0.69299999999999995</v>
      </c>
      <c r="R272" s="16">
        <f t="shared" si="174"/>
        <v>0.71099999999999997</v>
      </c>
      <c r="S272" s="16">
        <f t="shared" si="174"/>
        <v>0.72699999999999998</v>
      </c>
      <c r="T272" s="16">
        <f t="shared" si="174"/>
        <v>0.74199999999999999</v>
      </c>
      <c r="U272" s="16">
        <f t="shared" si="174"/>
        <v>0.75600000000000001</v>
      </c>
      <c r="V272" s="16">
        <f t="shared" si="174"/>
        <v>0.76900000000000002</v>
      </c>
      <c r="W272" s="16">
        <f t="shared" si="174"/>
        <v>0.78300000000000003</v>
      </c>
      <c r="X272" s="16">
        <f t="shared" si="174"/>
        <v>0.79700000000000004</v>
      </c>
    </row>
    <row r="273" spans="1:24" x14ac:dyDescent="0.25">
      <c r="A273" s="11" t="s">
        <v>1287</v>
      </c>
      <c r="B273" s="10" t="str">
        <f>$B$38</f>
        <v>From Fiscal Forecasts</v>
      </c>
      <c r="C273" s="64" cm="1">
        <f t="array" aca="1" ref="C273" ca="1">SUMPRODUCT(OFFSET($N$273,0,0,1,-OFFSET(Assumptions!$B$59,0,$C$1))/OFFSET($N$13,0,0,1,-OFFSET(Assumptions!$B$59,0,$C$1)))/OFFSET(Assumptions!$B$59,0,$C$1)</f>
        <v>6.0716132552386228E-3</v>
      </c>
      <c r="D273" s="35">
        <f>'Fiscal Forecasts'!D$414</f>
        <v>1.462</v>
      </c>
      <c r="E273" s="35">
        <f>'Fiscal Forecasts'!E$414</f>
        <v>1.5860000000000001</v>
      </c>
      <c r="F273" s="35">
        <f>'Fiscal Forecasts'!F$414</f>
        <v>2.1579999999999999</v>
      </c>
      <c r="G273" s="35">
        <f>'Fiscal Forecasts'!G$414</f>
        <v>2.4940000000000002</v>
      </c>
      <c r="H273" s="35">
        <f>'Fiscal Forecasts'!H$414</f>
        <v>2.7690000000000001</v>
      </c>
      <c r="I273" s="35">
        <f>'Fiscal Forecasts'!I$414</f>
        <v>2.758</v>
      </c>
      <c r="J273" s="17">
        <f ca="1">'Fiscal Forecasts'!J$414+IF(OFFSET(Assumptions!$B$56,0,$C$1)="Yes",Allocation!C$32,0)</f>
        <v>2.7749999999999999</v>
      </c>
      <c r="K273" s="17">
        <f ca="1">'Fiscal Forecasts'!K$414+IF(OFFSET(Assumptions!$B$56,0,$C$1)="Yes",Allocation!D$32,0)</f>
        <v>2.79</v>
      </c>
      <c r="L273" s="17">
        <f ca="1">'Fiscal Forecasts'!L$414+IF(OFFSET(Assumptions!$B$56,0,$C$1)="Yes",Allocation!E$32,0)</f>
        <v>2.806</v>
      </c>
      <c r="M273" s="17">
        <f ca="1">'Fiscal Forecasts'!M$414+IF(OFFSET(Assumptions!$B$56,0,$C$1)="Yes",Allocation!F$32,0)</f>
        <v>2.7679999999999998</v>
      </c>
      <c r="N273" s="17">
        <f ca="1">'Fiscal Forecasts'!N$414+IF(OFFSET(Assumptions!$B$56,0,$C$1)="Yes",Allocation!G$32,0)</f>
        <v>2.7659999999999996</v>
      </c>
      <c r="O273" s="16">
        <f ca="1">N$273+IF(OFFSET(Assumptions!$B$57,0,$C$1)="Yes",Allocation!$B$32*Allocation!$B$16*O$247,IF(OFFSET(Assumptions!$B$58,0,$C$1)="Yes",(N$273/N$13+MIN(ABS($C$273-N$273/N$13),OFFSET(Assumptions!$B$60,0,$C$1))*SIGN($C$273-N$273/N$13))*O$13-N$273,0))</f>
        <v>2.7659999999999996</v>
      </c>
      <c r="P273" s="16">
        <f ca="1">O$273+IF(OFFSET(Assumptions!$B$57,0,$C$1)="Yes",Allocation!$B$32*Allocation!$B$16*P$247,IF(OFFSET(Assumptions!$B$58,0,$C$1)="Yes",(O$273/O$13+MIN(ABS($C$273-O$273/O$13),OFFSET(Assumptions!$B$60,0,$C$1))*SIGN($C$273-O$273/O$13))*P$13-O$273,0))</f>
        <v>2.7659999999999996</v>
      </c>
      <c r="Q273" s="16">
        <f ca="1">P$273+IF(OFFSET(Assumptions!$B$57,0,$C$1)="Yes",Allocation!$B$32*Allocation!$B$16*Q$247,IF(OFFSET(Assumptions!$B$58,0,$C$1)="Yes",(P$273/P$13+MIN(ABS($C$273-P$273/P$13),OFFSET(Assumptions!$B$60,0,$C$1))*SIGN($C$273-P$273/P$13))*Q$13-P$273,0))</f>
        <v>2.7659999999999996</v>
      </c>
      <c r="R273" s="16">
        <f ca="1">Q$273+IF(OFFSET(Assumptions!$B$57,0,$C$1)="Yes",Allocation!$B$32*Allocation!$B$16*R$247,IF(OFFSET(Assumptions!$B$58,0,$C$1)="Yes",(Q$273/Q$13+MIN(ABS($C$273-Q$273/Q$13),OFFSET(Assumptions!$B$60,0,$C$1))*SIGN($C$273-Q$273/Q$13))*R$13-Q$273,0))</f>
        <v>2.7659999999999996</v>
      </c>
      <c r="S273" s="16">
        <f ca="1">R$273+IF(OFFSET(Assumptions!$B$57,0,$C$1)="Yes",Allocation!$B$32*Allocation!$B$16*S$247,IF(OFFSET(Assumptions!$B$58,0,$C$1)="Yes",(R$273/R$13+MIN(ABS($C$273-R$273/R$13),OFFSET(Assumptions!$B$60,0,$C$1))*SIGN($C$273-R$273/R$13))*S$13-R$273,0))</f>
        <v>2.7659999999999996</v>
      </c>
      <c r="T273" s="16">
        <f ca="1">S$273+IF(OFFSET(Assumptions!$B$57,0,$C$1)="Yes",Allocation!$B$32*Allocation!$B$16*T$247,IF(OFFSET(Assumptions!$B$58,0,$C$1)="Yes",(S$273/S$13+MIN(ABS($C$273-S$273/S$13),OFFSET(Assumptions!$B$60,0,$C$1))*SIGN($C$273-S$273/S$13))*T$13-S$273,0))</f>
        <v>2.7659999999999996</v>
      </c>
      <c r="U273" s="16">
        <f ca="1">T$273+IF(OFFSET(Assumptions!$B$57,0,$C$1)="Yes",Allocation!$B$32*Allocation!$B$16*U$247,IF(OFFSET(Assumptions!$B$58,0,$C$1)="Yes",(T$273/T$13+MIN(ABS($C$273-T$273/T$13),OFFSET(Assumptions!$B$60,0,$C$1))*SIGN($C$273-T$273/T$13))*U$13-T$273,0))</f>
        <v>2.7659999999999996</v>
      </c>
      <c r="V273" s="16">
        <f ca="1">U$273+IF(OFFSET(Assumptions!$B$57,0,$C$1)="Yes",Allocation!$B$32*Allocation!$B$16*V$247,IF(OFFSET(Assumptions!$B$58,0,$C$1)="Yes",(U$273/U$13+MIN(ABS($C$273-U$273/U$13),OFFSET(Assumptions!$B$60,0,$C$1))*SIGN($C$273-U$273/U$13))*V$13-U$273,0))</f>
        <v>2.7659999999999996</v>
      </c>
      <c r="W273" s="16">
        <f ca="1">V$273+IF(OFFSET(Assumptions!$B$57,0,$C$1)="Yes",Allocation!$B$32*Allocation!$B$16*W$247,IF(OFFSET(Assumptions!$B$58,0,$C$1)="Yes",(V$273/V$13+MIN(ABS($C$273-V$273/V$13),OFFSET(Assumptions!$B$60,0,$C$1))*SIGN($C$273-V$273/V$13))*W$13-V$273,0))</f>
        <v>2.7659999999999996</v>
      </c>
      <c r="X273" s="16">
        <f ca="1">W$273+IF(OFFSET(Assumptions!$B$57,0,$C$1)="Yes",Allocation!$B$32*Allocation!$B$16*X$247,IF(OFFSET(Assumptions!$B$58,0,$C$1)="Yes",(W$273/W$13+MIN(ABS($C$273-W$273/W$13),OFFSET(Assumptions!$B$60,0,$C$1))*SIGN($C$273-W$273/W$13))*X$13-W$273,0))</f>
        <v>2.7659999999999996</v>
      </c>
    </row>
    <row r="274" spans="1:24" x14ac:dyDescent="0.25">
      <c r="A274" s="9" t="s">
        <v>981</v>
      </c>
      <c r="D274" s="65">
        <f>SUM(D$267:D$273)</f>
        <v>14.292999999999999</v>
      </c>
      <c r="E274" s="65">
        <f t="shared" ref="E274:X274" si="175">SUM(E$267:E$273)</f>
        <v>16.321999999999999</v>
      </c>
      <c r="F274" s="65">
        <f t="shared" si="175"/>
        <v>16.039000000000001</v>
      </c>
      <c r="G274" s="65">
        <f t="shared" si="175"/>
        <v>18.023</v>
      </c>
      <c r="H274" s="65">
        <f t="shared" si="175"/>
        <v>18.402999999999999</v>
      </c>
      <c r="I274" s="65">
        <f t="shared" si="175"/>
        <v>20.222999999999999</v>
      </c>
      <c r="J274" s="66">
        <f t="shared" ca="1" si="175"/>
        <v>20.921999999999997</v>
      </c>
      <c r="K274" s="66">
        <f t="shared" ca="1" si="175"/>
        <v>21.454000000000001</v>
      </c>
      <c r="L274" s="66">
        <f t="shared" ca="1" si="175"/>
        <v>21.38</v>
      </c>
      <c r="M274" s="66">
        <f t="shared" ca="1" si="175"/>
        <v>21.178999999999998</v>
      </c>
      <c r="N274" s="66">
        <f t="shared" ca="1" si="175"/>
        <v>21.196999999999999</v>
      </c>
      <c r="O274" s="67">
        <f t="shared" ca="1" si="175"/>
        <v>21.217624859741768</v>
      </c>
      <c r="P274" s="67">
        <f t="shared" ca="1" si="175"/>
        <v>21.251945689646863</v>
      </c>
      <c r="Q274" s="67">
        <f t="shared" ca="1" si="175"/>
        <v>21.286123778087227</v>
      </c>
      <c r="R274" s="67">
        <f t="shared" ca="1" si="175"/>
        <v>21.319452199131849</v>
      </c>
      <c r="S274" s="67">
        <f t="shared" ca="1" si="175"/>
        <v>21.351254420129909</v>
      </c>
      <c r="T274" s="67">
        <f t="shared" ca="1" si="175"/>
        <v>21.383071804693174</v>
      </c>
      <c r="U274" s="67">
        <f t="shared" ca="1" si="175"/>
        <v>21.41354264390726</v>
      </c>
      <c r="V274" s="67">
        <f t="shared" ca="1" si="175"/>
        <v>21.443226557730902</v>
      </c>
      <c r="W274" s="67">
        <f t="shared" ca="1" si="175"/>
        <v>21.474272965375221</v>
      </c>
      <c r="X274" s="67">
        <f t="shared" ca="1" si="175"/>
        <v>21.506060002065233</v>
      </c>
    </row>
    <row r="275" spans="1:24" x14ac:dyDescent="0.25">
      <c r="A275" s="11" t="s">
        <v>707</v>
      </c>
      <c r="B275" s="10" t="str">
        <f>$B$38</f>
        <v>From Fiscal Forecasts</v>
      </c>
      <c r="D275" s="35">
        <f>'Fiscal Forecasts'!D$208</f>
        <v>11.428000000000001</v>
      </c>
      <c r="E275" s="35">
        <f>'Fiscal Forecasts'!E$208</f>
        <v>13.705</v>
      </c>
      <c r="F275" s="35">
        <f>'Fiscal Forecasts'!F$208</f>
        <v>12.840999999999999</v>
      </c>
      <c r="G275" s="35">
        <f>'Fiscal Forecasts'!G$208</f>
        <v>13.805</v>
      </c>
      <c r="H275" s="35">
        <f>'Fiscal Forecasts'!H$208</f>
        <v>14.166</v>
      </c>
      <c r="I275" s="35">
        <f>'Fiscal Forecasts'!I$208</f>
        <v>15.346</v>
      </c>
      <c r="J275" s="17">
        <f>'Fiscal Forecasts'!J$208</f>
        <v>16.146999999999998</v>
      </c>
      <c r="K275" s="17">
        <f>'Fiscal Forecasts'!K$208</f>
        <v>16.46</v>
      </c>
      <c r="L275" s="17">
        <f>'Fiscal Forecasts'!L$208</f>
        <v>16.408999999999999</v>
      </c>
      <c r="M275" s="17">
        <f>'Fiscal Forecasts'!M$208</f>
        <v>16.244</v>
      </c>
      <c r="N275" s="17">
        <f>'Fiscal Forecasts'!N$208</f>
        <v>16.202999999999999</v>
      </c>
      <c r="O275" s="16">
        <f ca="1">N$275+SUM(O$267:O$270,O$273)-SUM(N$267:N$270,N$273)</f>
        <v>16.202999999999999</v>
      </c>
      <c r="P275" s="16">
        <f t="shared" ref="P275:X275" ca="1" si="176">O$275+SUM(P$267:P$270,P$273)-SUM(O$267:O$270,O$273)</f>
        <v>16.202999999999999</v>
      </c>
      <c r="Q275" s="16">
        <f t="shared" ca="1" si="176"/>
        <v>16.202999999999999</v>
      </c>
      <c r="R275" s="16">
        <f t="shared" ca="1" si="176"/>
        <v>16.202999999999999</v>
      </c>
      <c r="S275" s="16">
        <f t="shared" ca="1" si="176"/>
        <v>16.202999999999999</v>
      </c>
      <c r="T275" s="16">
        <f t="shared" ca="1" si="176"/>
        <v>16.202999999999999</v>
      </c>
      <c r="U275" s="16">
        <f t="shared" ca="1" si="176"/>
        <v>16.202999999999999</v>
      </c>
      <c r="V275" s="16">
        <f t="shared" ca="1" si="176"/>
        <v>16.202999999999999</v>
      </c>
      <c r="W275" s="16">
        <f t="shared" ca="1" si="176"/>
        <v>16.202999999999999</v>
      </c>
      <c r="X275" s="16">
        <f t="shared" ca="1" si="176"/>
        <v>16.202999999999999</v>
      </c>
    </row>
    <row r="276" spans="1:24" x14ac:dyDescent="0.25">
      <c r="A276" s="11" t="s">
        <v>866</v>
      </c>
      <c r="B276" s="10" t="str">
        <f>$B$38</f>
        <v>From Fiscal Forecasts</v>
      </c>
      <c r="D276" s="35">
        <f>'Fiscal Forecasts'!D$42-SUM(D$274:D$275)</f>
        <v>-10.441000000000001</v>
      </c>
      <c r="E276" s="35">
        <f>'Fiscal Forecasts'!E$42-SUM(E$274:E$275)</f>
        <v>-12.446000000000002</v>
      </c>
      <c r="F276" s="35">
        <f>'Fiscal Forecasts'!F$42-SUM(F$274:F$275)</f>
        <v>-11.496000000000002</v>
      </c>
      <c r="G276" s="35">
        <f>'Fiscal Forecasts'!G$42-SUM(G$274:G$275)</f>
        <v>-12.916999999999998</v>
      </c>
      <c r="H276" s="35">
        <f>'Fiscal Forecasts'!H$42-SUM(H$274:H$275)</f>
        <v>-12.96</v>
      </c>
      <c r="I276" s="35">
        <f>'Fiscal Forecasts'!I$42-SUM(I$274:I$275)</f>
        <v>-14.383000000000003</v>
      </c>
      <c r="J276" s="17">
        <f ca="1">'Fiscal Forecasts'!J$42-SUM(J$274:J$275)+IF(OFFSET(Assumptions!$B$56,0,$C$1)="Yes",Allocation!C$16,0)+IF($C$2="Yes",'Fiscal Forecast Adjuster'!C$23/1000,0)</f>
        <v>-14.744999999999994</v>
      </c>
      <c r="K276" s="17">
        <f ca="1">'Fiscal Forecasts'!K$42-SUM(K$274:K$275)+IF(OFFSET(Assumptions!$B$56,0,$C$1)="Yes",Allocation!D$16,0)+IF($C$2="Yes",'Fiscal Forecast Adjuster'!D$23/1000,0)</f>
        <v>-14.965</v>
      </c>
      <c r="L276" s="17">
        <f ca="1">'Fiscal Forecasts'!L$42-SUM(L$274:L$275)+IF(OFFSET(Assumptions!$B$56,0,$C$1)="Yes",Allocation!E$16,0)+IF($C$2="Yes",'Fiscal Forecast Adjuster'!E$23/1000,0)</f>
        <v>-14.853000000000002</v>
      </c>
      <c r="M276" s="17">
        <f ca="1">'Fiscal Forecasts'!M$42-SUM(M$274:M$275)+IF(OFFSET(Assumptions!$B$56,0,$C$1)="Yes",Allocation!F$16,0)+IF($C$2="Yes",'Fiscal Forecast Adjuster'!F$23/1000,0)</f>
        <v>-14.612000000000002</v>
      </c>
      <c r="N276" s="17">
        <f ca="1">'Fiscal Forecasts'!N$42-SUM(N$274:N$275)+IF(OFFSET(Assumptions!$B$56,0,$C$1)="Yes",Allocation!G$16,0)+IF($C$2="Yes",'Fiscal Forecast Adjuster'!G$23/1000,0)</f>
        <v>-14.517999999999997</v>
      </c>
      <c r="O276" s="16">
        <f ca="1">N$276-(SUM(O$267:O$270,O$273)-SUM(N$267:N$270,N$273))</f>
        <v>-14.517999999999997</v>
      </c>
      <c r="P276" s="16">
        <f t="shared" ref="P276:X276" ca="1" si="177">O$276-(SUM(P$267:P$270,P$273)-SUM(O$267:O$270,O$273))</f>
        <v>-14.517999999999997</v>
      </c>
      <c r="Q276" s="16">
        <f t="shared" ca="1" si="177"/>
        <v>-14.517999999999997</v>
      </c>
      <c r="R276" s="16">
        <f t="shared" ca="1" si="177"/>
        <v>-14.517999999999997</v>
      </c>
      <c r="S276" s="16">
        <f t="shared" ca="1" si="177"/>
        <v>-14.517999999999997</v>
      </c>
      <c r="T276" s="16">
        <f t="shared" ca="1" si="177"/>
        <v>-14.517999999999997</v>
      </c>
      <c r="U276" s="16">
        <f t="shared" ca="1" si="177"/>
        <v>-14.517999999999997</v>
      </c>
      <c r="V276" s="16">
        <f t="shared" ca="1" si="177"/>
        <v>-14.517999999999997</v>
      </c>
      <c r="W276" s="16">
        <f t="shared" ca="1" si="177"/>
        <v>-14.517999999999997</v>
      </c>
      <c r="X276" s="16">
        <f t="shared" ca="1" si="177"/>
        <v>-14.517999999999997</v>
      </c>
    </row>
    <row r="277" spans="1:24" x14ac:dyDescent="0.25">
      <c r="A277" s="9" t="s">
        <v>982</v>
      </c>
      <c r="D277" s="65">
        <f t="shared" ref="D277:I277" si="178">SUM(D$274:D$276)</f>
        <v>15.28</v>
      </c>
      <c r="E277" s="65">
        <f t="shared" si="178"/>
        <v>17.581</v>
      </c>
      <c r="F277" s="65">
        <f t="shared" si="178"/>
        <v>17.384</v>
      </c>
      <c r="G277" s="65">
        <f t="shared" si="178"/>
        <v>18.911000000000001</v>
      </c>
      <c r="H277" s="65">
        <f t="shared" si="178"/>
        <v>19.609000000000002</v>
      </c>
      <c r="I277" s="65">
        <f t="shared" si="178"/>
        <v>21.186</v>
      </c>
      <c r="J277" s="66">
        <f t="shared" ref="J277:X277" ca="1" si="179">SUM(J$274:J$276)</f>
        <v>22.324000000000002</v>
      </c>
      <c r="K277" s="66">
        <f t="shared" ca="1" si="179"/>
        <v>22.949000000000002</v>
      </c>
      <c r="L277" s="66">
        <f t="shared" ca="1" si="179"/>
        <v>22.936</v>
      </c>
      <c r="M277" s="66">
        <f t="shared" ca="1" si="179"/>
        <v>22.811</v>
      </c>
      <c r="N277" s="66">
        <f t="shared" ca="1" si="179"/>
        <v>22.882000000000001</v>
      </c>
      <c r="O277" s="67">
        <f t="shared" ca="1" si="179"/>
        <v>22.902624859741767</v>
      </c>
      <c r="P277" s="67">
        <f t="shared" ca="1" si="179"/>
        <v>22.936945689646866</v>
      </c>
      <c r="Q277" s="67">
        <f t="shared" ca="1" si="179"/>
        <v>22.971123778087229</v>
      </c>
      <c r="R277" s="67">
        <f t="shared" ca="1" si="179"/>
        <v>23.004452199131851</v>
      </c>
      <c r="S277" s="67">
        <f t="shared" ca="1" si="179"/>
        <v>23.036254420129911</v>
      </c>
      <c r="T277" s="67">
        <f t="shared" ca="1" si="179"/>
        <v>23.068071804693179</v>
      </c>
      <c r="U277" s="67">
        <f t="shared" ca="1" si="179"/>
        <v>23.098542643907262</v>
      </c>
      <c r="V277" s="67">
        <f t="shared" ca="1" si="179"/>
        <v>23.128226557730901</v>
      </c>
      <c r="W277" s="67">
        <f t="shared" ca="1" si="179"/>
        <v>23.159272965375227</v>
      </c>
      <c r="X277" s="67">
        <f t="shared" ca="1" si="179"/>
        <v>23.191060002065232</v>
      </c>
    </row>
    <row r="279" spans="1:24" x14ac:dyDescent="0.25">
      <c r="A279" s="9" t="s">
        <v>983</v>
      </c>
    </row>
    <row r="280" spans="1:24" x14ac:dyDescent="0.25">
      <c r="A280" s="11" t="s">
        <v>984</v>
      </c>
      <c r="D280" s="35">
        <f t="shared" ref="D280:X280" si="180">D$386</f>
        <v>0.13</v>
      </c>
      <c r="E280" s="35">
        <f t="shared" si="180"/>
        <v>0.15</v>
      </c>
      <c r="F280" s="35">
        <f t="shared" si="180"/>
        <v>0.125</v>
      </c>
      <c r="G280" s="35">
        <f t="shared" si="180"/>
        <v>-0.51700000000000002</v>
      </c>
      <c r="H280" s="35">
        <f t="shared" si="180"/>
        <v>1.054</v>
      </c>
      <c r="I280" s="35">
        <f t="shared" si="180"/>
        <v>0.189</v>
      </c>
      <c r="J280" s="17">
        <f t="shared" si="180"/>
        <v>0.253</v>
      </c>
      <c r="K280" s="17">
        <f t="shared" si="180"/>
        <v>0.314</v>
      </c>
      <c r="L280" s="17">
        <f t="shared" si="180"/>
        <v>0.33600000000000002</v>
      </c>
      <c r="M280" s="17">
        <f t="shared" si="180"/>
        <v>0.36</v>
      </c>
      <c r="N280" s="17">
        <f t="shared" si="180"/>
        <v>0.38700000000000001</v>
      </c>
      <c r="O280" s="16">
        <f t="shared" si="180"/>
        <v>0.40498692258685287</v>
      </c>
      <c r="P280" s="16">
        <f t="shared" si="180"/>
        <v>0.4290963400981489</v>
      </c>
      <c r="Q280" s="16">
        <f t="shared" si="180"/>
        <v>0.45411227529667048</v>
      </c>
      <c r="R280" s="16">
        <f t="shared" si="180"/>
        <v>0.47990498066057363</v>
      </c>
      <c r="S280" s="16">
        <f t="shared" si="180"/>
        <v>0.50634223057610017</v>
      </c>
      <c r="T280" s="16">
        <f t="shared" si="180"/>
        <v>0.53340778741471007</v>
      </c>
      <c r="U280" s="16">
        <f t="shared" si="180"/>
        <v>0.56106866972067093</v>
      </c>
      <c r="V280" s="16">
        <f t="shared" si="180"/>
        <v>0.58929195862916683</v>
      </c>
      <c r="W280" s="16">
        <f t="shared" si="180"/>
        <v>0.61827941534955011</v>
      </c>
      <c r="X280" s="16">
        <f t="shared" si="180"/>
        <v>0.64836147366566821</v>
      </c>
    </row>
    <row r="281" spans="1:24" x14ac:dyDescent="0.25">
      <c r="A281" s="11" t="s">
        <v>985</v>
      </c>
      <c r="D281" s="35">
        <f t="shared" ref="D281:X281" si="181">D$193</f>
        <v>0.70799999999999996</v>
      </c>
      <c r="E281" s="35">
        <f t="shared" si="181"/>
        <v>0.73599999999999999</v>
      </c>
      <c r="F281" s="35">
        <f t="shared" si="181"/>
        <v>0.80400000000000005</v>
      </c>
      <c r="G281" s="35">
        <f t="shared" si="181"/>
        <v>0.82699999999999996</v>
      </c>
      <c r="H281" s="35">
        <f t="shared" si="181"/>
        <v>0.97099999999999997</v>
      </c>
      <c r="I281" s="35">
        <f t="shared" si="181"/>
        <v>1.202</v>
      </c>
      <c r="J281" s="17">
        <f t="shared" si="181"/>
        <v>1.1160000000000001</v>
      </c>
      <c r="K281" s="17">
        <f t="shared" si="181"/>
        <v>0.995</v>
      </c>
      <c r="L281" s="17">
        <f t="shared" si="181"/>
        <v>0.94099999999999995</v>
      </c>
      <c r="M281" s="17">
        <f t="shared" si="181"/>
        <v>0.94099999999999995</v>
      </c>
      <c r="N281" s="17">
        <f t="shared" si="181"/>
        <v>0.94099999999999995</v>
      </c>
      <c r="O281" s="16">
        <f t="shared" si="181"/>
        <v>0.94099999999999995</v>
      </c>
      <c r="P281" s="16">
        <f t="shared" si="181"/>
        <v>0.94099999999999995</v>
      </c>
      <c r="Q281" s="16">
        <f t="shared" si="181"/>
        <v>0.94099999999999995</v>
      </c>
      <c r="R281" s="16">
        <f t="shared" si="181"/>
        <v>0.94099999999999995</v>
      </c>
      <c r="S281" s="16">
        <f t="shared" si="181"/>
        <v>0.94099999999999995</v>
      </c>
      <c r="T281" s="16">
        <f t="shared" si="181"/>
        <v>0.94099999999999995</v>
      </c>
      <c r="U281" s="16">
        <f t="shared" si="181"/>
        <v>0.94099999999999995</v>
      </c>
      <c r="V281" s="16">
        <f t="shared" si="181"/>
        <v>0.94099999999999995</v>
      </c>
      <c r="W281" s="16">
        <f t="shared" si="181"/>
        <v>0.94099999999999995</v>
      </c>
      <c r="X281" s="16">
        <f t="shared" si="181"/>
        <v>0.94099999999999995</v>
      </c>
    </row>
    <row r="282" spans="1:24" x14ac:dyDescent="0.25">
      <c r="A282" s="11" t="s">
        <v>986</v>
      </c>
      <c r="B282" s="10" t="s">
        <v>989</v>
      </c>
      <c r="D282" s="35">
        <f>Exogenous!O$39</f>
        <v>0.82899999999999996</v>
      </c>
      <c r="E282" s="35">
        <f>Exogenous!P$39</f>
        <v>1.3560000000000001</v>
      </c>
      <c r="F282" s="35">
        <f>Exogenous!Q$39</f>
        <v>0.88200000000000001</v>
      </c>
      <c r="G282" s="35">
        <f>Exogenous!R$39</f>
        <v>0.66200000000000003</v>
      </c>
      <c r="H282" s="35">
        <f>Exogenous!S$39</f>
        <v>1.4530000000000001</v>
      </c>
      <c r="I282" s="35">
        <f>Exogenous!T$39</f>
        <v>2.3929999999999998</v>
      </c>
      <c r="J282" s="17">
        <f>Exogenous!U$39</f>
        <v>1.994</v>
      </c>
      <c r="K282" s="17">
        <f>Exogenous!V$39</f>
        <v>1.52</v>
      </c>
      <c r="L282" s="17">
        <f>Exogenous!W$39</f>
        <v>1.425</v>
      </c>
      <c r="M282" s="17">
        <f>Exogenous!X$39</f>
        <v>1.238</v>
      </c>
      <c r="N282" s="17">
        <f>Exogenous!Y$39</f>
        <v>1.238</v>
      </c>
      <c r="O282" s="16">
        <f t="shared" ref="O282:X282" ca="1" si="182">N$282*O$142/N$142</f>
        <v>1.2854607655512149</v>
      </c>
      <c r="P282" s="16">
        <f t="shared" ca="1" si="182"/>
        <v>1.3382317611796564</v>
      </c>
      <c r="Q282" s="16">
        <f t="shared" ca="1" si="182"/>
        <v>1.3926302293240715</v>
      </c>
      <c r="R282" s="16">
        <f t="shared" ca="1" si="182"/>
        <v>1.4471866698592484</v>
      </c>
      <c r="S282" s="16">
        <f t="shared" ca="1" si="182"/>
        <v>1.5029328600455183</v>
      </c>
      <c r="T282" s="16">
        <f t="shared" ca="1" si="182"/>
        <v>1.5597829402393923</v>
      </c>
      <c r="U282" s="16">
        <f t="shared" ca="1" si="182"/>
        <v>1.6173963268725879</v>
      </c>
      <c r="V282" s="16">
        <f t="shared" ca="1" si="182"/>
        <v>1.6758743965777725</v>
      </c>
      <c r="W282" s="16">
        <f t="shared" ca="1" si="182"/>
        <v>1.7352007866578412</v>
      </c>
      <c r="X282" s="16">
        <f t="shared" ca="1" si="182"/>
        <v>1.7958255617751693</v>
      </c>
    </row>
    <row r="283" spans="1:24" x14ac:dyDescent="0.25">
      <c r="A283" s="11" t="s">
        <v>997</v>
      </c>
      <c r="B283" s="10" t="str">
        <f>$B$38</f>
        <v>From Fiscal Forecasts</v>
      </c>
      <c r="C283" s="64" cm="1">
        <f t="array" aca="1" ref="C283" ca="1">SUMPRODUCT(OFFSET($N$283,0,0,1,-OFFSET(Assumptions!$B$59,0,$C$1))/OFFSET($N$13,0,0,1,-OFFSET(Assumptions!$B$59,0,$C$1)))/OFFSET(Assumptions!$B$59,0,$C$1)</f>
        <v>9.8557312718184908E-3</v>
      </c>
      <c r="D283" s="35">
        <f>'Fiscal Forecasts'!D$60-SUM(D$280:D$282)</f>
        <v>3.4990000000000006</v>
      </c>
      <c r="E283" s="35">
        <f>'Fiscal Forecasts'!E$60-SUM(E$280:E$282)</f>
        <v>3.8410000000000002</v>
      </c>
      <c r="F283" s="35">
        <f>'Fiscal Forecasts'!F$60-SUM(F$280:F$282)</f>
        <v>3.9429999999999996</v>
      </c>
      <c r="G283" s="35">
        <f>'Fiscal Forecasts'!G$60-SUM(G$280:G$282)</f>
        <v>4.7479999999999993</v>
      </c>
      <c r="H283" s="35">
        <f>'Fiscal Forecasts'!H$60-SUM(H$280:H$282)</f>
        <v>3.3280000000000003</v>
      </c>
      <c r="I283" s="35">
        <f>'Fiscal Forecasts'!I$60-SUM(I$280:I$282)</f>
        <v>4.6840000000000002</v>
      </c>
      <c r="J283" s="17">
        <f ca="1">'Fiscal Forecasts'!J$60-SUM(J$280:J$282)+IF(OFFSET(Assumptions!$B$56,0,$C$1)="Yes",Allocation!C$17,0) +IF($C$3="Yes",J$386-'NZSF Adjuster'!U$15,0)</f>
        <v>4.919999999999999</v>
      </c>
      <c r="K283" s="17">
        <f ca="1">'Fiscal Forecasts'!K$60-SUM(K$280:K$282)+IF(OFFSET(Assumptions!$B$56,0,$C$1)="Yes",Allocation!D$17,0) +IF($C$3="Yes",K$386-'NZSF Adjuster'!V$15,0)</f>
        <v>3.8940000000000001</v>
      </c>
      <c r="L283" s="17">
        <f ca="1">'Fiscal Forecasts'!L$60-SUM(L$280:L$282)+IF(OFFSET(Assumptions!$B$56,0,$C$1)="Yes",Allocation!E$17,0) +IF($C$3="Yes",L$386-'NZSF Adjuster'!W$15,0)</f>
        <v>4.09</v>
      </c>
      <c r="M283" s="17">
        <f ca="1">'Fiscal Forecasts'!M$60-SUM(M$280:M$282)+IF(OFFSET(Assumptions!$B$56,0,$C$1)="Yes",Allocation!F$17,0) +IF($C$3="Yes",M$386-'NZSF Adjuster'!X$15,0)</f>
        <v>3.6150000000000002</v>
      </c>
      <c r="N283" s="17">
        <f ca="1">'Fiscal Forecasts'!N$60-SUM(N$280:N$282)+IF(OFFSET(Assumptions!$B$56,0,$C$1)="Yes",Allocation!G$17,0) +IF($C$3="Yes",N$386-'NZSF Adjuster'!Y$15,0)</f>
        <v>3.6480000000000006</v>
      </c>
      <c r="O283" s="16">
        <f ca="1">N$283+IF(OFFSET(Assumptions!$B$57,0,$C$1)="Yes",Allocation!$B$17*O$247,IF(OFFSET(Assumptions!$B$58,0,$C$1)="Yes",(N$283/N$13+MIN(ABS($C$283-N$283/N$13),OFFSET(Assumptions!$B$60,0,$C$1))*SIGN($C$283-N$283/N$13))*O$13-N$283,0))</f>
        <v>3.6480000000000006</v>
      </c>
      <c r="P283" s="16">
        <f ca="1">O$283+IF(OFFSET(Assumptions!$B$57,0,$C$1)="Yes",Allocation!$B$17*P$247,IF(OFFSET(Assumptions!$B$58,0,$C$1)="Yes",(O$283/O$13+MIN(ABS($C$283-O$283/O$13),OFFSET(Assumptions!$B$60,0,$C$1))*SIGN($C$283-O$283/O$13))*P$13-O$283,0))</f>
        <v>3.6480000000000006</v>
      </c>
      <c r="Q283" s="16">
        <f ca="1">P$283+IF(OFFSET(Assumptions!$B$57,0,$C$1)="Yes",Allocation!$B$17*Q$247,IF(OFFSET(Assumptions!$B$58,0,$C$1)="Yes",(P$283/P$13+MIN(ABS($C$283-P$283/P$13),OFFSET(Assumptions!$B$60,0,$C$1))*SIGN($C$283-P$283/P$13))*Q$13-P$283,0))</f>
        <v>3.6480000000000006</v>
      </c>
      <c r="R283" s="16">
        <f ca="1">Q$283+IF(OFFSET(Assumptions!$B$57,0,$C$1)="Yes",Allocation!$B$17*R$247,IF(OFFSET(Assumptions!$B$58,0,$C$1)="Yes",(Q$283/Q$13+MIN(ABS($C$283-Q$283/Q$13),OFFSET(Assumptions!$B$60,0,$C$1))*SIGN($C$283-Q$283/Q$13))*R$13-Q$283,0))</f>
        <v>3.6480000000000006</v>
      </c>
      <c r="S283" s="16">
        <f ca="1">R$283+IF(OFFSET(Assumptions!$B$57,0,$C$1)="Yes",Allocation!$B$17*S$247,IF(OFFSET(Assumptions!$B$58,0,$C$1)="Yes",(R$283/R$13+MIN(ABS($C$283-R$283/R$13),OFFSET(Assumptions!$B$60,0,$C$1))*SIGN($C$283-R$283/R$13))*S$13-R$283,0))</f>
        <v>3.6480000000000006</v>
      </c>
      <c r="T283" s="16">
        <f ca="1">S$283+IF(OFFSET(Assumptions!$B$57,0,$C$1)="Yes",Allocation!$B$17*T$247,IF(OFFSET(Assumptions!$B$58,0,$C$1)="Yes",(S$283/S$13+MIN(ABS($C$283-S$283/S$13),OFFSET(Assumptions!$B$60,0,$C$1))*SIGN($C$283-S$283/S$13))*T$13-S$283,0))</f>
        <v>3.6480000000000006</v>
      </c>
      <c r="U283" s="16">
        <f ca="1">T$283+IF(OFFSET(Assumptions!$B$57,0,$C$1)="Yes",Allocation!$B$17*U$247,IF(OFFSET(Assumptions!$B$58,0,$C$1)="Yes",(T$283/T$13+MIN(ABS($C$283-T$283/T$13),OFFSET(Assumptions!$B$60,0,$C$1))*SIGN($C$283-T$283/T$13))*U$13-T$283,0))</f>
        <v>3.6480000000000006</v>
      </c>
      <c r="V283" s="16">
        <f ca="1">U$283+IF(OFFSET(Assumptions!$B$57,0,$C$1)="Yes",Allocation!$B$17*V$247,IF(OFFSET(Assumptions!$B$58,0,$C$1)="Yes",(U$283/U$13+MIN(ABS($C$283-U$283/U$13),OFFSET(Assumptions!$B$60,0,$C$1))*SIGN($C$283-U$283/U$13))*V$13-U$283,0))</f>
        <v>3.6480000000000006</v>
      </c>
      <c r="W283" s="16">
        <f ca="1">V$283+IF(OFFSET(Assumptions!$B$57,0,$C$1)="Yes",Allocation!$B$17*W$247,IF(OFFSET(Assumptions!$B$58,0,$C$1)="Yes",(V$283/V$13+MIN(ABS($C$283-V$283/V$13),OFFSET(Assumptions!$B$60,0,$C$1))*SIGN($C$283-V$283/V$13))*W$13-V$283,0))</f>
        <v>3.6480000000000006</v>
      </c>
      <c r="X283" s="16">
        <f ca="1">W$283+IF(OFFSET(Assumptions!$B$57,0,$C$1)="Yes",Allocation!$B$17*X$247,IF(OFFSET(Assumptions!$B$58,0,$C$1)="Yes",(W$283/W$13+MIN(ABS($C$283-W$283/W$13),OFFSET(Assumptions!$B$60,0,$C$1))*SIGN($C$283-W$283/W$13))*X$13-W$283,0))</f>
        <v>3.6480000000000006</v>
      </c>
    </row>
    <row r="284" spans="1:24" x14ac:dyDescent="0.25">
      <c r="A284" s="9" t="s">
        <v>987</v>
      </c>
      <c r="D284" s="65">
        <f t="shared" ref="D284:X284" si="183">SUM(D$280:D$283)</f>
        <v>5.1660000000000004</v>
      </c>
      <c r="E284" s="65">
        <f t="shared" si="183"/>
        <v>6.0830000000000002</v>
      </c>
      <c r="F284" s="65">
        <f t="shared" si="183"/>
        <v>5.7539999999999996</v>
      </c>
      <c r="G284" s="65">
        <f t="shared" si="183"/>
        <v>5.7199999999999989</v>
      </c>
      <c r="H284" s="65">
        <f t="shared" si="183"/>
        <v>6.806</v>
      </c>
      <c r="I284" s="65">
        <f t="shared" si="183"/>
        <v>8.468</v>
      </c>
      <c r="J284" s="66">
        <f t="shared" ca="1" si="183"/>
        <v>8.2829999999999995</v>
      </c>
      <c r="K284" s="66">
        <f t="shared" ca="1" si="183"/>
        <v>6.7229999999999999</v>
      </c>
      <c r="L284" s="66">
        <f t="shared" ca="1" si="183"/>
        <v>6.7919999999999998</v>
      </c>
      <c r="M284" s="66">
        <f t="shared" ca="1" si="183"/>
        <v>6.1539999999999999</v>
      </c>
      <c r="N284" s="66">
        <f t="shared" ca="1" si="183"/>
        <v>6.2140000000000004</v>
      </c>
      <c r="O284" s="67">
        <f t="shared" ca="1" si="183"/>
        <v>6.2794476881380685</v>
      </c>
      <c r="P284" s="67">
        <f t="shared" ca="1" si="183"/>
        <v>6.3563281012778061</v>
      </c>
      <c r="Q284" s="67">
        <f t="shared" ca="1" si="183"/>
        <v>6.4357425046207428</v>
      </c>
      <c r="R284" s="67">
        <f t="shared" ca="1" si="183"/>
        <v>6.5160916505198223</v>
      </c>
      <c r="S284" s="67">
        <f t="shared" ca="1" si="183"/>
        <v>6.5982750906216188</v>
      </c>
      <c r="T284" s="67">
        <f t="shared" ca="1" si="183"/>
        <v>6.6821907276541026</v>
      </c>
      <c r="U284" s="67">
        <f t="shared" ca="1" si="183"/>
        <v>6.7674649965932598</v>
      </c>
      <c r="V284" s="67">
        <f t="shared" ca="1" si="183"/>
        <v>6.8541663552069396</v>
      </c>
      <c r="W284" s="67">
        <f t="shared" ca="1" si="183"/>
        <v>6.9424802020073919</v>
      </c>
      <c r="X284" s="67">
        <f t="shared" ca="1" si="183"/>
        <v>7.0331870354408377</v>
      </c>
    </row>
    <row r="285" spans="1:24" x14ac:dyDescent="0.25">
      <c r="A285" s="9" t="s">
        <v>988</v>
      </c>
      <c r="B285" s="10" t="str">
        <f>$B$38</f>
        <v>From Fiscal Forecasts</v>
      </c>
      <c r="D285" s="42">
        <f>'Fiscal Forecasts'!D$43</f>
        <v>4.7320000000000002</v>
      </c>
      <c r="E285" s="42">
        <f>'Fiscal Forecasts'!E$43</f>
        <v>5.8689999999999998</v>
      </c>
      <c r="F285" s="42">
        <f>'Fiscal Forecasts'!F$43</f>
        <v>5.6020000000000003</v>
      </c>
      <c r="G285" s="42">
        <f>'Fiscal Forecasts'!G$43</f>
        <v>5.4260000000000002</v>
      </c>
      <c r="H285" s="42">
        <f>'Fiscal Forecasts'!H$43</f>
        <v>6.6630000000000003</v>
      </c>
      <c r="I285" s="42">
        <f>'Fiscal Forecasts'!I$43</f>
        <v>8.1780000000000008</v>
      </c>
      <c r="J285" s="43">
        <f ca="1">'Fiscal Forecasts'!J$43+IF(OFFSET(Assumptions!$B$56,0,$C$1)="Yes",Allocation!C$17,0) +IF($C$3="Yes",J$386-'NZSF Adjuster'!U$15,0)</f>
        <v>7.9550000000000001</v>
      </c>
      <c r="K285" s="43">
        <f ca="1">'Fiscal Forecasts'!K$43+IF(OFFSET(Assumptions!$B$56,0,$C$1)="Yes",Allocation!D$17,0) +IF($C$3="Yes",K$386-'NZSF Adjuster'!V$15,0)</f>
        <v>6.5519999999999996</v>
      </c>
      <c r="L285" s="43">
        <f ca="1">'Fiscal Forecasts'!L$43+IF(OFFSET(Assumptions!$B$56,0,$C$1)="Yes",Allocation!E$17,0) +IF($C$3="Yes",L$386-'NZSF Adjuster'!W$15,0)</f>
        <v>6.702</v>
      </c>
      <c r="M285" s="43">
        <f ca="1">'Fiscal Forecasts'!M$43+IF(OFFSET(Assumptions!$B$56,0,$C$1)="Yes",Allocation!F$17,0) +IF($C$3="Yes",M$386-'NZSF Adjuster'!X$15,0)</f>
        <v>6.0140000000000002</v>
      </c>
      <c r="N285" s="43">
        <f ca="1">'Fiscal Forecasts'!N$43+IF(OFFSET(Assumptions!$B$56,0,$C$1)="Yes",Allocation!G$17,0) +IF($C$3="Yes",N$386-'NZSF Adjuster'!Y$15,0)</f>
        <v>6.1180000000000003</v>
      </c>
      <c r="O285" s="47">
        <f t="shared" ref="O285:X285" ca="1" si="184">O$284+N$285-N$284</f>
        <v>6.1834476881380684</v>
      </c>
      <c r="P285" s="47">
        <f t="shared" ca="1" si="184"/>
        <v>6.2603281012778051</v>
      </c>
      <c r="Q285" s="47">
        <f t="shared" ca="1" si="184"/>
        <v>6.3397425046207418</v>
      </c>
      <c r="R285" s="47">
        <f t="shared" ca="1" si="184"/>
        <v>6.4200916505198204</v>
      </c>
      <c r="S285" s="47">
        <f t="shared" ca="1" si="184"/>
        <v>6.502275090621616</v>
      </c>
      <c r="T285" s="47">
        <f t="shared" ca="1" si="184"/>
        <v>6.5861907276540999</v>
      </c>
      <c r="U285" s="47">
        <f t="shared" ca="1" si="184"/>
        <v>6.671464996593258</v>
      </c>
      <c r="V285" s="47">
        <f t="shared" ca="1" si="184"/>
        <v>6.7581663552069369</v>
      </c>
      <c r="W285" s="47">
        <f t="shared" ca="1" si="184"/>
        <v>6.8464802020073892</v>
      </c>
      <c r="X285" s="47">
        <f t="shared" ca="1" si="184"/>
        <v>6.9371870354408358</v>
      </c>
    </row>
    <row r="287" spans="1:24" x14ac:dyDescent="0.25">
      <c r="A287" s="9" t="s">
        <v>990</v>
      </c>
    </row>
    <row r="288" spans="1:24" x14ac:dyDescent="0.25">
      <c r="A288" s="9" t="s">
        <v>991</v>
      </c>
      <c r="B288" s="10" t="str">
        <f>$B$38</f>
        <v>From Fiscal Forecasts</v>
      </c>
      <c r="C288" s="64" cm="1">
        <f t="array" aca="1" ref="C288" ca="1">SUMPRODUCT(OFFSET($N$288,0,0,1,-OFFSET(Assumptions!$B$59,0,$C$1))/OFFSET($N$13,0,0,1,-OFFSET(Assumptions!$B$59,0,$C$1)))/OFFSET(Assumptions!$B$59,0,$C$1)</f>
        <v>1.5138340005908449E-2</v>
      </c>
      <c r="D288" s="42">
        <f>'Fiscal Forecasts'!D$61</f>
        <v>4.625</v>
      </c>
      <c r="E288" s="42">
        <f>'Fiscal Forecasts'!E$61</f>
        <v>4.9109999999999996</v>
      </c>
      <c r="F288" s="42">
        <f>'Fiscal Forecasts'!F$61</f>
        <v>5.202</v>
      </c>
      <c r="G288" s="42">
        <f>'Fiscal Forecasts'!G$61</f>
        <v>5.444</v>
      </c>
      <c r="H288" s="42">
        <f>'Fiscal Forecasts'!H$61</f>
        <v>6.165</v>
      </c>
      <c r="I288" s="42">
        <f>'Fiscal Forecasts'!I$61</f>
        <v>6.5270000000000001</v>
      </c>
      <c r="J288" s="43">
        <f ca="1">'Fiscal Forecasts'!J$61+IF(OFFSET(Assumptions!$B$56,0,$C$1)="Yes",Allocation!C$18,0)</f>
        <v>6.9779999999999998</v>
      </c>
      <c r="K288" s="43">
        <f ca="1">'Fiscal Forecasts'!K$61+IF(OFFSET(Assumptions!$B$56,0,$C$1)="Yes",Allocation!D$18,0)</f>
        <v>7.3419999999999996</v>
      </c>
      <c r="L288" s="43">
        <f ca="1">'Fiscal Forecasts'!L$61+IF(OFFSET(Assumptions!$B$56,0,$C$1)="Yes",Allocation!E$18,0)</f>
        <v>7.2629999999999999</v>
      </c>
      <c r="M288" s="43">
        <f ca="1">'Fiscal Forecasts'!M$61+IF(OFFSET(Assumptions!$B$56,0,$C$1)="Yes",Allocation!F$18,0)</f>
        <v>7.1130000000000004</v>
      </c>
      <c r="N288" s="43">
        <f ca="1">'Fiscal Forecasts'!N$61+IF(OFFSET(Assumptions!$B$56,0,$C$1)="Yes",Allocation!G$18,0)</f>
        <v>7.0720000000000001</v>
      </c>
      <c r="O288" s="47">
        <f ca="1">N$288+IF(OFFSET(Assumptions!$B$57,0,$C$1)="Yes",Allocation!$B$18*O$247,IF(OFFSET(Assumptions!$B$58,0,$C$1)="Yes",(N$288/N$13+MIN(ABS($C$288-N$288/N$13),OFFSET(Assumptions!$B$60,0,$C$1))*SIGN($C$288-N$288/N$13))*O$13-N$288,0))</f>
        <v>7.0720000000000001</v>
      </c>
      <c r="P288" s="47">
        <f ca="1">O$288+IF(OFFSET(Assumptions!$B$57,0,$C$1)="Yes",Allocation!$B$18*P$247,IF(OFFSET(Assumptions!$B$58,0,$C$1)="Yes",(O$288/O$13+MIN(ABS($C$288-O$288/O$13),OFFSET(Assumptions!$B$60,0,$C$1))*SIGN($C$288-O$288/O$13))*P$13-O$288,0))</f>
        <v>7.0720000000000001</v>
      </c>
      <c r="Q288" s="47">
        <f ca="1">P$288+IF(OFFSET(Assumptions!$B$57,0,$C$1)="Yes",Allocation!$B$18*Q$247,IF(OFFSET(Assumptions!$B$58,0,$C$1)="Yes",(P$288/P$13+MIN(ABS($C$288-P$288/P$13),OFFSET(Assumptions!$B$60,0,$C$1))*SIGN($C$288-P$288/P$13))*Q$13-P$288,0))</f>
        <v>7.0720000000000001</v>
      </c>
      <c r="R288" s="47">
        <f ca="1">Q$288+IF(OFFSET(Assumptions!$B$57,0,$C$1)="Yes",Allocation!$B$18*R$247,IF(OFFSET(Assumptions!$B$58,0,$C$1)="Yes",(Q$288/Q$13+MIN(ABS($C$288-Q$288/Q$13),OFFSET(Assumptions!$B$60,0,$C$1))*SIGN($C$288-Q$288/Q$13))*R$13-Q$288,0))</f>
        <v>7.0720000000000001</v>
      </c>
      <c r="S288" s="47">
        <f ca="1">R$288+IF(OFFSET(Assumptions!$B$57,0,$C$1)="Yes",Allocation!$B$18*S$247,IF(OFFSET(Assumptions!$B$58,0,$C$1)="Yes",(R$288/R$13+MIN(ABS($C$288-R$288/R$13),OFFSET(Assumptions!$B$60,0,$C$1))*SIGN($C$288-R$288/R$13))*S$13-R$288,0))</f>
        <v>7.0720000000000001</v>
      </c>
      <c r="T288" s="47">
        <f ca="1">S$288+IF(OFFSET(Assumptions!$B$57,0,$C$1)="Yes",Allocation!$B$18*T$247,IF(OFFSET(Assumptions!$B$58,0,$C$1)="Yes",(S$288/S$13+MIN(ABS($C$288-S$288/S$13),OFFSET(Assumptions!$B$60,0,$C$1))*SIGN($C$288-S$288/S$13))*T$13-S$288,0))</f>
        <v>7.0720000000000001</v>
      </c>
      <c r="U288" s="47">
        <f ca="1">T$288+IF(OFFSET(Assumptions!$B$57,0,$C$1)="Yes",Allocation!$B$18*U$247,IF(OFFSET(Assumptions!$B$58,0,$C$1)="Yes",(T$288/T$13+MIN(ABS($C$288-T$288/T$13),OFFSET(Assumptions!$B$60,0,$C$1))*SIGN($C$288-T$288/T$13))*U$13-T$288,0))</f>
        <v>7.0720000000000001</v>
      </c>
      <c r="V288" s="47">
        <f ca="1">U$288+IF(OFFSET(Assumptions!$B$57,0,$C$1)="Yes",Allocation!$B$18*V$247,IF(OFFSET(Assumptions!$B$58,0,$C$1)="Yes",(U$288/U$13+MIN(ABS($C$288-U$288/U$13),OFFSET(Assumptions!$B$60,0,$C$1))*SIGN($C$288-U$288/U$13))*V$13-U$288,0))</f>
        <v>7.0720000000000001</v>
      </c>
      <c r="W288" s="47">
        <f ca="1">V$288+IF(OFFSET(Assumptions!$B$57,0,$C$1)="Yes",Allocation!$B$18*W$247,IF(OFFSET(Assumptions!$B$58,0,$C$1)="Yes",(V$288/V$13+MIN(ABS($C$288-V$288/V$13),OFFSET(Assumptions!$B$60,0,$C$1))*SIGN($C$288-V$288/V$13))*W$13-V$288,0))</f>
        <v>7.0720000000000001</v>
      </c>
      <c r="X288" s="47">
        <f ca="1">W$288+IF(OFFSET(Assumptions!$B$57,0,$C$1)="Yes",Allocation!$B$18*X$247,IF(OFFSET(Assumptions!$B$58,0,$C$1)="Yes",(W$288/W$13+MIN(ABS($C$288-W$288/W$13),OFFSET(Assumptions!$B$60,0,$C$1))*SIGN($C$288-W$288/W$13))*X$13-W$288,0))</f>
        <v>7.0720000000000001</v>
      </c>
    </row>
    <row r="289" spans="1:24" x14ac:dyDescent="0.25">
      <c r="A289" s="9" t="s">
        <v>992</v>
      </c>
      <c r="B289" s="10" t="str">
        <f>$B$38</f>
        <v>From Fiscal Forecasts</v>
      </c>
      <c r="D289" s="42">
        <f>'Fiscal Forecasts'!D$44</f>
        <v>5.05</v>
      </c>
      <c r="E289" s="42">
        <f>'Fiscal Forecasts'!E$44</f>
        <v>5.3040000000000003</v>
      </c>
      <c r="F289" s="42">
        <f>'Fiscal Forecasts'!F$44</f>
        <v>5.5330000000000004</v>
      </c>
      <c r="G289" s="42">
        <f>'Fiscal Forecasts'!G$44</f>
        <v>5.9210000000000003</v>
      </c>
      <c r="H289" s="42">
        <f>'Fiscal Forecasts'!H$44</f>
        <v>6.6660000000000004</v>
      </c>
      <c r="I289" s="42">
        <f>'Fiscal Forecasts'!I$44</f>
        <v>7.0720000000000001</v>
      </c>
      <c r="J289" s="43">
        <f ca="1">'Fiscal Forecasts'!J$44+IF(OFFSET(Assumptions!$B$56,0,$C$1)="Yes",Allocation!C$18,0)</f>
        <v>7.55</v>
      </c>
      <c r="K289" s="43">
        <f ca="1">'Fiscal Forecasts'!K$44+IF(OFFSET(Assumptions!$B$56,0,$C$1)="Yes",Allocation!D$18,0)</f>
        <v>7.9459999999999997</v>
      </c>
      <c r="L289" s="43">
        <f ca="1">'Fiscal Forecasts'!L$44+IF(OFFSET(Assumptions!$B$56,0,$C$1)="Yes",Allocation!E$18,0)</f>
        <v>7.7690000000000001</v>
      </c>
      <c r="M289" s="43">
        <f ca="1">'Fiscal Forecasts'!M$44+IF(OFFSET(Assumptions!$B$56,0,$C$1)="Yes",Allocation!F$18,0)</f>
        <v>7.7460000000000004</v>
      </c>
      <c r="N289" s="43">
        <f ca="1">'Fiscal Forecasts'!N$44+IF(OFFSET(Assumptions!$B$56,0,$C$1)="Yes",Allocation!G$18,0)</f>
        <v>7.6929999999999996</v>
      </c>
      <c r="O289" s="47">
        <f t="shared" ref="O289:X289" ca="1" si="185">O$288+(N$289-N$288)*(1+O$29)</f>
        <v>7.7054199999999993</v>
      </c>
      <c r="P289" s="47">
        <f t="shared" ca="1" si="185"/>
        <v>7.7180883999999992</v>
      </c>
      <c r="Q289" s="47">
        <f t="shared" ca="1" si="185"/>
        <v>7.7310101679999992</v>
      </c>
      <c r="R289" s="47">
        <f t="shared" ca="1" si="185"/>
        <v>7.7441903713599993</v>
      </c>
      <c r="S289" s="47">
        <f t="shared" ca="1" si="185"/>
        <v>7.7576341787871996</v>
      </c>
      <c r="T289" s="47">
        <f t="shared" ca="1" si="185"/>
        <v>7.7713468623629431</v>
      </c>
      <c r="U289" s="47">
        <f t="shared" ca="1" si="185"/>
        <v>7.7853337996102017</v>
      </c>
      <c r="V289" s="47">
        <f t="shared" ca="1" si="185"/>
        <v>7.7996004756024053</v>
      </c>
      <c r="W289" s="47">
        <f t="shared" ca="1" si="185"/>
        <v>7.8141524851144535</v>
      </c>
      <c r="X289" s="47">
        <f t="shared" ca="1" si="185"/>
        <v>7.8289955348167428</v>
      </c>
    </row>
    <row r="291" spans="1:24" x14ac:dyDescent="0.25">
      <c r="A291" s="9" t="s">
        <v>993</v>
      </c>
    </row>
    <row r="292" spans="1:24" x14ac:dyDescent="0.25">
      <c r="A292" s="9" t="s">
        <v>1106</v>
      </c>
      <c r="B292" s="10" t="str">
        <f>$B$38</f>
        <v>From Fiscal Forecasts</v>
      </c>
      <c r="D292" s="42">
        <f>'Fiscal Forecasts'!D$62</f>
        <v>2.8889999999999998</v>
      </c>
      <c r="E292" s="42">
        <f>'Fiscal Forecasts'!E$62</f>
        <v>3.1789999999999998</v>
      </c>
      <c r="F292" s="42">
        <f>'Fiscal Forecasts'!F$62</f>
        <v>5.6559999999999997</v>
      </c>
      <c r="G292" s="42">
        <f>'Fiscal Forecasts'!G$62</f>
        <v>4.657</v>
      </c>
      <c r="H292" s="42">
        <f>'Fiscal Forecasts'!H$62</f>
        <v>5.4720000000000004</v>
      </c>
      <c r="I292" s="42">
        <f>'Fiscal Forecasts'!I$62</f>
        <v>5.4870000000000001</v>
      </c>
      <c r="J292" s="43">
        <f>'Fiscal Forecasts'!J$62+IF($C$2="Yes",'Fiscal Forecast Adjuster'!C$26/1000,0)</f>
        <v>5.9160000000000004</v>
      </c>
      <c r="K292" s="43">
        <f>'Fiscal Forecasts'!K$62+IF($C$2="Yes",'Fiscal Forecast Adjuster'!D$26/1000,0)</f>
        <v>7.226</v>
      </c>
      <c r="L292" s="43">
        <f>'Fiscal Forecasts'!L$62+IF($C$2="Yes",'Fiscal Forecast Adjuster'!E$26/1000,0)</f>
        <v>5.0199999999999996</v>
      </c>
      <c r="M292" s="43">
        <f>'Fiscal Forecasts'!M$62+IF($C$2="Yes",'Fiscal Forecast Adjuster'!F$26/1000,0)</f>
        <v>4.7279999999999998</v>
      </c>
      <c r="N292" s="43">
        <f>'Fiscal Forecasts'!N$62+IF($C$2="Yes",'Fiscal Forecast Adjuster'!G$26/1000,0)</f>
        <v>5.1059999999999999</v>
      </c>
      <c r="O292" s="47">
        <f t="shared" ref="O292:X292" ca="1" si="186">N$292*O$138/N$138</f>
        <v>5.0972257715457987</v>
      </c>
      <c r="P292" s="47">
        <f t="shared" ca="1" si="186"/>
        <v>5.0757671352064904</v>
      </c>
      <c r="Q292" s="47">
        <f t="shared" ca="1" si="186"/>
        <v>5.2436769084205697</v>
      </c>
      <c r="R292" s="47">
        <f t="shared" ca="1" si="186"/>
        <v>5.4501545536941585</v>
      </c>
      <c r="S292" s="47">
        <f t="shared" ca="1" si="186"/>
        <v>5.6611849610539693</v>
      </c>
      <c r="T292" s="47">
        <f t="shared" ca="1" si="186"/>
        <v>5.8764460792302238</v>
      </c>
      <c r="U292" s="47">
        <f t="shared" ca="1" si="186"/>
        <v>6.0945772851107982</v>
      </c>
      <c r="V292" s="47">
        <f t="shared" ca="1" si="186"/>
        <v>6.3159880515803426</v>
      </c>
      <c r="W292" s="47">
        <f t="shared" ca="1" si="186"/>
        <v>6.5406701296517049</v>
      </c>
      <c r="X292" s="47">
        <f t="shared" ca="1" si="186"/>
        <v>6.7703166177289056</v>
      </c>
    </row>
    <row r="293" spans="1:24" x14ac:dyDescent="0.25">
      <c r="A293" s="11" t="s">
        <v>707</v>
      </c>
      <c r="B293" s="10" t="str">
        <f>$B$38</f>
        <v>From Fiscal Forecasts</v>
      </c>
      <c r="D293" s="35">
        <f>'Fiscal Forecasts'!D$209</f>
        <v>3.21</v>
      </c>
      <c r="E293" s="35">
        <f>'Fiscal Forecasts'!E$209</f>
        <v>3.8239999999999998</v>
      </c>
      <c r="F293" s="35">
        <f>'Fiscal Forecasts'!F$209</f>
        <v>4.2590000000000003</v>
      </c>
      <c r="G293" s="35">
        <f>'Fiscal Forecasts'!G$209</f>
        <v>4.5030000000000001</v>
      </c>
      <c r="H293" s="35">
        <f>'Fiscal Forecasts'!H$209</f>
        <v>6.1050000000000004</v>
      </c>
      <c r="I293" s="35">
        <f>'Fiscal Forecasts'!I$209</f>
        <v>6.6280000000000001</v>
      </c>
      <c r="J293" s="17">
        <f>'Fiscal Forecasts'!J$209</f>
        <v>6.51</v>
      </c>
      <c r="K293" s="17">
        <f>'Fiscal Forecasts'!K$209</f>
        <v>5.9379999999999997</v>
      </c>
      <c r="L293" s="17">
        <f>'Fiscal Forecasts'!L$209</f>
        <v>5.9710000000000001</v>
      </c>
      <c r="M293" s="17">
        <f>'Fiscal Forecasts'!M$209</f>
        <v>5.1829999999999998</v>
      </c>
      <c r="N293" s="17">
        <f>'Fiscal Forecasts'!N$209</f>
        <v>5.306</v>
      </c>
      <c r="O293" s="16">
        <f t="shared" ref="O293:X293" ca="1" si="187">O$292+(N$293-N$292)*(1+O$14)</f>
        <v>5.305855280297572</v>
      </c>
      <c r="P293" s="16">
        <f t="shared" ca="1" si="187"/>
        <v>5.2932947255773781</v>
      </c>
      <c r="Q293" s="16">
        <f t="shared" ca="1" si="187"/>
        <v>5.4701219005768253</v>
      </c>
      <c r="R293" s="16">
        <f t="shared" ca="1" si="187"/>
        <v>5.6855161571483634</v>
      </c>
      <c r="S293" s="16">
        <f t="shared" ca="1" si="187"/>
        <v>5.9056597840626788</v>
      </c>
      <c r="T293" s="16">
        <f t="shared" ca="1" si="187"/>
        <v>6.1302168224621436</v>
      </c>
      <c r="U293" s="16">
        <f t="shared" ca="1" si="187"/>
        <v>6.357767891554607</v>
      </c>
      <c r="V293" s="16">
        <f t="shared" ca="1" si="187"/>
        <v>6.5887401470617375</v>
      </c>
      <c r="W293" s="16">
        <f t="shared" ca="1" si="187"/>
        <v>6.8231249837688992</v>
      </c>
      <c r="X293" s="16">
        <f t="shared" ca="1" si="187"/>
        <v>7.062688615503034</v>
      </c>
    </row>
    <row r="294" spans="1:24" x14ac:dyDescent="0.25">
      <c r="A294" s="11" t="s">
        <v>904</v>
      </c>
      <c r="B294" s="10" t="str">
        <f>$B$38</f>
        <v>From Fiscal Forecasts</v>
      </c>
      <c r="D294" s="35">
        <f>'Fiscal Forecasts'!D$210</f>
        <v>5.4009999999999998</v>
      </c>
      <c r="E294" s="35">
        <f>'Fiscal Forecasts'!E$210</f>
        <v>8.9149999999999991</v>
      </c>
      <c r="F294" s="35">
        <f>'Fiscal Forecasts'!F$210</f>
        <v>5.8360000000000003</v>
      </c>
      <c r="G294" s="35">
        <f>'Fiscal Forecasts'!G$210</f>
        <v>4.8730000000000002</v>
      </c>
      <c r="H294" s="35">
        <f>'Fiscal Forecasts'!H$210</f>
        <v>8.5990000000000002</v>
      </c>
      <c r="I294" s="35">
        <f>'Fiscal Forecasts'!I$210</f>
        <v>10.317</v>
      </c>
      <c r="J294" s="17">
        <f>'Fiscal Forecasts'!J$210</f>
        <v>9.6999999999999993</v>
      </c>
      <c r="K294" s="17">
        <f>'Fiscal Forecasts'!K$210</f>
        <v>10.332000000000001</v>
      </c>
      <c r="L294" s="17">
        <f>'Fiscal Forecasts'!L$210</f>
        <v>10.58</v>
      </c>
      <c r="M294" s="17">
        <f>'Fiscal Forecasts'!M$210</f>
        <v>10.975</v>
      </c>
      <c r="N294" s="17">
        <f>'Fiscal Forecasts'!N$210</f>
        <v>11.539</v>
      </c>
      <c r="O294" s="16">
        <f t="shared" ref="O294:X294" ca="1" si="188">N$294*(1+O$19)*(1+O$29)</f>
        <v>11.91558332577668</v>
      </c>
      <c r="P294" s="16">
        <f t="shared" ca="1" si="188"/>
        <v>12.295729163494226</v>
      </c>
      <c r="Q294" s="16">
        <f t="shared" ca="1" si="188"/>
        <v>12.680445043678345</v>
      </c>
      <c r="R294" s="16">
        <f t="shared" ca="1" si="188"/>
        <v>13.066279166812539</v>
      </c>
      <c r="S294" s="16">
        <f t="shared" ca="1" si="188"/>
        <v>13.455279449697001</v>
      </c>
      <c r="T294" s="16">
        <f t="shared" ca="1" si="188"/>
        <v>13.846534233795651</v>
      </c>
      <c r="U294" s="16">
        <f t="shared" ca="1" si="188"/>
        <v>14.245158691202095</v>
      </c>
      <c r="V294" s="16">
        <f t="shared" ca="1" si="188"/>
        <v>14.649160143755896</v>
      </c>
      <c r="W294" s="16">
        <f t="shared" ca="1" si="188"/>
        <v>15.052784605713301</v>
      </c>
      <c r="X294" s="16">
        <f t="shared" ca="1" si="188"/>
        <v>15.46029102219522</v>
      </c>
    </row>
    <row r="295" spans="1:24" x14ac:dyDescent="0.25">
      <c r="A295" s="11" t="s">
        <v>866</v>
      </c>
      <c r="B295" s="10" t="str">
        <f>$B$38</f>
        <v>From Fiscal Forecasts</v>
      </c>
      <c r="D295" s="35">
        <f>'Fiscal Forecasts'!D$45-SUM(D$292:D$294)</f>
        <v>-3.0709999999999997</v>
      </c>
      <c r="E295" s="35">
        <f>'Fiscal Forecasts'!E$45-SUM(E$292:E$294)</f>
        <v>-2.9559999999999995</v>
      </c>
      <c r="F295" s="35">
        <f>'Fiscal Forecasts'!F$45-SUM(F$292:F$294)</f>
        <v>-5.4159999999999986</v>
      </c>
      <c r="G295" s="35">
        <f>'Fiscal Forecasts'!G$45-SUM(G$292:G$294)</f>
        <v>-4.5050000000000008</v>
      </c>
      <c r="H295" s="35">
        <f>'Fiscal Forecasts'!H$45-SUM(H$292:H$294)</f>
        <v>-5.7480000000000011</v>
      </c>
      <c r="I295" s="35">
        <f>'Fiscal Forecasts'!I$45-SUM(I$292:I$294)</f>
        <v>-5.6990000000000016</v>
      </c>
      <c r="J295" s="17">
        <f>'Fiscal Forecasts'!J$45-SUM(J$292:J$294)+IF($C$2="Yes",'Fiscal Forecast Adjuster'!C$26/1000,0)</f>
        <v>-5.9019999999999975</v>
      </c>
      <c r="K295" s="17">
        <f>'Fiscal Forecasts'!K$45-SUM(K$292:K$294)+IF($C$2="Yes",'Fiscal Forecast Adjuster'!D$26/1000,0)</f>
        <v>-5.1730000000000018</v>
      </c>
      <c r="L295" s="17">
        <f>'Fiscal Forecasts'!L$45-SUM(L$292:L$294)+IF($C$2="Yes",'Fiscal Forecast Adjuster'!E$26/1000,0)</f>
        <v>-5.0519999999999996</v>
      </c>
      <c r="M295" s="17">
        <f>'Fiscal Forecasts'!M$45-SUM(M$292:M$294)+IF($C$2="Yes",'Fiscal Forecast Adjuster'!F$26/1000,0)</f>
        <v>-4.7740000000000009</v>
      </c>
      <c r="N295" s="17">
        <f>'Fiscal Forecasts'!N$45-SUM(N$292:N$294)+IF($C$2="Yes",'Fiscal Forecast Adjuster'!G$26/1000,0)</f>
        <v>-5.2390000000000008</v>
      </c>
      <c r="O295" s="16">
        <f t="shared" ref="O295:X295" ca="1" si="189">N$295-(O$292-N$292)</f>
        <v>-5.2302257715457996</v>
      </c>
      <c r="P295" s="16">
        <f t="shared" ca="1" si="189"/>
        <v>-5.2087671352064913</v>
      </c>
      <c r="Q295" s="16">
        <f t="shared" ca="1" si="189"/>
        <v>-5.3766769084205706</v>
      </c>
      <c r="R295" s="16">
        <f t="shared" ca="1" si="189"/>
        <v>-5.5831545536941594</v>
      </c>
      <c r="S295" s="16">
        <f t="shared" ca="1" si="189"/>
        <v>-5.7941849610539702</v>
      </c>
      <c r="T295" s="16">
        <f t="shared" ca="1" si="189"/>
        <v>-6.0094460792302247</v>
      </c>
      <c r="U295" s="16">
        <f t="shared" ca="1" si="189"/>
        <v>-6.2275772851107991</v>
      </c>
      <c r="V295" s="16">
        <f t="shared" ca="1" si="189"/>
        <v>-6.4489880515803435</v>
      </c>
      <c r="W295" s="16">
        <f t="shared" ca="1" si="189"/>
        <v>-6.6736701296517058</v>
      </c>
      <c r="X295" s="16">
        <f t="shared" ca="1" si="189"/>
        <v>-6.9033166177289065</v>
      </c>
    </row>
    <row r="296" spans="1:24" x14ac:dyDescent="0.25">
      <c r="A296" s="9" t="s">
        <v>994</v>
      </c>
      <c r="D296" s="65">
        <f t="shared" ref="D296:X296" si="190">SUM(D$292:D$295)</f>
        <v>8.4290000000000003</v>
      </c>
      <c r="E296" s="65">
        <f t="shared" si="190"/>
        <v>12.962</v>
      </c>
      <c r="F296" s="65">
        <f t="shared" si="190"/>
        <v>10.335000000000001</v>
      </c>
      <c r="G296" s="65">
        <f t="shared" si="190"/>
        <v>9.5280000000000005</v>
      </c>
      <c r="H296" s="65">
        <f t="shared" si="190"/>
        <v>14.428000000000001</v>
      </c>
      <c r="I296" s="65">
        <f t="shared" si="190"/>
        <v>16.733000000000001</v>
      </c>
      <c r="J296" s="66">
        <f t="shared" si="190"/>
        <v>16.224</v>
      </c>
      <c r="K296" s="66">
        <f t="shared" si="190"/>
        <v>18.323</v>
      </c>
      <c r="L296" s="66">
        <f t="shared" si="190"/>
        <v>16.518999999999998</v>
      </c>
      <c r="M296" s="66">
        <f t="shared" si="190"/>
        <v>16.111999999999998</v>
      </c>
      <c r="N296" s="66">
        <f t="shared" si="190"/>
        <v>16.712</v>
      </c>
      <c r="O296" s="67">
        <f t="shared" ca="1" si="190"/>
        <v>17.088438606074252</v>
      </c>
      <c r="P296" s="67">
        <f t="shared" ca="1" si="190"/>
        <v>17.456023889071602</v>
      </c>
      <c r="Q296" s="67">
        <f t="shared" ca="1" si="190"/>
        <v>18.017566944255172</v>
      </c>
      <c r="R296" s="67">
        <f t="shared" ca="1" si="190"/>
        <v>18.618795323960903</v>
      </c>
      <c r="S296" s="67">
        <f t="shared" ca="1" si="190"/>
        <v>19.227939233759678</v>
      </c>
      <c r="T296" s="67">
        <f t="shared" ca="1" si="190"/>
        <v>19.843751056257794</v>
      </c>
      <c r="U296" s="67">
        <f t="shared" ca="1" si="190"/>
        <v>20.469926582756699</v>
      </c>
      <c r="V296" s="67">
        <f t="shared" ca="1" si="190"/>
        <v>21.104900290817632</v>
      </c>
      <c r="W296" s="67">
        <f t="shared" ca="1" si="190"/>
        <v>21.742909589482203</v>
      </c>
      <c r="X296" s="67">
        <f t="shared" ca="1" si="190"/>
        <v>22.389979637698254</v>
      </c>
    </row>
    <row r="298" spans="1:24" x14ac:dyDescent="0.25">
      <c r="A298" s="9" t="s">
        <v>995</v>
      </c>
    </row>
    <row r="299" spans="1:24" x14ac:dyDescent="0.25">
      <c r="A299" s="11" t="s">
        <v>996</v>
      </c>
      <c r="D299" s="35">
        <f t="shared" ref="D299:X299" si="191">D$237</f>
        <v>0</v>
      </c>
      <c r="E299" s="35">
        <f t="shared" si="191"/>
        <v>0</v>
      </c>
      <c r="F299" s="35">
        <f t="shared" si="191"/>
        <v>1E-3</v>
      </c>
      <c r="G299" s="35">
        <f t="shared" si="191"/>
        <v>1E-3</v>
      </c>
      <c r="H299" s="35">
        <f t="shared" si="191"/>
        <v>3.0000000000000001E-3</v>
      </c>
      <c r="I299" s="35">
        <f t="shared" si="191"/>
        <v>2E-3</v>
      </c>
      <c r="J299" s="17">
        <f t="shared" si="191"/>
        <v>3.0000000000000001E-3</v>
      </c>
      <c r="K299" s="17">
        <f t="shared" si="191"/>
        <v>3.0000000000000001E-3</v>
      </c>
      <c r="L299" s="17">
        <f t="shared" si="191"/>
        <v>3.0000000000000001E-3</v>
      </c>
      <c r="M299" s="17">
        <f t="shared" si="191"/>
        <v>2E-3</v>
      </c>
      <c r="N299" s="17">
        <f t="shared" si="191"/>
        <v>3.0000000000000001E-3</v>
      </c>
      <c r="O299" s="16">
        <f t="shared" ca="1" si="191"/>
        <v>0</v>
      </c>
      <c r="P299" s="16">
        <f t="shared" ca="1" si="191"/>
        <v>0</v>
      </c>
      <c r="Q299" s="16">
        <f t="shared" ca="1" si="191"/>
        <v>0</v>
      </c>
      <c r="R299" s="16">
        <f t="shared" ca="1" si="191"/>
        <v>0</v>
      </c>
      <c r="S299" s="16">
        <f t="shared" ca="1" si="191"/>
        <v>0</v>
      </c>
      <c r="T299" s="16">
        <f t="shared" ca="1" si="191"/>
        <v>0</v>
      </c>
      <c r="U299" s="16">
        <f t="shared" ca="1" si="191"/>
        <v>0</v>
      </c>
      <c r="V299" s="16">
        <f t="shared" ca="1" si="191"/>
        <v>0</v>
      </c>
      <c r="W299" s="16">
        <f t="shared" ca="1" si="191"/>
        <v>0</v>
      </c>
      <c r="X299" s="16">
        <f t="shared" ca="1" si="191"/>
        <v>0</v>
      </c>
    </row>
    <row r="300" spans="1:24" x14ac:dyDescent="0.25">
      <c r="A300" s="11" t="s">
        <v>952</v>
      </c>
      <c r="D300" s="35">
        <f t="shared" ref="D300:X300" si="192">D$192</f>
        <v>0.95099999999999996</v>
      </c>
      <c r="E300" s="35">
        <f t="shared" si="192"/>
        <v>0.89300000000000002</v>
      </c>
      <c r="F300" s="35">
        <f t="shared" si="192"/>
        <v>0.91600000000000004</v>
      </c>
      <c r="G300" s="35">
        <f t="shared" si="192"/>
        <v>0.96399999999999997</v>
      </c>
      <c r="H300" s="35">
        <f t="shared" si="192"/>
        <v>0.997</v>
      </c>
      <c r="I300" s="35">
        <f t="shared" si="192"/>
        <v>1.014</v>
      </c>
      <c r="J300" s="17">
        <f t="shared" si="192"/>
        <v>1.06</v>
      </c>
      <c r="K300" s="17">
        <f t="shared" si="192"/>
        <v>0.54500000000000004</v>
      </c>
      <c r="L300" s="17">
        <f t="shared" si="192"/>
        <v>0.56499999999999995</v>
      </c>
      <c r="M300" s="17">
        <f t="shared" si="192"/>
        <v>0.58799999999999997</v>
      </c>
      <c r="N300" s="17">
        <f t="shared" si="192"/>
        <v>0.61299999999999999</v>
      </c>
      <c r="O300" s="16">
        <f t="shared" si="192"/>
        <v>0.63900000000000001</v>
      </c>
      <c r="P300" s="16">
        <f t="shared" si="192"/>
        <v>0.67</v>
      </c>
      <c r="Q300" s="16">
        <f t="shared" si="192"/>
        <v>0.7</v>
      </c>
      <c r="R300" s="16">
        <f t="shared" ca="1" si="192"/>
        <v>0.72756355019879493</v>
      </c>
      <c r="S300" s="16">
        <f t="shared" ca="1" si="192"/>
        <v>0.75573486733594508</v>
      </c>
      <c r="T300" s="16">
        <f t="shared" ca="1" si="192"/>
        <v>0.78447095946271272</v>
      </c>
      <c r="U300" s="16">
        <f t="shared" ca="1" si="192"/>
        <v>0.81359019140303346</v>
      </c>
      <c r="V300" s="16">
        <f t="shared" ca="1" si="192"/>
        <v>0.84314722537661679</v>
      </c>
      <c r="W300" s="16">
        <f t="shared" ca="1" si="192"/>
        <v>0.87314096019223619</v>
      </c>
      <c r="X300" s="16">
        <f t="shared" ca="1" si="192"/>
        <v>0.90379741452028528</v>
      </c>
    </row>
    <row r="301" spans="1:24" x14ac:dyDescent="0.25">
      <c r="A301" s="11" t="s">
        <v>998</v>
      </c>
      <c r="B301" s="10" t="str">
        <f>$B$38</f>
        <v>From Fiscal Forecasts</v>
      </c>
      <c r="C301" s="64" cm="1">
        <f t="array" aca="1" ref="C301" ca="1">SUMPRODUCT(OFFSET($N$301,0,0,1,-OFFSET(Assumptions!$B$59,0,$C$1))/OFFSET($N$13,0,0,1,-OFFSET(Assumptions!$B$59,0,$C$1)))/OFFSET(Assumptions!$B$59,0,$C$1)</f>
        <v>8.0164306407672688E-3</v>
      </c>
      <c r="D301" s="35">
        <f>'Fiscal Forecasts'!D$63-SUM(D$299:D$300)</f>
        <v>2.0549999999999997</v>
      </c>
      <c r="E301" s="35">
        <f>'Fiscal Forecasts'!E$63-SUM(E$299:E$300)</f>
        <v>3.0949999999999998</v>
      </c>
      <c r="F301" s="35">
        <f>'Fiscal Forecasts'!F$63-SUM(F$299:F$300)</f>
        <v>3.5640000000000001</v>
      </c>
      <c r="G301" s="35">
        <f>'Fiscal Forecasts'!G$63-SUM(G$299:G$300)</f>
        <v>7.1129999999999995</v>
      </c>
      <c r="H301" s="35">
        <f>'Fiscal Forecasts'!H$63-SUM(H$299:H$300)</f>
        <v>2.69</v>
      </c>
      <c r="I301" s="35">
        <f>'Fiscal Forecasts'!I$63-SUM(I$299:I$300)</f>
        <v>2.9939999999999998</v>
      </c>
      <c r="J301" s="17">
        <f ca="1">'Fiscal Forecasts'!J$63-SUM(J$299:J$300)+IF(OFFSET(Assumptions!$B$56,0,$C$1)="Yes",Allocation!C$19,0)+IF($C$2="Yes",'Fiscal Forecast Adjuster'!C$24/1000,0)</f>
        <v>2.84</v>
      </c>
      <c r="K301" s="17">
        <f ca="1">'Fiscal Forecasts'!K$63-SUM(K$299:K$300)+IF(OFFSET(Assumptions!$B$56,0,$C$1)="Yes",Allocation!D$19,0)+IF($C$2="Yes",'Fiscal Forecast Adjuster'!D$24/1000,0)</f>
        <v>2.6869999999999998</v>
      </c>
      <c r="L301" s="17">
        <f ca="1">'Fiscal Forecasts'!L$63-SUM(L$299:L$300)+IF(OFFSET(Assumptions!$B$56,0,$C$1)="Yes",Allocation!E$19,0)+IF($C$2="Yes",'Fiscal Forecast Adjuster'!E$24/1000,0)</f>
        <v>2.5539999999999998</v>
      </c>
      <c r="M301" s="17">
        <f ca="1">'Fiscal Forecasts'!M$63-SUM(M$299:M$300)+IF(OFFSET(Assumptions!$B$56,0,$C$1)="Yes",Allocation!F$19,0)+IF($C$2="Yes",'Fiscal Forecast Adjuster'!F$24/1000,0)</f>
        <v>2.3380000000000001</v>
      </c>
      <c r="N301" s="17">
        <f ca="1">'Fiscal Forecasts'!N$63-SUM(N$299:N$300)+IF(OFFSET(Assumptions!$B$56,0,$C$1)="Yes",Allocation!G$19,0)+IF($C$2="Yes",'Fiscal Forecast Adjuster'!G$24/1000,0)</f>
        <v>2.2789999999999999</v>
      </c>
      <c r="O301" s="16">
        <f ca="1">N$301+IF(OFFSET(Assumptions!$B$57,0,$C$1)="Yes",Allocation!$B$19*O$247,IF(OFFSET(Assumptions!$B$58,0,$C$1)="Yes",(N$301/N$13+MIN(ABS($C$301-N$301/N$13),OFFSET(Assumptions!$B$60,0,$C$1))*SIGN($C$301-N$301/N$13))*O$13-N$301,0))</f>
        <v>2.2789999999999999</v>
      </c>
      <c r="P301" s="16">
        <f ca="1">O$301+IF(OFFSET(Assumptions!$B$57,0,$C$1)="Yes",Allocation!$B$19*P$247,IF(OFFSET(Assumptions!$B$58,0,$C$1)="Yes",(O$301/O$13+MIN(ABS($C$301-O$301/O$13),OFFSET(Assumptions!$B$60,0,$C$1))*SIGN($C$301-O$301/O$13))*P$13-O$301,0))</f>
        <v>2.2789999999999999</v>
      </c>
      <c r="Q301" s="16">
        <f ca="1">P$301+IF(OFFSET(Assumptions!$B$57,0,$C$1)="Yes",Allocation!$B$19*Q$247,IF(OFFSET(Assumptions!$B$58,0,$C$1)="Yes",(P$301/P$13+MIN(ABS($C$301-P$301/P$13),OFFSET(Assumptions!$B$60,0,$C$1))*SIGN($C$301-P$301/P$13))*Q$13-P$301,0))</f>
        <v>2.2789999999999999</v>
      </c>
      <c r="R301" s="16">
        <f ca="1">Q$301+IF(OFFSET(Assumptions!$B$57,0,$C$1)="Yes",Allocation!$B$19*R$247,IF(OFFSET(Assumptions!$B$58,0,$C$1)="Yes",(Q$301/Q$13+MIN(ABS($C$301-Q$301/Q$13),OFFSET(Assumptions!$B$60,0,$C$1))*SIGN($C$301-Q$301/Q$13))*R$13-Q$301,0))</f>
        <v>2.2789999999999999</v>
      </c>
      <c r="S301" s="16">
        <f ca="1">R$301+IF(OFFSET(Assumptions!$B$57,0,$C$1)="Yes",Allocation!$B$19*S$247,IF(OFFSET(Assumptions!$B$58,0,$C$1)="Yes",(R$301/R$13+MIN(ABS($C$301-R$301/R$13),OFFSET(Assumptions!$B$60,0,$C$1))*SIGN($C$301-R$301/R$13))*S$13-R$301,0))</f>
        <v>2.2789999999999999</v>
      </c>
      <c r="T301" s="16">
        <f ca="1">S$301+IF(OFFSET(Assumptions!$B$57,0,$C$1)="Yes",Allocation!$B$19*T$247,IF(OFFSET(Assumptions!$B$58,0,$C$1)="Yes",(S$301/S$13+MIN(ABS($C$301-S$301/S$13),OFFSET(Assumptions!$B$60,0,$C$1))*SIGN($C$301-S$301/S$13))*T$13-S$301,0))</f>
        <v>2.2789999999999999</v>
      </c>
      <c r="U301" s="16">
        <f ca="1">T$301+IF(OFFSET(Assumptions!$B$57,0,$C$1)="Yes",Allocation!$B$19*U$247,IF(OFFSET(Assumptions!$B$58,0,$C$1)="Yes",(T$301/T$13+MIN(ABS($C$301-T$301/T$13),OFFSET(Assumptions!$B$60,0,$C$1))*SIGN($C$301-T$301/T$13))*U$13-T$301,0))</f>
        <v>2.2789999999999999</v>
      </c>
      <c r="V301" s="16">
        <f ca="1">U$301+IF(OFFSET(Assumptions!$B$57,0,$C$1)="Yes",Allocation!$B$19*V$247,IF(OFFSET(Assumptions!$B$58,0,$C$1)="Yes",(U$301/U$13+MIN(ABS($C$301-U$301/U$13),OFFSET(Assumptions!$B$60,0,$C$1))*SIGN($C$301-U$301/U$13))*V$13-U$301,0))</f>
        <v>2.2789999999999999</v>
      </c>
      <c r="W301" s="16">
        <f ca="1">V$301+IF(OFFSET(Assumptions!$B$57,0,$C$1)="Yes",Allocation!$B$19*W$247,IF(OFFSET(Assumptions!$B$58,0,$C$1)="Yes",(V$301/V$13+MIN(ABS($C$301-V$301/V$13),OFFSET(Assumptions!$B$60,0,$C$1))*SIGN($C$301-V$301/V$13))*W$13-V$301,0))</f>
        <v>2.2789999999999999</v>
      </c>
      <c r="X301" s="16">
        <f ca="1">W$301+IF(OFFSET(Assumptions!$B$57,0,$C$1)="Yes",Allocation!$B$19*X$247,IF(OFFSET(Assumptions!$B$58,0,$C$1)="Yes",(W$301/W$13+MIN(ABS($C$301-W$301/W$13),OFFSET(Assumptions!$B$60,0,$C$1))*SIGN($C$301-W$301/W$13))*X$13-W$301,0))</f>
        <v>2.2789999999999999</v>
      </c>
    </row>
    <row r="302" spans="1:24" x14ac:dyDescent="0.25">
      <c r="A302" s="9" t="s">
        <v>999</v>
      </c>
      <c r="D302" s="65">
        <f t="shared" ref="D302:X302" si="193">SUM(D$299:D$301)</f>
        <v>3.0059999999999998</v>
      </c>
      <c r="E302" s="65">
        <f t="shared" si="193"/>
        <v>3.9879999999999995</v>
      </c>
      <c r="F302" s="65">
        <f t="shared" si="193"/>
        <v>4.4809999999999999</v>
      </c>
      <c r="G302" s="65">
        <f t="shared" si="193"/>
        <v>8.0779999999999994</v>
      </c>
      <c r="H302" s="65">
        <f t="shared" si="193"/>
        <v>3.69</v>
      </c>
      <c r="I302" s="65">
        <f t="shared" si="193"/>
        <v>4.01</v>
      </c>
      <c r="J302" s="66">
        <f t="shared" ca="1" si="193"/>
        <v>3.9029999999999996</v>
      </c>
      <c r="K302" s="66">
        <f t="shared" ca="1" si="193"/>
        <v>3.2349999999999999</v>
      </c>
      <c r="L302" s="66">
        <f t="shared" ca="1" si="193"/>
        <v>3.1219999999999999</v>
      </c>
      <c r="M302" s="66">
        <f t="shared" ca="1" si="193"/>
        <v>2.9279999999999999</v>
      </c>
      <c r="N302" s="66">
        <f t="shared" ca="1" si="193"/>
        <v>2.895</v>
      </c>
      <c r="O302" s="67">
        <f t="shared" ca="1" si="193"/>
        <v>2.9180000000000001</v>
      </c>
      <c r="P302" s="67">
        <f t="shared" ca="1" si="193"/>
        <v>2.9489999999999998</v>
      </c>
      <c r="Q302" s="67">
        <f t="shared" ca="1" si="193"/>
        <v>2.9790000000000001</v>
      </c>
      <c r="R302" s="67">
        <f t="shared" ca="1" si="193"/>
        <v>3.0065635501987948</v>
      </c>
      <c r="S302" s="67">
        <f t="shared" ca="1" si="193"/>
        <v>3.0347348673359451</v>
      </c>
      <c r="T302" s="67">
        <f t="shared" ca="1" si="193"/>
        <v>3.0634709594627125</v>
      </c>
      <c r="U302" s="67">
        <f t="shared" ca="1" si="193"/>
        <v>3.0925901914030334</v>
      </c>
      <c r="V302" s="67">
        <f t="shared" ca="1" si="193"/>
        <v>3.1221472253766169</v>
      </c>
      <c r="W302" s="67">
        <f t="shared" ca="1" si="193"/>
        <v>3.1521409601922361</v>
      </c>
      <c r="X302" s="67">
        <f t="shared" ca="1" si="193"/>
        <v>3.1827974145202851</v>
      </c>
    </row>
    <row r="303" spans="1:24" x14ac:dyDescent="0.25">
      <c r="A303" s="9" t="s">
        <v>1000</v>
      </c>
      <c r="B303" s="10" t="str">
        <f>$B$38</f>
        <v>From Fiscal Forecasts</v>
      </c>
      <c r="D303" s="42">
        <f>'Fiscal Forecasts'!D$46</f>
        <v>10.433</v>
      </c>
      <c r="E303" s="42">
        <f>'Fiscal Forecasts'!E$46</f>
        <v>11.246</v>
      </c>
      <c r="F303" s="42">
        <f>'Fiscal Forecasts'!F$46</f>
        <v>13.429</v>
      </c>
      <c r="G303" s="42">
        <f>'Fiscal Forecasts'!G$46</f>
        <v>16.672999999999998</v>
      </c>
      <c r="H303" s="42">
        <f>'Fiscal Forecasts'!H$46</f>
        <v>12.384</v>
      </c>
      <c r="I303" s="42">
        <f>'Fiscal Forecasts'!I$46</f>
        <v>16.007999999999999</v>
      </c>
      <c r="J303" s="43">
        <f ca="1">'Fiscal Forecasts'!J$46+IF(OFFSET(Assumptions!$B$56,0,$C$1)="Yes",Allocation!C$19,0)+IF($C$2="Yes",'Fiscal Forecast Adjuster'!C$24/1000,0)</f>
        <v>16.617000000000001</v>
      </c>
      <c r="K303" s="43">
        <f ca="1">'Fiscal Forecasts'!K$46+IF(OFFSET(Assumptions!$B$56,0,$C$1)="Yes",Allocation!D$19,0)+IF($C$2="Yes",'Fiscal Forecast Adjuster'!D$24/1000,0)</f>
        <v>15.885999999999999</v>
      </c>
      <c r="L303" s="43">
        <f ca="1">'Fiscal Forecasts'!L$46+IF(OFFSET(Assumptions!$B$56,0,$C$1)="Yes",Allocation!E$19,0)+IF($C$2="Yes",'Fiscal Forecast Adjuster'!E$24/1000,0)</f>
        <v>15.853</v>
      </c>
      <c r="M303" s="43">
        <f ca="1">'Fiscal Forecasts'!M$46+IF(OFFSET(Assumptions!$B$56,0,$C$1)="Yes",Allocation!F$19,0)+IF($C$2="Yes",'Fiscal Forecast Adjuster'!F$24/1000,0)</f>
        <v>16.274000000000001</v>
      </c>
      <c r="N303" s="43">
        <f ca="1">'Fiscal Forecasts'!N$46+IF(OFFSET(Assumptions!$B$56,0,$C$1)="Yes",Allocation!G$19,0)+IF($C$2="Yes",'Fiscal Forecast Adjuster'!G$24/1000,0)</f>
        <v>16.192</v>
      </c>
      <c r="O303" s="47">
        <f t="shared" ref="O303:X303" ca="1" si="194">O$302+(N$303-N$302)*(1+O$29)</f>
        <v>16.48094</v>
      </c>
      <c r="P303" s="47">
        <f t="shared" ca="1" si="194"/>
        <v>16.783198800000001</v>
      </c>
      <c r="Q303" s="47">
        <f t="shared" ca="1" si="194"/>
        <v>17.089882776000003</v>
      </c>
      <c r="R303" s="47">
        <f t="shared" ca="1" si="194"/>
        <v>17.399663981718799</v>
      </c>
      <c r="S303" s="47">
        <f t="shared" ca="1" si="194"/>
        <v>17.715697307486348</v>
      </c>
      <c r="T303" s="47">
        <f t="shared" ca="1" si="194"/>
        <v>18.038052648416123</v>
      </c>
      <c r="U303" s="47">
        <f t="shared" ca="1" si="194"/>
        <v>18.36666351413551</v>
      </c>
      <c r="V303" s="47">
        <f t="shared" ca="1" si="194"/>
        <v>18.701702014563743</v>
      </c>
      <c r="W303" s="47">
        <f t="shared" ca="1" si="194"/>
        <v>19.043286845163106</v>
      </c>
      <c r="X303" s="47">
        <f t="shared" ca="1" si="194"/>
        <v>19.391766217190572</v>
      </c>
    </row>
    <row r="305" spans="1:24" x14ac:dyDescent="0.25">
      <c r="A305" s="9" t="s">
        <v>1001</v>
      </c>
    </row>
    <row r="306" spans="1:24" x14ac:dyDescent="0.25">
      <c r="A306" s="9" t="s">
        <v>1002</v>
      </c>
      <c r="B306" s="10" t="str">
        <f>$B$38</f>
        <v>From Fiscal Forecasts</v>
      </c>
      <c r="C306" s="64" cm="1">
        <f t="array" aca="1" ref="C306" ca="1">SUMPRODUCT(OFFSET($N$306,0,0,1,-OFFSET(Assumptions!$B$59,0,$C$1))/OFFSET($N$13,0,0,1,-OFFSET(Assumptions!$B$59,0,$C$1)))/OFFSET(Assumptions!$B$59,0,$C$1)</f>
        <v>7.4971409751286855E-3</v>
      </c>
      <c r="D306" s="42">
        <f>'Fiscal Forecasts'!D$64</f>
        <v>2.395</v>
      </c>
      <c r="E306" s="42">
        <f>'Fiscal Forecasts'!E$64</f>
        <v>2.4990000000000001</v>
      </c>
      <c r="F306" s="42">
        <f>'Fiscal Forecasts'!F$64</f>
        <v>2.6640000000000001</v>
      </c>
      <c r="G306" s="42">
        <f>'Fiscal Forecasts'!G$64</f>
        <v>2.8319999999999999</v>
      </c>
      <c r="H306" s="42">
        <f>'Fiscal Forecasts'!H$64</f>
        <v>2.8860000000000001</v>
      </c>
      <c r="I306" s="42">
        <f>'Fiscal Forecasts'!I$64</f>
        <v>3.1629999999999998</v>
      </c>
      <c r="J306" s="43">
        <f ca="1">'Fiscal Forecasts'!J$64+IF(OFFSET(Assumptions!$B$56,0,$C$1)="Yes",Allocation!C$20,0)</f>
        <v>3.3180000000000001</v>
      </c>
      <c r="K306" s="43">
        <f ca="1">'Fiscal Forecasts'!K$64+IF(OFFSET(Assumptions!$B$56,0,$C$1)="Yes",Allocation!D$20,0)</f>
        <v>3.552</v>
      </c>
      <c r="L306" s="43">
        <f ca="1">'Fiscal Forecasts'!L$64+IF(OFFSET(Assumptions!$B$56,0,$C$1)="Yes",Allocation!E$20,0)</f>
        <v>3.5750000000000002</v>
      </c>
      <c r="M306" s="43">
        <f ca="1">'Fiscal Forecasts'!M$64+IF(OFFSET(Assumptions!$B$56,0,$C$1)="Yes",Allocation!F$20,0)</f>
        <v>3.593</v>
      </c>
      <c r="N306" s="43">
        <f ca="1">'Fiscal Forecasts'!N$64+IF(OFFSET(Assumptions!$B$56,0,$C$1)="Yes",Allocation!G$20,0)</f>
        <v>3.581</v>
      </c>
      <c r="O306" s="47">
        <f ca="1">N$306+IF(OFFSET(Assumptions!$B$57,0,$C$1)="Yes",Allocation!$B$20*O$247,IF(OFFSET(Assumptions!$B$58,0,$C$1)="Yes",(N$306/N$13+MIN(ABS($C$306-N$306/N$13),OFFSET(Assumptions!$B$60,0,$C$1))*SIGN($C$306-N$306/N$13))*O$13-N$306,0))</f>
        <v>3.581</v>
      </c>
      <c r="P306" s="47">
        <f ca="1">O$306+IF(OFFSET(Assumptions!$B$57,0,$C$1)="Yes",Allocation!$B$20*P$247,IF(OFFSET(Assumptions!$B$58,0,$C$1)="Yes",(O$306/O$13+MIN(ABS($C$306-O$306/O$13),OFFSET(Assumptions!$B$60,0,$C$1))*SIGN($C$306-O$306/O$13))*P$13-O$306,0))</f>
        <v>3.581</v>
      </c>
      <c r="Q306" s="47">
        <f ca="1">P$306+IF(OFFSET(Assumptions!$B$57,0,$C$1)="Yes",Allocation!$B$20*Q$247,IF(OFFSET(Assumptions!$B$58,0,$C$1)="Yes",(P$306/P$13+MIN(ABS($C$306-P$306/P$13),OFFSET(Assumptions!$B$60,0,$C$1))*SIGN($C$306-P$306/P$13))*Q$13-P$306,0))</f>
        <v>3.581</v>
      </c>
      <c r="R306" s="47">
        <f ca="1">Q$306+IF(OFFSET(Assumptions!$B$57,0,$C$1)="Yes",Allocation!$B$20*R$247,IF(OFFSET(Assumptions!$B$58,0,$C$1)="Yes",(Q$306/Q$13+MIN(ABS($C$306-Q$306/Q$13),OFFSET(Assumptions!$B$60,0,$C$1))*SIGN($C$306-Q$306/Q$13))*R$13-Q$306,0))</f>
        <v>3.581</v>
      </c>
      <c r="S306" s="47">
        <f ca="1">R$306+IF(OFFSET(Assumptions!$B$57,0,$C$1)="Yes",Allocation!$B$20*S$247,IF(OFFSET(Assumptions!$B$58,0,$C$1)="Yes",(R$306/R$13+MIN(ABS($C$306-R$306/R$13),OFFSET(Assumptions!$B$60,0,$C$1))*SIGN($C$306-R$306/R$13))*S$13-R$306,0))</f>
        <v>3.581</v>
      </c>
      <c r="T306" s="47">
        <f ca="1">S$306+IF(OFFSET(Assumptions!$B$57,0,$C$1)="Yes",Allocation!$B$20*T$247,IF(OFFSET(Assumptions!$B$58,0,$C$1)="Yes",(S$306/S$13+MIN(ABS($C$306-S$306/S$13),OFFSET(Assumptions!$B$60,0,$C$1))*SIGN($C$306-S$306/S$13))*T$13-S$306,0))</f>
        <v>3.581</v>
      </c>
      <c r="U306" s="47">
        <f ca="1">T$306+IF(OFFSET(Assumptions!$B$57,0,$C$1)="Yes",Allocation!$B$20*U$247,IF(OFFSET(Assumptions!$B$58,0,$C$1)="Yes",(T$306/T$13+MIN(ABS($C$306-T$306/T$13),OFFSET(Assumptions!$B$60,0,$C$1))*SIGN($C$306-T$306/T$13))*U$13-T$306,0))</f>
        <v>3.581</v>
      </c>
      <c r="V306" s="47">
        <f ca="1">U$306+IF(OFFSET(Assumptions!$B$57,0,$C$1)="Yes",Allocation!$B$20*V$247,IF(OFFSET(Assumptions!$B$58,0,$C$1)="Yes",(U$306/U$13+MIN(ABS($C$306-U$306/U$13),OFFSET(Assumptions!$B$60,0,$C$1))*SIGN($C$306-U$306/U$13))*V$13-U$306,0))</f>
        <v>3.581</v>
      </c>
      <c r="W306" s="47">
        <f ca="1">V$306+IF(OFFSET(Assumptions!$B$57,0,$C$1)="Yes",Allocation!$B$20*W$247,IF(OFFSET(Assumptions!$B$58,0,$C$1)="Yes",(V$306/V$13+MIN(ABS($C$306-V$306/V$13),OFFSET(Assumptions!$B$60,0,$C$1))*SIGN($C$306-V$306/V$13))*W$13-V$306,0))</f>
        <v>3.581</v>
      </c>
      <c r="X306" s="47">
        <f ca="1">W$306+IF(OFFSET(Assumptions!$B$57,0,$C$1)="Yes",Allocation!$B$20*X$247,IF(OFFSET(Assumptions!$B$58,0,$C$1)="Yes",(W$306/W$13+MIN(ABS($C$306-W$306/W$13),OFFSET(Assumptions!$B$60,0,$C$1))*SIGN($C$306-W$306/W$13))*X$13-W$306,0))</f>
        <v>3.581</v>
      </c>
    </row>
    <row r="307" spans="1:24" x14ac:dyDescent="0.25">
      <c r="A307" s="9" t="s">
        <v>1003</v>
      </c>
      <c r="B307" s="10" t="str">
        <f>$B$38</f>
        <v>From Fiscal Forecasts</v>
      </c>
      <c r="D307" s="42">
        <f>'Fiscal Forecasts'!D$47</f>
        <v>2.39</v>
      </c>
      <c r="E307" s="42">
        <f>'Fiscal Forecasts'!E$47</f>
        <v>2.4820000000000002</v>
      </c>
      <c r="F307" s="42">
        <f>'Fiscal Forecasts'!F$47</f>
        <v>2.6480000000000001</v>
      </c>
      <c r="G307" s="42">
        <f>'Fiscal Forecasts'!G$47</f>
        <v>2.8029999999999999</v>
      </c>
      <c r="H307" s="42">
        <f>'Fiscal Forecasts'!H$47</f>
        <v>2.8380000000000001</v>
      </c>
      <c r="I307" s="42">
        <f>'Fiscal Forecasts'!I$47</f>
        <v>3.125</v>
      </c>
      <c r="J307" s="43">
        <f ca="1">'Fiscal Forecasts'!J$47+IF(OFFSET(Assumptions!$B$56,0,$C$1)="Yes",Allocation!C$20,0)</f>
        <v>3.2730000000000001</v>
      </c>
      <c r="K307" s="43">
        <f ca="1">'Fiscal Forecasts'!K$47+IF(OFFSET(Assumptions!$B$56,0,$C$1)="Yes",Allocation!D$20,0)</f>
        <v>3.5070000000000001</v>
      </c>
      <c r="L307" s="43">
        <f ca="1">'Fiscal Forecasts'!L$47+IF(OFFSET(Assumptions!$B$56,0,$C$1)="Yes",Allocation!E$20,0)</f>
        <v>3.5289999999999999</v>
      </c>
      <c r="M307" s="43">
        <f ca="1">'Fiscal Forecasts'!M$47+IF(OFFSET(Assumptions!$B$56,0,$C$1)="Yes",Allocation!F$20,0)</f>
        <v>3.5470000000000002</v>
      </c>
      <c r="N307" s="43">
        <f ca="1">'Fiscal Forecasts'!N$47+IF(OFFSET(Assumptions!$B$56,0,$C$1)="Yes",Allocation!G$20,0)</f>
        <v>3.5350000000000001</v>
      </c>
      <c r="O307" s="47">
        <f ca="1">O$306</f>
        <v>3.581</v>
      </c>
      <c r="P307" s="47">
        <f t="shared" ref="P307:X307" ca="1" si="195">P$306</f>
        <v>3.581</v>
      </c>
      <c r="Q307" s="47">
        <f t="shared" ca="1" si="195"/>
        <v>3.581</v>
      </c>
      <c r="R307" s="47">
        <f t="shared" ca="1" si="195"/>
        <v>3.581</v>
      </c>
      <c r="S307" s="47">
        <f t="shared" ca="1" si="195"/>
        <v>3.581</v>
      </c>
      <c r="T307" s="47">
        <f t="shared" ca="1" si="195"/>
        <v>3.581</v>
      </c>
      <c r="U307" s="47">
        <f t="shared" ca="1" si="195"/>
        <v>3.581</v>
      </c>
      <c r="V307" s="47">
        <f t="shared" ca="1" si="195"/>
        <v>3.581</v>
      </c>
      <c r="W307" s="47">
        <f t="shared" ca="1" si="195"/>
        <v>3.581</v>
      </c>
      <c r="X307" s="47">
        <f t="shared" ca="1" si="195"/>
        <v>3.581</v>
      </c>
    </row>
    <row r="309" spans="1:24" x14ac:dyDescent="0.25">
      <c r="A309" s="9" t="s">
        <v>1004</v>
      </c>
    </row>
    <row r="310" spans="1:24" x14ac:dyDescent="0.25">
      <c r="A310" s="9" t="s">
        <v>1005</v>
      </c>
      <c r="B310" s="10" t="str">
        <f>$B$38</f>
        <v>From Fiscal Forecasts</v>
      </c>
      <c r="C310" s="64" cm="1">
        <f t="array" aca="1" ref="C310" ca="1">SUMPRODUCT(OFFSET($N$310,0,0,1,-OFFSET(Assumptions!$B$59,0,$C$1))/OFFSET($N$13,0,0,1,-OFFSET(Assumptions!$B$59,0,$C$1)))/OFFSET(Assumptions!$B$59,0,$C$1)</f>
        <v>3.3492653657043181E-3</v>
      </c>
      <c r="D310" s="42">
        <f>'Fiscal Forecasts'!D$65</f>
        <v>0.91800000000000004</v>
      </c>
      <c r="E310" s="42">
        <f>'Fiscal Forecasts'!E$65</f>
        <v>1.1060000000000001</v>
      </c>
      <c r="F310" s="42">
        <f>'Fiscal Forecasts'!F$65</f>
        <v>1.42</v>
      </c>
      <c r="G310" s="42">
        <f>'Fiscal Forecasts'!G$65</f>
        <v>1.468</v>
      </c>
      <c r="H310" s="42">
        <f>'Fiscal Forecasts'!H$65</f>
        <v>1.5369999999999999</v>
      </c>
      <c r="I310" s="42">
        <f>'Fiscal Forecasts'!I$65</f>
        <v>1.504</v>
      </c>
      <c r="J310" s="43">
        <f ca="1">'Fiscal Forecasts'!J$65+IF(OFFSET(Assumptions!$B$56,0,$C$1)="Yes",Allocation!C$21,0)</f>
        <v>1.4570000000000001</v>
      </c>
      <c r="K310" s="43">
        <f ca="1">'Fiscal Forecasts'!K$65+IF(OFFSET(Assumptions!$B$56,0,$C$1)="Yes",Allocation!D$21,0)</f>
        <v>1.4159999999999999</v>
      </c>
      <c r="L310" s="43">
        <f ca="1">'Fiscal Forecasts'!L$65+IF(OFFSET(Assumptions!$B$56,0,$C$1)="Yes",Allocation!E$21,0)</f>
        <v>1.36</v>
      </c>
      <c r="M310" s="43">
        <f ca="1">'Fiscal Forecasts'!M$65+IF(OFFSET(Assumptions!$B$56,0,$C$1)="Yes",Allocation!F$21,0)</f>
        <v>1.3360000000000001</v>
      </c>
      <c r="N310" s="43">
        <f ca="1">'Fiscal Forecasts'!N$65+IF(OFFSET(Assumptions!$B$56,0,$C$1)="Yes",Allocation!G$21,0)</f>
        <v>1.3069999999999999</v>
      </c>
      <c r="O310" s="47">
        <f ca="1">N$310+IF(OFFSET(Assumptions!$B$57,0,$C$1)="Yes",Allocation!$B$21*O$247,IF(OFFSET(Assumptions!$B$58,0,$C$1)="Yes",(N$310/N$13+MIN(ABS($C$310-N$310/N$13),OFFSET(Assumptions!$B$60,0,$C$1))*SIGN($C$310-N$310/N$13))*O$13-N$310,0))</f>
        <v>1.3069999999999999</v>
      </c>
      <c r="P310" s="47">
        <f ca="1">O$310+IF(OFFSET(Assumptions!$B$57,0,$C$1)="Yes",Allocation!$B$21*P$247,IF(OFFSET(Assumptions!$B$58,0,$C$1)="Yes",(O$310/O$13+MIN(ABS($C$310-O$310/O$13),OFFSET(Assumptions!$B$60,0,$C$1))*SIGN($C$310-O$310/O$13))*P$13-O$310,0))</f>
        <v>1.3069999999999999</v>
      </c>
      <c r="Q310" s="47">
        <f ca="1">P$310+IF(OFFSET(Assumptions!$B$57,0,$C$1)="Yes",Allocation!$B$21*Q$247,IF(OFFSET(Assumptions!$B$58,0,$C$1)="Yes",(P$310/P$13+MIN(ABS($C$310-P$310/P$13),OFFSET(Assumptions!$B$60,0,$C$1))*SIGN($C$310-P$310/P$13))*Q$13-P$310,0))</f>
        <v>1.3069999999999999</v>
      </c>
      <c r="R310" s="47">
        <f ca="1">Q$310+IF(OFFSET(Assumptions!$B$57,0,$C$1)="Yes",Allocation!$B$21*R$247,IF(OFFSET(Assumptions!$B$58,0,$C$1)="Yes",(Q$310/Q$13+MIN(ABS($C$310-Q$310/Q$13),OFFSET(Assumptions!$B$60,0,$C$1))*SIGN($C$310-Q$310/Q$13))*R$13-Q$310,0))</f>
        <v>1.3069999999999999</v>
      </c>
      <c r="S310" s="47">
        <f ca="1">R$310+IF(OFFSET(Assumptions!$B$57,0,$C$1)="Yes",Allocation!$B$21*S$247,IF(OFFSET(Assumptions!$B$58,0,$C$1)="Yes",(R$310/R$13+MIN(ABS($C$310-R$310/R$13),OFFSET(Assumptions!$B$60,0,$C$1))*SIGN($C$310-R$310/R$13))*S$13-R$310,0))</f>
        <v>1.3069999999999999</v>
      </c>
      <c r="T310" s="47">
        <f ca="1">S$310+IF(OFFSET(Assumptions!$B$57,0,$C$1)="Yes",Allocation!$B$21*T$247,IF(OFFSET(Assumptions!$B$58,0,$C$1)="Yes",(S$310/S$13+MIN(ABS($C$310-S$310/S$13),OFFSET(Assumptions!$B$60,0,$C$1))*SIGN($C$310-S$310/S$13))*T$13-S$310,0))</f>
        <v>1.3069999999999999</v>
      </c>
      <c r="U310" s="47">
        <f ca="1">T$310+IF(OFFSET(Assumptions!$B$57,0,$C$1)="Yes",Allocation!$B$21*U$247,IF(OFFSET(Assumptions!$B$58,0,$C$1)="Yes",(T$310/T$13+MIN(ABS($C$310-T$310/T$13),OFFSET(Assumptions!$B$60,0,$C$1))*SIGN($C$310-T$310/T$13))*U$13-T$310,0))</f>
        <v>1.3069999999999999</v>
      </c>
      <c r="V310" s="47">
        <f ca="1">U$310+IF(OFFSET(Assumptions!$B$57,0,$C$1)="Yes",Allocation!$B$21*V$247,IF(OFFSET(Assumptions!$B$58,0,$C$1)="Yes",(U$310/U$13+MIN(ABS($C$310-U$310/U$13),OFFSET(Assumptions!$B$60,0,$C$1))*SIGN($C$310-U$310/U$13))*V$13-U$310,0))</f>
        <v>1.3069999999999999</v>
      </c>
      <c r="W310" s="47">
        <f ca="1">V$310+IF(OFFSET(Assumptions!$B$57,0,$C$1)="Yes",Allocation!$B$21*W$247,IF(OFFSET(Assumptions!$B$58,0,$C$1)="Yes",(V$310/V$13+MIN(ABS($C$310-V$310/V$13),OFFSET(Assumptions!$B$60,0,$C$1))*SIGN($C$310-V$310/V$13))*W$13-V$310,0))</f>
        <v>1.3069999999999999</v>
      </c>
      <c r="X310" s="47">
        <f ca="1">W$310+IF(OFFSET(Assumptions!$B$57,0,$C$1)="Yes",Allocation!$B$21*X$247,IF(OFFSET(Assumptions!$B$58,0,$C$1)="Yes",(W$310/W$13+MIN(ABS($C$310-W$310/W$13),OFFSET(Assumptions!$B$60,0,$C$1))*SIGN($C$310-W$310/W$13))*X$13-W$310,0))</f>
        <v>1.3069999999999999</v>
      </c>
    </row>
    <row r="311" spans="1:24" x14ac:dyDescent="0.25">
      <c r="A311" s="9" t="s">
        <v>1006</v>
      </c>
      <c r="B311" s="10" t="str">
        <f>$B$38</f>
        <v>From Fiscal Forecasts</v>
      </c>
      <c r="D311" s="42">
        <f>'Fiscal Forecasts'!D$48</f>
        <v>2.5030000000000001</v>
      </c>
      <c r="E311" s="42">
        <f>'Fiscal Forecasts'!E$48</f>
        <v>2.9039999999999999</v>
      </c>
      <c r="F311" s="42">
        <f>'Fiscal Forecasts'!F$48</f>
        <v>3.0230000000000001</v>
      </c>
      <c r="G311" s="42">
        <f>'Fiscal Forecasts'!G$48</f>
        <v>3.26</v>
      </c>
      <c r="H311" s="42">
        <f>'Fiscal Forecasts'!H$48</f>
        <v>3.4169999999999998</v>
      </c>
      <c r="I311" s="42">
        <f>'Fiscal Forecasts'!I$48</f>
        <v>3.6080000000000001</v>
      </c>
      <c r="J311" s="43">
        <f ca="1">'Fiscal Forecasts'!J$48+IF(OFFSET(Assumptions!$B$56,0,$C$1)="Yes",Allocation!C$21,0)</f>
        <v>3.2730000000000001</v>
      </c>
      <c r="K311" s="43">
        <f ca="1">'Fiscal Forecasts'!K$48+IF(OFFSET(Assumptions!$B$56,0,$C$1)="Yes",Allocation!D$21,0)</f>
        <v>3.3679999999999999</v>
      </c>
      <c r="L311" s="43">
        <f ca="1">'Fiscal Forecasts'!L$48+IF(OFFSET(Assumptions!$B$56,0,$C$1)="Yes",Allocation!E$21,0)</f>
        <v>3.4129999999999998</v>
      </c>
      <c r="M311" s="43">
        <f ca="1">'Fiscal Forecasts'!M$48+IF(OFFSET(Assumptions!$B$56,0,$C$1)="Yes",Allocation!F$21,0)</f>
        <v>3.4409999999999998</v>
      </c>
      <c r="N311" s="43">
        <f ca="1">'Fiscal Forecasts'!N$48+IF(OFFSET(Assumptions!$B$56,0,$C$1)="Yes",Allocation!G$21,0)</f>
        <v>3.4740000000000002</v>
      </c>
      <c r="O311" s="47">
        <f t="shared" ref="O311:X311" ca="1" si="196">O$310+(N$311-N$310)*(1+O$29)</f>
        <v>3.5173400000000004</v>
      </c>
      <c r="P311" s="47">
        <f t="shared" ca="1" si="196"/>
        <v>3.5615468000000003</v>
      </c>
      <c r="Q311" s="47">
        <f t="shared" ca="1" si="196"/>
        <v>3.6066377360000006</v>
      </c>
      <c r="R311" s="47">
        <f t="shared" ca="1" si="196"/>
        <v>3.6526304907200005</v>
      </c>
      <c r="S311" s="47">
        <f t="shared" ca="1" si="196"/>
        <v>3.6995431005344006</v>
      </c>
      <c r="T311" s="47">
        <f t="shared" ca="1" si="196"/>
        <v>3.7473939625450887</v>
      </c>
      <c r="U311" s="47">
        <f t="shared" ca="1" si="196"/>
        <v>3.7962018417959906</v>
      </c>
      <c r="V311" s="47">
        <f t="shared" ca="1" si="196"/>
        <v>3.8459858786319105</v>
      </c>
      <c r="W311" s="47">
        <f t="shared" ca="1" si="196"/>
        <v>3.8967655962045487</v>
      </c>
      <c r="X311" s="47">
        <f t="shared" ca="1" si="196"/>
        <v>3.9485609081286395</v>
      </c>
    </row>
    <row r="313" spans="1:24" x14ac:dyDescent="0.25">
      <c r="A313" s="9" t="s">
        <v>1009</v>
      </c>
    </row>
    <row r="314" spans="1:24" x14ac:dyDescent="0.25">
      <c r="A314" s="9" t="s">
        <v>1007</v>
      </c>
      <c r="B314" s="10" t="str">
        <f>$B$38</f>
        <v>From Fiscal Forecasts</v>
      </c>
      <c r="C314" s="64" cm="1">
        <f t="array" aca="1" ref="C314" ca="1">SUMPRODUCT(OFFSET($N$314,0,0,1,-OFFSET(Assumptions!$B$59,0,$C$1))/OFFSET($N$13,0,0,1,-OFFSET(Assumptions!$B$59,0,$C$1)))/OFFSET(Assumptions!$B$59,0,$C$1)</f>
        <v>2.494172651555646E-3</v>
      </c>
      <c r="D314" s="42">
        <f>'Fiscal Forecasts'!D$66</f>
        <v>0.96</v>
      </c>
      <c r="E314" s="42">
        <f>'Fiscal Forecasts'!E$66</f>
        <v>0.96099999999999997</v>
      </c>
      <c r="F314" s="42">
        <f>'Fiscal Forecasts'!F$66</f>
        <v>1.0149999999999999</v>
      </c>
      <c r="G314" s="42">
        <f>'Fiscal Forecasts'!G$66</f>
        <v>0.94899999999999995</v>
      </c>
      <c r="H314" s="42">
        <f>'Fiscal Forecasts'!H$66</f>
        <v>1.1559999999999999</v>
      </c>
      <c r="I314" s="42">
        <f>'Fiscal Forecasts'!I$66</f>
        <v>1.0620000000000001</v>
      </c>
      <c r="J314" s="43">
        <f ca="1">'Fiscal Forecasts'!J$66+IF(OFFSET(Assumptions!$B$56,0,$C$1)="Yes",Allocation!C$22,0)</f>
        <v>1.2569999999999999</v>
      </c>
      <c r="K314" s="43">
        <f ca="1">'Fiscal Forecasts'!K$66+IF(OFFSET(Assumptions!$B$56,0,$C$1)="Yes",Allocation!D$22,0)</f>
        <v>1.0449999999999999</v>
      </c>
      <c r="L314" s="43">
        <f ca="1">'Fiscal Forecasts'!L$66+IF(OFFSET(Assumptions!$B$56,0,$C$1)="Yes",Allocation!E$22,0)</f>
        <v>0.97799999999999998</v>
      </c>
      <c r="M314" s="43">
        <f ca="1">'Fiscal Forecasts'!M$66+IF(OFFSET(Assumptions!$B$56,0,$C$1)="Yes",Allocation!F$22,0)</f>
        <v>0.95899999999999996</v>
      </c>
      <c r="N314" s="43">
        <f ca="1">'Fiscal Forecasts'!N$66+IF(OFFSET(Assumptions!$B$56,0,$C$1)="Yes",Allocation!G$22,0)</f>
        <v>0.95499999999999996</v>
      </c>
      <c r="O314" s="47">
        <f ca="1">N$314+IF(OFFSET(Assumptions!$B$57,0,$C$1)="Yes",Allocation!$B$22*O$247,IF(OFFSET(Assumptions!$B$58,0,$C$1)="Yes",(N$314/N$13+MIN(ABS($C$314-N$314/N$13),OFFSET(Assumptions!$B$60,0,$C$1))*SIGN($C$314-N$314/N$13))*O$13-N$314,0))</f>
        <v>0.95499999999999996</v>
      </c>
      <c r="P314" s="47">
        <f ca="1">O$314+IF(OFFSET(Assumptions!$B$57,0,$C$1)="Yes",Allocation!$B$22*P$247,IF(OFFSET(Assumptions!$B$58,0,$C$1)="Yes",(O$314/O$13+MIN(ABS($C$314-O$314/O$13),OFFSET(Assumptions!$B$60,0,$C$1))*SIGN($C$314-O$314/O$13))*P$13-O$314,0))</f>
        <v>0.95499999999999996</v>
      </c>
      <c r="Q314" s="47">
        <f ca="1">P$314+IF(OFFSET(Assumptions!$B$57,0,$C$1)="Yes",Allocation!$B$22*Q$247,IF(OFFSET(Assumptions!$B$58,0,$C$1)="Yes",(P$314/P$13+MIN(ABS($C$314-P$314/P$13),OFFSET(Assumptions!$B$60,0,$C$1))*SIGN($C$314-P$314/P$13))*Q$13-P$314,0))</f>
        <v>0.95499999999999996</v>
      </c>
      <c r="R314" s="47">
        <f ca="1">Q$314+IF(OFFSET(Assumptions!$B$57,0,$C$1)="Yes",Allocation!$B$22*R$247,IF(OFFSET(Assumptions!$B$58,0,$C$1)="Yes",(Q$314/Q$13+MIN(ABS($C$314-Q$314/Q$13),OFFSET(Assumptions!$B$60,0,$C$1))*SIGN($C$314-Q$314/Q$13))*R$13-Q$314,0))</f>
        <v>0.95499999999999996</v>
      </c>
      <c r="S314" s="47">
        <f ca="1">R$314+IF(OFFSET(Assumptions!$B$57,0,$C$1)="Yes",Allocation!$B$22*S$247,IF(OFFSET(Assumptions!$B$58,0,$C$1)="Yes",(R$314/R$13+MIN(ABS($C$314-R$314/R$13),OFFSET(Assumptions!$B$60,0,$C$1))*SIGN($C$314-R$314/R$13))*S$13-R$314,0))</f>
        <v>0.95499999999999996</v>
      </c>
      <c r="T314" s="47">
        <f ca="1">S$314+IF(OFFSET(Assumptions!$B$57,0,$C$1)="Yes",Allocation!$B$22*T$247,IF(OFFSET(Assumptions!$B$58,0,$C$1)="Yes",(S$314/S$13+MIN(ABS($C$314-S$314/S$13),OFFSET(Assumptions!$B$60,0,$C$1))*SIGN($C$314-S$314/S$13))*T$13-S$314,0))</f>
        <v>0.95499999999999996</v>
      </c>
      <c r="U314" s="47">
        <f ca="1">T$314+IF(OFFSET(Assumptions!$B$57,0,$C$1)="Yes",Allocation!$B$22*U$247,IF(OFFSET(Assumptions!$B$58,0,$C$1)="Yes",(T$314/T$13+MIN(ABS($C$314-T$314/T$13),OFFSET(Assumptions!$B$60,0,$C$1))*SIGN($C$314-T$314/T$13))*U$13-T$314,0))</f>
        <v>0.95499999999999996</v>
      </c>
      <c r="V314" s="47">
        <f ca="1">U$314+IF(OFFSET(Assumptions!$B$57,0,$C$1)="Yes",Allocation!$B$22*V$247,IF(OFFSET(Assumptions!$B$58,0,$C$1)="Yes",(U$314/U$13+MIN(ABS($C$314-U$314/U$13),OFFSET(Assumptions!$B$60,0,$C$1))*SIGN($C$314-U$314/U$13))*V$13-U$314,0))</f>
        <v>0.95499999999999996</v>
      </c>
      <c r="W314" s="47">
        <f ca="1">V$314+IF(OFFSET(Assumptions!$B$57,0,$C$1)="Yes",Allocation!$B$22*W$247,IF(OFFSET(Assumptions!$B$58,0,$C$1)="Yes",(V$314/V$13+MIN(ABS($C$314-V$314/V$13),OFFSET(Assumptions!$B$60,0,$C$1))*SIGN($C$314-V$314/V$13))*W$13-V$314,0))</f>
        <v>0.95499999999999996</v>
      </c>
      <c r="X314" s="47">
        <f ca="1">W$314+IF(OFFSET(Assumptions!$B$57,0,$C$1)="Yes",Allocation!$B$22*X$247,IF(OFFSET(Assumptions!$B$58,0,$C$1)="Yes",(W$314/W$13+MIN(ABS($C$314-W$314/W$13),OFFSET(Assumptions!$B$60,0,$C$1))*SIGN($C$314-W$314/W$13))*X$13-W$314,0))</f>
        <v>0.95499999999999996</v>
      </c>
    </row>
    <row r="315" spans="1:24" x14ac:dyDescent="0.25">
      <c r="A315" s="9" t="s">
        <v>1008</v>
      </c>
      <c r="B315" s="10" t="str">
        <f>$B$38</f>
        <v>From Fiscal Forecasts</v>
      </c>
      <c r="D315" s="42">
        <f>'Fiscal Forecasts'!D$49</f>
        <v>2.395</v>
      </c>
      <c r="E315" s="42">
        <f>'Fiscal Forecasts'!E$49</f>
        <v>2.4300000000000002</v>
      </c>
      <c r="F315" s="42">
        <f>'Fiscal Forecasts'!F$49</f>
        <v>2.3980000000000001</v>
      </c>
      <c r="G315" s="42">
        <f>'Fiscal Forecasts'!G$49</f>
        <v>2.302</v>
      </c>
      <c r="H315" s="42">
        <f>'Fiscal Forecasts'!H$49</f>
        <v>2.74</v>
      </c>
      <c r="I315" s="42">
        <f>'Fiscal Forecasts'!I$49</f>
        <v>2.6360000000000001</v>
      </c>
      <c r="J315" s="43">
        <f ca="1">'Fiscal Forecasts'!J$49+IF(OFFSET(Assumptions!$B$56,0,$C$1)="Yes",Allocation!C$22,0)</f>
        <v>2.8730000000000002</v>
      </c>
      <c r="K315" s="43">
        <f ca="1">'Fiscal Forecasts'!K$49+IF(OFFSET(Assumptions!$B$56,0,$C$1)="Yes",Allocation!D$22,0)</f>
        <v>2.5169999999999999</v>
      </c>
      <c r="L315" s="43">
        <f ca="1">'Fiscal Forecasts'!L$49+IF(OFFSET(Assumptions!$B$56,0,$C$1)="Yes",Allocation!E$22,0)</f>
        <v>2.4580000000000002</v>
      </c>
      <c r="M315" s="43">
        <f ca="1">'Fiscal Forecasts'!M$49+IF(OFFSET(Assumptions!$B$56,0,$C$1)="Yes",Allocation!F$22,0)</f>
        <v>2.4089999999999998</v>
      </c>
      <c r="N315" s="43">
        <f ca="1">'Fiscal Forecasts'!N$49+IF(OFFSET(Assumptions!$B$56,0,$C$1)="Yes",Allocation!G$22,0)</f>
        <v>2.3610000000000002</v>
      </c>
      <c r="O315" s="47">
        <f t="shared" ref="O315:X315" ca="1" si="197">O$314+(N$315-N$314)*(1+O$29)</f>
        <v>2.3891200000000001</v>
      </c>
      <c r="P315" s="47">
        <f t="shared" ca="1" si="197"/>
        <v>2.4178024000000002</v>
      </c>
      <c r="Q315" s="47">
        <f t="shared" ca="1" si="197"/>
        <v>2.4470584479999999</v>
      </c>
      <c r="R315" s="47">
        <f t="shared" ca="1" si="197"/>
        <v>2.4768996169599999</v>
      </c>
      <c r="S315" s="47">
        <f t="shared" ca="1" si="197"/>
        <v>2.5073376092991997</v>
      </c>
      <c r="T315" s="47">
        <f t="shared" ca="1" si="197"/>
        <v>2.5383843614851838</v>
      </c>
      <c r="U315" s="47">
        <f t="shared" ca="1" si="197"/>
        <v>2.5700520487148872</v>
      </c>
      <c r="V315" s="47">
        <f t="shared" ca="1" si="197"/>
        <v>2.6023530896891849</v>
      </c>
      <c r="W315" s="47">
        <f t="shared" ca="1" si="197"/>
        <v>2.6353001514829684</v>
      </c>
      <c r="X315" s="47">
        <f t="shared" ca="1" si="197"/>
        <v>2.6689061545126278</v>
      </c>
    </row>
    <row r="317" spans="1:24" x14ac:dyDescent="0.25">
      <c r="A317" s="9" t="s">
        <v>1012</v>
      </c>
    </row>
    <row r="318" spans="1:24" x14ac:dyDescent="0.25">
      <c r="A318" s="9" t="s">
        <v>1010</v>
      </c>
      <c r="B318" s="10" t="str">
        <f>$B$38</f>
        <v>From Fiscal Forecasts</v>
      </c>
      <c r="C318" s="64" cm="1">
        <f t="array" aca="1" ref="C318" ca="1">SUMPRODUCT(OFFSET($N$318,0,0,1,-OFFSET(Assumptions!$B$59,0,$C$1))/OFFSET($N$13,0,0,1,-OFFSET(Assumptions!$B$59,0,$C$1)))/OFFSET(Assumptions!$B$59,0,$C$1)</f>
        <v>4.9008474675142502E-3</v>
      </c>
      <c r="D318" s="42">
        <f>'Fiscal Forecasts'!D$67</f>
        <v>0.72699999999999998</v>
      </c>
      <c r="E318" s="42">
        <f>'Fiscal Forecasts'!E$67</f>
        <v>1.0149999999999999</v>
      </c>
      <c r="F318" s="42">
        <f>'Fiscal Forecasts'!F$67</f>
        <v>1.8129999999999999</v>
      </c>
      <c r="G318" s="42">
        <f>'Fiscal Forecasts'!G$67</f>
        <v>2.0329999999999999</v>
      </c>
      <c r="H318" s="42">
        <f>'Fiscal Forecasts'!H$67</f>
        <v>2.3119999999999998</v>
      </c>
      <c r="I318" s="42">
        <f>'Fiscal Forecasts'!I$67</f>
        <v>2.512</v>
      </c>
      <c r="J318" s="43">
        <f ca="1">'Fiscal Forecasts'!J$67+IF(OFFSET(Assumptions!$B$56,0,$C$1)="Yes",Allocation!C$23,0)</f>
        <v>2.411</v>
      </c>
      <c r="K318" s="43">
        <f ca="1">'Fiscal Forecasts'!K$67+IF(OFFSET(Assumptions!$B$56,0,$C$1)="Yes",Allocation!D$23,0)</f>
        <v>2.3959999999999999</v>
      </c>
      <c r="L318" s="43">
        <f ca="1">'Fiscal Forecasts'!L$67+IF(OFFSET(Assumptions!$B$56,0,$C$1)="Yes",Allocation!E$23,0)</f>
        <v>2.2610000000000001</v>
      </c>
      <c r="M318" s="43">
        <f ca="1">'Fiscal Forecasts'!M$67+IF(OFFSET(Assumptions!$B$56,0,$C$1)="Yes",Allocation!F$23,0)</f>
        <v>1.927</v>
      </c>
      <c r="N318" s="43">
        <f ca="1">'Fiscal Forecasts'!N$67+IF(OFFSET(Assumptions!$B$56,0,$C$1)="Yes",Allocation!G$23,0)</f>
        <v>2.0310000000000001</v>
      </c>
      <c r="O318" s="47">
        <f ca="1">N$318+IF(OFFSET(Assumptions!$B$57,0,$C$1)="Yes",Allocation!$B$23*O$247,IF(OFFSET(Assumptions!$B$58,0,$C$1)="Yes",(N$318/N$13+MIN(ABS($C$318-N$318/N$13),OFFSET(Assumptions!$B$60,0,$C$1))*SIGN($C$318-N$318/N$13))*O$13-N$318,0))</f>
        <v>2.0310000000000001</v>
      </c>
      <c r="P318" s="47">
        <f ca="1">O$318+IF(OFFSET(Assumptions!$B$57,0,$C$1)="Yes",Allocation!$B$23*P$247,IF(OFFSET(Assumptions!$B$58,0,$C$1)="Yes",(O$318/O$13+MIN(ABS($C$318-O$318/O$13),OFFSET(Assumptions!$B$60,0,$C$1))*SIGN($C$318-O$318/O$13))*P$13-O$318,0))</f>
        <v>2.0310000000000001</v>
      </c>
      <c r="Q318" s="47">
        <f ca="1">P$318+IF(OFFSET(Assumptions!$B$57,0,$C$1)="Yes",Allocation!$B$23*Q$247,IF(OFFSET(Assumptions!$B$58,0,$C$1)="Yes",(P$318/P$13+MIN(ABS($C$318-P$318/P$13),OFFSET(Assumptions!$B$60,0,$C$1))*SIGN($C$318-P$318/P$13))*Q$13-P$318,0))</f>
        <v>2.0310000000000001</v>
      </c>
      <c r="R318" s="47">
        <f ca="1">Q$318+IF(OFFSET(Assumptions!$B$57,0,$C$1)="Yes",Allocation!$B$23*R$247,IF(OFFSET(Assumptions!$B$58,0,$C$1)="Yes",(Q$318/Q$13+MIN(ABS($C$318-Q$318/Q$13),OFFSET(Assumptions!$B$60,0,$C$1))*SIGN($C$318-Q$318/Q$13))*R$13-Q$318,0))</f>
        <v>2.0310000000000001</v>
      </c>
      <c r="S318" s="47">
        <f ca="1">R$318+IF(OFFSET(Assumptions!$B$57,0,$C$1)="Yes",Allocation!$B$23*S$247,IF(OFFSET(Assumptions!$B$58,0,$C$1)="Yes",(R$318/R$13+MIN(ABS($C$318-R$318/R$13),OFFSET(Assumptions!$B$60,0,$C$1))*SIGN($C$318-R$318/R$13))*S$13-R$318,0))</f>
        <v>2.0310000000000001</v>
      </c>
      <c r="T318" s="47">
        <f ca="1">S$318+IF(OFFSET(Assumptions!$B$57,0,$C$1)="Yes",Allocation!$B$23*T$247,IF(OFFSET(Assumptions!$B$58,0,$C$1)="Yes",(S$318/S$13+MIN(ABS($C$318-S$318/S$13),OFFSET(Assumptions!$B$60,0,$C$1))*SIGN($C$318-S$318/S$13))*T$13-S$318,0))</f>
        <v>2.0310000000000001</v>
      </c>
      <c r="U318" s="47">
        <f ca="1">T$318+IF(OFFSET(Assumptions!$B$57,0,$C$1)="Yes",Allocation!$B$23*U$247,IF(OFFSET(Assumptions!$B$58,0,$C$1)="Yes",(T$318/T$13+MIN(ABS($C$318-T$318/T$13),OFFSET(Assumptions!$B$60,0,$C$1))*SIGN($C$318-T$318/T$13))*U$13-T$318,0))</f>
        <v>2.0310000000000001</v>
      </c>
      <c r="V318" s="47">
        <f ca="1">U$318+IF(OFFSET(Assumptions!$B$57,0,$C$1)="Yes",Allocation!$B$23*V$247,IF(OFFSET(Assumptions!$B$58,0,$C$1)="Yes",(U$318/U$13+MIN(ABS($C$318-U$318/U$13),OFFSET(Assumptions!$B$60,0,$C$1))*SIGN($C$318-U$318/U$13))*V$13-U$318,0))</f>
        <v>2.0310000000000001</v>
      </c>
      <c r="W318" s="47">
        <f ca="1">V$318+IF(OFFSET(Assumptions!$B$57,0,$C$1)="Yes",Allocation!$B$23*W$247,IF(OFFSET(Assumptions!$B$58,0,$C$1)="Yes",(V$318/V$13+MIN(ABS($C$318-V$318/V$13),OFFSET(Assumptions!$B$60,0,$C$1))*SIGN($C$318-V$318/V$13))*W$13-V$318,0))</f>
        <v>2.0310000000000001</v>
      </c>
      <c r="X318" s="47">
        <f ca="1">W$318+IF(OFFSET(Assumptions!$B$57,0,$C$1)="Yes",Allocation!$B$23*X$247,IF(OFFSET(Assumptions!$B$58,0,$C$1)="Yes",(W$318/W$13+MIN(ABS($C$318-W$318/W$13),OFFSET(Assumptions!$B$60,0,$C$1))*SIGN($C$318-W$318/W$13))*X$13-W$318,0))</f>
        <v>2.0310000000000001</v>
      </c>
    </row>
    <row r="319" spans="1:24" x14ac:dyDescent="0.25">
      <c r="A319" s="9" t="s">
        <v>1011</v>
      </c>
      <c r="B319" s="10" t="str">
        <f>$B$38</f>
        <v>From Fiscal Forecasts</v>
      </c>
      <c r="D319" s="42">
        <f>'Fiscal Forecasts'!D$50</f>
        <v>2.02</v>
      </c>
      <c r="E319" s="42">
        <f>'Fiscal Forecasts'!E$50</f>
        <v>2.3929999999999998</v>
      </c>
      <c r="F319" s="42">
        <f>'Fiscal Forecasts'!F$50</f>
        <v>3.351</v>
      </c>
      <c r="G319" s="42">
        <f>'Fiscal Forecasts'!G$50</f>
        <v>3.9350000000000001</v>
      </c>
      <c r="H319" s="42">
        <f>'Fiscal Forecasts'!H$50</f>
        <v>4.3959999999999999</v>
      </c>
      <c r="I319" s="42">
        <f>'Fiscal Forecasts'!I$50</f>
        <v>4.7889999999999997</v>
      </c>
      <c r="J319" s="43">
        <f ca="1">'Fiscal Forecasts'!J$50+IF(OFFSET(Assumptions!$B$56,0,$C$1)="Yes",Allocation!C$23,0)</f>
        <v>4.8079999999999998</v>
      </c>
      <c r="K319" s="43">
        <f ca="1">'Fiscal Forecasts'!K$50+IF(OFFSET(Assumptions!$B$56,0,$C$1)="Yes",Allocation!D$23,0)</f>
        <v>4.7279999999999998</v>
      </c>
      <c r="L319" s="43">
        <f ca="1">'Fiscal Forecasts'!L$50+IF(OFFSET(Assumptions!$B$56,0,$C$1)="Yes",Allocation!E$23,0)</f>
        <v>4.7789999999999999</v>
      </c>
      <c r="M319" s="43">
        <f ca="1">'Fiscal Forecasts'!M$50+IF(OFFSET(Assumptions!$B$56,0,$C$1)="Yes",Allocation!F$23,0)</f>
        <v>4.4660000000000002</v>
      </c>
      <c r="N319" s="43">
        <f ca="1">'Fiscal Forecasts'!N$50+IF(OFFSET(Assumptions!$B$56,0,$C$1)="Yes",Allocation!G$23,0)</f>
        <v>4.4660000000000002</v>
      </c>
      <c r="O319" s="47">
        <f t="shared" ref="O319:X319" ca="1" si="198">O$318+(N$319-N$318)*(1+O$29)</f>
        <v>4.5147000000000004</v>
      </c>
      <c r="P319" s="47">
        <f t="shared" ca="1" si="198"/>
        <v>4.5643740000000008</v>
      </c>
      <c r="Q319" s="47">
        <f t="shared" ca="1" si="198"/>
        <v>4.6150414800000004</v>
      </c>
      <c r="R319" s="47">
        <f t="shared" ca="1" si="198"/>
        <v>4.6667223096000008</v>
      </c>
      <c r="S319" s="47">
        <f t="shared" ca="1" si="198"/>
        <v>4.7194367557920014</v>
      </c>
      <c r="T319" s="47">
        <f t="shared" ca="1" si="198"/>
        <v>4.7732054909078414</v>
      </c>
      <c r="U319" s="47">
        <f t="shared" ca="1" si="198"/>
        <v>4.8280496007259988</v>
      </c>
      <c r="V319" s="47">
        <f t="shared" ca="1" si="198"/>
        <v>4.8839905927405187</v>
      </c>
      <c r="W319" s="47">
        <f t="shared" ca="1" si="198"/>
        <v>4.9410504045953285</v>
      </c>
      <c r="X319" s="47">
        <f t="shared" ca="1" si="198"/>
        <v>4.9992514126872347</v>
      </c>
    </row>
    <row r="321" spans="1:24" x14ac:dyDescent="0.25">
      <c r="A321" s="9" t="s">
        <v>1014</v>
      </c>
    </row>
    <row r="322" spans="1:24" x14ac:dyDescent="0.25">
      <c r="A322" s="11" t="s">
        <v>1013</v>
      </c>
      <c r="B322" s="10" t="str">
        <f>$B$38</f>
        <v>From Fiscal Forecasts</v>
      </c>
      <c r="D322" s="35">
        <f>'Fiscal Forecasts'!D$376</f>
        <v>0.54300000000000004</v>
      </c>
      <c r="E322" s="35">
        <f>'Fiscal Forecasts'!E$376</f>
        <v>0.65</v>
      </c>
      <c r="F322" s="35">
        <f>'Fiscal Forecasts'!F$376</f>
        <v>1.853</v>
      </c>
      <c r="G322" s="35">
        <f>'Fiscal Forecasts'!G$376</f>
        <v>1.4890000000000001</v>
      </c>
      <c r="H322" s="35">
        <f>'Fiscal Forecasts'!H$376</f>
        <v>1.103</v>
      </c>
      <c r="I322" s="35">
        <f>'Fiscal Forecasts'!I$376</f>
        <v>0.83399999999999996</v>
      </c>
      <c r="J322" s="17">
        <f>'Fiscal Forecasts'!J$376</f>
        <v>1.194</v>
      </c>
      <c r="K322" s="17">
        <f>'Fiscal Forecasts'!K$376</f>
        <v>1.1739999999999999</v>
      </c>
      <c r="L322" s="17">
        <f>'Fiscal Forecasts'!L$376</f>
        <v>1.3680000000000001</v>
      </c>
      <c r="M322" s="17">
        <f>'Fiscal Forecasts'!M$376</f>
        <v>1.4219999999999999</v>
      </c>
      <c r="N322" s="17">
        <f>'Fiscal Forecasts'!N$376</f>
        <v>1.448</v>
      </c>
      <c r="O322" s="16">
        <f t="shared" ref="O322:X322" ca="1" si="199">N$322*(1+O$29)</f>
        <v>1.4769600000000001</v>
      </c>
      <c r="P322" s="16">
        <f t="shared" ca="1" si="199"/>
        <v>1.5064992000000001</v>
      </c>
      <c r="Q322" s="16">
        <f t="shared" ca="1" si="199"/>
        <v>1.5366291840000001</v>
      </c>
      <c r="R322" s="16">
        <f t="shared" ca="1" si="199"/>
        <v>1.5673617676800002</v>
      </c>
      <c r="S322" s="16">
        <f t="shared" ca="1" si="199"/>
        <v>1.5987090030336002</v>
      </c>
      <c r="T322" s="16">
        <f t="shared" ca="1" si="199"/>
        <v>1.6306831830942723</v>
      </c>
      <c r="U322" s="16">
        <f t="shared" ca="1" si="199"/>
        <v>1.6632968467561577</v>
      </c>
      <c r="V322" s="16">
        <f t="shared" ca="1" si="199"/>
        <v>1.6965627836912809</v>
      </c>
      <c r="W322" s="16">
        <f t="shared" ca="1" si="199"/>
        <v>1.7304940393651065</v>
      </c>
      <c r="X322" s="16">
        <f t="shared" ca="1" si="199"/>
        <v>1.7651039201524086</v>
      </c>
    </row>
    <row r="323" spans="1:24" x14ac:dyDescent="0.25">
      <c r="A323" s="11" t="s">
        <v>1015</v>
      </c>
      <c r="B323" s="10" t="str">
        <f>$B$38</f>
        <v>From Fiscal Forecasts</v>
      </c>
      <c r="C323" s="64" cm="1">
        <f t="array" aca="1" ref="C323" ca="1">SUMPRODUCT(OFFSET($N$323,0,0,1,-OFFSET(Assumptions!$B$59,0,$C$1))/OFFSET($N$13,0,0,1,-OFFSET(Assumptions!$B$59,0,$C$1)))/OFFSET(Assumptions!$B$59,0,$C$1)</f>
        <v>2.6129615871008914E-3</v>
      </c>
      <c r="D323" s="35">
        <f>'Fiscal Forecasts'!D$68-D$322</f>
        <v>0.57599999999999996</v>
      </c>
      <c r="E323" s="35">
        <f>'Fiscal Forecasts'!E$68-E$322</f>
        <v>0.83500000000000008</v>
      </c>
      <c r="F323" s="35">
        <f>'Fiscal Forecasts'!F$68-F$322</f>
        <v>5.2999999999999936E-2</v>
      </c>
      <c r="G323" s="35">
        <f>'Fiscal Forecasts'!G$68-G$322</f>
        <v>1.0599999999999998</v>
      </c>
      <c r="H323" s="35">
        <f>'Fiscal Forecasts'!H$68-H$322</f>
        <v>1.2779999999999998</v>
      </c>
      <c r="I323" s="35">
        <f>'Fiscal Forecasts'!I$68-I$322</f>
        <v>1.4630000000000001</v>
      </c>
      <c r="J323" s="17">
        <f ca="1">'Fiscal Forecasts'!J$68-J$322+IF(OFFSET(Assumptions!$B$56,0,$C$1)="Yes",Allocation!C$24,0)</f>
        <v>1.5169999999999999</v>
      </c>
      <c r="K323" s="17">
        <f ca="1">'Fiscal Forecasts'!K$68-K$322+IF(OFFSET(Assumptions!$B$56,0,$C$1)="Yes",Allocation!D$24,0)</f>
        <v>1.4410000000000003</v>
      </c>
      <c r="L323" s="17">
        <f ca="1">'Fiscal Forecasts'!L$68-L$322+IF(OFFSET(Assumptions!$B$56,0,$C$1)="Yes",Allocation!E$24,0)</f>
        <v>1.2529999999999999</v>
      </c>
      <c r="M323" s="17">
        <f ca="1">'Fiscal Forecasts'!M$68-M$322+IF(OFFSET(Assumptions!$B$56,0,$C$1)="Yes",Allocation!F$24,0)</f>
        <v>1.159</v>
      </c>
      <c r="N323" s="17">
        <f ca="1">'Fiscal Forecasts'!N$68-N$322+IF(OFFSET(Assumptions!$B$56,0,$C$1)="Yes",Allocation!G$24,0)</f>
        <v>1.157</v>
      </c>
      <c r="O323" s="16">
        <f ca="1">N$323+IF(OFFSET(Assumptions!$B$57,0,$C$1)="Yes",Allocation!$B$24*O$247,IF(OFFSET(Assumptions!$B$58,0,$C$1)="Yes",(N$323/N$13+MIN(ABS($C$323-N$323/N$13),OFFSET(Assumptions!$B$60,0,$C$1))*SIGN($C$323-N$323/N$13))*O$13-N$323,0))</f>
        <v>1.157</v>
      </c>
      <c r="P323" s="16">
        <f ca="1">O$323+IF(OFFSET(Assumptions!$B$57,0,$C$1)="Yes",Allocation!$B$24*P$247,IF(OFFSET(Assumptions!$B$58,0,$C$1)="Yes",(O$323/O$13+MIN(ABS($C$323-O$323/O$13),OFFSET(Assumptions!$B$60,0,$C$1))*SIGN($C$323-O$323/O$13))*P$13-O$323,0))</f>
        <v>1.157</v>
      </c>
      <c r="Q323" s="16">
        <f ca="1">P$323+IF(OFFSET(Assumptions!$B$57,0,$C$1)="Yes",Allocation!$B$24*Q$247,IF(OFFSET(Assumptions!$B$58,0,$C$1)="Yes",(P$323/P$13+MIN(ABS($C$323-P$323/P$13),OFFSET(Assumptions!$B$60,0,$C$1))*SIGN($C$323-P$323/P$13))*Q$13-P$323,0))</f>
        <v>1.157</v>
      </c>
      <c r="R323" s="16">
        <f ca="1">Q$323+IF(OFFSET(Assumptions!$B$57,0,$C$1)="Yes",Allocation!$B$24*R$247,IF(OFFSET(Assumptions!$B$58,0,$C$1)="Yes",(Q$323/Q$13+MIN(ABS($C$323-Q$323/Q$13),OFFSET(Assumptions!$B$60,0,$C$1))*SIGN($C$323-Q$323/Q$13))*R$13-Q$323,0))</f>
        <v>1.157</v>
      </c>
      <c r="S323" s="16">
        <f ca="1">R$323+IF(OFFSET(Assumptions!$B$57,0,$C$1)="Yes",Allocation!$B$24*S$247,IF(OFFSET(Assumptions!$B$58,0,$C$1)="Yes",(R$323/R$13+MIN(ABS($C$323-R$323/R$13),OFFSET(Assumptions!$B$60,0,$C$1))*SIGN($C$323-R$323/R$13))*S$13-R$323,0))</f>
        <v>1.157</v>
      </c>
      <c r="T323" s="16">
        <f ca="1">S$323+IF(OFFSET(Assumptions!$B$57,0,$C$1)="Yes",Allocation!$B$24*T$247,IF(OFFSET(Assumptions!$B$58,0,$C$1)="Yes",(S$323/S$13+MIN(ABS($C$323-S$323/S$13),OFFSET(Assumptions!$B$60,0,$C$1))*SIGN($C$323-S$323/S$13))*T$13-S$323,0))</f>
        <v>1.157</v>
      </c>
      <c r="U323" s="16">
        <f ca="1">T$323+IF(OFFSET(Assumptions!$B$57,0,$C$1)="Yes",Allocation!$B$24*U$247,IF(OFFSET(Assumptions!$B$58,0,$C$1)="Yes",(T$323/T$13+MIN(ABS($C$323-T$323/T$13),OFFSET(Assumptions!$B$60,0,$C$1))*SIGN($C$323-T$323/T$13))*U$13-T$323,0))</f>
        <v>1.157</v>
      </c>
      <c r="V323" s="16">
        <f ca="1">U$323+IF(OFFSET(Assumptions!$B$57,0,$C$1)="Yes",Allocation!$B$24*V$247,IF(OFFSET(Assumptions!$B$58,0,$C$1)="Yes",(U$323/U$13+MIN(ABS($C$323-U$323/U$13),OFFSET(Assumptions!$B$60,0,$C$1))*SIGN($C$323-U$323/U$13))*V$13-U$323,0))</f>
        <v>1.157</v>
      </c>
      <c r="W323" s="16">
        <f ca="1">V$323+IF(OFFSET(Assumptions!$B$57,0,$C$1)="Yes",Allocation!$B$24*W$247,IF(OFFSET(Assumptions!$B$58,0,$C$1)="Yes",(V$323/V$13+MIN(ABS($C$323-V$323/V$13),OFFSET(Assumptions!$B$60,0,$C$1))*SIGN($C$323-V$323/V$13))*W$13-V$323,0))</f>
        <v>1.157</v>
      </c>
      <c r="X323" s="16">
        <f ca="1">W$323+IF(OFFSET(Assumptions!$B$57,0,$C$1)="Yes",Allocation!$B$24*X$247,IF(OFFSET(Assumptions!$B$58,0,$C$1)="Yes",(W$323/W$13+MIN(ABS($C$323-W$323/W$13),OFFSET(Assumptions!$B$60,0,$C$1))*SIGN($C$323-W$323/W$13))*X$13-W$323,0))</f>
        <v>1.157</v>
      </c>
    </row>
    <row r="324" spans="1:24" x14ac:dyDescent="0.25">
      <c r="A324" s="9" t="s">
        <v>1016</v>
      </c>
      <c r="D324" s="65">
        <f t="shared" ref="D324:X324" si="200">SUM(D$322:D$323)</f>
        <v>1.119</v>
      </c>
      <c r="E324" s="65">
        <f t="shared" si="200"/>
        <v>1.4850000000000001</v>
      </c>
      <c r="F324" s="65">
        <f t="shared" si="200"/>
        <v>1.9059999999999999</v>
      </c>
      <c r="G324" s="65">
        <f t="shared" si="200"/>
        <v>2.5489999999999999</v>
      </c>
      <c r="H324" s="65">
        <f t="shared" si="200"/>
        <v>2.3809999999999998</v>
      </c>
      <c r="I324" s="65">
        <f t="shared" si="200"/>
        <v>2.2970000000000002</v>
      </c>
      <c r="J324" s="66">
        <f t="shared" ca="1" si="200"/>
        <v>2.7109999999999999</v>
      </c>
      <c r="K324" s="66">
        <f t="shared" ca="1" si="200"/>
        <v>2.6150000000000002</v>
      </c>
      <c r="L324" s="66">
        <f t="shared" ca="1" si="200"/>
        <v>2.621</v>
      </c>
      <c r="M324" s="66">
        <f t="shared" ca="1" si="200"/>
        <v>2.581</v>
      </c>
      <c r="N324" s="66">
        <f t="shared" ca="1" si="200"/>
        <v>2.605</v>
      </c>
      <c r="O324" s="67">
        <f t="shared" ca="1" si="200"/>
        <v>2.6339600000000001</v>
      </c>
      <c r="P324" s="67">
        <f t="shared" ca="1" si="200"/>
        <v>2.6634992000000004</v>
      </c>
      <c r="Q324" s="67">
        <f t="shared" ca="1" si="200"/>
        <v>2.6936291840000002</v>
      </c>
      <c r="R324" s="67">
        <f t="shared" ca="1" si="200"/>
        <v>2.7243617676800005</v>
      </c>
      <c r="S324" s="67">
        <f t="shared" ca="1" si="200"/>
        <v>2.7557090030336004</v>
      </c>
      <c r="T324" s="67">
        <f t="shared" ca="1" si="200"/>
        <v>2.7876831830942725</v>
      </c>
      <c r="U324" s="67">
        <f t="shared" ca="1" si="200"/>
        <v>2.8202968467561575</v>
      </c>
      <c r="V324" s="67">
        <f t="shared" ca="1" si="200"/>
        <v>2.8535627836912809</v>
      </c>
      <c r="W324" s="67">
        <f t="shared" ca="1" si="200"/>
        <v>2.8874940393651065</v>
      </c>
      <c r="X324" s="67">
        <f t="shared" ca="1" si="200"/>
        <v>2.9221039201524084</v>
      </c>
    </row>
    <row r="325" spans="1:24" x14ac:dyDescent="0.25">
      <c r="A325" s="9" t="s">
        <v>1017</v>
      </c>
      <c r="B325" s="10" t="str">
        <f>$B$38</f>
        <v>From Fiscal Forecasts</v>
      </c>
      <c r="D325" s="42">
        <f>'Fiscal Forecasts'!D$51</f>
        <v>1.1080000000000001</v>
      </c>
      <c r="E325" s="42">
        <f>'Fiscal Forecasts'!E$51</f>
        <v>1.472</v>
      </c>
      <c r="F325" s="42">
        <f>'Fiscal Forecasts'!F$51</f>
        <v>1.889</v>
      </c>
      <c r="G325" s="42">
        <f>'Fiscal Forecasts'!G$51</f>
        <v>2.5350000000000001</v>
      </c>
      <c r="H325" s="42">
        <f>'Fiscal Forecasts'!H$51</f>
        <v>2.3530000000000002</v>
      </c>
      <c r="I325" s="42">
        <f>'Fiscal Forecasts'!I$51</f>
        <v>2.2770000000000001</v>
      </c>
      <c r="J325" s="43">
        <f ca="1">'Fiscal Forecasts'!J$51+IF(OFFSET(Assumptions!$B$56,0,$C$1)="Yes",Allocation!C$24,0)</f>
        <v>2.71</v>
      </c>
      <c r="K325" s="43">
        <f ca="1">'Fiscal Forecasts'!K$51+IF(OFFSET(Assumptions!$B$56,0,$C$1)="Yes",Allocation!D$24,0)</f>
        <v>2.6110000000000002</v>
      </c>
      <c r="L325" s="43">
        <f ca="1">'Fiscal Forecasts'!L$51+IF(OFFSET(Assumptions!$B$56,0,$C$1)="Yes",Allocation!E$24,0)</f>
        <v>2.617</v>
      </c>
      <c r="M325" s="43">
        <f ca="1">'Fiscal Forecasts'!M$51+IF(OFFSET(Assumptions!$B$56,0,$C$1)="Yes",Allocation!F$24,0)</f>
        <v>2.577</v>
      </c>
      <c r="N325" s="43">
        <f ca="1">'Fiscal Forecasts'!N$51+IF(OFFSET(Assumptions!$B$56,0,$C$1)="Yes",Allocation!G$24,0)</f>
        <v>2.601</v>
      </c>
      <c r="O325" s="47">
        <f t="shared" ref="O325:X325" ca="1" si="201">O$324</f>
        <v>2.6339600000000001</v>
      </c>
      <c r="P325" s="47">
        <f t="shared" ca="1" si="201"/>
        <v>2.6634992000000004</v>
      </c>
      <c r="Q325" s="47">
        <f t="shared" ca="1" si="201"/>
        <v>2.6936291840000002</v>
      </c>
      <c r="R325" s="47">
        <f t="shared" ca="1" si="201"/>
        <v>2.7243617676800005</v>
      </c>
      <c r="S325" s="47">
        <f t="shared" ca="1" si="201"/>
        <v>2.7557090030336004</v>
      </c>
      <c r="T325" s="47">
        <f t="shared" ca="1" si="201"/>
        <v>2.7876831830942725</v>
      </c>
      <c r="U325" s="47">
        <f t="shared" ca="1" si="201"/>
        <v>2.8202968467561575</v>
      </c>
      <c r="V325" s="47">
        <f t="shared" ca="1" si="201"/>
        <v>2.8535627836912809</v>
      </c>
      <c r="W325" s="47">
        <f t="shared" ca="1" si="201"/>
        <v>2.8874940393651065</v>
      </c>
      <c r="X325" s="47">
        <f t="shared" ca="1" si="201"/>
        <v>2.9221039201524084</v>
      </c>
    </row>
    <row r="327" spans="1:24" x14ac:dyDescent="0.25">
      <c r="A327" s="9" t="s">
        <v>1018</v>
      </c>
    </row>
    <row r="328" spans="1:24" x14ac:dyDescent="0.25">
      <c r="A328" s="9" t="s">
        <v>1019</v>
      </c>
      <c r="B328" s="10" t="str">
        <f>$B$38</f>
        <v>From Fiscal Forecasts</v>
      </c>
      <c r="D328" s="42">
        <f>'Fiscal Forecasts'!D$70</f>
        <v>9.6000000000000002E-2</v>
      </c>
      <c r="E328" s="42">
        <f>'Fiscal Forecasts'!E$70</f>
        <v>6.3E-2</v>
      </c>
      <c r="F328" s="42">
        <f>'Fiscal Forecasts'!F$70</f>
        <v>0.254</v>
      </c>
      <c r="G328" s="42">
        <f>'Fiscal Forecasts'!G$70</f>
        <v>0.26900000000000002</v>
      </c>
      <c r="H328" s="42">
        <f>'Fiscal Forecasts'!H$70</f>
        <v>0.13300000000000001</v>
      </c>
      <c r="I328" s="42">
        <f>'Fiscal Forecasts'!I$70</f>
        <v>0.14499999999999999</v>
      </c>
      <c r="J328" s="43">
        <f>'Fiscal Forecasts'!J$70+0.001</f>
        <v>0.25600000000000001</v>
      </c>
      <c r="K328" s="43">
        <f>'Fiscal Forecasts'!K$70</f>
        <v>9.2999999999999999E-2</v>
      </c>
      <c r="L328" s="43">
        <f>'Fiscal Forecasts'!L$70</f>
        <v>0.316</v>
      </c>
      <c r="M328" s="43">
        <f>'Fiscal Forecasts'!M$70</f>
        <v>0.316</v>
      </c>
      <c r="N328" s="43">
        <f>'Fiscal Forecasts'!N$70</f>
        <v>0.316</v>
      </c>
      <c r="O328" s="47">
        <f ca="1">IF(O$6=OFFSET(Assumptions!$B$8,0,$C$1),OFFSET(Assumptions!$B$9,0,$C$1),N$328)</f>
        <v>0</v>
      </c>
      <c r="P328" s="47">
        <f ca="1">IF(P$6=OFFSET(Assumptions!$B$8,0,$C$1),OFFSET(Assumptions!$B$9,0,$C$1),O$328)</f>
        <v>0</v>
      </c>
      <c r="Q328" s="47">
        <f ca="1">IF(Q$6=OFFSET(Assumptions!$B$8,0,$C$1),OFFSET(Assumptions!$B$9,0,$C$1),P$328)</f>
        <v>0</v>
      </c>
      <c r="R328" s="47">
        <f ca="1">IF(R$6=OFFSET(Assumptions!$B$8,0,$C$1),OFFSET(Assumptions!$B$9,0,$C$1),Q$328)</f>
        <v>0</v>
      </c>
      <c r="S328" s="47">
        <f ca="1">IF(S$6=OFFSET(Assumptions!$B$8,0,$C$1),OFFSET(Assumptions!$B$9,0,$C$1),R$328)</f>
        <v>0</v>
      </c>
      <c r="T328" s="47">
        <f ca="1">IF(T$6=OFFSET(Assumptions!$B$8,0,$C$1),OFFSET(Assumptions!$B$9,0,$C$1),S$328)</f>
        <v>0</v>
      </c>
      <c r="U328" s="47">
        <f ca="1">IF(U$6=OFFSET(Assumptions!$B$8,0,$C$1),OFFSET(Assumptions!$B$9,0,$C$1),T$328)</f>
        <v>0</v>
      </c>
      <c r="V328" s="47">
        <f ca="1">IF(V$6=OFFSET(Assumptions!$B$8,0,$C$1),OFFSET(Assumptions!$B$9,0,$C$1),U$328)</f>
        <v>0</v>
      </c>
      <c r="W328" s="47">
        <f ca="1">IF(W$6=OFFSET(Assumptions!$B$8,0,$C$1),OFFSET(Assumptions!$B$9,0,$C$1),V$328)</f>
        <v>0</v>
      </c>
      <c r="X328" s="47">
        <f ca="1">IF(X$6=OFFSET(Assumptions!$B$8,0,$C$1),OFFSET(Assumptions!$B$9,0,$C$1),W$328)</f>
        <v>0</v>
      </c>
    </row>
    <row r="329" spans="1:24" x14ac:dyDescent="0.25">
      <c r="A329" s="9" t="s">
        <v>1020</v>
      </c>
      <c r="B329" s="10" t="str">
        <f>$B$38</f>
        <v>From Fiscal Forecasts</v>
      </c>
      <c r="D329" s="42">
        <f>'Fiscal Forecasts'!D$53</f>
        <v>9.6000000000000002E-2</v>
      </c>
      <c r="E329" s="42">
        <f>'Fiscal Forecasts'!E$53</f>
        <v>6.3E-2</v>
      </c>
      <c r="F329" s="42">
        <f>'Fiscal Forecasts'!F$53</f>
        <v>0.254</v>
      </c>
      <c r="G329" s="42">
        <f>'Fiscal Forecasts'!G$53</f>
        <v>0.24199999999999999</v>
      </c>
      <c r="H329" s="42">
        <f>'Fiscal Forecasts'!H$53</f>
        <v>0.13300000000000001</v>
      </c>
      <c r="I329" s="42">
        <f>'Fiscal Forecasts'!I$53</f>
        <v>0.14499999999999999</v>
      </c>
      <c r="J329" s="43">
        <f>'Fiscal Forecasts'!J$53</f>
        <v>0.255</v>
      </c>
      <c r="K329" s="43">
        <f>'Fiscal Forecasts'!K$53</f>
        <v>9.2999999999999999E-2</v>
      </c>
      <c r="L329" s="43">
        <f>'Fiscal Forecasts'!L$53</f>
        <v>0.316</v>
      </c>
      <c r="M329" s="43">
        <f>'Fiscal Forecasts'!M$53</f>
        <v>0.316</v>
      </c>
      <c r="N329" s="43">
        <f>'Fiscal Forecasts'!N$53</f>
        <v>0.316</v>
      </c>
      <c r="O329" s="47">
        <f ca="1">IF(O$6=OFFSET(Assumptions!$B$8,0,$C$1),OFFSET(Assumptions!$B$9,0,$C$1),N$329)</f>
        <v>0</v>
      </c>
      <c r="P329" s="47">
        <f ca="1">IF(P$6=OFFSET(Assumptions!$B$8,0,$C$1),OFFSET(Assumptions!$B$9,0,$C$1),O$329)</f>
        <v>0</v>
      </c>
      <c r="Q329" s="47">
        <f ca="1">IF(Q$6=OFFSET(Assumptions!$B$8,0,$C$1),OFFSET(Assumptions!$B$9,0,$C$1),P$329)</f>
        <v>0</v>
      </c>
      <c r="R329" s="47">
        <f ca="1">IF(R$6=OFFSET(Assumptions!$B$8,0,$C$1),OFFSET(Assumptions!$B$9,0,$C$1),Q$329)</f>
        <v>0</v>
      </c>
      <c r="S329" s="47">
        <f ca="1">IF(S$6=OFFSET(Assumptions!$B$8,0,$C$1),OFFSET(Assumptions!$B$9,0,$C$1),R$329)</f>
        <v>0</v>
      </c>
      <c r="T329" s="47">
        <f ca="1">IF(T$6=OFFSET(Assumptions!$B$8,0,$C$1),OFFSET(Assumptions!$B$9,0,$C$1),S$329)</f>
        <v>0</v>
      </c>
      <c r="U329" s="47">
        <f ca="1">IF(U$6=OFFSET(Assumptions!$B$8,0,$C$1),OFFSET(Assumptions!$B$9,0,$C$1),T$329)</f>
        <v>0</v>
      </c>
      <c r="V329" s="47">
        <f ca="1">IF(V$6=OFFSET(Assumptions!$B$8,0,$C$1),OFFSET(Assumptions!$B$9,0,$C$1),U$329)</f>
        <v>0</v>
      </c>
      <c r="W329" s="47">
        <f ca="1">IF(W$6=OFFSET(Assumptions!$B$8,0,$C$1),OFFSET(Assumptions!$B$9,0,$C$1),V$329)</f>
        <v>0</v>
      </c>
      <c r="X329" s="47">
        <f ca="1">IF(X$6=OFFSET(Assumptions!$B$8,0,$C$1),OFFSET(Assumptions!$B$9,0,$C$1),W$329)</f>
        <v>0</v>
      </c>
    </row>
    <row r="331" spans="1:24" x14ac:dyDescent="0.25">
      <c r="A331" s="12" t="s">
        <v>1021</v>
      </c>
    </row>
    <row r="332" spans="1:24" x14ac:dyDescent="0.25">
      <c r="A332" s="9" t="s">
        <v>1022</v>
      </c>
      <c r="D332" s="42">
        <f>SUM(D$196,D$261,D$267:D$270,D$273,D$283,D$288,D$301,D$306,D$310,D$314,D$318,D$324)</f>
        <v>50.609000000000002</v>
      </c>
      <c r="E332" s="42">
        <f t="shared" ref="E332:N332" si="202">SUM(E$196,E$261,E$267:E$270,E$273,E$283,E$288,E$301,E$306,E$310,E$314,E$318,E$324)</f>
        <v>57.67</v>
      </c>
      <c r="F332" s="42">
        <f t="shared" si="202"/>
        <v>62.933000000000007</v>
      </c>
      <c r="G332" s="42">
        <f t="shared" si="202"/>
        <v>73.015000000000001</v>
      </c>
      <c r="H332" s="42">
        <f t="shared" si="202"/>
        <v>73.475000000000009</v>
      </c>
      <c r="I332" s="42">
        <f t="shared" si="202"/>
        <v>79.288999999999987</v>
      </c>
      <c r="J332" s="43">
        <f t="shared" ca="1" si="202"/>
        <v>82.172999999999988</v>
      </c>
      <c r="K332" s="43">
        <f t="shared" ca="1" si="202"/>
        <v>83.652000000000001</v>
      </c>
      <c r="L332" s="43">
        <f t="shared" ca="1" si="202"/>
        <v>84.725999999999999</v>
      </c>
      <c r="M332" s="43">
        <f t="shared" ca="1" si="202"/>
        <v>83.350000000000009</v>
      </c>
      <c r="N332" s="43">
        <f t="shared" ca="1" si="202"/>
        <v>83.543000000000006</v>
      </c>
      <c r="O332" s="47">
        <f ca="1">SUM(O$196,O$261,O$267:O$270,O$273,O$283,O$288,O$301,O$306,O$310,O$314,O$318,O$324)</f>
        <v>83.571960000000004</v>
      </c>
      <c r="P332" s="47">
        <f t="shared" ref="P332:X332" ca="1" si="203">SUM(P$196,P$261,P$267:P$270,P$273,P$283,P$288,P$301,P$306,P$310,P$314,P$318,P$324)</f>
        <v>83.601499200000006</v>
      </c>
      <c r="Q332" s="47">
        <f t="shared" ca="1" si="203"/>
        <v>83.631629184000005</v>
      </c>
      <c r="R332" s="47">
        <f t="shared" ca="1" si="203"/>
        <v>83.662361767679997</v>
      </c>
      <c r="S332" s="47">
        <f t="shared" ca="1" si="203"/>
        <v>83.693709003033604</v>
      </c>
      <c r="T332" s="47">
        <f t="shared" ca="1" si="203"/>
        <v>83.725683183094276</v>
      </c>
      <c r="U332" s="47">
        <f t="shared" ca="1" si="203"/>
        <v>83.758296846756167</v>
      </c>
      <c r="V332" s="47">
        <f t="shared" ca="1" si="203"/>
        <v>83.79156278369129</v>
      </c>
      <c r="W332" s="47">
        <f t="shared" ca="1" si="203"/>
        <v>83.825494039365111</v>
      </c>
      <c r="X332" s="47">
        <f t="shared" ca="1" si="203"/>
        <v>83.860103920152412</v>
      </c>
    </row>
    <row r="333" spans="1:24" x14ac:dyDescent="0.25">
      <c r="A333" s="9" t="s">
        <v>1023</v>
      </c>
      <c r="D333" s="42">
        <f>SUM(D$261,D$272,D$267:D$270,D$273,D$280,D$282,D$292,D$328)</f>
        <v>35.922000000000004</v>
      </c>
      <c r="E333" s="42">
        <f t="shared" ref="E333:N333" si="204">SUM(E$261,E$272,E$267:E$270,E$273,E$280,E$282,E$292,E$328)</f>
        <v>40.394000000000005</v>
      </c>
      <c r="F333" s="42">
        <f t="shared" si="204"/>
        <v>45.15</v>
      </c>
      <c r="G333" s="42">
        <f t="shared" si="204"/>
        <v>50.318999999999996</v>
      </c>
      <c r="H333" s="42">
        <f t="shared" si="204"/>
        <v>54.479000000000006</v>
      </c>
      <c r="I333" s="42">
        <f t="shared" si="204"/>
        <v>57.910000000000011</v>
      </c>
      <c r="J333" s="43">
        <f t="shared" ca="1" si="204"/>
        <v>59.698000000000008</v>
      </c>
      <c r="K333" s="43">
        <f t="shared" ca="1" si="204"/>
        <v>62.681000000000012</v>
      </c>
      <c r="L333" s="43">
        <f t="shared" ca="1" si="204"/>
        <v>61.891999999999996</v>
      </c>
      <c r="M333" s="43">
        <f t="shared" ca="1" si="204"/>
        <v>61.378000000000014</v>
      </c>
      <c r="N333" s="43">
        <f t="shared" ca="1" si="204"/>
        <v>61.955999999999996</v>
      </c>
      <c r="O333" s="47">
        <f ca="1">SUM(O$261,O$272,O$267:O$270,O$273,O$280,O$282,O$292,O$328)</f>
        <v>61.699673459683858</v>
      </c>
      <c r="P333" s="47">
        <f t="shared" ref="P333:X333" ca="1" si="205">SUM(P$261,P$272,P$267:P$270,P$273,P$280,P$282,P$292,P$328)</f>
        <v>61.773095236484288</v>
      </c>
      <c r="Q333" s="47">
        <f t="shared" ca="1" si="205"/>
        <v>62.039419413041301</v>
      </c>
      <c r="R333" s="47">
        <f t="shared" ca="1" si="205"/>
        <v>62.344246204213974</v>
      </c>
      <c r="S333" s="47">
        <f t="shared" ca="1" si="205"/>
        <v>62.65346005167558</v>
      </c>
      <c r="T333" s="47">
        <f t="shared" ca="1" si="205"/>
        <v>62.967636806884315</v>
      </c>
      <c r="U333" s="47">
        <f t="shared" ca="1" si="205"/>
        <v>63.285042281704051</v>
      </c>
      <c r="V333" s="47">
        <f t="shared" ca="1" si="205"/>
        <v>63.606154406787276</v>
      </c>
      <c r="W333" s="47">
        <f t="shared" ca="1" si="205"/>
        <v>63.933150331659093</v>
      </c>
      <c r="X333" s="47">
        <f t="shared" ca="1" si="205"/>
        <v>64.267503653169726</v>
      </c>
    </row>
    <row r="334" spans="1:24" x14ac:dyDescent="0.25">
      <c r="A334" s="12" t="s">
        <v>1024</v>
      </c>
    </row>
    <row r="335" spans="1:24" x14ac:dyDescent="0.25">
      <c r="A335" s="9" t="s">
        <v>1025</v>
      </c>
      <c r="B335" s="10" t="str">
        <f>$B$38</f>
        <v>From Fiscal Forecasts</v>
      </c>
      <c r="D335" s="42">
        <f>'Fiscal Forecasts'!D$211</f>
        <v>6.7160000000000002</v>
      </c>
      <c r="E335" s="42">
        <f>'Fiscal Forecasts'!E$211</f>
        <v>7.5140000000000002</v>
      </c>
      <c r="F335" s="42">
        <f>'Fiscal Forecasts'!F$211</f>
        <v>8.0459999999999994</v>
      </c>
      <c r="G335" s="42">
        <f>'Fiscal Forecasts'!G$211</f>
        <v>8.5389999999999997</v>
      </c>
      <c r="H335" s="42">
        <f>'Fiscal Forecasts'!H$211</f>
        <v>10.163</v>
      </c>
      <c r="I335" s="42">
        <f>'Fiscal Forecasts'!I$211</f>
        <v>10.747999999999999</v>
      </c>
      <c r="J335" s="43">
        <f>'Fiscal Forecasts'!J$211</f>
        <v>10.715999999999999</v>
      </c>
      <c r="K335" s="43">
        <f>'Fiscal Forecasts'!K$211</f>
        <v>10.582000000000001</v>
      </c>
      <c r="L335" s="43">
        <f>'Fiscal Forecasts'!L$211</f>
        <v>10.785</v>
      </c>
      <c r="M335" s="43">
        <f>'Fiscal Forecasts'!M$211</f>
        <v>10.513999999999999</v>
      </c>
      <c r="N335" s="43">
        <f>'Fiscal Forecasts'!N$211</f>
        <v>10.589</v>
      </c>
      <c r="O335" s="47">
        <f ca="1">IF(O$6=OFFSET(Assumptions!$B$8,0,$C$1),AVERAGE(L$335/SUM(L$252-L$251,L$285-L$284,L$289-L$288,,L$307-L$306,L$311-L$310,L$315-L$314,L$319-L$318,L$325-L$324),M$335/SUM(M$252-M$251,M$285-M$284,M$289-M$288,,M$307-M$306,M$311-M$310,M$315-M$314,M$319-M$318,M$325-M$324),N$335/SUM(N$252-N$251,N$285-N$284,N$289-N$288,,N$307-N$306,N$311-N$310,N$315-N$314,N$319-N$318,N$325-N$324)),N$335/SUM(N$252-N$251,N$285-N$284,N$289-N$288,,N$307-N$306,N$311-N$310,N$315-N$314,N$319-N$318,N$325-N$324))*SUM(O$252-O$251,O$285-O$284,O$289-O$288,,O$307-O$306,O$311-O$310,O$315-O$314,O$319-O$318,O$325-O$324)</f>
        <v>10.933351291983374</v>
      </c>
      <c r="P335" s="47">
        <f ca="1">IF(P$6=OFFSET(Assumptions!$B$8,0,$C$1),AVERAGE(M$335/SUM(M$252-M$251,M$285-M$284,M$289-M$288,,M$307-M$306,M$311-M$310,M$315-M$314,M$319-M$318,M$325-M$324),N$335/SUM(N$252-N$251,N$285-N$284,N$289-N$288,,N$307-N$306,N$311-N$310,N$315-N$314,N$319-N$318,N$325-N$324),O$335/SUM(O$252-O$251,O$285-O$284,O$289-O$288,,O$307-O$306,O$311-O$310,O$315-O$314,O$319-O$318,O$325-O$324)),O$335/SUM(O$252-O$251,O$285-O$284,O$289-O$288,,O$307-O$306,O$311-O$310,O$315-O$314,O$319-O$318,O$325-O$324))*SUM(P$252-P$251,P$285-P$284,P$289-P$288,,P$307-P$306,P$311-P$310,P$315-P$314,P$319-P$318,P$325-P$324)</f>
        <v>11.151276459309566</v>
      </c>
      <c r="Q335" s="47">
        <f ca="1">IF(Q$6=OFFSET(Assumptions!$B$8,0,$C$1),AVERAGE(N$335/SUM(N$252-N$251,N$285-N$284,N$289-N$288,,N$307-N$306,N$311-N$310,N$315-N$314,N$319-N$318,N$325-N$324),O$335/SUM(O$252-O$251,O$285-O$284,O$289-O$288,,O$307-O$306,O$311-O$310,O$315-O$314,O$319-O$318,O$325-O$324),P$335/SUM(P$252-P$251,P$285-P$284,P$289-P$288,,P$307-P$306,P$311-P$310,P$315-P$314,P$319-P$318,P$325-P$324)),P$335/SUM(P$252-P$251,P$285-P$284,P$289-P$288,,P$307-P$306,P$311-P$310,P$315-P$314,P$319-P$318,P$325-P$324))*SUM(Q$252-Q$251,Q$285-Q$284,Q$289-Q$288,,Q$307-Q$306,Q$311-Q$310,Q$315-Q$314,Q$319-Q$318,Q$325-Q$324)</f>
        <v>11.373613760309013</v>
      </c>
      <c r="R335" s="47">
        <f ca="1">IF(R$6=OFFSET(Assumptions!$B$8,0,$C$1),AVERAGE(O$335/SUM(O$252-O$251,O$285-O$284,O$289-O$288,,O$307-O$306,O$311-O$310,O$315-O$314,O$319-O$318,O$325-O$324),P$335/SUM(P$252-P$251,P$285-P$284,P$289-P$288,,P$307-P$306,P$311-P$310,P$315-P$314,P$319-P$318,P$325-P$324),Q$335/SUM(Q$252-Q$251,Q$285-Q$284,Q$289-Q$288,,Q$307-Q$306,Q$311-Q$310,Q$315-Q$314,Q$319-Q$318,Q$325-Q$324)),Q$335/SUM(Q$252-Q$251,Q$285-Q$284,Q$289-Q$288,,Q$307-Q$306,Q$311-Q$310,Q$315-Q$314,Q$319-Q$318,Q$325-Q$324))*SUM(R$252-R$251,R$285-R$284,R$289-R$288,,R$307-R$306,R$311-R$310,R$315-R$314,R$319-R$318,R$325-R$324)</f>
        <v>11.600451437655186</v>
      </c>
      <c r="S335" s="47">
        <f ca="1">IF(S$6=OFFSET(Assumptions!$B$8,0,$C$1),AVERAGE(P$335/SUM(P$252-P$251,P$285-P$284,P$289-P$288,,P$307-P$306,P$311-P$310,P$315-P$314,P$319-P$318,P$325-P$324),Q$335/SUM(Q$252-Q$251,Q$285-Q$284,Q$289-Q$288,,Q$307-Q$306,Q$311-Q$310,Q$315-Q$314,Q$319-Q$318,Q$325-Q$324),R$335/SUM(R$252-R$251,R$285-R$284,R$289-R$288,,R$307-R$306,R$311-R$310,R$315-R$314,R$319-R$318,R$325-R$324)),R$335/SUM(R$252-R$251,R$285-R$284,R$289-R$288,,R$307-R$306,R$311-R$310,R$315-R$314,R$319-R$318,R$325-R$324))*SUM(S$252-S$251,S$285-S$284,S$289-S$288,,S$307-S$306,S$311-S$310,S$315-S$314,S$319-S$318,S$325-S$324)</f>
        <v>11.831879498875015</v>
      </c>
      <c r="T335" s="47">
        <f ca="1">IF(T$6=OFFSET(Assumptions!$B$8,0,$C$1),AVERAGE(Q$335/SUM(Q$252-Q$251,Q$285-Q$284,Q$289-Q$288,,Q$307-Q$306,Q$311-Q$310,Q$315-Q$314,Q$319-Q$318,Q$325-Q$324),R$335/SUM(R$252-R$251,R$285-R$284,R$289-R$288,,R$307-R$306,R$311-R$310,R$315-R$314,R$319-R$318,R$325-R$324),S$335/SUM(S$252-S$251,S$285-S$284,S$289-S$288,,S$307-S$306,S$311-S$310,S$315-S$314,S$319-S$318,S$325-S$324)),S$335/SUM(S$252-S$251,S$285-S$284,S$289-S$288,,S$307-S$306,S$311-S$310,S$315-S$314,S$319-S$318,S$325-S$324))*SUM(T$252-T$251,T$285-T$284,T$289-T$288,,T$307-T$306,T$311-T$310,T$315-T$314,T$319-T$318,T$325-T$324)</f>
        <v>12.067832015390875</v>
      </c>
      <c r="U335" s="47">
        <f ca="1">IF(U$6=OFFSET(Assumptions!$B$8,0,$C$1),AVERAGE(R$335/SUM(R$252-R$251,R$285-R$284,R$289-R$288,,R$307-R$306,R$311-R$310,R$315-R$314,R$319-R$318,R$325-R$324),S$335/SUM(S$252-S$251,S$285-S$284,S$289-S$288,,S$307-S$306,S$311-S$310,S$315-S$314,S$319-S$318,S$325-S$324),T$335/SUM(T$252-T$251,T$285-T$284,T$289-T$288,,T$307-T$306,T$311-T$310,T$315-T$314,T$319-T$318,T$325-T$324)),T$335/SUM(T$252-T$251,T$285-T$284,T$289-T$288,,T$307-T$306,T$311-T$310,T$315-T$314,T$319-T$318,T$325-T$324))*SUM(U$252-U$251,U$285-U$284,U$289-U$288,,U$307-U$306,U$311-U$310,U$315-U$314,U$319-U$318,U$325-U$324)</f>
        <v>12.308875839799098</v>
      </c>
      <c r="V335" s="47">
        <f ca="1">IF(V$6=OFFSET(Assumptions!$B$8,0,$C$1),AVERAGE(S$335/SUM(S$252-S$251,S$285-S$284,S$289-S$288,,S$307-S$306,S$311-S$310,S$315-S$314,S$319-S$318,S$325-S$324),T$335/SUM(T$252-T$251,T$285-T$284,T$289-T$288,,T$307-T$306,T$311-T$310,T$315-T$314,T$319-T$318,T$325-T$324),U$335/SUM(U$252-U$251,U$285-U$284,U$289-U$288,,U$307-U$306,U$311-U$310,U$315-U$314,U$319-U$318,U$325-U$324)),U$335/SUM(U$252-U$251,U$285-U$284,U$289-U$288,,U$307-U$306,U$311-U$310,U$315-U$314,U$319-U$318,U$325-U$324))*SUM(V$252-V$251,V$285-V$284,V$289-V$288,,V$307-V$306,V$311-V$310,V$315-V$314,V$319-V$318,V$325-V$324)</f>
        <v>12.554791016297116</v>
      </c>
      <c r="W335" s="47">
        <f ca="1">IF(W$6=OFFSET(Assumptions!$B$8,0,$C$1),AVERAGE(T$335/SUM(T$252-T$251,T$285-T$284,T$289-T$288,,T$307-T$306,T$311-T$310,T$315-T$314,T$319-T$318,T$325-T$324),U$335/SUM(U$252-U$251,U$285-U$284,U$289-U$288,,U$307-U$306,U$311-U$310,U$315-U$314,U$319-U$318,U$325-U$324),V$335/SUM(V$252-V$251,V$285-V$284,V$289-V$288,,V$307-V$306,V$311-V$310,V$315-V$314,V$319-V$318,V$325-V$324)),V$335/SUM(V$252-V$251,V$285-V$284,V$289-V$288,,V$307-V$306,V$311-V$310,V$315-V$314,V$319-V$318,V$325-V$324))*SUM(W$252-W$251,W$285-W$284,W$289-W$288,,W$307-W$306,W$311-W$310,W$315-W$314,W$319-W$318,W$325-W$324)</f>
        <v>12.805517235671624</v>
      </c>
      <c r="X335" s="47">
        <f ca="1">IF(X$6=OFFSET(Assumptions!$B$8,0,$C$1),AVERAGE(U$335/SUM(U$252-U$251,U$285-U$284,U$289-U$288,,U$307-U$306,U$311-U$310,U$315-U$314,U$319-U$318,U$325-U$324),V$335/SUM(V$252-V$251,V$285-V$284,V$289-V$288,,V$307-V$306,V$311-V$310,V$315-V$314,V$319-V$318,V$325-V$324),W$335/SUM(W$252-W$251,W$285-W$284,W$289-W$288,,W$307-W$306,W$311-W$310,W$315-W$314,W$319-W$318,W$325-W$324)),W$335/SUM(W$252-W$251,W$285-W$284,W$289-W$288,,W$307-W$306,W$311-W$310,W$315-W$314,W$319-W$318,W$325-W$324))*SUM(X$252-X$251,X$285-X$284,X$289-X$288,,X$307-X$306,X$311-X$310,X$315-X$314,X$319-X$318,X$325-X$324)</f>
        <v>13.061311609760359</v>
      </c>
    </row>
    <row r="336" spans="1:24" x14ac:dyDescent="0.25">
      <c r="A336" s="9" t="s">
        <v>1026</v>
      </c>
      <c r="B336" s="10" t="str">
        <f>$B$38</f>
        <v>From Fiscal Forecasts</v>
      </c>
      <c r="D336" s="42">
        <f>'Fiscal Forecasts'!D$212</f>
        <v>8.64</v>
      </c>
      <c r="E336" s="42">
        <f>'Fiscal Forecasts'!E$212</f>
        <v>8.3070000000000004</v>
      </c>
      <c r="F336" s="42">
        <f>'Fiscal Forecasts'!F$212</f>
        <v>10.321999999999999</v>
      </c>
      <c r="G336" s="42">
        <f>'Fiscal Forecasts'!G$212</f>
        <v>9.5259999999999998</v>
      </c>
      <c r="H336" s="42">
        <f>'Fiscal Forecasts'!H$212</f>
        <v>8.5609999999999999</v>
      </c>
      <c r="I336" s="42">
        <f>'Fiscal Forecasts'!I$212</f>
        <v>12.183</v>
      </c>
      <c r="J336" s="43">
        <f>'Fiscal Forecasts'!J$212</f>
        <v>12.733000000000001</v>
      </c>
      <c r="K336" s="43">
        <f>'Fiscal Forecasts'!K$212</f>
        <v>12.682</v>
      </c>
      <c r="L336" s="43">
        <f>'Fiscal Forecasts'!L$212</f>
        <v>12.77</v>
      </c>
      <c r="M336" s="43">
        <f>'Fiscal Forecasts'!M$212</f>
        <v>13.486000000000001</v>
      </c>
      <c r="N336" s="43">
        <f>'Fiscal Forecasts'!N$212</f>
        <v>13.352</v>
      </c>
      <c r="O336" s="47">
        <f ca="1">IF(O$6=OFFSET(Assumptions!$B$8,0,$C$1),AVERAGE(L$336/(L$303-L$302),M$336/(M$303-M$302),N$336/(N$303-N$302)),N$336/(N$303-N$302))*(O$303-O$302)</f>
        <v>13.642914754523931</v>
      </c>
      <c r="P336" s="47">
        <f ca="1">IF(P$6=OFFSET(Assumptions!$B$8,0,$C$1),AVERAGE(M$336/(M$303-M$302),N$336/(N$303-N$302),O$336/(O$303-O$302)),O$336/(O$303-O$302))*(P$303-P$302)</f>
        <v>13.915773049614408</v>
      </c>
      <c r="Q336" s="47">
        <f ca="1">IF(Q$6=OFFSET(Assumptions!$B$8,0,$C$1),AVERAGE(N$336/(N$303-N$302),O$336/(O$303-O$302),P$336/(P$303-P$302)),P$336/(P$303-P$302))*(Q$303-Q$302)</f>
        <v>14.194088510606699</v>
      </c>
      <c r="R336" s="47">
        <f ca="1">IF(R$6=OFFSET(Assumptions!$B$8,0,$C$1),AVERAGE(O$336/(O$303-O$302),P$336/(P$303-P$302),Q$336/(Q$303-Q$302)),Q$336/(Q$303-Q$302))*(R$303-R$302)</f>
        <v>14.477970280818834</v>
      </c>
      <c r="S336" s="47">
        <f ca="1">IF(S$6=OFFSET(Assumptions!$B$8,0,$C$1),AVERAGE(P$336/(P$303-P$302),Q$336/(Q$303-Q$302),R$336/(R$303-R$302)),R$336/(R$303-R$302))*(S$303-S$302)</f>
        <v>14.767529686435209</v>
      </c>
      <c r="T336" s="47">
        <f ca="1">IF(T$6=OFFSET(Assumptions!$B$8,0,$C$1),AVERAGE(Q$336/(Q$303-Q$302),R$336/(R$303-R$302),S$336/(S$303-S$302)),S$336/(S$303-S$302))*(T$303-T$302)</f>
        <v>15.062880280163913</v>
      </c>
      <c r="U336" s="47">
        <f ca="1">IF(U$6=OFFSET(Assumptions!$B$8,0,$C$1),AVERAGE(R$336/(R$303-R$302),S$336/(S$303-S$302),T$336/(T$303-T$302)),T$336/(T$303-T$302))*(U$303-U$302)</f>
        <v>15.364137885767189</v>
      </c>
      <c r="V336" s="47">
        <f ca="1">IF(V$6=OFFSET(Assumptions!$B$8,0,$C$1),AVERAGE(S$336/(S$303-S$302),T$336/(T$303-T$302),U$336/(U$303-U$302)),U$336/(U$303-U$302))*(V$303-V$302)</f>
        <v>15.671420643482532</v>
      </c>
      <c r="W336" s="47">
        <f ca="1">IF(W$6=OFFSET(Assumptions!$B$8,0,$C$1),AVERAGE(T$336/(T$303-T$302),U$336/(U$303-U$302),V$336/(V$303-V$302)),V$336/(V$303-V$302))*(W$303-W$302)</f>
        <v>15.984849056352184</v>
      </c>
      <c r="X336" s="47">
        <f ca="1">IF(X$6=OFFSET(Assumptions!$B$8,0,$C$1),AVERAGE(U$336/(U$303-U$302),V$336/(V$303-V$302),W$336/(W$303-W$302)),W$336/(W$303-W$302))*(X$303-X$302)</f>
        <v>16.304546037479231</v>
      </c>
    </row>
    <row r="337" spans="1:24" x14ac:dyDescent="0.25">
      <c r="A337" s="9" t="s">
        <v>1027</v>
      </c>
      <c r="B337" s="10" t="str">
        <f>$B$38</f>
        <v>From Fiscal Forecasts</v>
      </c>
      <c r="D337" s="42">
        <f>'Fiscal Forecasts'!D$213</f>
        <v>-3.629</v>
      </c>
      <c r="E337" s="42">
        <f>'Fiscal Forecasts'!E$213</f>
        <v>-3.7549999999999999</v>
      </c>
      <c r="F337" s="42">
        <f>'Fiscal Forecasts'!F$213</f>
        <v>-4.7350000000000003</v>
      </c>
      <c r="G337" s="42">
        <f>'Fiscal Forecasts'!G$213</f>
        <v>-4.2939999999999996</v>
      </c>
      <c r="H337" s="42">
        <f>'Fiscal Forecasts'!H$213</f>
        <v>-4.1829999999999998</v>
      </c>
      <c r="I337" s="42">
        <f>'Fiscal Forecasts'!I$213</f>
        <v>-4.7560000000000002</v>
      </c>
      <c r="J337" s="43">
        <f>'Fiscal Forecasts'!J$213</f>
        <v>-4.673</v>
      </c>
      <c r="K337" s="43">
        <f>'Fiscal Forecasts'!K$213</f>
        <v>-4.4359999999999999</v>
      </c>
      <c r="L337" s="43">
        <f>'Fiscal Forecasts'!L$213</f>
        <v>-4.37</v>
      </c>
      <c r="M337" s="43">
        <f>'Fiscal Forecasts'!M$213</f>
        <v>-4.0789999999999997</v>
      </c>
      <c r="N337" s="43">
        <f>'Fiscal Forecasts'!N$213</f>
        <v>-4.1230000000000002</v>
      </c>
      <c r="O337" s="47">
        <f t="shared" ref="O337:X337" ca="1" si="206">SUM(O$252-O$251,O$285-O$284,O$289-O$288,O$303-O$302,O$307-O$306,O$311-O$310,O$315-O$314,O$319-O$318,O$325-O$324,-O$335,-O$336)</f>
        <v>-4.3111964281866957</v>
      </c>
      <c r="P337" s="47">
        <f t="shared" ca="1" si="206"/>
        <v>-4.3971332565066685</v>
      </c>
      <c r="Q337" s="47">
        <f t="shared" ca="1" si="206"/>
        <v>-4.4848095764017142</v>
      </c>
      <c r="R337" s="47">
        <f t="shared" ca="1" si="206"/>
        <v>-4.5742601777033318</v>
      </c>
      <c r="S337" s="47">
        <f t="shared" ca="1" si="206"/>
        <v>-4.6655205460396427</v>
      </c>
      <c r="T337" s="47">
        <f t="shared" ca="1" si="206"/>
        <v>-4.7585658326082108</v>
      </c>
      <c r="U337" s="47">
        <f t="shared" ca="1" si="206"/>
        <v>-4.8536160890859694</v>
      </c>
      <c r="V337" s="47">
        <f t="shared" ca="1" si="206"/>
        <v>-4.9505868848190939</v>
      </c>
      <c r="W337" s="47">
        <f t="shared" ca="1" si="206"/>
        <v>-5.0494555864495396</v>
      </c>
      <c r="X337" s="47">
        <f t="shared" ca="1" si="206"/>
        <v>-5.1503224171212594</v>
      </c>
    </row>
    <row r="339" spans="1:24" x14ac:dyDescent="0.25">
      <c r="A339" s="9" t="s">
        <v>1028</v>
      </c>
    </row>
    <row r="340" spans="1:24" x14ac:dyDescent="0.25">
      <c r="A340" s="11" t="s">
        <v>1029</v>
      </c>
      <c r="D340" s="35">
        <f t="shared" ref="D340:X340" si="207">D$387</f>
        <v>1.9550000000000001</v>
      </c>
      <c r="E340" s="35">
        <f t="shared" si="207"/>
        <v>1.7000000000000001E-2</v>
      </c>
      <c r="F340" s="35">
        <f t="shared" si="207"/>
        <v>12.786</v>
      </c>
      <c r="G340" s="35">
        <f t="shared" si="207"/>
        <v>-5.133</v>
      </c>
      <c r="H340" s="35">
        <f t="shared" si="207"/>
        <v>5.766</v>
      </c>
      <c r="I340" s="35">
        <f t="shared" si="207"/>
        <v>8.3520000000000003</v>
      </c>
      <c r="J340" s="17">
        <f t="shared" si="207"/>
        <v>6.6360000000000001</v>
      </c>
      <c r="K340" s="17">
        <f t="shared" si="207"/>
        <v>4.9329999999999998</v>
      </c>
      <c r="L340" s="17">
        <f t="shared" si="207"/>
        <v>5.2549999999999999</v>
      </c>
      <c r="M340" s="17">
        <f t="shared" si="207"/>
        <v>5.57</v>
      </c>
      <c r="N340" s="17">
        <f t="shared" si="207"/>
        <v>5.9210000000000003</v>
      </c>
      <c r="O340" s="16">
        <f t="shared" si="207"/>
        <v>6.2610978231927454</v>
      </c>
      <c r="P340" s="16">
        <f t="shared" si="207"/>
        <v>6.6338294179173811</v>
      </c>
      <c r="Q340" s="16">
        <f t="shared" si="207"/>
        <v>7.0205757760865257</v>
      </c>
      <c r="R340" s="16">
        <f t="shared" si="207"/>
        <v>7.419331001012468</v>
      </c>
      <c r="S340" s="16">
        <f t="shared" si="207"/>
        <v>7.8280508847065082</v>
      </c>
      <c r="T340" s="16">
        <f t="shared" si="207"/>
        <v>8.2464843934314178</v>
      </c>
      <c r="U340" s="16">
        <f t="shared" si="207"/>
        <v>8.6741216338815725</v>
      </c>
      <c r="V340" s="16">
        <f t="shared" si="207"/>
        <v>9.1104536804069181</v>
      </c>
      <c r="W340" s="16">
        <f t="shared" si="207"/>
        <v>9.558599761304043</v>
      </c>
      <c r="X340" s="16">
        <f t="shared" si="207"/>
        <v>10.023668382871231</v>
      </c>
    </row>
    <row r="341" spans="1:24" x14ac:dyDescent="0.25">
      <c r="A341" s="11" t="s">
        <v>1030</v>
      </c>
      <c r="B341" s="10" t="str">
        <f>$B$38</f>
        <v>From Fiscal Forecasts</v>
      </c>
      <c r="D341" s="35">
        <f>SUM('Fiscal Forecasts'!D$300,'Fiscal Forecasts'!D$306)-D$340</f>
        <v>1.2330000000000001</v>
      </c>
      <c r="E341" s="35">
        <f>SUM('Fiscal Forecasts'!E$300,'Fiscal Forecasts'!E$306)-E$340</f>
        <v>-3.9489999999999994</v>
      </c>
      <c r="F341" s="35">
        <f>SUM('Fiscal Forecasts'!F$300,'Fiscal Forecasts'!F$306)-F$340</f>
        <v>-5.2540000000000004</v>
      </c>
      <c r="G341" s="35">
        <f>SUM('Fiscal Forecasts'!G$300,'Fiscal Forecasts'!G$306)-G$340</f>
        <v>-6.0860000000000012</v>
      </c>
      <c r="H341" s="35">
        <f>SUM('Fiscal Forecasts'!H$300,'Fiscal Forecasts'!H$306)-H$340</f>
        <v>6.798</v>
      </c>
      <c r="I341" s="35">
        <f>SUM('Fiscal Forecasts'!I$300,'Fiscal Forecasts'!I$306)-I$340</f>
        <v>-0.45800000000000018</v>
      </c>
      <c r="J341" s="17">
        <f>SUM('Fiscal Forecasts'!J$300,'Fiscal Forecasts'!J$306)-J$340+IF($C$3="Yes",J$387-'NZSF Adjuster'!U$16,0)</f>
        <v>0.60099999999999998</v>
      </c>
      <c r="K341" s="17">
        <f>SUM('Fiscal Forecasts'!K$300,'Fiscal Forecasts'!K$306)-K$340+IF($C$3="Yes",K$387-'NZSF Adjuster'!V$16,0)</f>
        <v>0.22799999999999976</v>
      </c>
      <c r="L341" s="17">
        <f>SUM('Fiscal Forecasts'!L$300,'Fiscal Forecasts'!L$306)-L$340+IF($C$3="Yes",L$387-'NZSF Adjuster'!W$16,0)</f>
        <v>0.18200000000000038</v>
      </c>
      <c r="M341" s="17">
        <f>SUM('Fiscal Forecasts'!M$300,'Fiscal Forecasts'!M$306)-M$340+IF($C$3="Yes",M$387-'NZSF Adjuster'!X$16,0)</f>
        <v>0.17799999999999994</v>
      </c>
      <c r="N341" s="17">
        <f>SUM('Fiscal Forecasts'!N$300,'Fiscal Forecasts'!N$306)-N$340+IF($C$3="Yes",N$387-'NZSF Adjuster'!Y$16,0)</f>
        <v>0.16199999999999992</v>
      </c>
      <c r="O341" s="16">
        <f t="shared" ref="O341:X341" ca="1" si="208">N$341*(1+O$14)</f>
        <v>0.16898990208893588</v>
      </c>
      <c r="P341" s="16">
        <f t="shared" ca="1" si="208"/>
        <v>0.17619734820041857</v>
      </c>
      <c r="Q341" s="16">
        <f t="shared" ca="1" si="208"/>
        <v>0.18342044364656629</v>
      </c>
      <c r="R341" s="16">
        <f t="shared" ca="1" si="208"/>
        <v>0.19064289879790539</v>
      </c>
      <c r="S341" s="16">
        <f t="shared" ca="1" si="208"/>
        <v>0.19802460663705423</v>
      </c>
      <c r="T341" s="16">
        <f t="shared" ca="1" si="208"/>
        <v>0.20555430201785468</v>
      </c>
      <c r="U341" s="16">
        <f t="shared" ca="1" si="208"/>
        <v>0.21318439121948451</v>
      </c>
      <c r="V341" s="16">
        <f t="shared" ca="1" si="208"/>
        <v>0.22092919733992919</v>
      </c>
      <c r="W341" s="16">
        <f t="shared" ca="1" si="208"/>
        <v>0.22878843183492686</v>
      </c>
      <c r="X341" s="16">
        <f t="shared" ca="1" si="208"/>
        <v>0.23682131819704325</v>
      </c>
    </row>
    <row r="342" spans="1:24" x14ac:dyDescent="0.25">
      <c r="A342" s="9" t="s">
        <v>1031</v>
      </c>
      <c r="D342" s="65">
        <f t="shared" ref="D342:X342" si="209">SUM(D$340:D$341)</f>
        <v>3.1880000000000002</v>
      </c>
      <c r="E342" s="65">
        <f t="shared" si="209"/>
        <v>-3.9319999999999995</v>
      </c>
      <c r="F342" s="65">
        <f t="shared" si="209"/>
        <v>7.5319999999999991</v>
      </c>
      <c r="G342" s="65">
        <f t="shared" si="209"/>
        <v>-11.219000000000001</v>
      </c>
      <c r="H342" s="65">
        <f t="shared" si="209"/>
        <v>12.564</v>
      </c>
      <c r="I342" s="65">
        <f t="shared" si="209"/>
        <v>7.8940000000000001</v>
      </c>
      <c r="J342" s="66">
        <f t="shared" si="209"/>
        <v>7.2370000000000001</v>
      </c>
      <c r="K342" s="66">
        <f t="shared" si="209"/>
        <v>5.1609999999999996</v>
      </c>
      <c r="L342" s="66">
        <f t="shared" si="209"/>
        <v>5.4370000000000003</v>
      </c>
      <c r="M342" s="66">
        <f t="shared" si="209"/>
        <v>5.7480000000000002</v>
      </c>
      <c r="N342" s="66">
        <f t="shared" si="209"/>
        <v>6.0830000000000002</v>
      </c>
      <c r="O342" s="67">
        <f t="shared" ca="1" si="209"/>
        <v>6.4300877252816813</v>
      </c>
      <c r="P342" s="67">
        <f t="shared" ca="1" si="209"/>
        <v>6.8100267661178</v>
      </c>
      <c r="Q342" s="67">
        <f t="shared" ca="1" si="209"/>
        <v>7.2039962197330922</v>
      </c>
      <c r="R342" s="67">
        <f t="shared" ca="1" si="209"/>
        <v>7.609973899810373</v>
      </c>
      <c r="S342" s="67">
        <f t="shared" ca="1" si="209"/>
        <v>8.0260754913435619</v>
      </c>
      <c r="T342" s="67">
        <f t="shared" ca="1" si="209"/>
        <v>8.4520386954492732</v>
      </c>
      <c r="U342" s="67">
        <f t="shared" ca="1" si="209"/>
        <v>8.8873060251010578</v>
      </c>
      <c r="V342" s="67">
        <f t="shared" ca="1" si="209"/>
        <v>9.3313828777468473</v>
      </c>
      <c r="W342" s="67">
        <f t="shared" ca="1" si="209"/>
        <v>9.7873881931389697</v>
      </c>
      <c r="X342" s="67">
        <f t="shared" ca="1" si="209"/>
        <v>10.260489701068273</v>
      </c>
    </row>
    <row r="343" spans="1:24" x14ac:dyDescent="0.25">
      <c r="A343" s="11" t="s">
        <v>707</v>
      </c>
      <c r="B343" s="10" t="str">
        <f>$B$38</f>
        <v>From Fiscal Forecasts</v>
      </c>
      <c r="D343" s="35">
        <f>SUM('Fiscal Forecasts'!D$301,'Fiscal Forecasts'!D$307)</f>
        <v>-7.8920000000000003</v>
      </c>
      <c r="E343" s="35">
        <f>SUM('Fiscal Forecasts'!E$301,'Fiscal Forecasts'!E$307)</f>
        <v>-4.32</v>
      </c>
      <c r="F343" s="35">
        <f>SUM('Fiscal Forecasts'!F$301,'Fiscal Forecasts'!F$307)</f>
        <v>12.293999999999999</v>
      </c>
      <c r="G343" s="35">
        <f>SUM('Fiscal Forecasts'!G$301,'Fiscal Forecasts'!G$307)</f>
        <v>1.3290000000000006</v>
      </c>
      <c r="H343" s="35">
        <f>SUM('Fiscal Forecasts'!H$301,'Fiscal Forecasts'!H$307)</f>
        <v>3</v>
      </c>
      <c r="I343" s="35">
        <f>SUM('Fiscal Forecasts'!I$301,'Fiscal Forecasts'!I$307)</f>
        <v>-3.415</v>
      </c>
      <c r="J343" s="17">
        <f>SUM('Fiscal Forecasts'!J$301,'Fiscal Forecasts'!J$307)</f>
        <v>2.4390000000000001</v>
      </c>
      <c r="K343" s="17">
        <f>SUM('Fiscal Forecasts'!K$301,'Fiscal Forecasts'!K$307)</f>
        <v>0.495</v>
      </c>
      <c r="L343" s="17">
        <f>SUM('Fiscal Forecasts'!L$301,'Fiscal Forecasts'!L$307)</f>
        <v>0.55799999999999994</v>
      </c>
      <c r="M343" s="17">
        <f>SUM('Fiscal Forecasts'!M$301,'Fiscal Forecasts'!M$307)</f>
        <v>0.71799999999999997</v>
      </c>
      <c r="N343" s="17">
        <f>SUM('Fiscal Forecasts'!N$301,'Fiscal Forecasts'!N$307)</f>
        <v>0.84599999999999997</v>
      </c>
      <c r="O343" s="16">
        <f>N$343*Exogenous!Z$30/Exogenous!Y$30</f>
        <v>0.87030895247456774</v>
      </c>
      <c r="P343" s="16">
        <f>O$343*Exogenous!AA$30/Exogenous!Z$30</f>
        <v>0.90021458989623016</v>
      </c>
      <c r="Q343" s="16">
        <f>P$343*Exogenous!AB$30/Exogenous!AA$30</f>
        <v>0.93718600357118453</v>
      </c>
      <c r="R343" s="16">
        <f>Q$343*Exogenous!AC$30/Exogenous!AB$30</f>
        <v>0.98201162734610326</v>
      </c>
      <c r="S343" s="16">
        <f>R$343*Exogenous!AD$30/Exogenous!AC$30</f>
        <v>1.0357638501687936</v>
      </c>
      <c r="T343" s="16">
        <f>S$343*Exogenous!AE$30/Exogenous!AD$30</f>
        <v>1.0999479685204643</v>
      </c>
      <c r="U343" s="16">
        <f>T$343*Exogenous!AF$30/Exogenous!AE$30</f>
        <v>1.1760406188486949</v>
      </c>
      <c r="V343" s="16">
        <f>U$343*Exogenous!AG$30/Exogenous!AF$30</f>
        <v>1.2601233386649373</v>
      </c>
      <c r="W343" s="16">
        <f>V$343*Exogenous!AH$30/Exogenous!AG$30</f>
        <v>1.3477984052712371</v>
      </c>
      <c r="X343" s="16">
        <f>W$343*Exogenous!AI$30/Exogenous!AH$30</f>
        <v>1.4380528436061066</v>
      </c>
    </row>
    <row r="344" spans="1:24" x14ac:dyDescent="0.25">
      <c r="A344" s="11" t="s">
        <v>904</v>
      </c>
      <c r="B344" s="10" t="str">
        <f>$B$38</f>
        <v>From Fiscal Forecasts</v>
      </c>
      <c r="D344" s="35">
        <f>SUM('Fiscal Forecasts'!D$302,'Fiscal Forecasts'!D$308)</f>
        <v>0.254</v>
      </c>
      <c r="E344" s="35">
        <f>SUM('Fiscal Forecasts'!E$302,'Fiscal Forecasts'!E$308)</f>
        <v>-6.9000000000000006E-2</v>
      </c>
      <c r="F344" s="35">
        <f>SUM('Fiscal Forecasts'!F$302,'Fiscal Forecasts'!F$308)</f>
        <v>0.23199999999999998</v>
      </c>
      <c r="G344" s="35">
        <f>SUM('Fiscal Forecasts'!G$302,'Fiscal Forecasts'!G$308)</f>
        <v>0.85899999999999999</v>
      </c>
      <c r="H344" s="35">
        <f>SUM('Fiscal Forecasts'!H$302,'Fiscal Forecasts'!H$308)</f>
        <v>-0.13799999999999998</v>
      </c>
      <c r="I344" s="35">
        <f>SUM('Fiscal Forecasts'!I$302,'Fiscal Forecasts'!I$308)</f>
        <v>0.46499999999999997</v>
      </c>
      <c r="J344" s="17">
        <f>SUM('Fiscal Forecasts'!J$302,'Fiscal Forecasts'!J$308)</f>
        <v>7.5999999999999998E-2</v>
      </c>
      <c r="K344" s="17">
        <f>SUM('Fiscal Forecasts'!K$302,'Fiscal Forecasts'!K$308)</f>
        <v>0.1</v>
      </c>
      <c r="L344" s="17">
        <f>SUM('Fiscal Forecasts'!L$302,'Fiscal Forecasts'!L$308)</f>
        <v>6.4000000000000001E-2</v>
      </c>
      <c r="M344" s="17">
        <f>SUM('Fiscal Forecasts'!M$302,'Fiscal Forecasts'!M$308)</f>
        <v>5.7000000000000002E-2</v>
      </c>
      <c r="N344" s="17">
        <f>SUM('Fiscal Forecasts'!N$302,'Fiscal Forecasts'!N$308)</f>
        <v>3.7999999999999999E-2</v>
      </c>
      <c r="O344" s="16">
        <f t="shared" ref="O344:X344" ca="1" si="210">N$344*(1+O$14)</f>
        <v>3.9639606662836828E-2</v>
      </c>
      <c r="P344" s="16">
        <f t="shared" ca="1" si="210"/>
        <v>4.1330242170468573E-2</v>
      </c>
      <c r="Q344" s="16">
        <f t="shared" ca="1" si="210"/>
        <v>4.3024548509688412E-2</v>
      </c>
      <c r="R344" s="16">
        <f t="shared" ca="1" si="210"/>
        <v>4.4718704656298819E-2</v>
      </c>
      <c r="S344" s="16">
        <f t="shared" ca="1" si="210"/>
        <v>4.6450216371654723E-2</v>
      </c>
      <c r="T344" s="16">
        <f t="shared" ca="1" si="210"/>
        <v>4.8216441214064709E-2</v>
      </c>
      <c r="U344" s="16">
        <f t="shared" ca="1" si="210"/>
        <v>5.0006215224323559E-2</v>
      </c>
      <c r="V344" s="16">
        <f t="shared" ca="1" si="210"/>
        <v>5.1822898141464908E-2</v>
      </c>
      <c r="W344" s="16">
        <f t="shared" ca="1" si="210"/>
        <v>5.3666422282266833E-2</v>
      </c>
      <c r="X344" s="16">
        <f t="shared" ca="1" si="210"/>
        <v>5.5550679577084254E-2</v>
      </c>
    </row>
    <row r="345" spans="1:24" x14ac:dyDescent="0.25">
      <c r="A345" s="11" t="s">
        <v>866</v>
      </c>
      <c r="B345" s="10" t="str">
        <f>$B$38</f>
        <v>From Fiscal Forecasts</v>
      </c>
      <c r="D345" s="35">
        <f>SUM('Fiscal Forecasts'!D$24,'Fiscal Forecasts'!D$25)-SUM(D$342:D$344)</f>
        <v>-2.6809999999999983</v>
      </c>
      <c r="E345" s="35">
        <f>SUM('Fiscal Forecasts'!E$24,'Fiscal Forecasts'!E$25)-SUM(E$342:E$344)</f>
        <v>-0.4009999999999998</v>
      </c>
      <c r="F345" s="35">
        <f>SUM('Fiscal Forecasts'!F$24,'Fiscal Forecasts'!F$25)-SUM(F$342:F$344)</f>
        <v>0.96500000000000341</v>
      </c>
      <c r="G345" s="35">
        <f>SUM('Fiscal Forecasts'!G$24,'Fiscal Forecasts'!G$25)-SUM(G$342:G$344)</f>
        <v>2.3090000000000011</v>
      </c>
      <c r="H345" s="35">
        <f>SUM('Fiscal Forecasts'!H$24,'Fiscal Forecasts'!H$25)-SUM(H$342:H$344)</f>
        <v>-0.76799999999999891</v>
      </c>
      <c r="I345" s="35">
        <f>SUM('Fiscal Forecasts'!I$24,'Fiscal Forecasts'!I$25)-SUM(I$342:I$344)</f>
        <v>-0.27700000000000014</v>
      </c>
      <c r="J345" s="17">
        <f>SUM('Fiscal Forecasts'!J$24,'Fiscal Forecasts'!J$25)-SUM(J$342:J$344)+IF($C$3="Yes",J$387-'NZSF Adjuster'!U$16,0)</f>
        <v>-0.67099999999999937</v>
      </c>
      <c r="K345" s="17">
        <f>SUM('Fiscal Forecasts'!K$24,'Fiscal Forecasts'!K$25)-SUM(K$342:K$344)+IF($C$3="Yes",K$387-'NZSF Adjuster'!V$16,0)</f>
        <v>-6.3999999999999169E-2</v>
      </c>
      <c r="L345" s="17">
        <f>SUM('Fiscal Forecasts'!L$24,'Fiscal Forecasts'!L$25)-SUM(L$342:L$344)+IF($C$3="Yes",L$387-'NZSF Adjuster'!W$16,0)</f>
        <v>-4.1999999999999815E-2</v>
      </c>
      <c r="M345" s="17">
        <f>SUM('Fiscal Forecasts'!M$24,'Fiscal Forecasts'!M$25)-SUM(M$342:M$344)+IF($C$3="Yes",M$387-'NZSF Adjuster'!X$16,0)</f>
        <v>-4.9000000000000377E-2</v>
      </c>
      <c r="N345" s="17">
        <f>SUM('Fiscal Forecasts'!N$24,'Fiscal Forecasts'!N$25)-SUM(N$342:N$344)+IF($C$3="Yes",N$387-'NZSF Adjuster'!Y$16,0)</f>
        <v>-5.3000000000000824E-2</v>
      </c>
      <c r="O345" s="16">
        <f t="shared" ref="O345:X345" ca="1" si="211">N$345*(1+O$14)</f>
        <v>-5.5286819819220651E-2</v>
      </c>
      <c r="P345" s="16">
        <f t="shared" ca="1" si="211"/>
        <v>-5.7644811448286017E-2</v>
      </c>
      <c r="Q345" s="16">
        <f t="shared" ca="1" si="211"/>
        <v>-6.0007922921408455E-2</v>
      </c>
      <c r="R345" s="16">
        <f t="shared" ca="1" si="211"/>
        <v>-6.2370824915365108E-2</v>
      </c>
      <c r="S345" s="16">
        <f t="shared" ca="1" si="211"/>
        <v>-6.4785828097308901E-2</v>
      </c>
      <c r="T345" s="16">
        <f t="shared" ca="1" si="211"/>
        <v>-6.7249246956459702E-2</v>
      </c>
      <c r="U345" s="16">
        <f t="shared" ca="1" si="211"/>
        <v>-6.9745510707610245E-2</v>
      </c>
      <c r="V345" s="16">
        <f t="shared" ca="1" si="211"/>
        <v>-7.2279305302570582E-2</v>
      </c>
      <c r="W345" s="16">
        <f t="shared" ca="1" si="211"/>
        <v>-7.4850536341057525E-2</v>
      </c>
      <c r="X345" s="16">
        <f t="shared" ca="1" si="211"/>
        <v>-7.7478579410145021E-2</v>
      </c>
    </row>
    <row r="346" spans="1:24" x14ac:dyDescent="0.25">
      <c r="A346" s="9" t="s">
        <v>1032</v>
      </c>
      <c r="D346" s="65">
        <f t="shared" ref="D346:X346" si="212">SUM(D$342:D$345)</f>
        <v>-7.1309999999999993</v>
      </c>
      <c r="E346" s="65">
        <f t="shared" si="212"/>
        <v>-8.7219999999999995</v>
      </c>
      <c r="F346" s="65">
        <f t="shared" si="212"/>
        <v>21.023</v>
      </c>
      <c r="G346" s="65">
        <f t="shared" si="212"/>
        <v>-6.7219999999999995</v>
      </c>
      <c r="H346" s="65">
        <f t="shared" si="212"/>
        <v>14.658000000000001</v>
      </c>
      <c r="I346" s="65">
        <f t="shared" si="212"/>
        <v>4.6669999999999998</v>
      </c>
      <c r="J346" s="66">
        <f t="shared" si="212"/>
        <v>9.0810000000000013</v>
      </c>
      <c r="K346" s="66">
        <f t="shared" si="212"/>
        <v>5.6920000000000002</v>
      </c>
      <c r="L346" s="66">
        <f t="shared" si="212"/>
        <v>6.0170000000000003</v>
      </c>
      <c r="M346" s="66">
        <f t="shared" si="212"/>
        <v>6.4740000000000002</v>
      </c>
      <c r="N346" s="66">
        <f t="shared" si="212"/>
        <v>6.9139999999999997</v>
      </c>
      <c r="O346" s="67">
        <f t="shared" ca="1" si="212"/>
        <v>7.2847494645998649</v>
      </c>
      <c r="P346" s="67">
        <f t="shared" ca="1" si="212"/>
        <v>7.6939267867362133</v>
      </c>
      <c r="Q346" s="67">
        <f t="shared" ca="1" si="212"/>
        <v>8.1241988488925561</v>
      </c>
      <c r="R346" s="67">
        <f t="shared" ca="1" si="212"/>
        <v>8.5743334068974093</v>
      </c>
      <c r="S346" s="67">
        <f t="shared" ca="1" si="212"/>
        <v>9.0435037297867016</v>
      </c>
      <c r="T346" s="67">
        <f t="shared" ca="1" si="212"/>
        <v>9.5329538582273425</v>
      </c>
      <c r="U346" s="67">
        <f t="shared" ca="1" si="212"/>
        <v>10.043607348466466</v>
      </c>
      <c r="V346" s="67">
        <f t="shared" ca="1" si="212"/>
        <v>10.571049809250679</v>
      </c>
      <c r="W346" s="67">
        <f t="shared" ca="1" si="212"/>
        <v>11.114002484351417</v>
      </c>
      <c r="X346" s="67">
        <f t="shared" ca="1" si="212"/>
        <v>11.676614644841319</v>
      </c>
    </row>
    <row r="348" spans="1:24" x14ac:dyDescent="0.25">
      <c r="A348" s="9" t="s">
        <v>546</v>
      </c>
    </row>
    <row r="349" spans="1:24" x14ac:dyDescent="0.25">
      <c r="A349" s="9" t="s">
        <v>1033</v>
      </c>
      <c r="B349" s="10" t="str">
        <f>$B$38</f>
        <v>From Fiscal Forecasts</v>
      </c>
      <c r="D349" s="42">
        <f>'Fiscal Forecasts'!D$177-SUM('Fiscal Forecasts'!D$300,'Fiscal Forecasts'!D$306)</f>
        <v>4.0000000000000036E-3</v>
      </c>
      <c r="E349" s="42">
        <f>'Fiscal Forecasts'!E$177-SUM('Fiscal Forecasts'!E$300,'Fiscal Forecasts'!E$306)</f>
        <v>-4.2000000000000703E-2</v>
      </c>
      <c r="F349" s="42">
        <f>'Fiscal Forecasts'!F$177-SUM('Fiscal Forecasts'!F$300,'Fiscal Forecasts'!F$306)</f>
        <v>-3.199999999999914E-2</v>
      </c>
      <c r="G349" s="42">
        <f>'Fiscal Forecasts'!G$177-SUM('Fiscal Forecasts'!G$300,'Fiscal Forecasts'!G$306)</f>
        <v>-0.18699999999999939</v>
      </c>
      <c r="H349" s="42">
        <f>'Fiscal Forecasts'!H$177-SUM('Fiscal Forecasts'!H$300,'Fiscal Forecasts'!H$306)</f>
        <v>-9.5000000000000639E-2</v>
      </c>
      <c r="I349" s="42">
        <f>'Fiscal Forecasts'!I$177-SUM('Fiscal Forecasts'!I$300,'Fiscal Forecasts'!I$306)</f>
        <v>-9.9999999999997868E-3</v>
      </c>
      <c r="J349" s="43">
        <f>'Fiscal Forecasts'!J$177-SUM('Fiscal Forecasts'!J$300,'Fiscal Forecasts'!J$306)</f>
        <v>9.0000000000003411E-3</v>
      </c>
      <c r="K349" s="43">
        <f>'Fiscal Forecasts'!K$177-SUM('Fiscal Forecasts'!K$300,'Fiscal Forecasts'!K$306)</f>
        <v>1.4000000000000234E-2</v>
      </c>
      <c r="L349" s="43">
        <f>'Fiscal Forecasts'!L$177-SUM('Fiscal Forecasts'!L$300,'Fiscal Forecasts'!L$306)</f>
        <v>1.2999999999999901E-2</v>
      </c>
      <c r="M349" s="43">
        <f>'Fiscal Forecasts'!M$177-SUM('Fiscal Forecasts'!M$300,'Fiscal Forecasts'!M$306)</f>
        <v>9.9999999999997868E-3</v>
      </c>
      <c r="N349" s="43">
        <f>'Fiscal Forecasts'!N$177-SUM('Fiscal Forecasts'!N$300,'Fiscal Forecasts'!N$306)</f>
        <v>1.4000000000000234E-2</v>
      </c>
      <c r="O349" s="47">
        <f t="shared" ref="O349:X349" ca="1" si="213">N$349*(1+O$14)</f>
        <v>1.460406561262434E-2</v>
      </c>
      <c r="P349" s="47">
        <f t="shared" ca="1" si="213"/>
        <v>1.522693132596236E-2</v>
      </c>
      <c r="Q349" s="47">
        <f t="shared" ca="1" si="213"/>
        <v>1.5851149450938101E-2</v>
      </c>
      <c r="R349" s="47">
        <f t="shared" ca="1" si="213"/>
        <v>1.6475312241794576E-2</v>
      </c>
      <c r="S349" s="47">
        <f t="shared" ca="1" si="213"/>
        <v>1.711323761060992E-2</v>
      </c>
      <c r="T349" s="47">
        <f t="shared" ca="1" si="213"/>
        <v>1.7763952026234663E-2</v>
      </c>
      <c r="U349" s="47">
        <f t="shared" ca="1" si="213"/>
        <v>1.8423342451066884E-2</v>
      </c>
      <c r="V349" s="47">
        <f t="shared" ca="1" si="213"/>
        <v>1.9092646683697919E-2</v>
      </c>
      <c r="W349" s="47">
        <f t="shared" ca="1" si="213"/>
        <v>1.9771839788203904E-2</v>
      </c>
      <c r="X349" s="47">
        <f t="shared" ca="1" si="213"/>
        <v>2.0466039844189283E-2</v>
      </c>
    </row>
    <row r="350" spans="1:24" x14ac:dyDescent="0.25">
      <c r="A350" s="9" t="s">
        <v>1034</v>
      </c>
      <c r="B350" s="10" t="str">
        <f>$B$38</f>
        <v>From Fiscal Forecasts</v>
      </c>
      <c r="D350" s="42">
        <f>'Fiscal Forecasts'!D$27</f>
        <v>0.20599999999999999</v>
      </c>
      <c r="E350" s="42">
        <f>'Fiscal Forecasts'!E$27</f>
        <v>1.1930000000000001</v>
      </c>
      <c r="F350" s="42">
        <f>'Fiscal Forecasts'!F$27</f>
        <v>-0.36</v>
      </c>
      <c r="G350" s="42">
        <f>'Fiscal Forecasts'!G$27</f>
        <v>-0.126</v>
      </c>
      <c r="H350" s="42">
        <f>'Fiscal Forecasts'!H$27</f>
        <v>2.9000000000000001E-2</v>
      </c>
      <c r="I350" s="42">
        <f>'Fiscal Forecasts'!I$27</f>
        <v>0.12</v>
      </c>
      <c r="J350" s="43">
        <f>'Fiscal Forecasts'!J$27</f>
        <v>0.192</v>
      </c>
      <c r="K350" s="43">
        <f>'Fiscal Forecasts'!K$27</f>
        <v>7.0999999999999994E-2</v>
      </c>
      <c r="L350" s="43">
        <f>'Fiscal Forecasts'!L$27</f>
        <v>0.114</v>
      </c>
      <c r="M350" s="43">
        <f>'Fiscal Forecasts'!M$27</f>
        <v>0.14799999999999999</v>
      </c>
      <c r="N350" s="43">
        <f>'Fiscal Forecasts'!N$27</f>
        <v>0.21099999999999999</v>
      </c>
      <c r="O350" s="47">
        <f t="shared" ref="O350:X350" ca="1" si="214">O$349+(N$350-N$349)*(1+O$14)</f>
        <v>0.2201041317331203</v>
      </c>
      <c r="P350" s="47">
        <f t="shared" ca="1" si="214"/>
        <v>0.22949160784128603</v>
      </c>
      <c r="Q350" s="47">
        <f t="shared" ca="1" si="214"/>
        <v>0.2388994667248488</v>
      </c>
      <c r="R350" s="47">
        <f t="shared" ca="1" si="214"/>
        <v>0.24830649164418553</v>
      </c>
      <c r="S350" s="47">
        <f t="shared" ca="1" si="214"/>
        <v>0.25792093827418805</v>
      </c>
      <c r="T350" s="47">
        <f t="shared" ca="1" si="214"/>
        <v>0.26772813410967505</v>
      </c>
      <c r="U350" s="47">
        <f t="shared" ca="1" si="214"/>
        <v>0.27766608979821761</v>
      </c>
      <c r="V350" s="47">
        <f t="shared" ca="1" si="214"/>
        <v>0.28775346073287089</v>
      </c>
      <c r="W350" s="47">
        <f t="shared" ca="1" si="214"/>
        <v>0.2979898710936395</v>
      </c>
      <c r="X350" s="47">
        <f t="shared" ca="1" si="214"/>
        <v>0.30845245765170465</v>
      </c>
    </row>
    <row r="352" spans="1:24" x14ac:dyDescent="0.25">
      <c r="A352" s="9" t="s">
        <v>618</v>
      </c>
    </row>
    <row r="353" spans="1:24" x14ac:dyDescent="0.25">
      <c r="A353" s="11" t="s">
        <v>1035</v>
      </c>
      <c r="D353" s="35">
        <f ca="1">OFFSET(Assumptions!$B$49,0,$C$1)*(D$393-D$359-D$400)</f>
        <v>2.1936</v>
      </c>
      <c r="E353" s="35">
        <f ca="1">OFFSET(Assumptions!$B$49,0,$C$1)*(E$393-E$359-E$400)</f>
        <v>2.1622500000000002</v>
      </c>
      <c r="F353" s="35">
        <f ca="1">OFFSET(Assumptions!$B$49,0,$C$1)*(F$393-F$359-F$400)</f>
        <v>2.7988999999999997</v>
      </c>
      <c r="G353" s="35">
        <f ca="1">OFFSET(Assumptions!$B$49,0,$C$1)*(G$393-G$359-G$400)</f>
        <v>3.0148999999999999</v>
      </c>
      <c r="H353" s="35">
        <f ca="1">OFFSET(Assumptions!$B$49,0,$C$1)*(H$393-H$359-H$400)</f>
        <v>2.9520000000000008</v>
      </c>
      <c r="I353" s="35">
        <f ca="1">OFFSET(Assumptions!$B$49,0,$C$1)*(I$393-I$359-I$400)</f>
        <v>3.3731499999999999</v>
      </c>
      <c r="J353" s="17">
        <f ca="1">OFFSET(Assumptions!$B$49,0,$C$1)*(J$393-J$359-J$400)</f>
        <v>4.0500500000000006</v>
      </c>
      <c r="K353" s="17">
        <f ca="1">OFFSET(Assumptions!$B$49,0,$C$1)*(K$393-K$359-K$400)</f>
        <v>4.2547000000000006</v>
      </c>
      <c r="L353" s="17">
        <f ca="1">OFFSET(Assumptions!$B$49,0,$C$1)*(L$393-L$359-L$400)</f>
        <v>4.6192500000000001</v>
      </c>
      <c r="M353" s="17">
        <f ca="1">OFFSET(Assumptions!$B$49,0,$C$1)*(M$393-M$359-M$400)</f>
        <v>4.8220500000000008</v>
      </c>
      <c r="N353" s="17">
        <f ca="1">OFFSET(Assumptions!$B$49,0,$C$1)*(N$393-N$359-N$400)</f>
        <v>5.0848000000000004</v>
      </c>
      <c r="O353" s="16">
        <f ca="1">OFFSET(Assumptions!$B$49,0,$C$1)*(O$393-O$359-O$400)</f>
        <v>5.2691407492428883</v>
      </c>
      <c r="P353" s="16">
        <f ca="1">OFFSET(Assumptions!$B$49,0,$C$1)*(P$393-P$359-P$400)</f>
        <v>5.5756066603188899</v>
      </c>
      <c r="Q353" s="16">
        <f ca="1">OFFSET(Assumptions!$B$49,0,$C$1)*(Q$393-Q$359-Q$400)</f>
        <v>5.89270989439121</v>
      </c>
      <c r="R353" s="16">
        <f ca="1">OFFSET(Assumptions!$B$49,0,$C$1)*(R$393-R$359-R$400)</f>
        <v>6.21830869392819</v>
      </c>
      <c r="S353" s="16">
        <f ca="1">OFFSET(Assumptions!$B$49,0,$C$1)*(S$393-S$359-S$400)</f>
        <v>6.551355696471119</v>
      </c>
      <c r="T353" s="16">
        <f ca="1">OFFSET(Assumptions!$B$49,0,$C$1)*(T$393-T$359-T$400)</f>
        <v>6.8926672220266711</v>
      </c>
      <c r="U353" s="16">
        <f ca="1">OFFSET(Assumptions!$B$49,0,$C$1)*(U$393-U$359-U$400)</f>
        <v>7.2403549648485566</v>
      </c>
      <c r="V353" s="16">
        <f ca="1">OFFSET(Assumptions!$B$49,0,$C$1)*(V$393-V$359-V$400)</f>
        <v>7.595790712662998</v>
      </c>
      <c r="W353" s="16">
        <f ca="1">OFFSET(Assumptions!$B$49,0,$C$1)*(W$393-W$359-W$400)</f>
        <v>7.9628571614521393</v>
      </c>
      <c r="X353" s="16">
        <f ca="1">OFFSET(Assumptions!$B$49,0,$C$1)*(X$393-X$359-X$400)</f>
        <v>8.3459421601523438</v>
      </c>
    </row>
    <row r="354" spans="1:24" x14ac:dyDescent="0.25">
      <c r="A354" s="11" t="s">
        <v>1037</v>
      </c>
      <c r="B354" s="10" t="str">
        <f>$B$38</f>
        <v>From Fiscal Forecasts</v>
      </c>
      <c r="D354" s="35">
        <f ca="1">'Fiscal Forecasts'!D$180-D$353</f>
        <v>15.1844</v>
      </c>
      <c r="E354" s="35">
        <f ca="1">'Fiscal Forecasts'!E$180-E$353</f>
        <v>16.018750000000001</v>
      </c>
      <c r="F354" s="35">
        <f ca="1">'Fiscal Forecasts'!F$180-F$353</f>
        <v>10.3301</v>
      </c>
      <c r="G354" s="35">
        <f ca="1">'Fiscal Forecasts'!G$180-G$353</f>
        <v>8.3931000000000004</v>
      </c>
      <c r="H354" s="35">
        <f ca="1">'Fiscal Forecasts'!H$180-H$353</f>
        <v>8.0210000000000008</v>
      </c>
      <c r="I354" s="35">
        <f ca="1">'Fiscal Forecasts'!I$180-I$353</f>
        <v>5.7378500000000008</v>
      </c>
      <c r="J354" s="17">
        <f ca="1">'Fiscal Forecasts'!J$180-J$353+IF($C$3="Yes",OFFSET(Assumptions!$B$49,0,$C$1)*('NZSF Adjuster'!U$26-'Fiscal Forecasts'!J$364),0)</f>
        <v>12.328950000000001</v>
      </c>
      <c r="K354" s="17">
        <f ca="1">'Fiscal Forecasts'!K$180-K$353+IF($C$3="Yes",OFFSET(Assumptions!$B$49,0,$C$1)*('NZSF Adjuster'!V$26-'Fiscal Forecasts'!K$364),0)</f>
        <v>12.519300000000001</v>
      </c>
      <c r="L354" s="17">
        <f ca="1">'Fiscal Forecasts'!L$180-L$353+IF($C$3="Yes",OFFSET(Assumptions!$B$49,0,$C$1)*('NZSF Adjuster'!W$26-'Fiscal Forecasts'!L$364),0)</f>
        <v>13.011749999999999</v>
      </c>
      <c r="M354" s="17">
        <f ca="1">'Fiscal Forecasts'!M$180-M$353+IF($C$3="Yes",OFFSET(Assumptions!$B$49,0,$C$1)*('NZSF Adjuster'!X$26-'Fiscal Forecasts'!M$364),0)</f>
        <v>11.965949999999999</v>
      </c>
      <c r="N354" s="17">
        <f ca="1">'Fiscal Forecasts'!N$180-N$353+IF($C$3="Yes",OFFSET(Assumptions!$B$49,0,$C$1)*('NZSF Adjuster'!Y$26-'Fiscal Forecasts'!N$364),0)</f>
        <v>11.277199999999997</v>
      </c>
      <c r="O354" s="16">
        <f t="shared" ref="O354:X354" ca="1" si="215">N$354</f>
        <v>11.277199999999997</v>
      </c>
      <c r="P354" s="16">
        <f t="shared" ca="1" si="215"/>
        <v>11.277199999999997</v>
      </c>
      <c r="Q354" s="16">
        <f t="shared" ca="1" si="215"/>
        <v>11.277199999999997</v>
      </c>
      <c r="R354" s="16">
        <f t="shared" ca="1" si="215"/>
        <v>11.277199999999997</v>
      </c>
      <c r="S354" s="16">
        <f t="shared" ca="1" si="215"/>
        <v>11.277199999999997</v>
      </c>
      <c r="T354" s="16">
        <f t="shared" ca="1" si="215"/>
        <v>11.277199999999997</v>
      </c>
      <c r="U354" s="16">
        <f t="shared" ca="1" si="215"/>
        <v>11.277199999999997</v>
      </c>
      <c r="V354" s="16">
        <f t="shared" ca="1" si="215"/>
        <v>11.277199999999997</v>
      </c>
      <c r="W354" s="16">
        <f t="shared" ca="1" si="215"/>
        <v>11.277199999999997</v>
      </c>
      <c r="X354" s="16">
        <f t="shared" ca="1" si="215"/>
        <v>11.277199999999997</v>
      </c>
    </row>
    <row r="355" spans="1:24" x14ac:dyDescent="0.25">
      <c r="A355" s="9" t="s">
        <v>1038</v>
      </c>
      <c r="D355" s="65">
        <f t="shared" ref="D355:X355" ca="1" si="216">SUM(D$353:D$354)</f>
        <v>17.378</v>
      </c>
      <c r="E355" s="65">
        <f t="shared" ca="1" si="216"/>
        <v>18.181000000000001</v>
      </c>
      <c r="F355" s="65">
        <f t="shared" ca="1" si="216"/>
        <v>13.129</v>
      </c>
      <c r="G355" s="65">
        <f t="shared" ca="1" si="216"/>
        <v>11.408000000000001</v>
      </c>
      <c r="H355" s="65">
        <f t="shared" ca="1" si="216"/>
        <v>10.973000000000003</v>
      </c>
      <c r="I355" s="65">
        <f t="shared" ca="1" si="216"/>
        <v>9.1110000000000007</v>
      </c>
      <c r="J355" s="66">
        <f t="shared" ca="1" si="216"/>
        <v>16.379000000000001</v>
      </c>
      <c r="K355" s="66">
        <f t="shared" ca="1" si="216"/>
        <v>16.774000000000001</v>
      </c>
      <c r="L355" s="66">
        <f t="shared" ca="1" si="216"/>
        <v>17.631</v>
      </c>
      <c r="M355" s="66">
        <f t="shared" ca="1" si="216"/>
        <v>16.788</v>
      </c>
      <c r="N355" s="66">
        <f t="shared" ca="1" si="216"/>
        <v>16.361999999999998</v>
      </c>
      <c r="O355" s="67">
        <f t="shared" ca="1" si="216"/>
        <v>16.546340749242887</v>
      </c>
      <c r="P355" s="67">
        <f t="shared" ca="1" si="216"/>
        <v>16.852806660318887</v>
      </c>
      <c r="Q355" s="67">
        <f t="shared" ca="1" si="216"/>
        <v>17.169909894391207</v>
      </c>
      <c r="R355" s="67">
        <f t="shared" ca="1" si="216"/>
        <v>17.495508693928187</v>
      </c>
      <c r="S355" s="67">
        <f t="shared" ca="1" si="216"/>
        <v>17.828555696471117</v>
      </c>
      <c r="T355" s="67">
        <f t="shared" ca="1" si="216"/>
        <v>18.169867222026667</v>
      </c>
      <c r="U355" s="67">
        <f t="shared" ca="1" si="216"/>
        <v>18.517554964848554</v>
      </c>
      <c r="V355" s="67">
        <f t="shared" ca="1" si="216"/>
        <v>18.872990712662997</v>
      </c>
      <c r="W355" s="67">
        <f t="shared" ca="1" si="216"/>
        <v>19.240057161452135</v>
      </c>
      <c r="X355" s="67">
        <f t="shared" ca="1" si="216"/>
        <v>19.623142160152341</v>
      </c>
    </row>
    <row r="356" spans="1:24" x14ac:dyDescent="0.25">
      <c r="A356" s="9" t="s">
        <v>1039</v>
      </c>
      <c r="B356" s="10" t="str">
        <f>$B$38</f>
        <v>From Fiscal Forecasts</v>
      </c>
      <c r="D356" s="42">
        <f>'Fiscal Forecasts'!D$120</f>
        <v>20.248000000000001</v>
      </c>
      <c r="E356" s="42">
        <f>'Fiscal Forecasts'!E$120</f>
        <v>21.927</v>
      </c>
      <c r="F356" s="42">
        <f>'Fiscal Forecasts'!F$120</f>
        <v>18.754999999999999</v>
      </c>
      <c r="G356" s="42">
        <f>'Fiscal Forecasts'!G$120</f>
        <v>17.835000000000001</v>
      </c>
      <c r="H356" s="42">
        <f>'Fiscal Forecasts'!H$120</f>
        <v>18.791</v>
      </c>
      <c r="I356" s="42">
        <f>'Fiscal Forecasts'!I$120</f>
        <v>16.212</v>
      </c>
      <c r="J356" s="43">
        <f ca="1">'Fiscal Forecasts'!J$120+IF($C$3="Yes",OFFSET(Assumptions!$B$49,0,$C$1)*('NZSF Adjuster'!U$26-'Fiscal Forecasts'!J$364),0)</f>
        <v>22.709</v>
      </c>
      <c r="K356" s="43">
        <f ca="1">'Fiscal Forecasts'!K$120+IF($C$3="Yes",OFFSET(Assumptions!$B$49,0,$C$1)*('NZSF Adjuster'!V$26-'Fiscal Forecasts'!K$364),0)</f>
        <v>22.849</v>
      </c>
      <c r="L356" s="43">
        <f ca="1">'Fiscal Forecasts'!L$120+IF($C$3="Yes",OFFSET(Assumptions!$B$49,0,$C$1)*('NZSF Adjuster'!W$26-'Fiscal Forecasts'!L$364),0)</f>
        <v>23.614999999999998</v>
      </c>
      <c r="M356" s="43">
        <f ca="1">'Fiscal Forecasts'!M$120+IF($C$3="Yes",OFFSET(Assumptions!$B$49,0,$C$1)*('NZSF Adjuster'!X$26-'Fiscal Forecasts'!M$364),0)</f>
        <v>22.956</v>
      </c>
      <c r="N356" s="43">
        <f ca="1">'Fiscal Forecasts'!N$120+IF($C$3="Yes",OFFSET(Assumptions!$B$49,0,$C$1)*('NZSF Adjuster'!Y$26-'Fiscal Forecasts'!N$364),0)</f>
        <v>22.818000000000001</v>
      </c>
      <c r="O356" s="47">
        <f t="shared" ref="O356:X356" ca="1" si="217">O$355+(N$356-N$355)*(1+O$29)</f>
        <v>23.131460749242891</v>
      </c>
      <c r="P356" s="47">
        <f t="shared" ca="1" si="217"/>
        <v>23.569629060318888</v>
      </c>
      <c r="Q356" s="47">
        <f t="shared" ca="1" si="217"/>
        <v>24.021068742391208</v>
      </c>
      <c r="R356" s="47">
        <f t="shared" ca="1" si="217"/>
        <v>24.483690718888187</v>
      </c>
      <c r="S356" s="47">
        <f t="shared" ca="1" si="217"/>
        <v>24.956501361930318</v>
      </c>
      <c r="T356" s="47">
        <f t="shared" ca="1" si="217"/>
        <v>25.440371800795052</v>
      </c>
      <c r="U356" s="47">
        <f t="shared" ca="1" si="217"/>
        <v>25.933469635192306</v>
      </c>
      <c r="V356" s="47">
        <f t="shared" ca="1" si="217"/>
        <v>26.437223676413623</v>
      </c>
      <c r="W356" s="47">
        <f t="shared" ca="1" si="217"/>
        <v>26.955574784477776</v>
      </c>
      <c r="X356" s="47">
        <f t="shared" ca="1" si="217"/>
        <v>27.492970135638494</v>
      </c>
    </row>
    <row r="358" spans="1:24" x14ac:dyDescent="0.25">
      <c r="A358" s="9" t="s">
        <v>619</v>
      </c>
    </row>
    <row r="359" spans="1:24" x14ac:dyDescent="0.25">
      <c r="A359" s="11" t="s">
        <v>1040</v>
      </c>
      <c r="D359" s="35">
        <f t="shared" ref="D359:N359" si="218">D$393-D$76+D$75-D$72</f>
        <v>-1.567999999999997</v>
      </c>
      <c r="E359" s="35">
        <f t="shared" si="218"/>
        <v>1.2899999999999934</v>
      </c>
      <c r="F359" s="35">
        <f t="shared" si="218"/>
        <v>0.86300000000000299</v>
      </c>
      <c r="G359" s="35">
        <f t="shared" si="218"/>
        <v>0.49900000000000599</v>
      </c>
      <c r="H359" s="35">
        <f t="shared" si="218"/>
        <v>1.8429999999999807</v>
      </c>
      <c r="I359" s="35">
        <f t="shared" si="218"/>
        <v>2.6770000000000094</v>
      </c>
      <c r="J359" s="17">
        <f t="shared" si="218"/>
        <v>-0.41299999999999581</v>
      </c>
      <c r="K359" s="17">
        <f t="shared" si="218"/>
        <v>-0.78700000000000259</v>
      </c>
      <c r="L359" s="17">
        <f t="shared" si="218"/>
        <v>-1.8110000000000026</v>
      </c>
      <c r="M359" s="17">
        <f t="shared" si="218"/>
        <v>-1.0680000000000067</v>
      </c>
      <c r="N359" s="17">
        <f t="shared" si="218"/>
        <v>-0.71799999999999375</v>
      </c>
      <c r="O359" s="16">
        <f t="shared" ref="O359:X359" ca="1" si="219">SUM(N$359,O$457-N$457,O$483-N$483)</f>
        <v>1.966872180400745</v>
      </c>
      <c r="P359" s="16">
        <f t="shared" ca="1" si="219"/>
        <v>2.1636306626569968</v>
      </c>
      <c r="Q359" s="16">
        <f t="shared" ca="1" si="219"/>
        <v>2.3672185619948354</v>
      </c>
      <c r="R359" s="16">
        <f t="shared" ca="1" si="219"/>
        <v>2.5762608185917402</v>
      </c>
      <c r="S359" s="16">
        <f t="shared" ca="1" si="219"/>
        <v>2.7900850005709548</v>
      </c>
      <c r="T359" s="16">
        <f t="shared" ca="1" si="219"/>
        <v>3.009215205000848</v>
      </c>
      <c r="U359" s="16">
        <f t="shared" ca="1" si="219"/>
        <v>3.2324390941980119</v>
      </c>
      <c r="V359" s="16">
        <f t="shared" ca="1" si="219"/>
        <v>3.4606373888600248</v>
      </c>
      <c r="W359" s="16">
        <f t="shared" ca="1" si="219"/>
        <v>3.6963028731462466</v>
      </c>
      <c r="X359" s="16">
        <f t="shared" ca="1" si="219"/>
        <v>3.9422526515563479</v>
      </c>
    </row>
    <row r="360" spans="1:24" x14ac:dyDescent="0.25">
      <c r="A360" s="11" t="s">
        <v>752</v>
      </c>
      <c r="B360" s="10" t="str">
        <f>$B$38</f>
        <v>From Fiscal Forecasts</v>
      </c>
      <c r="D360" s="35">
        <f>'Fiscal Forecasts'!D$318</f>
        <v>13.763999999999999</v>
      </c>
      <c r="E360" s="35">
        <f>'Fiscal Forecasts'!E$318</f>
        <v>14.29</v>
      </c>
      <c r="F360" s="35">
        <f>'Fiscal Forecasts'!F$318</f>
        <v>15.641999999999999</v>
      </c>
      <c r="G360" s="35">
        <f>'Fiscal Forecasts'!G$318</f>
        <v>20.076000000000001</v>
      </c>
      <c r="H360" s="35">
        <f>'Fiscal Forecasts'!H$318</f>
        <v>20.298999999999999</v>
      </c>
      <c r="I360" s="35">
        <f>'Fiscal Forecasts'!I$318</f>
        <v>22.413</v>
      </c>
      <c r="J360" s="17">
        <f>'Fiscal Forecasts'!J$318</f>
        <v>19.824999999999999</v>
      </c>
      <c r="K360" s="17">
        <f>'Fiscal Forecasts'!K$318</f>
        <v>20.443000000000001</v>
      </c>
      <c r="L360" s="17">
        <f>'Fiscal Forecasts'!L$318</f>
        <v>19.733000000000001</v>
      </c>
      <c r="M360" s="17">
        <f>'Fiscal Forecasts'!M$318</f>
        <v>20.024999999999999</v>
      </c>
      <c r="N360" s="17">
        <f>'Fiscal Forecasts'!N$318</f>
        <v>20.614999999999998</v>
      </c>
      <c r="O360" s="16">
        <f t="shared" ref="O360:X360" ca="1" si="220">N$360*O$142/N$142</f>
        <v>21.405309920709445</v>
      </c>
      <c r="P360" s="16">
        <f t="shared" ca="1" si="220"/>
        <v>22.284045037737169</v>
      </c>
      <c r="Q360" s="16">
        <f t="shared" ca="1" si="220"/>
        <v>23.189880595731612</v>
      </c>
      <c r="R360" s="16">
        <f t="shared" ca="1" si="220"/>
        <v>24.098346687518909</v>
      </c>
      <c r="S360" s="16">
        <f t="shared" ca="1" si="220"/>
        <v>25.026624321355708</v>
      </c>
      <c r="T360" s="16">
        <f t="shared" ca="1" si="220"/>
        <v>25.97328377466485</v>
      </c>
      <c r="U360" s="16">
        <f t="shared" ca="1" si="220"/>
        <v>26.932653698286277</v>
      </c>
      <c r="V360" s="16">
        <f t="shared" ca="1" si="220"/>
        <v>27.906422201494983</v>
      </c>
      <c r="W360" s="16">
        <f t="shared" ca="1" si="220"/>
        <v>28.894316814984979</v>
      </c>
      <c r="X360" s="16">
        <f t="shared" ca="1" si="220"/>
        <v>29.903831951530794</v>
      </c>
    </row>
    <row r="361" spans="1:24" x14ac:dyDescent="0.25">
      <c r="A361" s="11" t="s">
        <v>1041</v>
      </c>
      <c r="B361" s="10" t="str">
        <f>$B$38</f>
        <v>From Fiscal Forecasts</v>
      </c>
      <c r="D361" s="35">
        <f>'Fiscal Forecasts'!D$181-SUM(D$359:D$360)</f>
        <v>4.3769999999999989</v>
      </c>
      <c r="E361" s="35">
        <f>'Fiscal Forecasts'!E$181-SUM(E$359:E$360)</f>
        <v>2.5200000000000085</v>
      </c>
      <c r="F361" s="35">
        <f>'Fiscal Forecasts'!F$181-SUM(F$359:F$360)</f>
        <v>3.7319999999999958</v>
      </c>
      <c r="G361" s="35">
        <f>'Fiscal Forecasts'!G$181-SUM(G$359:G$360)</f>
        <v>7.7129999999999939</v>
      </c>
      <c r="H361" s="35">
        <f>'Fiscal Forecasts'!H$181-SUM(H$359:H$360)</f>
        <v>3.5320000000000178</v>
      </c>
      <c r="I361" s="35">
        <f>'Fiscal Forecasts'!I$181-SUM(I$359:I$360)</f>
        <v>3.5489999999999888</v>
      </c>
      <c r="J361" s="17">
        <f>'Fiscal Forecasts'!J$181-SUM(J$359:J$360)</f>
        <v>8.519999999999996</v>
      </c>
      <c r="K361" s="17">
        <f>'Fiscal Forecasts'!K$181-SUM(K$359:K$360)</f>
        <v>8.5370000000000026</v>
      </c>
      <c r="L361" s="17">
        <f>'Fiscal Forecasts'!L$181-SUM(L$359:L$360)</f>
        <v>9.8010000000000019</v>
      </c>
      <c r="M361" s="17">
        <f>'Fiscal Forecasts'!M$181-SUM(M$359:M$360)</f>
        <v>9.3910000000000053</v>
      </c>
      <c r="N361" s="17">
        <f>'Fiscal Forecasts'!N$181-SUM(N$359:N$360)</f>
        <v>9.3809999999999931</v>
      </c>
      <c r="O361" s="16">
        <f t="shared" ref="O361:X361" ca="1" si="221">SUM(N$361,O$459-N$459,O$484-N$484)</f>
        <v>9.7844199999999919</v>
      </c>
      <c r="P361" s="16">
        <f t="shared" ca="1" si="221"/>
        <v>10.195908399999992</v>
      </c>
      <c r="Q361" s="16">
        <f t="shared" ca="1" si="221"/>
        <v>10.615626567999991</v>
      </c>
      <c r="R361" s="16">
        <f t="shared" ca="1" si="221"/>
        <v>11.043739099359991</v>
      </c>
      <c r="S361" s="16">
        <f t="shared" ca="1" si="221"/>
        <v>11.480413881347191</v>
      </c>
      <c r="T361" s="16">
        <f t="shared" ca="1" si="221"/>
        <v>11.925822158974135</v>
      </c>
      <c r="U361" s="16">
        <f t="shared" ca="1" si="221"/>
        <v>12.380138602153618</v>
      </c>
      <c r="V361" s="16">
        <f t="shared" ca="1" si="221"/>
        <v>12.843541374196692</v>
      </c>
      <c r="W361" s="16">
        <f t="shared" ca="1" si="221"/>
        <v>13.316212201680626</v>
      </c>
      <c r="X361" s="16">
        <f t="shared" ca="1" si="221"/>
        <v>13.79833644571424</v>
      </c>
    </row>
    <row r="362" spans="1:24" x14ac:dyDescent="0.25">
      <c r="A362" s="9" t="s">
        <v>1042</v>
      </c>
      <c r="D362" s="65">
        <f t="shared" ref="D362:X362" si="222">SUM(D$359:D$361)</f>
        <v>16.573</v>
      </c>
      <c r="E362" s="65">
        <f t="shared" si="222"/>
        <v>18.100000000000001</v>
      </c>
      <c r="F362" s="65">
        <f t="shared" si="222"/>
        <v>20.236999999999998</v>
      </c>
      <c r="G362" s="65">
        <f t="shared" si="222"/>
        <v>28.288</v>
      </c>
      <c r="H362" s="65">
        <f t="shared" si="222"/>
        <v>25.673999999999999</v>
      </c>
      <c r="I362" s="65">
        <f t="shared" si="222"/>
        <v>28.638999999999999</v>
      </c>
      <c r="J362" s="66">
        <f t="shared" si="222"/>
        <v>27.931999999999999</v>
      </c>
      <c r="K362" s="66">
        <f t="shared" si="222"/>
        <v>28.193000000000001</v>
      </c>
      <c r="L362" s="66">
        <f t="shared" si="222"/>
        <v>27.722999999999999</v>
      </c>
      <c r="M362" s="66">
        <f t="shared" si="222"/>
        <v>28.347999999999999</v>
      </c>
      <c r="N362" s="66">
        <f t="shared" si="222"/>
        <v>29.277999999999999</v>
      </c>
      <c r="O362" s="67">
        <f t="shared" ca="1" si="222"/>
        <v>33.156602101110181</v>
      </c>
      <c r="P362" s="67">
        <f t="shared" ca="1" si="222"/>
        <v>34.643584100394158</v>
      </c>
      <c r="Q362" s="67">
        <f t="shared" ca="1" si="222"/>
        <v>36.172725725726437</v>
      </c>
      <c r="R362" s="67">
        <f t="shared" ca="1" si="222"/>
        <v>37.718346605470643</v>
      </c>
      <c r="S362" s="67">
        <f t="shared" ca="1" si="222"/>
        <v>39.297123203273856</v>
      </c>
      <c r="T362" s="67">
        <f t="shared" ca="1" si="222"/>
        <v>40.908321138639835</v>
      </c>
      <c r="U362" s="67">
        <f t="shared" ca="1" si="222"/>
        <v>42.545231394637909</v>
      </c>
      <c r="V362" s="67">
        <f t="shared" ca="1" si="222"/>
        <v>44.210600964551702</v>
      </c>
      <c r="W362" s="67">
        <f t="shared" ca="1" si="222"/>
        <v>45.906831889811855</v>
      </c>
      <c r="X362" s="67">
        <f t="shared" ca="1" si="222"/>
        <v>47.644421048801384</v>
      </c>
    </row>
    <row r="363" spans="1:24" x14ac:dyDescent="0.25">
      <c r="A363" s="9" t="s">
        <v>1043</v>
      </c>
      <c r="B363" s="10" t="str">
        <f>$B$38</f>
        <v>From Fiscal Forecasts</v>
      </c>
      <c r="D363" s="42">
        <f>'Fiscal Forecasts'!D$121</f>
        <v>23.327000000000002</v>
      </c>
      <c r="E363" s="42">
        <f>'Fiscal Forecasts'!E$121</f>
        <v>24.742999999999999</v>
      </c>
      <c r="F363" s="42">
        <f>'Fiscal Forecasts'!F$121</f>
        <v>26.829000000000001</v>
      </c>
      <c r="G363" s="42">
        <f>'Fiscal Forecasts'!G$121</f>
        <v>35.134999999999998</v>
      </c>
      <c r="H363" s="42">
        <f>'Fiscal Forecasts'!H$121</f>
        <v>33.548000000000002</v>
      </c>
      <c r="I363" s="42">
        <f>'Fiscal Forecasts'!I$121</f>
        <v>37.231999999999999</v>
      </c>
      <c r="J363" s="43">
        <f>'Fiscal Forecasts'!J$121</f>
        <v>36.374000000000002</v>
      </c>
      <c r="K363" s="43">
        <f>'Fiscal Forecasts'!K$121</f>
        <v>37.006999999999998</v>
      </c>
      <c r="L363" s="43">
        <f>'Fiscal Forecasts'!L$121</f>
        <v>37.020000000000003</v>
      </c>
      <c r="M363" s="43">
        <f>'Fiscal Forecasts'!M$121</f>
        <v>38.235999999999997</v>
      </c>
      <c r="N363" s="43">
        <f>'Fiscal Forecasts'!N$121</f>
        <v>39.780999999999999</v>
      </c>
      <c r="O363" s="47">
        <f t="shared" ref="O363:X363" ca="1" si="223">SUM(N$363,O$362-N$362,,O$461-N$461,O$469-N$469,O$486-N$486)-SUM(O$460-N$460,O$468-N$468,O$485-N$485)</f>
        <v>43.981242101110183</v>
      </c>
      <c r="P363" s="47">
        <f t="shared" ca="1" si="223"/>
        <v>45.796296900394161</v>
      </c>
      <c r="Q363" s="47">
        <f t="shared" ca="1" si="223"/>
        <v>47.660072781726448</v>
      </c>
      <c r="R363" s="47">
        <f t="shared" ca="1" si="223"/>
        <v>49.547020602590656</v>
      </c>
      <c r="S363" s="47">
        <f t="shared" ca="1" si="223"/>
        <v>51.473950680336273</v>
      </c>
      <c r="T363" s="47">
        <f t="shared" ca="1" si="223"/>
        <v>53.440265165243503</v>
      </c>
      <c r="U363" s="47">
        <f t="shared" ca="1" si="223"/>
        <v>55.439394301773646</v>
      </c>
      <c r="V363" s="47">
        <f t="shared" ca="1" si="223"/>
        <v>57.474227129830147</v>
      </c>
      <c r="W363" s="47">
        <f t="shared" ca="1" si="223"/>
        <v>59.547310578395866</v>
      </c>
      <c r="X363" s="47">
        <f t="shared" ca="1" si="223"/>
        <v>61.66928931115708</v>
      </c>
    </row>
    <row r="365" spans="1:24" x14ac:dyDescent="0.25">
      <c r="A365" s="9" t="s">
        <v>620</v>
      </c>
    </row>
    <row r="366" spans="1:24" x14ac:dyDescent="0.25">
      <c r="A366" s="11" t="s">
        <v>1049</v>
      </c>
      <c r="D366" s="35">
        <f ca="1">OFFSET(Assumptions!$B$50,0,$C$1)*(D$393-D$359-D$400)</f>
        <v>14.03904</v>
      </c>
      <c r="E366" s="35">
        <f ca="1">OFFSET(Assumptions!$B$50,0,$C$1)*(E$393-E$359-E$400)</f>
        <v>13.838400000000002</v>
      </c>
      <c r="F366" s="35">
        <f ca="1">OFFSET(Assumptions!$B$50,0,$C$1)*(F$393-F$359-F$400)</f>
        <v>17.912959999999998</v>
      </c>
      <c r="G366" s="35">
        <f ca="1">OFFSET(Assumptions!$B$50,0,$C$1)*(G$393-G$359-G$400)</f>
        <v>19.295359999999999</v>
      </c>
      <c r="H366" s="35">
        <f ca="1">OFFSET(Assumptions!$B$50,0,$C$1)*(H$393-H$359-H$400)</f>
        <v>18.892800000000005</v>
      </c>
      <c r="I366" s="35">
        <f ca="1">OFFSET(Assumptions!$B$50,0,$C$1)*(I$393-I$359-I$400)</f>
        <v>21.588159999999998</v>
      </c>
      <c r="J366" s="17">
        <f ca="1">OFFSET(Assumptions!$B$50,0,$C$1)*(J$393-J$359-J$400)</f>
        <v>25.920320000000004</v>
      </c>
      <c r="K366" s="17">
        <f ca="1">OFFSET(Assumptions!$B$50,0,$C$1)*(K$393-K$359-K$400)</f>
        <v>27.230080000000005</v>
      </c>
      <c r="L366" s="17">
        <f ca="1">OFFSET(Assumptions!$B$50,0,$C$1)*(L$393-L$359-L$400)</f>
        <v>29.563200000000002</v>
      </c>
      <c r="M366" s="17">
        <f ca="1">OFFSET(Assumptions!$B$50,0,$C$1)*(M$393-M$359-M$400)</f>
        <v>30.861120000000003</v>
      </c>
      <c r="N366" s="17">
        <f ca="1">OFFSET(Assumptions!$B$50,0,$C$1)*(N$393-N$359-N$400)</f>
        <v>32.542720000000003</v>
      </c>
      <c r="O366" s="16">
        <f ca="1">OFFSET(Assumptions!$B$50,0,$C$1)*(O$393-O$359-O$400)</f>
        <v>33.722500795154481</v>
      </c>
      <c r="P366" s="16">
        <f ca="1">OFFSET(Assumptions!$B$50,0,$C$1)*(P$393-P$359-P$400)</f>
        <v>35.683882626040898</v>
      </c>
      <c r="Q366" s="16">
        <f ca="1">OFFSET(Assumptions!$B$50,0,$C$1)*(Q$393-Q$359-Q$400)</f>
        <v>37.713343324103739</v>
      </c>
      <c r="R366" s="16">
        <f ca="1">OFFSET(Assumptions!$B$50,0,$C$1)*(R$393-R$359-R$400)</f>
        <v>39.79717564114042</v>
      </c>
      <c r="S366" s="16">
        <f ca="1">OFFSET(Assumptions!$B$50,0,$C$1)*(S$393-S$359-S$400)</f>
        <v>41.928676457415158</v>
      </c>
      <c r="T366" s="16">
        <f ca="1">OFFSET(Assumptions!$B$50,0,$C$1)*(T$393-T$359-T$400)</f>
        <v>44.113070220970698</v>
      </c>
      <c r="U366" s="16">
        <f ca="1">OFFSET(Assumptions!$B$50,0,$C$1)*(U$393-U$359-U$400)</f>
        <v>46.338271775030762</v>
      </c>
      <c r="V366" s="16">
        <f ca="1">OFFSET(Assumptions!$B$50,0,$C$1)*(V$393-V$359-V$400)</f>
        <v>48.613060561043184</v>
      </c>
      <c r="W366" s="16">
        <f ca="1">OFFSET(Assumptions!$B$50,0,$C$1)*(W$393-W$359-W$400)</f>
        <v>50.962285833293691</v>
      </c>
      <c r="X366" s="16">
        <f ca="1">OFFSET(Assumptions!$B$50,0,$C$1)*(X$393-X$359-X$400)</f>
        <v>53.414029824974996</v>
      </c>
    </row>
    <row r="367" spans="1:24" x14ac:dyDescent="0.25">
      <c r="A367" s="11" t="s">
        <v>1050</v>
      </c>
      <c r="B367" s="10" t="str">
        <f>$B$38</f>
        <v>From Fiscal Forecasts</v>
      </c>
      <c r="D367" s="35">
        <f ca="1">'Fiscal Forecasts'!D$182-D$366</f>
        <v>13.366959999999999</v>
      </c>
      <c r="E367" s="35">
        <f ca="1">'Fiscal Forecasts'!E$182-E$366</f>
        <v>29.827599999999997</v>
      </c>
      <c r="F367" s="35">
        <f ca="1">'Fiscal Forecasts'!F$182-F$366</f>
        <v>19.820039999999999</v>
      </c>
      <c r="G367" s="35">
        <f ca="1">'Fiscal Forecasts'!G$182-G$366</f>
        <v>24.468640000000004</v>
      </c>
      <c r="H367" s="35">
        <f ca="1">'Fiscal Forecasts'!H$182-H$366</f>
        <v>25.522199999999994</v>
      </c>
      <c r="I367" s="35">
        <f ca="1">'Fiscal Forecasts'!I$182-I$366</f>
        <v>30.382839999999998</v>
      </c>
      <c r="J367" s="17">
        <f ca="1">'Fiscal Forecasts'!J$182-J$366+IF($C$3="Yes",OFFSET(Assumptions!$B$50,0,$C$1)*('NZSF Adjuster'!U$26-'Fiscal Forecasts'!J$364),0)</f>
        <v>38.730679999999992</v>
      </c>
      <c r="K367" s="17">
        <f ca="1">'Fiscal Forecasts'!K$182-K$366+IF($C$3="Yes",OFFSET(Assumptions!$B$50,0,$C$1)*('NZSF Adjuster'!V$26-'Fiscal Forecasts'!K$364),0)</f>
        <v>46.704920000000001</v>
      </c>
      <c r="L367" s="17">
        <f ca="1">'Fiscal Forecasts'!L$182-L$366+IF($C$3="Yes",OFFSET(Assumptions!$B$50,0,$C$1)*('NZSF Adjuster'!W$26-'Fiscal Forecasts'!L$364),0)</f>
        <v>45.037799999999997</v>
      </c>
      <c r="M367" s="17">
        <f ca="1">'Fiscal Forecasts'!M$182-M$366+IF($C$3="Yes",OFFSET(Assumptions!$B$50,0,$C$1)*('NZSF Adjuster'!X$26-'Fiscal Forecasts'!M$364),0)</f>
        <v>45.951880000000003</v>
      </c>
      <c r="N367" s="17">
        <f ca="1">'Fiscal Forecasts'!N$182-N$366+IF($C$3="Yes",OFFSET(Assumptions!$B$50,0,$C$1)*('NZSF Adjuster'!Y$26-'Fiscal Forecasts'!N$364),0)</f>
        <v>46.982280000000003</v>
      </c>
      <c r="O367" s="16">
        <f t="shared" ref="O367:X367" ca="1" si="224">N$367</f>
        <v>46.982280000000003</v>
      </c>
      <c r="P367" s="16">
        <f t="shared" ca="1" si="224"/>
        <v>46.982280000000003</v>
      </c>
      <c r="Q367" s="16">
        <f t="shared" ca="1" si="224"/>
        <v>46.982280000000003</v>
      </c>
      <c r="R367" s="16">
        <f t="shared" ca="1" si="224"/>
        <v>46.982280000000003</v>
      </c>
      <c r="S367" s="16">
        <f t="shared" ca="1" si="224"/>
        <v>46.982280000000003</v>
      </c>
      <c r="T367" s="16">
        <f t="shared" ca="1" si="224"/>
        <v>46.982280000000003</v>
      </c>
      <c r="U367" s="16">
        <f t="shared" ca="1" si="224"/>
        <v>46.982280000000003</v>
      </c>
      <c r="V367" s="16">
        <f t="shared" ca="1" si="224"/>
        <v>46.982280000000003</v>
      </c>
      <c r="W367" s="16">
        <f t="shared" ca="1" si="224"/>
        <v>46.982280000000003</v>
      </c>
      <c r="X367" s="16">
        <f t="shared" ca="1" si="224"/>
        <v>46.982280000000003</v>
      </c>
    </row>
    <row r="368" spans="1:24" x14ac:dyDescent="0.25">
      <c r="A368" s="9" t="s">
        <v>1051</v>
      </c>
      <c r="D368" s="65">
        <f t="shared" ref="D368:X368" ca="1" si="225">SUM(D$366:D$367)</f>
        <v>27.405999999999999</v>
      </c>
      <c r="E368" s="65">
        <f t="shared" ca="1" si="225"/>
        <v>43.665999999999997</v>
      </c>
      <c r="F368" s="65">
        <f t="shared" ca="1" si="225"/>
        <v>37.732999999999997</v>
      </c>
      <c r="G368" s="65">
        <f t="shared" ca="1" si="225"/>
        <v>43.764000000000003</v>
      </c>
      <c r="H368" s="65">
        <f t="shared" ca="1" si="225"/>
        <v>44.414999999999999</v>
      </c>
      <c r="I368" s="65">
        <f t="shared" ca="1" si="225"/>
        <v>51.970999999999997</v>
      </c>
      <c r="J368" s="66">
        <f t="shared" ca="1" si="225"/>
        <v>64.650999999999996</v>
      </c>
      <c r="K368" s="66">
        <f t="shared" ca="1" si="225"/>
        <v>73.935000000000002</v>
      </c>
      <c r="L368" s="66">
        <f t="shared" ca="1" si="225"/>
        <v>74.600999999999999</v>
      </c>
      <c r="M368" s="66">
        <f t="shared" ca="1" si="225"/>
        <v>76.813000000000002</v>
      </c>
      <c r="N368" s="66">
        <f t="shared" ca="1" si="225"/>
        <v>79.525000000000006</v>
      </c>
      <c r="O368" s="67">
        <f t="shared" ca="1" si="225"/>
        <v>80.704780795154477</v>
      </c>
      <c r="P368" s="67">
        <f t="shared" ca="1" si="225"/>
        <v>82.666162626040901</v>
      </c>
      <c r="Q368" s="67">
        <f t="shared" ca="1" si="225"/>
        <v>84.695623324103735</v>
      </c>
      <c r="R368" s="67">
        <f t="shared" ca="1" si="225"/>
        <v>86.77945564114043</v>
      </c>
      <c r="S368" s="67">
        <f t="shared" ca="1" si="225"/>
        <v>88.910956457415153</v>
      </c>
      <c r="T368" s="67">
        <f t="shared" ca="1" si="225"/>
        <v>91.095350220970701</v>
      </c>
      <c r="U368" s="67">
        <f t="shared" ca="1" si="225"/>
        <v>93.320551775030765</v>
      </c>
      <c r="V368" s="67">
        <f t="shared" ca="1" si="225"/>
        <v>95.595340561043187</v>
      </c>
      <c r="W368" s="67">
        <f t="shared" ca="1" si="225"/>
        <v>97.944565833293694</v>
      </c>
      <c r="X368" s="67">
        <f t="shared" ca="1" si="225"/>
        <v>100.39630982497499</v>
      </c>
    </row>
    <row r="369" spans="1:24" x14ac:dyDescent="0.25">
      <c r="A369" s="11" t="s">
        <v>707</v>
      </c>
      <c r="B369" s="10" t="str">
        <f>$B$38</f>
        <v>From Fiscal Forecasts</v>
      </c>
      <c r="D369" s="35">
        <f>'Fiscal Forecasts'!D$214</f>
        <v>33.838000000000001</v>
      </c>
      <c r="E369" s="35">
        <f>'Fiscal Forecasts'!E$214</f>
        <v>34.494</v>
      </c>
      <c r="F369" s="35">
        <f>'Fiscal Forecasts'!F$214</f>
        <v>33.545999999999999</v>
      </c>
      <c r="G369" s="35">
        <f>'Fiscal Forecasts'!G$214</f>
        <v>31.513000000000002</v>
      </c>
      <c r="H369" s="35">
        <f>'Fiscal Forecasts'!H$214</f>
        <v>34.506</v>
      </c>
      <c r="I369" s="35">
        <f>'Fiscal Forecasts'!I$214</f>
        <v>39.212000000000003</v>
      </c>
      <c r="J369" s="17">
        <f>'Fiscal Forecasts'!J$214</f>
        <v>44.709000000000003</v>
      </c>
      <c r="K369" s="17">
        <f>'Fiscal Forecasts'!K$214</f>
        <v>45.356000000000002</v>
      </c>
      <c r="L369" s="17">
        <f>'Fiscal Forecasts'!L$214</f>
        <v>45.789000000000001</v>
      </c>
      <c r="M369" s="17">
        <f>'Fiscal Forecasts'!M$214</f>
        <v>46.503999999999998</v>
      </c>
      <c r="N369" s="17">
        <f>'Fiscal Forecasts'!N$214</f>
        <v>47.848999999999997</v>
      </c>
      <c r="O369" s="16">
        <f ca="1">N$369*AVERAGE(Exogenous!Z$30/Exogenous!Y$30,1+O$29)</f>
        <v>49.014936257065948</v>
      </c>
      <c r="P369" s="16">
        <f ca="1">O$369*AVERAGE(Exogenous!AA$30/Exogenous!Z$30,1+P$29)</f>
        <v>50.347213525928908</v>
      </c>
      <c r="Q369" s="16">
        <f ca="1">P$369*AVERAGE(Exogenous!AB$30/Exogenous!AA$30,1+Q$29)</f>
        <v>51.884554518425304</v>
      </c>
      <c r="R369" s="16">
        <f ca="1">Q$369*AVERAGE(Exogenous!AC$30/Exogenous!AB$30,1+R$29)</f>
        <v>53.644219661698841</v>
      </c>
      <c r="S369" s="16">
        <f ca="1">R$369*AVERAGE(Exogenous!AD$30/Exogenous!AC$30,1+S$29)</f>
        <v>55.648819652026312</v>
      </c>
      <c r="T369" s="16">
        <f ca="1">S$369*AVERAGE(Exogenous!AE$30/Exogenous!AD$30,1+T$29)</f>
        <v>57.929528300001017</v>
      </c>
      <c r="U369" s="16">
        <f ca="1">T$369*AVERAGE(Exogenous!AF$30/Exogenous!AE$30,1+U$29)</f>
        <v>60.512559880882698</v>
      </c>
      <c r="V369" s="16">
        <f ca="1">U$369*AVERAGE(Exogenous!AG$30/Exogenous!AF$30,1+V$29)</f>
        <v>63.28090184155873</v>
      </c>
      <c r="W369" s="16">
        <f ca="1">V$369*AVERAGE(Exogenous!AH$30/Exogenous!AG$30,1+W$29)</f>
        <v>66.115145082176525</v>
      </c>
      <c r="X369" s="16">
        <f ca="1">W$369*AVERAGE(Exogenous!AI$30/Exogenous!AH$30,1+X$29)</f>
        <v>68.989975248406552</v>
      </c>
    </row>
    <row r="370" spans="1:24" x14ac:dyDescent="0.25">
      <c r="A370" s="11" t="s">
        <v>904</v>
      </c>
      <c r="B370" s="10" t="str">
        <f t="shared" ref="B370:B371" si="226">$B$38</f>
        <v>From Fiscal Forecasts</v>
      </c>
      <c r="D370" s="35">
        <f>'Fiscal Forecasts'!D$215</f>
        <v>3.3879999999999999</v>
      </c>
      <c r="E370" s="35">
        <f>'Fiscal Forecasts'!E$215</f>
        <v>3.88</v>
      </c>
      <c r="F370" s="35">
        <f>'Fiscal Forecasts'!F$215</f>
        <v>3.3250000000000002</v>
      </c>
      <c r="G370" s="35">
        <f>'Fiscal Forecasts'!G$215</f>
        <v>5.3479999999999999</v>
      </c>
      <c r="H370" s="35">
        <f>'Fiscal Forecasts'!H$215</f>
        <v>3.9380000000000002</v>
      </c>
      <c r="I370" s="35">
        <f>'Fiscal Forecasts'!I$215</f>
        <v>2.9710000000000001</v>
      </c>
      <c r="J370" s="17">
        <f>'Fiscal Forecasts'!J$215</f>
        <v>3.2130000000000001</v>
      </c>
      <c r="K370" s="17">
        <f>'Fiscal Forecasts'!K$215</f>
        <v>2.7749999999999999</v>
      </c>
      <c r="L370" s="17">
        <f>'Fiscal Forecasts'!L$215</f>
        <v>2.8260000000000001</v>
      </c>
      <c r="M370" s="17">
        <f>'Fiscal Forecasts'!M$215</f>
        <v>3.0030000000000001</v>
      </c>
      <c r="N370" s="17">
        <f>'Fiscal Forecasts'!N$215</f>
        <v>2.976</v>
      </c>
      <c r="O370" s="16">
        <f t="shared" ref="O370:X370" ca="1" si="227">N$370*(1+O$14)</f>
        <v>3.1044070902263794</v>
      </c>
      <c r="P370" s="16">
        <f t="shared" ca="1" si="227"/>
        <v>3.2368105447188023</v>
      </c>
      <c r="Q370" s="16">
        <f t="shared" ca="1" si="227"/>
        <v>3.3695014832850716</v>
      </c>
      <c r="R370" s="16">
        <f t="shared" ca="1" si="227"/>
        <v>3.5021806593985603</v>
      </c>
      <c r="S370" s="16">
        <f t="shared" ca="1" si="227"/>
        <v>3.6377853663695907</v>
      </c>
      <c r="T370" s="16">
        <f t="shared" ca="1" si="227"/>
        <v>3.7761086592909621</v>
      </c>
      <c r="U370" s="16">
        <f t="shared" ca="1" si="227"/>
        <v>3.916276223883866</v>
      </c>
      <c r="V370" s="16">
        <f t="shared" ca="1" si="227"/>
        <v>4.0585511807631462</v>
      </c>
      <c r="W370" s="16">
        <f t="shared" ca="1" si="227"/>
        <v>4.2029282292638444</v>
      </c>
      <c r="X370" s="16">
        <f t="shared" ca="1" si="227"/>
        <v>4.3504953268790194</v>
      </c>
    </row>
    <row r="371" spans="1:24" x14ac:dyDescent="0.25">
      <c r="A371" s="11" t="s">
        <v>866</v>
      </c>
      <c r="B371" s="10" t="str">
        <f t="shared" si="226"/>
        <v>From Fiscal Forecasts</v>
      </c>
      <c r="D371" s="35">
        <f ca="1">'Fiscal Forecasts'!D$122-SUM(D$368:D$370)</f>
        <v>-21.016000000000005</v>
      </c>
      <c r="E371" s="35">
        <f ca="1">'Fiscal Forecasts'!E$122-SUM(E$368:E$370)</f>
        <v>-21.034999999999989</v>
      </c>
      <c r="F371" s="35">
        <f ca="1">'Fiscal Forecasts'!F$122-SUM(F$368:F$370)</f>
        <v>-17.820999999999998</v>
      </c>
      <c r="G371" s="35">
        <f ca="1">'Fiscal Forecasts'!G$122-SUM(G$368:G$370)</f>
        <v>-15.168999999999997</v>
      </c>
      <c r="H371" s="35">
        <f ca="1">'Fiscal Forecasts'!H$122-SUM(H$368:H$370)</f>
        <v>-16.369</v>
      </c>
      <c r="I371" s="35">
        <f ca="1">'Fiscal Forecasts'!I$122-SUM(I$368:I$370)</f>
        <v>-20.507999999999996</v>
      </c>
      <c r="J371" s="17">
        <f ca="1">'Fiscal Forecasts'!J$122-SUM(J$368:J$370)+IF($C$3="Yes",OFFSET(Assumptions!$B$50,0,$C$1)*('NZSF Adjuster'!U$26-'Fiscal Forecasts'!J$364),0)</f>
        <v>-26.075999999999993</v>
      </c>
      <c r="K371" s="17">
        <f ca="1">'Fiscal Forecasts'!K$122-SUM(K$368:K$370)+IF($C$3="Yes",OFFSET(Assumptions!$B$50,0,$C$1)*('NZSF Adjuster'!V$26-'Fiscal Forecasts'!K$364),0)</f>
        <v>-26.134</v>
      </c>
      <c r="L371" s="17">
        <f ca="1">'Fiscal Forecasts'!L$122-SUM(L$368:L$370)+IF($C$3="Yes",OFFSET(Assumptions!$B$50,0,$C$1)*('NZSF Adjuster'!W$26-'Fiscal Forecasts'!L$364),0)</f>
        <v>-26.244</v>
      </c>
      <c r="M371" s="17">
        <f ca="1">'Fiscal Forecasts'!M$122-SUM(M$368:M$370)+IF($C$3="Yes",OFFSET(Assumptions!$B$50,0,$C$1)*('NZSF Adjuster'!X$26-'Fiscal Forecasts'!M$364),0)</f>
        <v>-26.624000000000009</v>
      </c>
      <c r="N371" s="17">
        <f ca="1">'Fiscal Forecasts'!N$122-SUM(N$368:N$370)+IF($C$3="Yes",OFFSET(Assumptions!$B$50,0,$C$1)*('NZSF Adjuster'!Y$26-'Fiscal Forecasts'!N$364),0)</f>
        <v>-27.197999999999993</v>
      </c>
      <c r="O371" s="16">
        <f t="shared" ref="O371:X371" ca="1" si="228">N$371*O$369/N$369</f>
        <v>-27.860733480734797</v>
      </c>
      <c r="P371" s="16">
        <f t="shared" ca="1" si="228"/>
        <v>-28.618017377128343</v>
      </c>
      <c r="Q371" s="16">
        <f t="shared" ca="1" si="228"/>
        <v>-29.491862187133087</v>
      </c>
      <c r="R371" s="16">
        <f t="shared" ca="1" si="228"/>
        <v>-30.492078964218368</v>
      </c>
      <c r="S371" s="16">
        <f t="shared" ca="1" si="228"/>
        <v>-31.631519925093755</v>
      </c>
      <c r="T371" s="16">
        <f t="shared" ca="1" si="228"/>
        <v>-32.927904673105537</v>
      </c>
      <c r="U371" s="16">
        <f t="shared" ca="1" si="228"/>
        <v>-34.396133746582933</v>
      </c>
      <c r="V371" s="16">
        <f t="shared" ca="1" si="228"/>
        <v>-35.969695673613103</v>
      </c>
      <c r="W371" s="16">
        <f t="shared" ca="1" si="228"/>
        <v>-37.58071675364242</v>
      </c>
      <c r="X371" s="16">
        <f t="shared" ca="1" si="228"/>
        <v>-39.214807975217042</v>
      </c>
    </row>
    <row r="372" spans="1:24" x14ac:dyDescent="0.25">
      <c r="A372" s="9" t="s">
        <v>1052</v>
      </c>
      <c r="D372" s="65">
        <f t="shared" ref="D372:X372" ca="1" si="229">SUM(D$368:D$371)</f>
        <v>43.616</v>
      </c>
      <c r="E372" s="65">
        <f t="shared" ca="1" si="229"/>
        <v>61.005000000000003</v>
      </c>
      <c r="F372" s="65">
        <f t="shared" ca="1" si="229"/>
        <v>56.783000000000001</v>
      </c>
      <c r="G372" s="65">
        <f t="shared" ca="1" si="229"/>
        <v>65.456000000000003</v>
      </c>
      <c r="H372" s="65">
        <f t="shared" ca="1" si="229"/>
        <v>66.489999999999995</v>
      </c>
      <c r="I372" s="65">
        <f t="shared" ca="1" si="229"/>
        <v>73.646000000000001</v>
      </c>
      <c r="J372" s="66">
        <f t="shared" ca="1" si="229"/>
        <v>86.497</v>
      </c>
      <c r="K372" s="66">
        <f t="shared" ca="1" si="229"/>
        <v>95.932000000000002</v>
      </c>
      <c r="L372" s="66">
        <f t="shared" ca="1" si="229"/>
        <v>96.971999999999994</v>
      </c>
      <c r="M372" s="66">
        <f t="shared" ca="1" si="229"/>
        <v>99.695999999999998</v>
      </c>
      <c r="N372" s="66">
        <f t="shared" ca="1" si="229"/>
        <v>103.152</v>
      </c>
      <c r="O372" s="67">
        <f t="shared" ca="1" si="229"/>
        <v>104.96339066171201</v>
      </c>
      <c r="P372" s="67">
        <f t="shared" ca="1" si="229"/>
        <v>107.63216931956025</v>
      </c>
      <c r="Q372" s="67">
        <f t="shared" ca="1" si="229"/>
        <v>110.45781713868104</v>
      </c>
      <c r="R372" s="67">
        <f t="shared" ca="1" si="229"/>
        <v>113.43377699801948</v>
      </c>
      <c r="S372" s="67">
        <f t="shared" ca="1" si="229"/>
        <v>116.5660415507173</v>
      </c>
      <c r="T372" s="67">
        <f t="shared" ca="1" si="229"/>
        <v>119.87308250715716</v>
      </c>
      <c r="U372" s="67">
        <f t="shared" ca="1" si="229"/>
        <v>123.35325413321439</v>
      </c>
      <c r="V372" s="67">
        <f t="shared" ca="1" si="229"/>
        <v>126.96509790975196</v>
      </c>
      <c r="W372" s="67">
        <f t="shared" ca="1" si="229"/>
        <v>130.68192239109163</v>
      </c>
      <c r="X372" s="67">
        <f t="shared" ca="1" si="229"/>
        <v>134.52197242504351</v>
      </c>
    </row>
    <row r="374" spans="1:24" x14ac:dyDescent="0.25">
      <c r="A374" s="9" t="s">
        <v>621</v>
      </c>
    </row>
    <row r="375" spans="1:24" x14ac:dyDescent="0.25">
      <c r="A375" s="11" t="s">
        <v>1053</v>
      </c>
      <c r="D375" s="35">
        <f ca="1">SUM(OFFSET(Assumptions!$B$51,0,$C$1),OFFSET(Assumptions!$B$52,0,$C$1))*(D$393-D$359-D$400)-D$397</f>
        <v>23.951360000000001</v>
      </c>
      <c r="E375" s="35">
        <f ca="1">SUM(OFFSET(Assumptions!$B$51,0,$C$1),OFFSET(Assumptions!$B$52,0,$C$1))*(E$393-E$359-E$400)-E$397</f>
        <v>23.024350000000005</v>
      </c>
      <c r="F375" s="35">
        <f ca="1">SUM(OFFSET(Assumptions!$B$51,0,$C$1),OFFSET(Assumptions!$B$52,0,$C$1))*(F$393-F$359-F$400)-F$397</f>
        <v>30.54814</v>
      </c>
      <c r="G375" s="35">
        <f ca="1">SUM(OFFSET(Assumptions!$B$51,0,$C$1),OFFSET(Assumptions!$B$52,0,$C$1))*(G$393-G$359-G$400)-G$397</f>
        <v>31.891739999999995</v>
      </c>
      <c r="H375" s="35">
        <f ca="1">SUM(OFFSET(Assumptions!$B$51,0,$C$1),OFFSET(Assumptions!$B$52,0,$C$1))*(H$393-H$359-H$400)-H$397</f>
        <v>29.878200000000007</v>
      </c>
      <c r="I375" s="35">
        <f ca="1">SUM(OFFSET(Assumptions!$B$51,0,$C$1),OFFSET(Assumptions!$B$52,0,$C$1))*(I$393-I$359-I$400)-I$397</f>
        <v>35.327689999999997</v>
      </c>
      <c r="J375" s="17">
        <f ca="1">SUM(OFFSET(Assumptions!$B$51,0,$C$1),OFFSET(Assumptions!$B$52,0,$C$1))*(J$393-J$359-J$400)-J$397</f>
        <v>42.631630000000001</v>
      </c>
      <c r="K375" s="17">
        <f ca="1">SUM(OFFSET(Assumptions!$B$51,0,$C$1),OFFSET(Assumptions!$B$52,0,$C$1))*(K$393-K$359-K$400)-K$397</f>
        <v>44.30022000000001</v>
      </c>
      <c r="L375" s="17">
        <f ca="1">SUM(OFFSET(Assumptions!$B$51,0,$C$1),OFFSET(Assumptions!$B$52,0,$C$1))*(L$393-L$359-L$400)-L$397</f>
        <v>47.376550000000002</v>
      </c>
      <c r="M375" s="17">
        <f ca="1">SUM(OFFSET(Assumptions!$B$51,0,$C$1),OFFSET(Assumptions!$B$52,0,$C$1))*(M$393-M$359-M$400)-M$397</f>
        <v>48.376830000000005</v>
      </c>
      <c r="N375" s="17">
        <f ca="1">SUM(OFFSET(Assumptions!$B$51,0,$C$1),OFFSET(Assumptions!$B$52,0,$C$1))*(N$393-N$359-N$400)-N$397</f>
        <v>50.054479999999998</v>
      </c>
      <c r="O375" s="16">
        <f ca="1">OFFSET(Assumptions!$B$51,0,$C$1)*(O$393-O$359-O$400)</f>
        <v>55.852891941974619</v>
      </c>
      <c r="P375" s="16">
        <f ca="1">OFFSET(Assumptions!$B$51,0,$C$1)*(P$393-P$359-P$400)</f>
        <v>59.101430599380237</v>
      </c>
      <c r="Q375" s="16">
        <f ca="1">OFFSET(Assumptions!$B$51,0,$C$1)*(Q$393-Q$359-Q$400)</f>
        <v>62.462724880546823</v>
      </c>
      <c r="R375" s="16">
        <f ca="1">OFFSET(Assumptions!$B$51,0,$C$1)*(R$393-R$359-R$400)</f>
        <v>65.91407215563882</v>
      </c>
      <c r="S375" s="16">
        <f ca="1">OFFSET(Assumptions!$B$51,0,$C$1)*(S$393-S$359-S$400)</f>
        <v>69.44437038259386</v>
      </c>
      <c r="T375" s="16">
        <f ca="1">OFFSET(Assumptions!$B$51,0,$C$1)*(T$393-T$359-T$400)</f>
        <v>73.062272553482714</v>
      </c>
      <c r="U375" s="16">
        <f ca="1">OFFSET(Assumptions!$B$51,0,$C$1)*(U$393-U$359-U$400)</f>
        <v>76.747762627394707</v>
      </c>
      <c r="V375" s="16">
        <f ca="1">OFFSET(Assumptions!$B$51,0,$C$1)*(V$393-V$359-V$400)</f>
        <v>80.515381554227773</v>
      </c>
      <c r="W375" s="16">
        <f ca="1">OFFSET(Assumptions!$B$51,0,$C$1)*(W$393-W$359-W$400)</f>
        <v>84.406285911392672</v>
      </c>
      <c r="X375" s="16">
        <f ca="1">OFFSET(Assumptions!$B$51,0,$C$1)*(X$393-X$359-X$400)</f>
        <v>88.466986897614845</v>
      </c>
    </row>
    <row r="376" spans="1:24" x14ac:dyDescent="0.25">
      <c r="A376" s="11" t="s">
        <v>1054</v>
      </c>
      <c r="B376" s="10" t="str">
        <f>$B$38</f>
        <v>From Fiscal Forecasts</v>
      </c>
      <c r="D376" s="35">
        <f ca="1">'Fiscal Forecasts'!D$183-D$375</f>
        <v>2.4436399999999985</v>
      </c>
      <c r="E376" s="35">
        <f ca="1">'Fiscal Forecasts'!E$183-E$375</f>
        <v>-5.164350000000006</v>
      </c>
      <c r="F376" s="35">
        <f ca="1">'Fiscal Forecasts'!F$183-F$375</f>
        <v>-1.9041400000000017</v>
      </c>
      <c r="G376" s="35">
        <f ca="1">'Fiscal Forecasts'!G$183-G$375</f>
        <v>-2.7387399999999964</v>
      </c>
      <c r="H376" s="35">
        <f ca="1">'Fiscal Forecasts'!H$183-H$375</f>
        <v>-0.88020000000000564</v>
      </c>
      <c r="I376" s="35">
        <f ca="1">'Fiscal Forecasts'!I$183-I$375</f>
        <v>2.010310000000004</v>
      </c>
      <c r="J376" s="17">
        <f ca="1">'Fiscal Forecasts'!J$183-J$375+IF($C$3="Yes",SUM(OFFSET(Assumptions!$B$51,0,$C$1),OFFSET(Assumptions!$B$52,0,$C$1))*('NZSF Adjuster'!U$26-'Fiscal Forecasts'!J$364),0)</f>
        <v>1.3833699999999993</v>
      </c>
      <c r="K376" s="17">
        <f ca="1">'Fiscal Forecasts'!K$183-K$375+IF($C$3="Yes",SUM(OFFSET(Assumptions!$B$51,0,$C$1),OFFSET(Assumptions!$B$52,0,$C$1))*('NZSF Adjuster'!V$26-'Fiscal Forecasts'!K$364),0)</f>
        <v>0.96277999999998798</v>
      </c>
      <c r="L376" s="17">
        <f ca="1">'Fiscal Forecasts'!L$183-L$375+IF($C$3="Yes",SUM(OFFSET(Assumptions!$B$51,0,$C$1),OFFSET(Assumptions!$B$52,0,$C$1))*('NZSF Adjuster'!W$26-'Fiscal Forecasts'!L$364),0)</f>
        <v>-0.15955000000000297</v>
      </c>
      <c r="M376" s="17">
        <f ca="1">'Fiscal Forecasts'!M$183-M$375+IF($C$3="Yes",SUM(OFFSET(Assumptions!$B$51,0,$C$1),OFFSET(Assumptions!$B$52,0,$C$1))*('NZSF Adjuster'!X$26-'Fiscal Forecasts'!M$364),0)</f>
        <v>0.82116999999999507</v>
      </c>
      <c r="N376" s="17">
        <f ca="1">'Fiscal Forecasts'!N$183-N$375+IF($C$3="Yes",SUM(OFFSET(Assumptions!$B$51,0,$C$1),OFFSET(Assumptions!$B$52,0,$C$1))*('NZSF Adjuster'!Y$26-'Fiscal Forecasts'!N$364),0)</f>
        <v>1.1585200000000029</v>
      </c>
      <c r="O376" s="16">
        <f t="shared" ref="O376:X376" ca="1" si="230">N$376</f>
        <v>1.1585200000000029</v>
      </c>
      <c r="P376" s="16">
        <f t="shared" ca="1" si="230"/>
        <v>1.1585200000000029</v>
      </c>
      <c r="Q376" s="16">
        <f t="shared" ca="1" si="230"/>
        <v>1.1585200000000029</v>
      </c>
      <c r="R376" s="16">
        <f t="shared" ca="1" si="230"/>
        <v>1.1585200000000029</v>
      </c>
      <c r="S376" s="16">
        <f t="shared" ca="1" si="230"/>
        <v>1.1585200000000029</v>
      </c>
      <c r="T376" s="16">
        <f t="shared" ca="1" si="230"/>
        <v>1.1585200000000029</v>
      </c>
      <c r="U376" s="16">
        <f t="shared" ca="1" si="230"/>
        <v>1.1585200000000029</v>
      </c>
      <c r="V376" s="16">
        <f t="shared" ca="1" si="230"/>
        <v>1.1585200000000029</v>
      </c>
      <c r="W376" s="16">
        <f t="shared" ca="1" si="230"/>
        <v>1.1585200000000029</v>
      </c>
      <c r="X376" s="16">
        <f t="shared" ca="1" si="230"/>
        <v>1.1585200000000029</v>
      </c>
    </row>
    <row r="377" spans="1:24" x14ac:dyDescent="0.25">
      <c r="A377" s="9" t="s">
        <v>1055</v>
      </c>
      <c r="D377" s="65">
        <f t="shared" ref="D377:X377" ca="1" si="231">SUM(D$375:D$376)</f>
        <v>26.395</v>
      </c>
      <c r="E377" s="65">
        <f t="shared" ca="1" si="231"/>
        <v>17.86</v>
      </c>
      <c r="F377" s="65">
        <f t="shared" ca="1" si="231"/>
        <v>28.643999999999998</v>
      </c>
      <c r="G377" s="65">
        <f t="shared" ca="1" si="231"/>
        <v>29.152999999999999</v>
      </c>
      <c r="H377" s="65">
        <f t="shared" ca="1" si="231"/>
        <v>28.998000000000001</v>
      </c>
      <c r="I377" s="65">
        <f t="shared" ca="1" si="231"/>
        <v>37.338000000000001</v>
      </c>
      <c r="J377" s="66">
        <f t="shared" ca="1" si="231"/>
        <v>44.015000000000001</v>
      </c>
      <c r="K377" s="66">
        <f t="shared" ca="1" si="231"/>
        <v>45.262999999999998</v>
      </c>
      <c r="L377" s="66">
        <f t="shared" ca="1" si="231"/>
        <v>47.216999999999999</v>
      </c>
      <c r="M377" s="66">
        <f t="shared" ca="1" si="231"/>
        <v>49.198</v>
      </c>
      <c r="N377" s="66">
        <f t="shared" ca="1" si="231"/>
        <v>51.213000000000001</v>
      </c>
      <c r="O377" s="67">
        <f t="shared" ca="1" si="231"/>
        <v>57.011411941974622</v>
      </c>
      <c r="P377" s="67">
        <f t="shared" ca="1" si="231"/>
        <v>60.25995059938024</v>
      </c>
      <c r="Q377" s="67">
        <f t="shared" ca="1" si="231"/>
        <v>63.621244880546826</v>
      </c>
      <c r="R377" s="67">
        <f t="shared" ca="1" si="231"/>
        <v>67.07259215563883</v>
      </c>
      <c r="S377" s="67">
        <f t="shared" ca="1" si="231"/>
        <v>70.60289038259387</v>
      </c>
      <c r="T377" s="67">
        <f t="shared" ca="1" si="231"/>
        <v>74.22079255348271</v>
      </c>
      <c r="U377" s="67">
        <f t="shared" ca="1" si="231"/>
        <v>77.906282627394717</v>
      </c>
      <c r="V377" s="67">
        <f t="shared" ca="1" si="231"/>
        <v>81.673901554227768</v>
      </c>
      <c r="W377" s="67">
        <f t="shared" ca="1" si="231"/>
        <v>85.564805911392682</v>
      </c>
      <c r="X377" s="67">
        <f t="shared" ca="1" si="231"/>
        <v>89.625506897614855</v>
      </c>
    </row>
    <row r="378" spans="1:24" x14ac:dyDescent="0.25">
      <c r="A378" s="11" t="s">
        <v>707</v>
      </c>
      <c r="B378" s="10" t="str">
        <f>$B$38</f>
        <v>From Fiscal Forecasts</v>
      </c>
      <c r="D378" s="35">
        <f>'Fiscal Forecasts'!D$216</f>
        <v>14.254</v>
      </c>
      <c r="E378" s="35">
        <f>'Fiscal Forecasts'!E$216</f>
        <v>17.135000000000002</v>
      </c>
      <c r="F378" s="35">
        <f>'Fiscal Forecasts'!F$216</f>
        <v>21.521999999999998</v>
      </c>
      <c r="G378" s="35">
        <f>'Fiscal Forecasts'!G$216</f>
        <v>18.613</v>
      </c>
      <c r="H378" s="35">
        <f>'Fiscal Forecasts'!H$216</f>
        <v>19.635000000000002</v>
      </c>
      <c r="I378" s="35">
        <f>'Fiscal Forecasts'!I$216</f>
        <v>16.818999999999999</v>
      </c>
      <c r="J378" s="17">
        <f>'Fiscal Forecasts'!J$216</f>
        <v>16.510000000000002</v>
      </c>
      <c r="K378" s="17">
        <f>'Fiscal Forecasts'!K$216</f>
        <v>16.564</v>
      </c>
      <c r="L378" s="17">
        <f>'Fiscal Forecasts'!L$216</f>
        <v>16.648</v>
      </c>
      <c r="M378" s="17">
        <f>'Fiscal Forecasts'!M$216</f>
        <v>16.707999999999998</v>
      </c>
      <c r="N378" s="17">
        <f>'Fiscal Forecasts'!N$216</f>
        <v>16.702999999999999</v>
      </c>
      <c r="O378" s="16">
        <f ca="1">N$378*AVERAGE(Exogenous!Z$30/Exogenous!Y$30,1+O$29)</f>
        <v>17.11000188722382</v>
      </c>
      <c r="P378" s="16">
        <f ca="1">O$378*AVERAGE(Exogenous!AA$30/Exogenous!Z$30,1+P$29)</f>
        <v>17.575069646671626</v>
      </c>
      <c r="Q378" s="16">
        <f ca="1">P$378*AVERAGE(Exogenous!AB$30/Exogenous!AA$30,1+Q$29)</f>
        <v>18.111720498260318</v>
      </c>
      <c r="R378" s="16">
        <f ca="1">Q$378*AVERAGE(Exogenous!AC$30/Exogenous!AB$30,1+R$29)</f>
        <v>18.725979665392295</v>
      </c>
      <c r="S378" s="16">
        <f ca="1">R$378*AVERAGE(Exogenous!AD$30/Exogenous!AC$30,1+S$29)</f>
        <v>19.425740029003649</v>
      </c>
      <c r="T378" s="16">
        <f ca="1">S$378*AVERAGE(Exogenous!AE$30/Exogenous!AD$30,1+T$29)</f>
        <v>20.22188365890441</v>
      </c>
      <c r="U378" s="16">
        <f ca="1">T$378*AVERAGE(Exogenous!AF$30/Exogenous!AE$30,1+U$29)</f>
        <v>21.123561363672884</v>
      </c>
      <c r="V378" s="16">
        <f ca="1">U$378*AVERAGE(Exogenous!AG$30/Exogenous!AF$30,1+V$29)</f>
        <v>22.089926716536514</v>
      </c>
      <c r="W378" s="16">
        <f ca="1">V$378*AVERAGE(Exogenous!AH$30/Exogenous!AG$30,1+W$29)</f>
        <v>23.079296710643789</v>
      </c>
      <c r="X378" s="16">
        <f ca="1">W$378*AVERAGE(Exogenous!AI$30/Exogenous!AH$30,1+X$29)</f>
        <v>24.082834679390057</v>
      </c>
    </row>
    <row r="379" spans="1:24" x14ac:dyDescent="0.25">
      <c r="A379" s="11" t="s">
        <v>904</v>
      </c>
      <c r="B379" s="10" t="str">
        <f t="shared" ref="B379:B380" si="232">$B$38</f>
        <v>From Fiscal Forecasts</v>
      </c>
      <c r="D379" s="35">
        <f>'Fiscal Forecasts'!D$217</f>
        <v>0.27900000000000003</v>
      </c>
      <c r="E379" s="35">
        <f>'Fiscal Forecasts'!E$217</f>
        <v>3.7999999999999999E-2</v>
      </c>
      <c r="F379" s="35">
        <f>'Fiscal Forecasts'!F$217</f>
        <v>3.7999999999999999E-2</v>
      </c>
      <c r="G379" s="35">
        <f>'Fiscal Forecasts'!G$217</f>
        <v>3.4000000000000002E-2</v>
      </c>
      <c r="H379" s="35">
        <f>'Fiscal Forecasts'!H$217</f>
        <v>3.5999999999999997E-2</v>
      </c>
      <c r="I379" s="35">
        <f>'Fiscal Forecasts'!I$217</f>
        <v>3.2000000000000001E-2</v>
      </c>
      <c r="J379" s="17">
        <f>'Fiscal Forecasts'!J$217</f>
        <v>3.2000000000000001E-2</v>
      </c>
      <c r="K379" s="17">
        <f>'Fiscal Forecasts'!K$217</f>
        <v>2.1999999999999999E-2</v>
      </c>
      <c r="L379" s="17">
        <f>'Fiscal Forecasts'!L$217</f>
        <v>2.3E-2</v>
      </c>
      <c r="M379" s="17">
        <f>'Fiscal Forecasts'!M$217</f>
        <v>2.3E-2</v>
      </c>
      <c r="N379" s="17">
        <f>'Fiscal Forecasts'!N$217</f>
        <v>2.3E-2</v>
      </c>
      <c r="O379" s="16">
        <f t="shared" ref="O379:X379" si="233">N$379</f>
        <v>2.3E-2</v>
      </c>
      <c r="P379" s="16">
        <f t="shared" si="233"/>
        <v>2.3E-2</v>
      </c>
      <c r="Q379" s="16">
        <f t="shared" si="233"/>
        <v>2.3E-2</v>
      </c>
      <c r="R379" s="16">
        <f t="shared" si="233"/>
        <v>2.3E-2</v>
      </c>
      <c r="S379" s="16">
        <f t="shared" si="233"/>
        <v>2.3E-2</v>
      </c>
      <c r="T379" s="16">
        <f t="shared" si="233"/>
        <v>2.3E-2</v>
      </c>
      <c r="U379" s="16">
        <f t="shared" si="233"/>
        <v>2.3E-2</v>
      </c>
      <c r="V379" s="16">
        <f t="shared" si="233"/>
        <v>2.3E-2</v>
      </c>
      <c r="W379" s="16">
        <f t="shared" si="233"/>
        <v>2.3E-2</v>
      </c>
      <c r="X379" s="16">
        <f t="shared" si="233"/>
        <v>2.3E-2</v>
      </c>
    </row>
    <row r="380" spans="1:24" x14ac:dyDescent="0.25">
      <c r="A380" s="11" t="s">
        <v>866</v>
      </c>
      <c r="B380" s="10" t="str">
        <f t="shared" si="232"/>
        <v>From Fiscal Forecasts</v>
      </c>
      <c r="D380" s="35">
        <f ca="1">'Fiscal Forecasts'!D$123-SUM(D$377:D$379)</f>
        <v>-1.3760000000000048</v>
      </c>
      <c r="E380" s="35">
        <f ca="1">'Fiscal Forecasts'!E$123-SUM(E$377:E$379)</f>
        <v>-1.2420000000000044</v>
      </c>
      <c r="F380" s="35">
        <f ca="1">'Fiscal Forecasts'!F$123-SUM(F$377:F$379)</f>
        <v>-1.664999999999992</v>
      </c>
      <c r="G380" s="35">
        <f ca="1">'Fiscal Forecasts'!G$123-SUM(G$377:G$379)</f>
        <v>-1.5389999999999944</v>
      </c>
      <c r="H380" s="35">
        <f ca="1">'Fiscal Forecasts'!H$123-SUM(H$377:H$379)</f>
        <v>-0.62300000000000466</v>
      </c>
      <c r="I380" s="35">
        <f ca="1">'Fiscal Forecasts'!I$123-SUM(I$377:I$379)</f>
        <v>-0.69399999999999551</v>
      </c>
      <c r="J380" s="17">
        <f ca="1">'Fiscal Forecasts'!J$123-SUM(J$377:J$379)+IF($C$3="Yes",SUM(OFFSET(Assumptions!$B$51,0,$C$1),OFFSET(Assumptions!$B$52,0,$C$1))*('NZSF Adjuster'!U$26-'Fiscal Forecasts'!J$364),0)</f>
        <v>-0.67500000000000426</v>
      </c>
      <c r="K380" s="17">
        <f ca="1">'Fiscal Forecasts'!K$123-SUM(K$377:K$379)+IF($C$3="Yes",SUM(OFFSET(Assumptions!$B$51,0,$C$1),OFFSET(Assumptions!$B$52,0,$C$1))*('NZSF Adjuster'!V$26-'Fiscal Forecasts'!K$364),0)</f>
        <v>-0.68599999999999994</v>
      </c>
      <c r="L380" s="17">
        <f ca="1">'Fiscal Forecasts'!L$123-SUM(L$377:L$379)+IF($C$3="Yes",SUM(OFFSET(Assumptions!$B$51,0,$C$1),OFFSET(Assumptions!$B$52,0,$C$1))*('NZSF Adjuster'!W$26-'Fiscal Forecasts'!L$364),0)</f>
        <v>-0.70199999999999818</v>
      </c>
      <c r="M380" s="17">
        <f ca="1">'Fiscal Forecasts'!M$123-SUM(M$377:M$379)+IF($C$3="Yes",SUM(OFFSET(Assumptions!$B$51,0,$C$1),OFFSET(Assumptions!$B$52,0,$C$1))*('NZSF Adjuster'!X$26-'Fiscal Forecasts'!M$364),0)</f>
        <v>-0.72100000000000364</v>
      </c>
      <c r="N380" s="17">
        <f ca="1">'Fiscal Forecasts'!N$123-SUM(N$377:N$379)+IF($C$3="Yes",SUM(OFFSET(Assumptions!$B$51,0,$C$1),OFFSET(Assumptions!$B$52,0,$C$1))*('NZSF Adjuster'!Y$26-'Fiscal Forecasts'!N$364),0)</f>
        <v>-0.74699999999999989</v>
      </c>
      <c r="O380" s="16">
        <f t="shared" ref="O380:X380" ca="1" si="234">N$380*AVERAGE(O$377/N$377,O$378/N$378)</f>
        <v>-0.79838929682699777</v>
      </c>
      <c r="P380" s="16">
        <f t="shared" ca="1" si="234"/>
        <v>-0.83198613514568998</v>
      </c>
      <c r="Q380" s="16">
        <f t="shared" ca="1" si="234"/>
        <v>-0.86789244467487292</v>
      </c>
      <c r="R380" s="16">
        <f t="shared" ca="1" si="234"/>
        <v>-0.90615059940228104</v>
      </c>
      <c r="S380" s="16">
        <f t="shared" ca="1" si="234"/>
        <v>-0.94692847103303912</v>
      </c>
      <c r="T380" s="16">
        <f t="shared" ca="1" si="234"/>
        <v>-0.99059462348465999</v>
      </c>
      <c r="U380" s="16">
        <f t="shared" ca="1" si="234"/>
        <v>-1.0372739024343125</v>
      </c>
      <c r="V380" s="16">
        <f t="shared" ca="1" si="234"/>
        <v>-1.0860823765602119</v>
      </c>
      <c r="W380" s="16">
        <f t="shared" ca="1" si="234"/>
        <v>-1.1362744757333609</v>
      </c>
      <c r="X380" s="16">
        <f t="shared" ca="1" si="234"/>
        <v>-1.1879407514277145</v>
      </c>
    </row>
    <row r="381" spans="1:24" x14ac:dyDescent="0.25">
      <c r="A381" s="9" t="s">
        <v>1056</v>
      </c>
      <c r="D381" s="65">
        <f t="shared" ref="D381:X381" ca="1" si="235">SUM(D$377:D$380)</f>
        <v>39.552</v>
      </c>
      <c r="E381" s="65">
        <f t="shared" ca="1" si="235"/>
        <v>33.790999999999997</v>
      </c>
      <c r="F381" s="65">
        <f t="shared" ca="1" si="235"/>
        <v>48.539000000000001</v>
      </c>
      <c r="G381" s="65">
        <f t="shared" ca="1" si="235"/>
        <v>46.261000000000003</v>
      </c>
      <c r="H381" s="65">
        <f t="shared" ca="1" si="235"/>
        <v>48.045999999999999</v>
      </c>
      <c r="I381" s="65">
        <f t="shared" ca="1" si="235"/>
        <v>53.494999999999997</v>
      </c>
      <c r="J381" s="66">
        <f t="shared" ca="1" si="235"/>
        <v>59.881999999999998</v>
      </c>
      <c r="K381" s="66">
        <f t="shared" ca="1" si="235"/>
        <v>61.162999999999997</v>
      </c>
      <c r="L381" s="66">
        <f t="shared" ca="1" si="235"/>
        <v>63.186</v>
      </c>
      <c r="M381" s="66">
        <f t="shared" ca="1" si="235"/>
        <v>65.207999999999998</v>
      </c>
      <c r="N381" s="66">
        <f t="shared" ca="1" si="235"/>
        <v>67.191999999999993</v>
      </c>
      <c r="O381" s="67">
        <f t="shared" ca="1" si="235"/>
        <v>73.346024532371445</v>
      </c>
      <c r="P381" s="67">
        <f t="shared" ca="1" si="235"/>
        <v>77.026034110906181</v>
      </c>
      <c r="Q381" s="67">
        <f t="shared" ca="1" si="235"/>
        <v>80.888072934132254</v>
      </c>
      <c r="R381" s="67">
        <f t="shared" ca="1" si="235"/>
        <v>84.915421221628833</v>
      </c>
      <c r="S381" s="67">
        <f t="shared" ca="1" si="235"/>
        <v>89.104701940564482</v>
      </c>
      <c r="T381" s="67">
        <f t="shared" ca="1" si="235"/>
        <v>93.475081588902455</v>
      </c>
      <c r="U381" s="67">
        <f t="shared" ca="1" si="235"/>
        <v>98.015570088633282</v>
      </c>
      <c r="V381" s="67">
        <f t="shared" ca="1" si="235"/>
        <v>102.70074589420406</v>
      </c>
      <c r="W381" s="67">
        <f t="shared" ca="1" si="235"/>
        <v>107.53082814630311</v>
      </c>
      <c r="X381" s="67">
        <f t="shared" ca="1" si="235"/>
        <v>112.54340082557719</v>
      </c>
    </row>
    <row r="383" spans="1:24" x14ac:dyDescent="0.25">
      <c r="A383" s="9" t="s">
        <v>777</v>
      </c>
    </row>
    <row r="384" spans="1:24" x14ac:dyDescent="0.25">
      <c r="A384" s="11" t="s">
        <v>778</v>
      </c>
      <c r="B384" s="10" t="str">
        <f>$B$38</f>
        <v>From Fiscal Forecasts</v>
      </c>
      <c r="D384" s="35">
        <f>'Fiscal Forecasts'!D$358</f>
        <v>0.98199999999999998</v>
      </c>
      <c r="E384" s="35">
        <f>'Fiscal Forecasts'!E$358</f>
        <v>0.80300000000000005</v>
      </c>
      <c r="F384" s="35">
        <f>'Fiscal Forecasts'!F$358</f>
        <v>0.74199999999999999</v>
      </c>
      <c r="G384" s="35">
        <f>'Fiscal Forecasts'!G$358</f>
        <v>1.077</v>
      </c>
      <c r="H384" s="35">
        <f>'Fiscal Forecasts'!H$358</f>
        <v>1.32</v>
      </c>
      <c r="I384" s="35">
        <f>'Fiscal Forecasts'!I$358</f>
        <v>1.659</v>
      </c>
      <c r="J384" s="17">
        <f>IF($C$3="Yes",'NZSF Adjuster'!U$21,'Fiscal Forecasts'!J$358)</f>
        <v>1.7050000000000001</v>
      </c>
      <c r="K384" s="17">
        <f>IF($C$3="Yes",'NZSF Adjuster'!V$21,'Fiscal Forecasts'!K$358)</f>
        <v>1.7729999999999999</v>
      </c>
      <c r="L384" s="17">
        <f>IF($C$3="Yes",'NZSF Adjuster'!W$21,'Fiscal Forecasts'!L$358)</f>
        <v>1.869</v>
      </c>
      <c r="M384" s="17">
        <f>IF($C$3="Yes",'NZSF Adjuster'!X$21,'Fiscal Forecasts'!M$358)</f>
        <v>1.9930000000000001</v>
      </c>
      <c r="N384" s="17">
        <f>IF($C$3="Yes",'NZSF Adjuster'!Y$21,'Fiscal Forecasts'!N$358)</f>
        <v>2.1160000000000001</v>
      </c>
      <c r="O384" s="16">
        <f>IF($C$3="Yes",'NZSF Adjuster'!Z$21,Exogenous!Z$7)</f>
        <v>2.2436275511311652</v>
      </c>
      <c r="P384" s="16">
        <f>IF($C$3="Yes",'NZSF Adjuster'!AA$21,Exogenous!AA$7)</f>
        <v>2.3771937241437446</v>
      </c>
      <c r="Q384" s="16">
        <f>IF($C$3="Yes",'NZSF Adjuster'!AB$21,Exogenous!AB$7)</f>
        <v>2.5157820051435547</v>
      </c>
      <c r="R384" s="16">
        <f>IF($C$3="Yes",'NZSF Adjuster'!AC$21,Exogenous!AC$7)</f>
        <v>2.6586735928595782</v>
      </c>
      <c r="S384" s="16">
        <f>IF($C$3="Yes",'NZSF Adjuster'!AD$21,Exogenous!AD$7)</f>
        <v>2.8051359573915953</v>
      </c>
      <c r="T384" s="16">
        <f>IF($C$3="Yes",'NZSF Adjuster'!AE$21,Exogenous!AE$7)</f>
        <v>2.9550791422774938</v>
      </c>
      <c r="U384" s="16">
        <f>IF($C$3="Yes",'NZSF Adjuster'!AF$21,Exogenous!AF$7)</f>
        <v>3.1083204302525171</v>
      </c>
      <c r="V384" s="16">
        <f>IF($C$3="Yes",'NZSF Adjuster'!AG$21,Exogenous!AG$7)</f>
        <v>3.2646774508055842</v>
      </c>
      <c r="W384" s="16">
        <f>IF($C$3="Yes",'NZSF Adjuster'!AH$21,Exogenous!AH$7)</f>
        <v>3.4252679610365075</v>
      </c>
      <c r="X384" s="16">
        <f>IF($C$3="Yes",'NZSF Adjuster'!AI$21,Exogenous!AI$7)</f>
        <v>3.5919225641078021</v>
      </c>
    </row>
    <row r="385" spans="1:24" x14ac:dyDescent="0.25">
      <c r="A385" s="11" t="s">
        <v>872</v>
      </c>
      <c r="B385" s="10" t="str">
        <f t="shared" ref="B385:B390" si="236">$B$38</f>
        <v>From Fiscal Forecasts</v>
      </c>
      <c r="D385" s="35">
        <f>'Fiscal Forecasts'!D$359</f>
        <v>0.504</v>
      </c>
      <c r="E385" s="35">
        <f>'Fiscal Forecasts'!E$359</f>
        <v>0.44800000000000001</v>
      </c>
      <c r="F385" s="35">
        <f>'Fiscal Forecasts'!F$359</f>
        <v>2.1560000000000001</v>
      </c>
      <c r="G385" s="35">
        <f>'Fiscal Forecasts'!G$359</f>
        <v>3.5000000000000003E-2</v>
      </c>
      <c r="H385" s="35">
        <f>'Fiscal Forecasts'!H$359</f>
        <v>0.127</v>
      </c>
      <c r="I385" s="35">
        <f>'Fiscal Forecasts'!I$359</f>
        <v>1.29</v>
      </c>
      <c r="J385" s="17">
        <f>IF($C$3="Yes",'NZSF Adjuster'!U$22,'Fiscal Forecasts'!J$359)</f>
        <v>1.389</v>
      </c>
      <c r="K385" s="17">
        <f>IF($C$3="Yes",'NZSF Adjuster'!V$22,'Fiscal Forecasts'!K$359)</f>
        <v>1.518</v>
      </c>
      <c r="L385" s="17">
        <f>IF($C$3="Yes",'NZSF Adjuster'!W$22,'Fiscal Forecasts'!L$359)</f>
        <v>1.6120000000000001</v>
      </c>
      <c r="M385" s="17">
        <f>IF($C$3="Yes",'NZSF Adjuster'!X$22,'Fiscal Forecasts'!M$359)</f>
        <v>1.7110000000000001</v>
      </c>
      <c r="N385" s="17">
        <f>IF($C$3="Yes",'NZSF Adjuster'!Y$22,'Fiscal Forecasts'!N$359)</f>
        <v>1.8169999999999999</v>
      </c>
      <c r="O385" s="16">
        <f>IF($C$3="Yes",'NZSF Adjuster'!Z$22,Exogenous!Z$8)</f>
        <v>1.9439372284168936</v>
      </c>
      <c r="P385" s="16">
        <f>IF($C$3="Yes",'NZSF Adjuster'!AA$22,Exogenous!AA$8)</f>
        <v>2.0596624324711144</v>
      </c>
      <c r="Q385" s="16">
        <f>IF($C$3="Yes",'NZSF Adjuster'!AB$22,Exogenous!AB$8)</f>
        <v>2.1797389214240179</v>
      </c>
      <c r="R385" s="16">
        <f>IF($C$3="Yes",'NZSF Adjuster'!AC$22,Exogenous!AC$8)</f>
        <v>2.3035439071707531</v>
      </c>
      <c r="S385" s="16">
        <f>IF($C$3="Yes",'NZSF Adjuster'!AD$22,Exogenous!AD$8)</f>
        <v>2.4304427067652807</v>
      </c>
      <c r="T385" s="16">
        <f>IF($C$3="Yes",'NZSF Adjuster'!AE$22,Exogenous!AE$8)</f>
        <v>2.5603573795906081</v>
      </c>
      <c r="U385" s="16">
        <f>IF($C$3="Yes",'NZSF Adjuster'!AF$22,Exogenous!AF$8)</f>
        <v>2.6931296146592203</v>
      </c>
      <c r="V385" s="16">
        <f>IF($C$3="Yes",'NZSF Adjuster'!AG$22,Exogenous!AG$8)</f>
        <v>2.8286014014200003</v>
      </c>
      <c r="W385" s="16">
        <f>IF($C$3="Yes",'NZSF Adjuster'!AH$22,Exogenous!AH$8)</f>
        <v>2.9677411936778402</v>
      </c>
      <c r="X385" s="16">
        <f>IF($C$3="Yes",'NZSF Adjuster'!AI$22,Exogenous!AI$8)</f>
        <v>3.1121350735952071</v>
      </c>
    </row>
    <row r="386" spans="1:24" x14ac:dyDescent="0.25">
      <c r="A386" s="11" t="s">
        <v>873</v>
      </c>
      <c r="B386" s="10" t="str">
        <f t="shared" si="236"/>
        <v>From Fiscal Forecasts</v>
      </c>
      <c r="D386" s="35">
        <f>'Fiscal Forecasts'!D$360</f>
        <v>0.13</v>
      </c>
      <c r="E386" s="35">
        <f>'Fiscal Forecasts'!E$360</f>
        <v>0.15</v>
      </c>
      <c r="F386" s="35">
        <f>'Fiscal Forecasts'!F$360</f>
        <v>0.125</v>
      </c>
      <c r="G386" s="35">
        <f>'Fiscal Forecasts'!G$360</f>
        <v>-0.51700000000000002</v>
      </c>
      <c r="H386" s="35">
        <f>'Fiscal Forecasts'!H$360</f>
        <v>1.054</v>
      </c>
      <c r="I386" s="35">
        <f>'Fiscal Forecasts'!I$360</f>
        <v>0.189</v>
      </c>
      <c r="J386" s="17">
        <f>IF($C$3="Yes",'NZSF Adjuster'!U$23,'Fiscal Forecasts'!J$360)</f>
        <v>0.253</v>
      </c>
      <c r="K386" s="17">
        <f>IF($C$3="Yes",'NZSF Adjuster'!V$23,'Fiscal Forecasts'!K$360)</f>
        <v>0.314</v>
      </c>
      <c r="L386" s="17">
        <f>IF($C$3="Yes",'NZSF Adjuster'!W$23,'Fiscal Forecasts'!L$360)</f>
        <v>0.33600000000000002</v>
      </c>
      <c r="M386" s="17">
        <f>IF($C$3="Yes",'NZSF Adjuster'!X$23,'Fiscal Forecasts'!M$360)</f>
        <v>0.36</v>
      </c>
      <c r="N386" s="17">
        <f>IF($C$3="Yes",'NZSF Adjuster'!Y$23,'Fiscal Forecasts'!N$360)</f>
        <v>0.38700000000000001</v>
      </c>
      <c r="O386" s="16">
        <f>IF($C$3="Yes",'NZSF Adjuster'!Z$23,Exogenous!Z$9)</f>
        <v>0.40498692258685287</v>
      </c>
      <c r="P386" s="16">
        <f>IF($C$3="Yes",'NZSF Adjuster'!AA$23,Exogenous!AA$9)</f>
        <v>0.4290963400981489</v>
      </c>
      <c r="Q386" s="16">
        <f>IF($C$3="Yes",'NZSF Adjuster'!AB$23,Exogenous!AB$9)</f>
        <v>0.45411227529667048</v>
      </c>
      <c r="R386" s="16">
        <f>IF($C$3="Yes",'NZSF Adjuster'!AC$23,Exogenous!AC$9)</f>
        <v>0.47990498066057363</v>
      </c>
      <c r="S386" s="16">
        <f>IF($C$3="Yes",'NZSF Adjuster'!AD$23,Exogenous!AD$9)</f>
        <v>0.50634223057610017</v>
      </c>
      <c r="T386" s="16">
        <f>IF($C$3="Yes",'NZSF Adjuster'!AE$23,Exogenous!AE$9)</f>
        <v>0.53340778741471007</v>
      </c>
      <c r="U386" s="16">
        <f>IF($C$3="Yes",'NZSF Adjuster'!AF$23,Exogenous!AF$9)</f>
        <v>0.56106866972067093</v>
      </c>
      <c r="V386" s="16">
        <f>IF($C$3="Yes",'NZSF Adjuster'!AG$23,Exogenous!AG$9)</f>
        <v>0.58929195862916683</v>
      </c>
      <c r="W386" s="16">
        <f>IF($C$3="Yes",'NZSF Adjuster'!AH$23,Exogenous!AH$9)</f>
        <v>0.61827941534955011</v>
      </c>
      <c r="X386" s="16">
        <f>IF($C$3="Yes",'NZSF Adjuster'!AI$23,Exogenous!AI$9)</f>
        <v>0.64836147366566821</v>
      </c>
    </row>
    <row r="387" spans="1:24" x14ac:dyDescent="0.25">
      <c r="A387" s="11" t="s">
        <v>868</v>
      </c>
      <c r="B387" s="10" t="str">
        <f t="shared" si="236"/>
        <v>From Fiscal Forecasts</v>
      </c>
      <c r="D387" s="35">
        <f>'Fiscal Forecasts'!D$361</f>
        <v>1.9550000000000001</v>
      </c>
      <c r="E387" s="35">
        <f>'Fiscal Forecasts'!E$361</f>
        <v>1.7000000000000001E-2</v>
      </c>
      <c r="F387" s="35">
        <f>'Fiscal Forecasts'!F$361</f>
        <v>12.786</v>
      </c>
      <c r="G387" s="35">
        <f>'Fiscal Forecasts'!G$361</f>
        <v>-5.133</v>
      </c>
      <c r="H387" s="35">
        <f>'Fiscal Forecasts'!H$361</f>
        <v>5.766</v>
      </c>
      <c r="I387" s="35">
        <f>'Fiscal Forecasts'!I$361</f>
        <v>8.3520000000000003</v>
      </c>
      <c r="J387" s="17">
        <f>IF($C$3="Yes",'NZSF Adjuster'!U$24,'Fiscal Forecasts'!J$361)</f>
        <v>6.6360000000000001</v>
      </c>
      <c r="K387" s="17">
        <f>IF($C$3="Yes",'NZSF Adjuster'!V$24,'Fiscal Forecasts'!K$361)</f>
        <v>4.9329999999999998</v>
      </c>
      <c r="L387" s="17">
        <f>IF($C$3="Yes",'NZSF Adjuster'!W$24,'Fiscal Forecasts'!L$361)</f>
        <v>5.2549999999999999</v>
      </c>
      <c r="M387" s="17">
        <f>IF($C$3="Yes",'NZSF Adjuster'!X$24,'Fiscal Forecasts'!M$361)</f>
        <v>5.57</v>
      </c>
      <c r="N387" s="17">
        <f>IF($C$3="Yes",'NZSF Adjuster'!Y$24,'Fiscal Forecasts'!N$361)</f>
        <v>5.9210000000000003</v>
      </c>
      <c r="O387" s="16">
        <f>IF($C$3="Yes",'NZSF Adjuster'!Z$24,Exogenous!Z$10)</f>
        <v>6.2610978231927454</v>
      </c>
      <c r="P387" s="16">
        <f>IF($C$3="Yes",'NZSF Adjuster'!AA$24,Exogenous!AA$10)</f>
        <v>6.6338294179173811</v>
      </c>
      <c r="Q387" s="16">
        <f>IF($C$3="Yes",'NZSF Adjuster'!AB$24,Exogenous!AB$10)</f>
        <v>7.0205757760865257</v>
      </c>
      <c r="R387" s="16">
        <f>IF($C$3="Yes",'NZSF Adjuster'!AC$24,Exogenous!AC$10)</f>
        <v>7.419331001012468</v>
      </c>
      <c r="S387" s="16">
        <f>IF($C$3="Yes",'NZSF Adjuster'!AD$24,Exogenous!AD$10)</f>
        <v>7.8280508847065082</v>
      </c>
      <c r="T387" s="16">
        <f>IF($C$3="Yes",'NZSF Adjuster'!AE$24,Exogenous!AE$10)</f>
        <v>8.2464843934314178</v>
      </c>
      <c r="U387" s="16">
        <f>IF($C$3="Yes",'NZSF Adjuster'!AF$24,Exogenous!AF$10)</f>
        <v>8.6741216338815725</v>
      </c>
      <c r="V387" s="16">
        <f>IF($C$3="Yes",'NZSF Adjuster'!AG$24,Exogenous!AG$10)</f>
        <v>9.1104536804069181</v>
      </c>
      <c r="W387" s="16">
        <f>IF($C$3="Yes",'NZSF Adjuster'!AH$24,Exogenous!AH$10)</f>
        <v>9.558599761304043</v>
      </c>
      <c r="X387" s="16">
        <f>IF($C$3="Yes",'NZSF Adjuster'!AI$24,Exogenous!AI$10)</f>
        <v>10.023668382871231</v>
      </c>
    </row>
    <row r="388" spans="1:24" x14ac:dyDescent="0.25">
      <c r="A388" s="9" t="s">
        <v>874</v>
      </c>
      <c r="D388" s="65">
        <f t="shared" ref="D388:X388" si="237">D$384-D$385-D$386+D$387</f>
        <v>2.3029999999999999</v>
      </c>
      <c r="E388" s="65">
        <f t="shared" si="237"/>
        <v>0.22200000000000003</v>
      </c>
      <c r="F388" s="65">
        <f t="shared" si="237"/>
        <v>11.247</v>
      </c>
      <c r="G388" s="65">
        <f t="shared" si="237"/>
        <v>-3.5739999999999998</v>
      </c>
      <c r="H388" s="65">
        <f t="shared" si="237"/>
        <v>5.9050000000000002</v>
      </c>
      <c r="I388" s="65">
        <f t="shared" si="237"/>
        <v>8.532</v>
      </c>
      <c r="J388" s="66">
        <f t="shared" si="237"/>
        <v>6.6989999999999998</v>
      </c>
      <c r="K388" s="66">
        <f t="shared" si="237"/>
        <v>4.8739999999999997</v>
      </c>
      <c r="L388" s="66">
        <f t="shared" si="237"/>
        <v>5.1760000000000002</v>
      </c>
      <c r="M388" s="66">
        <f t="shared" si="237"/>
        <v>5.492</v>
      </c>
      <c r="N388" s="66">
        <f t="shared" si="237"/>
        <v>5.8330000000000002</v>
      </c>
      <c r="O388" s="67">
        <f t="shared" si="237"/>
        <v>6.1558012233201644</v>
      </c>
      <c r="P388" s="67">
        <f t="shared" si="237"/>
        <v>6.5222643694918627</v>
      </c>
      <c r="Q388" s="67">
        <f t="shared" si="237"/>
        <v>6.9025065845093918</v>
      </c>
      <c r="R388" s="67">
        <f t="shared" si="237"/>
        <v>7.2945557060407191</v>
      </c>
      <c r="S388" s="67">
        <f t="shared" si="237"/>
        <v>7.6964019047567227</v>
      </c>
      <c r="T388" s="67">
        <f t="shared" si="237"/>
        <v>8.1077983687035928</v>
      </c>
      <c r="U388" s="67">
        <f t="shared" si="237"/>
        <v>8.5282437797541988</v>
      </c>
      <c r="V388" s="67">
        <f t="shared" si="237"/>
        <v>8.9572377711633351</v>
      </c>
      <c r="W388" s="67">
        <f t="shared" si="237"/>
        <v>9.3978471133131602</v>
      </c>
      <c r="X388" s="67">
        <f t="shared" si="237"/>
        <v>9.8550943997181566</v>
      </c>
    </row>
    <row r="389" spans="1:24" x14ac:dyDescent="0.25">
      <c r="A389" s="11" t="s">
        <v>869</v>
      </c>
      <c r="B389" s="10" t="str">
        <f t="shared" si="236"/>
        <v>From Fiscal Forecasts</v>
      </c>
      <c r="D389" s="35">
        <f>'Fiscal Forecasts'!D$362</f>
        <v>1</v>
      </c>
      <c r="E389" s="35">
        <f>'Fiscal Forecasts'!E$362</f>
        <v>1.46</v>
      </c>
      <c r="F389" s="35">
        <f>'Fiscal Forecasts'!F$362</f>
        <v>2.12</v>
      </c>
      <c r="G389" s="35">
        <f>'Fiscal Forecasts'!G$362</f>
        <v>2.42</v>
      </c>
      <c r="H389" s="35">
        <f>'Fiscal Forecasts'!H$362</f>
        <v>2.5579999999999998</v>
      </c>
      <c r="I389" s="35">
        <f>'Fiscal Forecasts'!I$362</f>
        <v>1.6140000000000001</v>
      </c>
      <c r="J389" s="17">
        <f>IF($C$3="Yes",'NZSF Adjuster'!U$20,'Fiscal Forecasts'!J$362)</f>
        <v>0.879</v>
      </c>
      <c r="K389" s="17">
        <f>IF($C$3="Yes",'NZSF Adjuster'!V$20,'Fiscal Forecasts'!K$362)</f>
        <v>0</v>
      </c>
      <c r="L389" s="17">
        <f>IF($C$3="Yes",'NZSF Adjuster'!W$20,'Fiscal Forecasts'!L$362)</f>
        <v>4.0000000000000001E-3</v>
      </c>
      <c r="M389" s="17">
        <f>IF($C$3="Yes",'NZSF Adjuster'!X$20,'Fiscal Forecasts'!M$362)</f>
        <v>-3.2000000000000001E-2</v>
      </c>
      <c r="N389" s="17">
        <f>IF($C$3="Yes",'NZSF Adjuster'!Y$20,'Fiscal Forecasts'!N$362)</f>
        <v>6.3E-2</v>
      </c>
      <c r="O389" s="16">
        <f>IF($C$3="Yes",'NZSF Adjuster'!Z$20,Exogenous!Z$11)</f>
        <v>7.8931226568819568E-2</v>
      </c>
      <c r="P389" s="16">
        <f>IF($C$3="Yes",'NZSF Adjuster'!AA$20,Exogenous!AA$11)</f>
        <v>-3.7546449235872359E-2</v>
      </c>
      <c r="Q389" s="16">
        <f>IF($C$3="Yes",'NZSF Adjuster'!AB$20,Exogenous!AB$11)</f>
        <v>-0.19270640692964491</v>
      </c>
      <c r="R389" s="16">
        <f>IF($C$3="Yes",'NZSF Adjuster'!AC$20,Exogenous!AC$11)</f>
        <v>-0.40499215635222185</v>
      </c>
      <c r="S389" s="16">
        <f>IF($C$3="Yes",'NZSF Adjuster'!AD$20,Exogenous!AD$11)</f>
        <v>-0.64923682824001006</v>
      </c>
      <c r="T389" s="16">
        <f>IF($C$3="Yes",'NZSF Adjuster'!AE$20,Exogenous!AE$11)</f>
        <v>-0.88575870240245536</v>
      </c>
      <c r="U389" s="16">
        <f>IF($C$3="Yes",'NZSF Adjuster'!AF$20,Exogenous!AF$11)</f>
        <v>-1.1712854524337715</v>
      </c>
      <c r="V389" s="16">
        <f>IF($C$3="Yes",'NZSF Adjuster'!AG$20,Exogenous!AG$11)</f>
        <v>-1.4363342055452506</v>
      </c>
      <c r="W389" s="16">
        <f>IF($C$3="Yes",'NZSF Adjuster'!AH$20,Exogenous!AH$11)</f>
        <v>-1.6308417389458754</v>
      </c>
      <c r="X389" s="16">
        <f>IF($C$3="Yes",'NZSF Adjuster'!AI$20,Exogenous!AI$11)</f>
        <v>-1.7491417757201475</v>
      </c>
    </row>
    <row r="390" spans="1:24" x14ac:dyDescent="0.25">
      <c r="A390" s="11" t="s">
        <v>468</v>
      </c>
      <c r="B390" s="10" t="str">
        <f t="shared" si="236"/>
        <v>From Fiscal Forecasts</v>
      </c>
      <c r="D390" s="35">
        <f>'Fiscal Forecasts'!D$363</f>
        <v>8.8999999999999996E-2</v>
      </c>
      <c r="E390" s="35">
        <f>'Fiscal Forecasts'!E$363</f>
        <v>-0.13</v>
      </c>
      <c r="F390" s="35">
        <f>'Fiscal Forecasts'!F$363</f>
        <v>1E-3</v>
      </c>
      <c r="G390" s="35">
        <f>'Fiscal Forecasts'!G$363</f>
        <v>-1E-3</v>
      </c>
      <c r="H390" s="35">
        <f>'Fiscal Forecasts'!H$363</f>
        <v>0</v>
      </c>
      <c r="I390" s="35">
        <f>'Fiscal Forecasts'!I$363</f>
        <v>0</v>
      </c>
      <c r="J390" s="17">
        <f>IF($C$3="Yes",'NZSF Adjuster'!U$25,'Fiscal Forecasts'!J$363)</f>
        <v>0</v>
      </c>
      <c r="K390" s="17">
        <f>IF($C$3="Yes",'NZSF Adjuster'!V$25,'Fiscal Forecasts'!K$363)</f>
        <v>0</v>
      </c>
      <c r="L390" s="17">
        <f>IF($C$3="Yes",'NZSF Adjuster'!W$25,'Fiscal Forecasts'!L$363)</f>
        <v>0</v>
      </c>
      <c r="M390" s="17">
        <f>IF($C$3="Yes",'NZSF Adjuster'!X$25,'Fiscal Forecasts'!M$363)</f>
        <v>0</v>
      </c>
      <c r="N390" s="17">
        <f>IF($C$3="Yes",'NZSF Adjuster'!Y$25,'Fiscal Forecasts'!N$363)</f>
        <v>0</v>
      </c>
      <c r="O390" s="16">
        <f>IF($C$3="Yes",'NZSF Adjuster'!Z$25,Exogenous!Z$12)</f>
        <v>0</v>
      </c>
      <c r="P390" s="16">
        <f>IF($C$3="Yes",'NZSF Adjuster'!AA$25,Exogenous!AA$12)</f>
        <v>0</v>
      </c>
      <c r="Q390" s="16">
        <f>IF($C$3="Yes",'NZSF Adjuster'!AB$25,Exogenous!AB$12)</f>
        <v>0</v>
      </c>
      <c r="R390" s="16">
        <f>IF($C$3="Yes",'NZSF Adjuster'!AC$25,Exogenous!AC$12)</f>
        <v>0</v>
      </c>
      <c r="S390" s="16">
        <f>IF($C$3="Yes",'NZSF Adjuster'!AD$25,Exogenous!AD$12)</f>
        <v>0</v>
      </c>
      <c r="T390" s="16">
        <f>IF($C$3="Yes",'NZSF Adjuster'!AE$25,Exogenous!AE$12)</f>
        <v>0</v>
      </c>
      <c r="U390" s="16">
        <f>IF($C$3="Yes",'NZSF Adjuster'!AF$25,Exogenous!AF$12)</f>
        <v>0</v>
      </c>
      <c r="V390" s="16">
        <f>IF($C$3="Yes",'NZSF Adjuster'!AG$25,Exogenous!AG$12)</f>
        <v>0</v>
      </c>
      <c r="W390" s="16">
        <f>IF($C$3="Yes",'NZSF Adjuster'!AH$25,Exogenous!AH$12)</f>
        <v>0</v>
      </c>
      <c r="X390" s="16">
        <f>IF($C$3="Yes",'NZSF Adjuster'!AI$25,Exogenous!AI$12)</f>
        <v>0</v>
      </c>
    </row>
    <row r="391" spans="1:24" x14ac:dyDescent="0.25">
      <c r="A391" s="9" t="s">
        <v>783</v>
      </c>
      <c r="C391" s="76">
        <f>'Fiscal Forecasts'!$C$364</f>
        <v>39.052999999999997</v>
      </c>
      <c r="D391" s="65">
        <f t="shared" ref="D391:X391" si="238">SUM(C$391,D$388,D$389,D$390)</f>
        <v>42.444999999999993</v>
      </c>
      <c r="E391" s="65">
        <f t="shared" si="238"/>
        <v>43.996999999999993</v>
      </c>
      <c r="F391" s="65">
        <f t="shared" si="238"/>
        <v>57.364999999999988</v>
      </c>
      <c r="G391" s="65">
        <f t="shared" si="238"/>
        <v>56.209999999999994</v>
      </c>
      <c r="H391" s="65">
        <f t="shared" si="238"/>
        <v>64.673000000000002</v>
      </c>
      <c r="I391" s="65">
        <f t="shared" si="238"/>
        <v>74.819000000000003</v>
      </c>
      <c r="J391" s="66">
        <f t="shared" si="238"/>
        <v>82.397000000000006</v>
      </c>
      <c r="K391" s="66">
        <f t="shared" ref="K391" si="239">SUM(J$391,K$388,K$389,K$390)</f>
        <v>87.271000000000001</v>
      </c>
      <c r="L391" s="66">
        <f t="shared" ref="L391" si="240">SUM(K$391,L$388,L$389,L$390)</f>
        <v>92.451000000000008</v>
      </c>
      <c r="M391" s="66">
        <f t="shared" ref="M391" si="241">SUM(L$391,M$388,M$389,M$390)</f>
        <v>97.911000000000016</v>
      </c>
      <c r="N391" s="66">
        <f t="shared" ref="N391" si="242">SUM(M$391,N$388,N$389,N$390)</f>
        <v>103.80700000000002</v>
      </c>
      <c r="O391" s="67">
        <f t="shared" si="238"/>
        <v>110.041732449889</v>
      </c>
      <c r="P391" s="67">
        <f t="shared" si="238"/>
        <v>116.52645037014499</v>
      </c>
      <c r="Q391" s="67">
        <f t="shared" si="238"/>
        <v>123.23625054772474</v>
      </c>
      <c r="R391" s="67">
        <f t="shared" si="238"/>
        <v>130.12581409741324</v>
      </c>
      <c r="S391" s="67">
        <f t="shared" si="238"/>
        <v>137.17297917392995</v>
      </c>
      <c r="T391" s="67">
        <f t="shared" si="238"/>
        <v>144.39501884023107</v>
      </c>
      <c r="U391" s="67">
        <f t="shared" si="238"/>
        <v>151.7519771675515</v>
      </c>
      <c r="V391" s="67">
        <f t="shared" si="238"/>
        <v>159.27288073316959</v>
      </c>
      <c r="W391" s="67">
        <f t="shared" si="238"/>
        <v>167.03988610753686</v>
      </c>
      <c r="X391" s="67">
        <f t="shared" si="238"/>
        <v>175.14583873153487</v>
      </c>
    </row>
    <row r="392" spans="1:24" x14ac:dyDescent="0.25">
      <c r="A392" s="10" t="s">
        <v>870</v>
      </c>
    </row>
    <row r="393" spans="1:24" x14ac:dyDescent="0.25">
      <c r="A393" s="11" t="s">
        <v>784</v>
      </c>
      <c r="B393" s="10" t="str">
        <f>$B$38</f>
        <v>From Fiscal Forecasts</v>
      </c>
      <c r="D393" s="35">
        <f>'Fiscal Forecasts'!D$365</f>
        <v>44.307000000000002</v>
      </c>
      <c r="E393" s="35">
        <f>'Fiscal Forecasts'!E$365</f>
        <v>48.220999999999997</v>
      </c>
      <c r="F393" s="35">
        <f>'Fiscal Forecasts'!F$365</f>
        <v>62.311999999999998</v>
      </c>
      <c r="G393" s="35">
        <f>'Fiscal Forecasts'!G$365</f>
        <v>65.411000000000001</v>
      </c>
      <c r="H393" s="35">
        <f>'Fiscal Forecasts'!H$365</f>
        <v>68.233999999999995</v>
      </c>
      <c r="I393" s="35">
        <f>'Fiscal Forecasts'!I$365</f>
        <v>79.058000000000007</v>
      </c>
      <c r="J393" s="17">
        <f>'Fiscal Forecasts'!J$365+IF($C$3="Yes",'NZSF Adjuster'!U$26-'Fiscal Forecasts'!J$364,0)</f>
        <v>90.405000000000001</v>
      </c>
      <c r="K393" s="17">
        <f>'Fiscal Forecasts'!K$365+IF($C$3="Yes",'NZSF Adjuster'!V$26-'Fiscal Forecasts'!K$364,0)</f>
        <v>94.126000000000005</v>
      </c>
      <c r="L393" s="17">
        <f>'Fiscal Forecasts'!L$365+IF($C$3="Yes",'NZSF Adjuster'!W$26-'Fiscal Forecasts'!L$364,0)</f>
        <v>100.392</v>
      </c>
      <c r="M393" s="17">
        <f>'Fiscal Forecasts'!M$365+IF($C$3="Yes",'NZSF Adjuster'!X$26-'Fiscal Forecasts'!M$364,0)</f>
        <v>105.19</v>
      </c>
      <c r="N393" s="17">
        <f>'Fiscal Forecasts'!N$365+IF($C$3="Yes",'NZSF Adjuster'!Y$26-'Fiscal Forecasts'!N$364,0)</f>
        <v>110.79600000000001</v>
      </c>
      <c r="O393" s="16">
        <f ca="1">IF(O$6=OFFSET(Assumptions!$B$8,0,$C$1),AVERAGE(L$393/L$391,M$393/M$391,N$393/N$391),N$393/N$391)*O$391</f>
        <v>118.38891290089084</v>
      </c>
      <c r="P393" s="16">
        <f ca="1">IF(P$6=OFFSET(Assumptions!$B$8,0,$C$1),AVERAGE(M$393/M$391,N$393/N$391,O$393/O$391),O$393/O$391)*P$391</f>
        <v>125.36552702678746</v>
      </c>
      <c r="Q393" s="16">
        <f ca="1">IF(Q$6=OFFSET(Assumptions!$B$8,0,$C$1),AVERAGE(N$393/N$391,O$393/O$391,P$393/P$391),P$393/P$391)*Q$391</f>
        <v>132.58429695271181</v>
      </c>
      <c r="R393" s="16">
        <f ca="1">IF(R$6=OFFSET(Assumptions!$B$8,0,$C$1),AVERAGE(O$393/O$391,P$393/P$391,Q$393/Q$391),Q$393/Q$391)*R$391</f>
        <v>139.99646614389258</v>
      </c>
      <c r="S393" s="16">
        <f ca="1">IF(S$6=OFFSET(Assumptions!$B$8,0,$C$1),AVERAGE(P$393/P$391,Q$393/Q$391,R$393/R$391),R$393/R$391)*S$391</f>
        <v>147.57819167535732</v>
      </c>
      <c r="T393" s="16">
        <f ca="1">IF(T$6=OFFSET(Assumptions!$B$8,0,$C$1),AVERAGE(Q$393/Q$391,R$393/R$391,S$393/S$391),S$393/S$391)*T$391</f>
        <v>155.34805685273318</v>
      </c>
      <c r="U393" s="16">
        <f ca="1">IF(U$6=OFFSET(Assumptions!$B$8,0,$C$1),AVERAGE(R$393/R$391,S$393/S$391,T$393/T$391),T$393/T$391)*U$391</f>
        <v>163.26307490304652</v>
      </c>
      <c r="V393" s="16">
        <f ca="1">IF(V$6=OFFSET(Assumptions!$B$8,0,$C$1),AVERAGE(S$393/S$391,T$393/T$391,U$393/U$391),U$393/U$391)*V$391</f>
        <v>171.35447420531963</v>
      </c>
      <c r="W393" s="16">
        <f ca="1">IF(W$6=OFFSET(Assumptions!$B$8,0,$C$1),AVERAGE(T$393/T$391,U$393/U$391,V$393/V$391),V$393/V$391)*W$391</f>
        <v>179.71064329040246</v>
      </c>
      <c r="X393" s="16">
        <f ca="1">IF(X$6=OFFSET(Assumptions!$B$8,0,$C$1),AVERAGE(U$393/U$391,V$393/V$391,W$393/W$391),W$393/W$391)*X$391</f>
        <v>188.43147036042572</v>
      </c>
    </row>
    <row r="394" spans="1:24" x14ac:dyDescent="0.25">
      <c r="A394" s="11" t="s">
        <v>871</v>
      </c>
      <c r="B394" s="10" t="str">
        <f t="shared" ref="B394:B400" si="243">$B$38</f>
        <v>From Fiscal Forecasts</v>
      </c>
      <c r="D394" s="35">
        <f>-'Fiscal Forecasts'!D$366</f>
        <v>1.9910000000000001</v>
      </c>
      <c r="E394" s="35">
        <f>-'Fiscal Forecasts'!E$366</f>
        <v>4.226</v>
      </c>
      <c r="F394" s="35">
        <f>-'Fiscal Forecasts'!F$366</f>
        <v>4.9489999999999998</v>
      </c>
      <c r="G394" s="35">
        <f>-'Fiscal Forecasts'!G$366</f>
        <v>9.1020000000000003</v>
      </c>
      <c r="H394" s="35">
        <f>-'Fiscal Forecasts'!H$366</f>
        <v>3.5009999999999999</v>
      </c>
      <c r="I394" s="35">
        <f>-'Fiscal Forecasts'!I$366</f>
        <v>4.2350000000000003</v>
      </c>
      <c r="J394" s="17">
        <f>-'Fiscal Forecasts'!J$366</f>
        <v>7.984</v>
      </c>
      <c r="K394" s="17">
        <f>-'Fiscal Forecasts'!K$366</f>
        <v>6.8</v>
      </c>
      <c r="L394" s="17">
        <f>-'Fiscal Forecasts'!L$366</f>
        <v>7.8959999999999999</v>
      </c>
      <c r="M394" s="17">
        <f>-'Fiscal Forecasts'!M$366</f>
        <v>7.2270000000000003</v>
      </c>
      <c r="N394" s="17">
        <f>-'Fiscal Forecasts'!N$366</f>
        <v>6.9290000000000003</v>
      </c>
      <c r="O394" s="16">
        <f t="shared" ref="O394:X394" ca="1" si="244">O$393-O$391</f>
        <v>8.3471804510018472</v>
      </c>
      <c r="P394" s="16">
        <f t="shared" ca="1" si="244"/>
        <v>8.8390766566424759</v>
      </c>
      <c r="Q394" s="16">
        <f t="shared" ca="1" si="244"/>
        <v>9.3480464049870733</v>
      </c>
      <c r="R394" s="16">
        <f t="shared" ca="1" si="244"/>
        <v>9.8706520464793357</v>
      </c>
      <c r="S394" s="16">
        <f t="shared" ca="1" si="244"/>
        <v>10.405212501427371</v>
      </c>
      <c r="T394" s="16">
        <f t="shared" ca="1" si="244"/>
        <v>10.953038012502105</v>
      </c>
      <c r="U394" s="16">
        <f t="shared" ca="1" si="244"/>
        <v>11.511097735495014</v>
      </c>
      <c r="V394" s="16">
        <f t="shared" ca="1" si="244"/>
        <v>12.081593472150047</v>
      </c>
      <c r="W394" s="16">
        <f t="shared" ca="1" si="244"/>
        <v>12.6707571828656</v>
      </c>
      <c r="X394" s="16">
        <f t="shared" ca="1" si="244"/>
        <v>13.285631628890854</v>
      </c>
    </row>
    <row r="395" spans="1:24" x14ac:dyDescent="0.25">
      <c r="A395" s="11" t="s">
        <v>786</v>
      </c>
      <c r="B395" s="10" t="str">
        <f t="shared" si="243"/>
        <v>From Fiscal Forecasts</v>
      </c>
      <c r="D395" s="35">
        <f>'Fiscal Forecasts'!D$367</f>
        <v>0</v>
      </c>
      <c r="E395" s="35">
        <f>'Fiscal Forecasts'!E$367</f>
        <v>2E-3</v>
      </c>
      <c r="F395" s="35">
        <f>'Fiscal Forecasts'!F$367</f>
        <v>2E-3</v>
      </c>
      <c r="G395" s="35">
        <f>'Fiscal Forecasts'!G$367</f>
        <v>-9.9000000000000005E-2</v>
      </c>
      <c r="H395" s="35">
        <f>'Fiscal Forecasts'!H$367</f>
        <v>-0.06</v>
      </c>
      <c r="I395" s="35">
        <f>'Fiscal Forecasts'!I$367</f>
        <v>-4.0000000000000001E-3</v>
      </c>
      <c r="J395" s="17">
        <f>'Fiscal Forecasts'!J$367</f>
        <v>-2.4E-2</v>
      </c>
      <c r="K395" s="17">
        <f>'Fiscal Forecasts'!K$367</f>
        <v>-5.5E-2</v>
      </c>
      <c r="L395" s="17">
        <f>'Fiscal Forecasts'!L$367</f>
        <v>-4.4999999999999998E-2</v>
      </c>
      <c r="M395" s="17">
        <f>'Fiscal Forecasts'!M$367</f>
        <v>-5.1999999999999998E-2</v>
      </c>
      <c r="N395" s="17">
        <f>'Fiscal Forecasts'!N$367</f>
        <v>-0.06</v>
      </c>
      <c r="O395" s="16">
        <f ca="1">IF(O$6=OFFSET(Assumptions!$B$8,0,$C$1),OFFSET(Assumptions!$B$9,0,$C$1),N$395)</f>
        <v>0</v>
      </c>
      <c r="P395" s="16">
        <f ca="1">IF(P$6=OFFSET(Assumptions!$B$8,0,$C$1),OFFSET(Assumptions!$B$9,0,$C$1),O$395)</f>
        <v>0</v>
      </c>
      <c r="Q395" s="16">
        <f ca="1">IF(Q$6=OFFSET(Assumptions!$B$8,0,$C$1),OFFSET(Assumptions!$B$9,0,$C$1),P$395)</f>
        <v>0</v>
      </c>
      <c r="R395" s="16">
        <f ca="1">IF(R$6=OFFSET(Assumptions!$B$8,0,$C$1),OFFSET(Assumptions!$B$9,0,$C$1),Q$395)</f>
        <v>0</v>
      </c>
      <c r="S395" s="16">
        <f ca="1">IF(S$6=OFFSET(Assumptions!$B$8,0,$C$1),OFFSET(Assumptions!$B$9,0,$C$1),R$395)</f>
        <v>0</v>
      </c>
      <c r="T395" s="16">
        <f ca="1">IF(T$6=OFFSET(Assumptions!$B$8,0,$C$1),OFFSET(Assumptions!$B$9,0,$C$1),S$395)</f>
        <v>0</v>
      </c>
      <c r="U395" s="16">
        <f ca="1">IF(U$6=OFFSET(Assumptions!$B$8,0,$C$1),OFFSET(Assumptions!$B$9,0,$C$1),T$395)</f>
        <v>0</v>
      </c>
      <c r="V395" s="16">
        <f ca="1">IF(V$6=OFFSET(Assumptions!$B$8,0,$C$1),OFFSET(Assumptions!$B$9,0,$C$1),U$395)</f>
        <v>0</v>
      </c>
      <c r="W395" s="16">
        <f ca="1">IF(W$6=OFFSET(Assumptions!$B$8,0,$C$1),OFFSET(Assumptions!$B$9,0,$C$1),V$395)</f>
        <v>0</v>
      </c>
      <c r="X395" s="16">
        <f ca="1">IF(X$6=OFFSET(Assumptions!$B$8,0,$C$1),OFFSET(Assumptions!$B$9,0,$C$1),W$395)</f>
        <v>0</v>
      </c>
    </row>
    <row r="397" spans="1:24" x14ac:dyDescent="0.25">
      <c r="A397" s="9" t="s">
        <v>1108</v>
      </c>
      <c r="B397" s="10" t="str">
        <f t="shared" si="243"/>
        <v>From Fiscal Forecasts</v>
      </c>
      <c r="D397" s="42">
        <f>'Fiscal Forecasts'!D$125</f>
        <v>3.6880000000000002</v>
      </c>
      <c r="E397" s="42">
        <f>'Fiscal Forecasts'!E$125</f>
        <v>4.22</v>
      </c>
      <c r="F397" s="42">
        <f>'Fiscal Forecasts'!F$125</f>
        <v>4.718</v>
      </c>
      <c r="G397" s="42">
        <f>'Fiscal Forecasts'!G$125</f>
        <v>6.0960000000000001</v>
      </c>
      <c r="H397" s="42">
        <f>'Fiscal Forecasts'!H$125</f>
        <v>7.3170000000000002</v>
      </c>
      <c r="I397" s="42">
        <f>'Fiscal Forecasts'!I$125</f>
        <v>7.1740000000000004</v>
      </c>
      <c r="J397" s="43">
        <f>'Fiscal Forecasts'!J$125</f>
        <v>8.3989999999999991</v>
      </c>
      <c r="K397" s="43">
        <f>'Fiscal Forecasts'!K$125</f>
        <v>9.3089999999999993</v>
      </c>
      <c r="L397" s="43">
        <f>'Fiscal Forecasts'!L$125</f>
        <v>10.826000000000001</v>
      </c>
      <c r="M397" s="43">
        <f>'Fiscal Forecasts'!M$125</f>
        <v>12.381</v>
      </c>
      <c r="N397" s="43">
        <f>'Fiscal Forecasts'!N$125</f>
        <v>14.013999999999999</v>
      </c>
      <c r="O397" s="47">
        <f ca="1">OFFSET(Assumptions!$B$52,0,$C$1)*(O$393-O$359-O$400)</f>
        <v>10.538281498485777</v>
      </c>
      <c r="P397" s="47">
        <f ca="1">OFFSET(Assumptions!$B$52,0,$C$1)*(P$393-P$359-P$400)</f>
        <v>11.15121332063778</v>
      </c>
      <c r="Q397" s="47">
        <f ca="1">OFFSET(Assumptions!$B$52,0,$C$1)*(Q$393-Q$359-Q$400)</f>
        <v>11.78541978878242</v>
      </c>
      <c r="R397" s="47">
        <f ca="1">OFFSET(Assumptions!$B$52,0,$C$1)*(R$393-R$359-R$400)</f>
        <v>12.43661738785638</v>
      </c>
      <c r="S397" s="47">
        <f ca="1">OFFSET(Assumptions!$B$52,0,$C$1)*(S$393-S$359-S$400)</f>
        <v>13.102711392942238</v>
      </c>
      <c r="T397" s="47">
        <f ca="1">OFFSET(Assumptions!$B$52,0,$C$1)*(T$393-T$359-T$400)</f>
        <v>13.785334444053342</v>
      </c>
      <c r="U397" s="47">
        <f ca="1">OFFSET(Assumptions!$B$52,0,$C$1)*(U$393-U$359-U$400)</f>
        <v>14.480709929697113</v>
      </c>
      <c r="V397" s="47">
        <f ca="1">OFFSET(Assumptions!$B$52,0,$C$1)*(V$393-V$359-V$400)</f>
        <v>15.191581425325996</v>
      </c>
      <c r="W397" s="47">
        <f ca="1">OFFSET(Assumptions!$B$52,0,$C$1)*(W$393-W$359-W$400)</f>
        <v>15.925714322904279</v>
      </c>
      <c r="X397" s="47">
        <f ca="1">OFFSET(Assumptions!$B$52,0,$C$1)*(X$393-X$359-X$400)</f>
        <v>16.691884320304688</v>
      </c>
    </row>
    <row r="398" spans="1:24" x14ac:dyDescent="0.25">
      <c r="A398" s="9"/>
      <c r="B398" s="10"/>
      <c r="D398" s="35"/>
      <c r="E398" s="35"/>
      <c r="F398" s="35"/>
      <c r="G398" s="35"/>
      <c r="H398" s="35"/>
      <c r="I398" s="35"/>
      <c r="J398" s="17"/>
      <c r="K398" s="17"/>
      <c r="L398" s="17"/>
      <c r="M398" s="17"/>
      <c r="N398" s="17"/>
    </row>
    <row r="399" spans="1:24" x14ac:dyDescent="0.25">
      <c r="A399" s="9" t="s">
        <v>622</v>
      </c>
    </row>
    <row r="400" spans="1:24" x14ac:dyDescent="0.25">
      <c r="A400" s="11" t="s">
        <v>1036</v>
      </c>
      <c r="B400" s="10" t="str">
        <f t="shared" si="243"/>
        <v>From Fiscal Forecasts</v>
      </c>
      <c r="D400" s="35">
        <f>'Fiscal Forecasts'!D$185-D$77</f>
        <v>2.0030000000000001</v>
      </c>
      <c r="E400" s="35">
        <f>'Fiscal Forecasts'!E$185-E$77</f>
        <v>3.6860000000000017</v>
      </c>
      <c r="F400" s="35">
        <f>'Fiscal Forecasts'!F$185-F$77</f>
        <v>5.4710000000000001</v>
      </c>
      <c r="G400" s="35">
        <f>'Fiscal Forecasts'!G$185-G$77</f>
        <v>4.6139999999999972</v>
      </c>
      <c r="H400" s="35">
        <f>'Fiscal Forecasts'!H$185-H$77</f>
        <v>7.3510000000000062</v>
      </c>
      <c r="I400" s="35">
        <f>'Fiscal Forecasts'!I$185-I$77</f>
        <v>8.9179999999999993</v>
      </c>
      <c r="J400" s="17">
        <f>'Fiscal Forecasts'!J$185-J$77</f>
        <v>9.8170000000000002</v>
      </c>
      <c r="K400" s="17">
        <f>'Fiscal Forecasts'!K$185-K$77</f>
        <v>9.8189999999999991</v>
      </c>
      <c r="L400" s="17">
        <f>'Fiscal Forecasts'!L$185-L$77</f>
        <v>9.8179999999999978</v>
      </c>
      <c r="M400" s="17">
        <f>'Fiscal Forecasts'!M$185-M$77</f>
        <v>9.8170000000000002</v>
      </c>
      <c r="N400" s="17">
        <f>'Fiscal Forecasts'!N$185-N$77</f>
        <v>9.8179999999999978</v>
      </c>
      <c r="O400" s="16">
        <f ca="1">IF(O$6=OFFSET(Assumptions!$B$8,0,$C$1),AVERAGE(L$400/L$393,M$400/M$393,N$400/N$393),N$400/N$393)*O$393</f>
        <v>11.039225735632337</v>
      </c>
      <c r="P400" s="16">
        <f ca="1">IF(P$6=OFFSET(Assumptions!$B$8,0,$C$1),AVERAGE(M$400/M$393,N$400/N$393,O$400/O$393),O$400/O$393)*P$393</f>
        <v>11.689763157752671</v>
      </c>
      <c r="Q400" s="16">
        <f ca="1">IF(Q$6=OFFSET(Assumptions!$B$8,0,$C$1),AVERAGE(N$400/N$393,O$400/O$393,P$400/P$393),P$400/P$393)*Q$393</f>
        <v>12.362880502892793</v>
      </c>
      <c r="R400" s="16">
        <f ca="1">IF(R$6=OFFSET(Assumptions!$B$8,0,$C$1),AVERAGE(O$400/O$393,P$400/P$393,Q$400/Q$393),Q$400/Q$393)*R$393</f>
        <v>13.05403144673703</v>
      </c>
      <c r="S400" s="16">
        <f ca="1">IF(S$6=OFFSET(Assumptions!$B$8,0,$C$1),AVERAGE(P$400/P$393,Q$400/Q$393,R$400/R$393),R$400/R$393)*S$393</f>
        <v>13.760992745363977</v>
      </c>
      <c r="T400" s="16">
        <f ca="1">IF(T$6=OFFSET(Assumptions!$B$8,0,$C$1),AVERAGE(Q$400/Q$393,R$400/R$393,S$400/S$393),S$400/S$393)*T$393</f>
        <v>14.485497207198897</v>
      </c>
      <c r="U400" s="16">
        <f ca="1">IF(U$6=OFFSET(Assumptions!$B$8,0,$C$1),AVERAGE(R$400/R$393,S$400/S$393,T$400/T$393),T$400/T$393)*U$393</f>
        <v>15.223536511877366</v>
      </c>
      <c r="V400" s="16">
        <f ca="1">IF(V$6=OFFSET(Assumptions!$B$8,0,$C$1),AVERAGE(S$400/S$393,T$400/T$393,U$400/U$393),U$400/U$393)*V$393</f>
        <v>15.978022563199652</v>
      </c>
      <c r="W400" s="16">
        <f ca="1">IF(W$6=OFFSET(Assumptions!$B$8,0,$C$1),AVERAGE(T$400/T$393,U$400/U$393,V$400/V$393),V$400/V$393)*W$393</f>
        <v>16.757197188213439</v>
      </c>
      <c r="X400" s="16">
        <f ca="1">IF(X$6=OFFSET(Assumptions!$B$8,0,$C$1),AVERAGE(U$400/U$393,V$400/V$393,W$400/W$393),W$400/W$393)*X$393</f>
        <v>17.570374505822507</v>
      </c>
    </row>
    <row r="401" spans="1:24" x14ac:dyDescent="0.25">
      <c r="A401" s="11" t="s">
        <v>878</v>
      </c>
      <c r="D401" s="35">
        <f t="shared" ref="D401:X401" si="245">D$416</f>
        <v>10.731000000000002</v>
      </c>
      <c r="E401" s="35">
        <f t="shared" si="245"/>
        <v>10.395</v>
      </c>
      <c r="F401" s="35">
        <f t="shared" si="245"/>
        <v>10.840999999999999</v>
      </c>
      <c r="G401" s="35">
        <f t="shared" si="245"/>
        <v>9.2089999999999996</v>
      </c>
      <c r="H401" s="35">
        <f t="shared" si="245"/>
        <v>9.3729999999999993</v>
      </c>
      <c r="I401" s="35">
        <f t="shared" si="245"/>
        <v>9.5960000000000001</v>
      </c>
      <c r="J401" s="17">
        <f t="shared" si="245"/>
        <v>10.012</v>
      </c>
      <c r="K401" s="17">
        <f t="shared" si="245"/>
        <v>10.026000000000002</v>
      </c>
      <c r="L401" s="17">
        <f t="shared" si="245"/>
        <v>9.9530000000000012</v>
      </c>
      <c r="M401" s="17">
        <f t="shared" si="245"/>
        <v>9.8220000000000027</v>
      </c>
      <c r="N401" s="17">
        <f t="shared" si="245"/>
        <v>9.6330000000000027</v>
      </c>
      <c r="O401" s="16">
        <f t="shared" si="245"/>
        <v>9.5700000000000021</v>
      </c>
      <c r="P401" s="16">
        <f t="shared" si="245"/>
        <v>9.4880000000000013</v>
      </c>
      <c r="Q401" s="16">
        <f t="shared" si="245"/>
        <v>9.3870000000000005</v>
      </c>
      <c r="R401" s="16">
        <f t="shared" si="245"/>
        <v>9.2650000000000023</v>
      </c>
      <c r="S401" s="16">
        <f t="shared" si="245"/>
        <v>9.1210000000000022</v>
      </c>
      <c r="T401" s="16">
        <f t="shared" si="245"/>
        <v>8.9440000000000008</v>
      </c>
      <c r="U401" s="16">
        <f t="shared" si="245"/>
        <v>8.7349999999999994</v>
      </c>
      <c r="V401" s="16">
        <f t="shared" si="245"/>
        <v>8.4890000000000008</v>
      </c>
      <c r="W401" s="16">
        <f t="shared" si="245"/>
        <v>8.2050000000000018</v>
      </c>
      <c r="X401" s="16">
        <f t="shared" si="245"/>
        <v>7.8840000000000003</v>
      </c>
    </row>
    <row r="402" spans="1:24" x14ac:dyDescent="0.25">
      <c r="A402" s="11" t="s">
        <v>1057</v>
      </c>
      <c r="D402" s="35">
        <f t="shared" ref="D402:N402" si="246">D$77-D$416</f>
        <v>3.113999999999999</v>
      </c>
      <c r="E402" s="35">
        <f t="shared" si="246"/>
        <v>4.1609999999999996</v>
      </c>
      <c r="F402" s="35">
        <f t="shared" si="246"/>
        <v>7.8870000000000022</v>
      </c>
      <c r="G402" s="35">
        <f t="shared" si="246"/>
        <v>16.894000000000002</v>
      </c>
      <c r="H402" s="35">
        <f t="shared" si="246"/>
        <v>27.167999999999999</v>
      </c>
      <c r="I402" s="35">
        <f t="shared" si="246"/>
        <v>30.791999999999998</v>
      </c>
      <c r="J402" s="17">
        <f t="shared" si="246"/>
        <v>25.054000000000002</v>
      </c>
      <c r="K402" s="17">
        <f t="shared" si="246"/>
        <v>19.222000000000001</v>
      </c>
      <c r="L402" s="17">
        <f t="shared" si="246"/>
        <v>22.138999999999996</v>
      </c>
      <c r="M402" s="17">
        <f t="shared" si="246"/>
        <v>23.891999999999996</v>
      </c>
      <c r="N402" s="17">
        <f t="shared" si="246"/>
        <v>25.784999999999997</v>
      </c>
      <c r="O402" s="16">
        <f t="shared" ref="O402:X402" si="247">N$402</f>
        <v>25.784999999999997</v>
      </c>
      <c r="P402" s="16">
        <f t="shared" si="247"/>
        <v>25.784999999999997</v>
      </c>
      <c r="Q402" s="16">
        <f t="shared" si="247"/>
        <v>25.784999999999997</v>
      </c>
      <c r="R402" s="16">
        <f t="shared" si="247"/>
        <v>25.784999999999997</v>
      </c>
      <c r="S402" s="16">
        <f t="shared" si="247"/>
        <v>25.784999999999997</v>
      </c>
      <c r="T402" s="16">
        <f t="shared" si="247"/>
        <v>25.784999999999997</v>
      </c>
      <c r="U402" s="16">
        <f t="shared" si="247"/>
        <v>25.784999999999997</v>
      </c>
      <c r="V402" s="16">
        <f t="shared" si="247"/>
        <v>25.784999999999997</v>
      </c>
      <c r="W402" s="16">
        <f t="shared" si="247"/>
        <v>25.784999999999997</v>
      </c>
      <c r="X402" s="16">
        <f t="shared" si="247"/>
        <v>25.784999999999997</v>
      </c>
    </row>
    <row r="403" spans="1:24" x14ac:dyDescent="0.25">
      <c r="A403" s="9" t="s">
        <v>1058</v>
      </c>
      <c r="D403" s="65">
        <f t="shared" ref="D403:X403" si="248">SUM(D$400:D$402)</f>
        <v>15.848000000000001</v>
      </c>
      <c r="E403" s="65">
        <f t="shared" si="248"/>
        <v>18.242000000000001</v>
      </c>
      <c r="F403" s="65">
        <f t="shared" si="248"/>
        <v>24.198999999999998</v>
      </c>
      <c r="G403" s="65">
        <f t="shared" si="248"/>
        <v>30.716999999999999</v>
      </c>
      <c r="H403" s="65">
        <f t="shared" si="248"/>
        <v>43.892000000000003</v>
      </c>
      <c r="I403" s="65">
        <f t="shared" si="248"/>
        <v>49.305999999999997</v>
      </c>
      <c r="J403" s="66">
        <f t="shared" si="248"/>
        <v>44.883000000000003</v>
      </c>
      <c r="K403" s="66">
        <f t="shared" si="248"/>
        <v>39.067</v>
      </c>
      <c r="L403" s="66">
        <f t="shared" si="248"/>
        <v>41.91</v>
      </c>
      <c r="M403" s="66">
        <f t="shared" si="248"/>
        <v>43.530999999999999</v>
      </c>
      <c r="N403" s="66">
        <f t="shared" si="248"/>
        <v>45.235999999999997</v>
      </c>
      <c r="O403" s="67">
        <f t="shared" ca="1" si="248"/>
        <v>46.394225735632332</v>
      </c>
      <c r="P403" s="67">
        <f t="shared" ca="1" si="248"/>
        <v>46.962763157752669</v>
      </c>
      <c r="Q403" s="67">
        <f t="shared" ca="1" si="248"/>
        <v>47.53488050289279</v>
      </c>
      <c r="R403" s="67">
        <f t="shared" ca="1" si="248"/>
        <v>48.104031446737025</v>
      </c>
      <c r="S403" s="67">
        <f t="shared" ca="1" si="248"/>
        <v>48.666992745363977</v>
      </c>
      <c r="T403" s="67">
        <f t="shared" ca="1" si="248"/>
        <v>49.214497207198896</v>
      </c>
      <c r="U403" s="67">
        <f t="shared" ca="1" si="248"/>
        <v>49.743536511877366</v>
      </c>
      <c r="V403" s="67">
        <f t="shared" ca="1" si="248"/>
        <v>50.252022563199645</v>
      </c>
      <c r="W403" s="67">
        <f t="shared" ca="1" si="248"/>
        <v>50.747197188213434</v>
      </c>
      <c r="X403" s="67">
        <f t="shared" ca="1" si="248"/>
        <v>51.239374505822504</v>
      </c>
    </row>
    <row r="404" spans="1:24" x14ac:dyDescent="0.25">
      <c r="A404" s="11" t="s">
        <v>1059</v>
      </c>
      <c r="B404" s="10" t="str">
        <f t="shared" ref="B404:B405" si="249">$B$38</f>
        <v>From Fiscal Forecasts</v>
      </c>
      <c r="D404" s="35">
        <f>'Fiscal Forecasts'!D$323</f>
        <v>20.411000000000001</v>
      </c>
      <c r="E404" s="35">
        <f>'Fiscal Forecasts'!E$323</f>
        <v>22.189</v>
      </c>
      <c r="F404" s="35">
        <f>'Fiscal Forecasts'!F$323</f>
        <v>25.206</v>
      </c>
      <c r="G404" s="35">
        <f>'Fiscal Forecasts'!G$323</f>
        <v>27.786000000000001</v>
      </c>
      <c r="H404" s="35">
        <f>'Fiscal Forecasts'!H$323</f>
        <v>29.785</v>
      </c>
      <c r="I404" s="35">
        <f>'Fiscal Forecasts'!I$323</f>
        <v>32.487000000000002</v>
      </c>
      <c r="J404" s="17">
        <f>'Fiscal Forecasts'!J$323</f>
        <v>35.345999999999997</v>
      </c>
      <c r="K404" s="17">
        <f>'Fiscal Forecasts'!K$323</f>
        <v>38.869999999999997</v>
      </c>
      <c r="L404" s="17">
        <f>'Fiscal Forecasts'!L$323</f>
        <v>42.386000000000003</v>
      </c>
      <c r="M404" s="17">
        <f>'Fiscal Forecasts'!M$323</f>
        <v>46.438000000000002</v>
      </c>
      <c r="N404" s="17">
        <f>'Fiscal Forecasts'!N$323</f>
        <v>50.116999999999997</v>
      </c>
      <c r="O404" s="16">
        <f t="shared" ref="O404:X404" ca="1" si="250">N$404*(1+O$14)</f>
        <v>52.279425450562982</v>
      </c>
      <c r="P404" s="16">
        <f t="shared" ca="1" si="250"/>
        <v>54.509151233088772</v>
      </c>
      <c r="Q404" s="16">
        <f t="shared" ca="1" si="250"/>
        <v>56.743718359475103</v>
      </c>
      <c r="R404" s="16">
        <f t="shared" ca="1" si="250"/>
        <v>58.978087401571777</v>
      </c>
      <c r="S404" s="16">
        <f t="shared" ca="1" si="250"/>
        <v>61.26172352363735</v>
      </c>
      <c r="T404" s="16">
        <f t="shared" ca="1" si="250"/>
        <v>63.591141692770542</v>
      </c>
      <c r="U404" s="16">
        <f t="shared" ca="1" si="250"/>
        <v>65.951618115721672</v>
      </c>
      <c r="V404" s="16">
        <f t="shared" ca="1" si="250"/>
        <v>68.347583846205168</v>
      </c>
      <c r="W404" s="16">
        <f t="shared" ca="1" si="250"/>
        <v>70.778949618957014</v>
      </c>
      <c r="X404" s="16">
        <f t="shared" ca="1" si="250"/>
        <v>73.264037062229775</v>
      </c>
    </row>
    <row r="405" spans="1:24" x14ac:dyDescent="0.25">
      <c r="A405" s="11" t="s">
        <v>1060</v>
      </c>
      <c r="B405" s="10" t="str">
        <f t="shared" si="249"/>
        <v>From Fiscal Forecasts</v>
      </c>
      <c r="D405" s="35">
        <f>'Fiscal Forecasts'!D$124-SUM(D$403:D$404)</f>
        <v>-2.5690000000000026</v>
      </c>
      <c r="E405" s="35">
        <f>'Fiscal Forecasts'!E$124-SUM(E$403:E$404)</f>
        <v>-2.8019999999999996</v>
      </c>
      <c r="F405" s="35">
        <f>'Fiscal Forecasts'!F$124-SUM(F$403:F$404)</f>
        <v>-3.7929999999999993</v>
      </c>
      <c r="G405" s="35">
        <f>'Fiscal Forecasts'!G$124-SUM(G$403:G$404)</f>
        <v>-3.8440000000000012</v>
      </c>
      <c r="H405" s="35">
        <f>'Fiscal Forecasts'!H$124-SUM(H$403:H$404)</f>
        <v>-7.1880000000000024</v>
      </c>
      <c r="I405" s="35">
        <f>'Fiscal Forecasts'!I$124-SUM(I$403:I$404)</f>
        <v>-12.415000000000006</v>
      </c>
      <c r="J405" s="17">
        <f>'Fiscal Forecasts'!J$124-SUM(J$403:J$404)</f>
        <v>-15.823999999999998</v>
      </c>
      <c r="K405" s="17">
        <f>'Fiscal Forecasts'!K$124-SUM(K$403:K$404)</f>
        <v>-17.169999999999995</v>
      </c>
      <c r="L405" s="17">
        <f>'Fiscal Forecasts'!L$124-SUM(L$403:L$404)</f>
        <v>-19.888999999999996</v>
      </c>
      <c r="M405" s="17">
        <f>'Fiscal Forecasts'!M$124-SUM(M$403:M$404)</f>
        <v>-21.447999999999993</v>
      </c>
      <c r="N405" s="17">
        <f>'Fiscal Forecasts'!N$124-SUM(N$403:N$404)</f>
        <v>-23.143999999999991</v>
      </c>
      <c r="O405" s="16">
        <f t="shared" ref="O405:X405" si="251">N$405*O$402/N$402</f>
        <v>-23.143999999999991</v>
      </c>
      <c r="P405" s="16">
        <f t="shared" si="251"/>
        <v>-23.143999999999991</v>
      </c>
      <c r="Q405" s="16">
        <f t="shared" si="251"/>
        <v>-23.143999999999991</v>
      </c>
      <c r="R405" s="16">
        <f t="shared" si="251"/>
        <v>-23.143999999999991</v>
      </c>
      <c r="S405" s="16">
        <f t="shared" si="251"/>
        <v>-23.143999999999991</v>
      </c>
      <c r="T405" s="16">
        <f t="shared" si="251"/>
        <v>-23.143999999999991</v>
      </c>
      <c r="U405" s="16">
        <f t="shared" si="251"/>
        <v>-23.143999999999991</v>
      </c>
      <c r="V405" s="16">
        <f t="shared" si="251"/>
        <v>-23.143999999999991</v>
      </c>
      <c r="W405" s="16">
        <f t="shared" si="251"/>
        <v>-23.143999999999991</v>
      </c>
      <c r="X405" s="16">
        <f t="shared" si="251"/>
        <v>-23.143999999999991</v>
      </c>
    </row>
    <row r="406" spans="1:24" x14ac:dyDescent="0.25">
      <c r="A406" s="9" t="s">
        <v>1061</v>
      </c>
      <c r="D406" s="65">
        <f t="shared" ref="D406:X406" si="252">SUM(D$403:D$405)</f>
        <v>33.69</v>
      </c>
      <c r="E406" s="65">
        <f t="shared" si="252"/>
        <v>37.628999999999998</v>
      </c>
      <c r="F406" s="65">
        <f t="shared" si="252"/>
        <v>45.612000000000002</v>
      </c>
      <c r="G406" s="65">
        <f t="shared" si="252"/>
        <v>54.658999999999999</v>
      </c>
      <c r="H406" s="65">
        <f t="shared" si="252"/>
        <v>66.489000000000004</v>
      </c>
      <c r="I406" s="65">
        <f t="shared" si="252"/>
        <v>69.378</v>
      </c>
      <c r="J406" s="66">
        <f t="shared" si="252"/>
        <v>64.405000000000001</v>
      </c>
      <c r="K406" s="66">
        <f t="shared" si="252"/>
        <v>60.767000000000003</v>
      </c>
      <c r="L406" s="66">
        <f t="shared" si="252"/>
        <v>64.406999999999996</v>
      </c>
      <c r="M406" s="66">
        <f t="shared" si="252"/>
        <v>68.521000000000001</v>
      </c>
      <c r="N406" s="66">
        <f t="shared" si="252"/>
        <v>72.209000000000003</v>
      </c>
      <c r="O406" s="67">
        <f t="shared" ca="1" si="252"/>
        <v>75.529651186195323</v>
      </c>
      <c r="P406" s="67">
        <f t="shared" ca="1" si="252"/>
        <v>78.327914390841457</v>
      </c>
      <c r="Q406" s="67">
        <f t="shared" ca="1" si="252"/>
        <v>81.134598862367895</v>
      </c>
      <c r="R406" s="67">
        <f t="shared" ca="1" si="252"/>
        <v>83.938118848308804</v>
      </c>
      <c r="S406" s="67">
        <f t="shared" ca="1" si="252"/>
        <v>86.784716269001336</v>
      </c>
      <c r="T406" s="67">
        <f t="shared" ca="1" si="252"/>
        <v>89.661638899969446</v>
      </c>
      <c r="U406" s="67">
        <f t="shared" ca="1" si="252"/>
        <v>92.551154627599047</v>
      </c>
      <c r="V406" s="67">
        <f t="shared" ca="1" si="252"/>
        <v>95.455606409404822</v>
      </c>
      <c r="W406" s="67">
        <f t="shared" ca="1" si="252"/>
        <v>98.382146807170457</v>
      </c>
      <c r="X406" s="67">
        <f t="shared" ca="1" si="252"/>
        <v>101.35941156805229</v>
      </c>
    </row>
    <row r="408" spans="1:24" x14ac:dyDescent="0.25">
      <c r="A408" s="9" t="s">
        <v>878</v>
      </c>
    </row>
    <row r="409" spans="1:24" x14ac:dyDescent="0.25">
      <c r="A409" s="11" t="s">
        <v>471</v>
      </c>
      <c r="B409" s="10" t="str">
        <f>$B$38</f>
        <v>From Fiscal Forecasts</v>
      </c>
      <c r="D409" s="35">
        <f>'Fiscal Forecasts'!D$325</f>
        <v>1.361</v>
      </c>
      <c r="E409" s="35">
        <f>'Fiscal Forecasts'!E$325</f>
        <v>1.413</v>
      </c>
      <c r="F409" s="35">
        <f>'Fiscal Forecasts'!F$325</f>
        <v>1.43</v>
      </c>
      <c r="G409" s="35">
        <f>'Fiscal Forecasts'!G$325</f>
        <v>1.2949999999999999</v>
      </c>
      <c r="H409" s="35">
        <f>'Fiscal Forecasts'!H$325</f>
        <v>1.2709999999999999</v>
      </c>
      <c r="I409" s="35">
        <f>'Fiscal Forecasts'!I$325</f>
        <v>1.3480000000000001</v>
      </c>
      <c r="J409" s="17">
        <f>'Fiscal Forecasts'!J$325</f>
        <v>1.6339999999999999</v>
      </c>
      <c r="K409" s="17">
        <f>'Fiscal Forecasts'!K$325</f>
        <v>1.877</v>
      </c>
      <c r="L409" s="17">
        <f>'Fiscal Forecasts'!L$325</f>
        <v>1.855</v>
      </c>
      <c r="M409" s="17">
        <f>'Fiscal Forecasts'!M$325</f>
        <v>1.8620000000000001</v>
      </c>
      <c r="N409" s="17">
        <f>'Fiscal Forecasts'!N$325</f>
        <v>1.907</v>
      </c>
      <c r="O409" s="16">
        <f>Exogenous!Z$16</f>
        <v>1.9390000000000001</v>
      </c>
      <c r="P409" s="16">
        <f>Exogenous!AA$16</f>
        <v>1.994</v>
      </c>
      <c r="Q409" s="16">
        <f>Exogenous!AB$16</f>
        <v>2.044</v>
      </c>
      <c r="R409" s="16">
        <f>Exogenous!AC$16</f>
        <v>2.0880000000000001</v>
      </c>
      <c r="S409" s="16">
        <f>Exogenous!AD$16</f>
        <v>2.1309999999999998</v>
      </c>
      <c r="T409" s="16">
        <f>Exogenous!AE$16</f>
        <v>2.1709999999999998</v>
      </c>
      <c r="U409" s="16">
        <f>Exogenous!AF$16</f>
        <v>2.21</v>
      </c>
      <c r="V409" s="16">
        <f>Exogenous!AG$16</f>
        <v>2.25</v>
      </c>
      <c r="W409" s="16">
        <f>Exogenous!AH$16</f>
        <v>2.2909999999999999</v>
      </c>
      <c r="X409" s="16">
        <f>Exogenous!AI$16</f>
        <v>2.3340000000000001</v>
      </c>
    </row>
    <row r="410" spans="1:24" x14ac:dyDescent="0.25">
      <c r="A410" s="11" t="s">
        <v>472</v>
      </c>
      <c r="B410" s="10" t="str">
        <f t="shared" ref="B410:B415" si="253">$B$38</f>
        <v>From Fiscal Forecasts</v>
      </c>
      <c r="D410" s="35">
        <f>'Fiscal Forecasts'!D$326</f>
        <v>3.5999999999999997E-2</v>
      </c>
      <c r="E410" s="35">
        <f>'Fiscal Forecasts'!E$326</f>
        <v>3.5999999999999997E-2</v>
      </c>
      <c r="F410" s="35">
        <f>'Fiscal Forecasts'!F$326</f>
        <v>3.7999999999999999E-2</v>
      </c>
      <c r="G410" s="35">
        <f>'Fiscal Forecasts'!G$326</f>
        <v>3.7999999999999999E-2</v>
      </c>
      <c r="H410" s="35">
        <f>'Fiscal Forecasts'!H$326</f>
        <v>0.03</v>
      </c>
      <c r="I410" s="35">
        <f>'Fiscal Forecasts'!I$326</f>
        <v>2.8000000000000001E-2</v>
      </c>
      <c r="J410" s="17">
        <f>'Fiscal Forecasts'!J$326</f>
        <v>2.5999999999999999E-2</v>
      </c>
      <c r="K410" s="17">
        <f>'Fiscal Forecasts'!K$326</f>
        <v>2.5000000000000001E-2</v>
      </c>
      <c r="L410" s="17">
        <f>'Fiscal Forecasts'!L$326</f>
        <v>2.4E-2</v>
      </c>
      <c r="M410" s="17">
        <f>'Fiscal Forecasts'!M$326</f>
        <v>2.5000000000000001E-2</v>
      </c>
      <c r="N410" s="17">
        <f>'Fiscal Forecasts'!N$326</f>
        <v>2.5999999999999999E-2</v>
      </c>
      <c r="O410" s="16">
        <f>Exogenous!Z$17</f>
        <v>2.5999999999999999E-2</v>
      </c>
      <c r="P410" s="16">
        <f>Exogenous!AA$17</f>
        <v>2.7E-2</v>
      </c>
      <c r="Q410" s="16">
        <f>Exogenous!AB$17</f>
        <v>2.8000000000000001E-2</v>
      </c>
      <c r="R410" s="16">
        <f>Exogenous!AC$17</f>
        <v>2.8000000000000001E-2</v>
      </c>
      <c r="S410" s="16">
        <f>Exogenous!AD$17</f>
        <v>2.9000000000000001E-2</v>
      </c>
      <c r="T410" s="16">
        <f>Exogenous!AE$17</f>
        <v>2.7E-2</v>
      </c>
      <c r="U410" s="16">
        <f>Exogenous!AF$17</f>
        <v>3.1E-2</v>
      </c>
      <c r="V410" s="16">
        <f>Exogenous!AG$17</f>
        <v>3.1E-2</v>
      </c>
      <c r="W410" s="16">
        <f>Exogenous!AH$17</f>
        <v>3.2000000000000001E-2</v>
      </c>
      <c r="X410" s="16">
        <f>Exogenous!AI$17</f>
        <v>3.3000000000000002E-2</v>
      </c>
    </row>
    <row r="411" spans="1:24" x14ac:dyDescent="0.25">
      <c r="A411" s="11" t="s">
        <v>879</v>
      </c>
      <c r="B411" s="10" t="str">
        <f t="shared" si="253"/>
        <v>From Fiscal Forecasts</v>
      </c>
      <c r="D411" s="35">
        <f>'Fiscal Forecasts'!D$327</f>
        <v>0.56299999999999994</v>
      </c>
      <c r="E411" s="35">
        <f>'Fiscal Forecasts'!E$327</f>
        <v>0.50600000000000001</v>
      </c>
      <c r="F411" s="35">
        <f>'Fiscal Forecasts'!F$327</f>
        <v>0.46899999999999997</v>
      </c>
      <c r="G411" s="35">
        <f>'Fiscal Forecasts'!G$327</f>
        <v>0.48899999999999999</v>
      </c>
      <c r="H411" s="35">
        <f>'Fiscal Forecasts'!H$327</f>
        <v>0.55100000000000005</v>
      </c>
      <c r="I411" s="35">
        <f>'Fiscal Forecasts'!I$327</f>
        <v>0.54400000000000004</v>
      </c>
      <c r="J411" s="17">
        <f>'Fiscal Forecasts'!J$327</f>
        <v>0.56000000000000005</v>
      </c>
      <c r="K411" s="17">
        <f>'Fiscal Forecasts'!K$327</f>
        <v>0.63600000000000001</v>
      </c>
      <c r="L411" s="17">
        <f>'Fiscal Forecasts'!L$327</f>
        <v>0.628</v>
      </c>
      <c r="M411" s="17">
        <f>'Fiscal Forecasts'!M$327</f>
        <v>0.627</v>
      </c>
      <c r="N411" s="17">
        <f>'Fiscal Forecasts'!N$327</f>
        <v>0.65300000000000002</v>
      </c>
      <c r="O411" s="16">
        <f>Exogenous!Z$18</f>
        <v>0.65600000000000003</v>
      </c>
      <c r="P411" s="16">
        <f>Exogenous!AA$18</f>
        <v>0.67400000000000004</v>
      </c>
      <c r="Q411" s="16">
        <f>Exogenous!AB$18</f>
        <v>0.69299999999999995</v>
      </c>
      <c r="R411" s="16">
        <f>Exogenous!AC$18</f>
        <v>0.71099999999999997</v>
      </c>
      <c r="S411" s="16">
        <f>Exogenous!AD$18</f>
        <v>0.72699999999999998</v>
      </c>
      <c r="T411" s="16">
        <f>Exogenous!AE$18</f>
        <v>0.74199999999999999</v>
      </c>
      <c r="U411" s="16">
        <f>Exogenous!AF$18</f>
        <v>0.75600000000000001</v>
      </c>
      <c r="V411" s="16">
        <f>Exogenous!AG$18</f>
        <v>0.76900000000000002</v>
      </c>
      <c r="W411" s="16">
        <f>Exogenous!AH$18</f>
        <v>0.78300000000000003</v>
      </c>
      <c r="X411" s="16">
        <f>Exogenous!AI$18</f>
        <v>0.79700000000000004</v>
      </c>
    </row>
    <row r="412" spans="1:24" x14ac:dyDescent="0.25">
      <c r="A412" s="11" t="s">
        <v>880</v>
      </c>
      <c r="B412" s="10" t="str">
        <f>$B$38</f>
        <v>From Fiscal Forecasts</v>
      </c>
      <c r="D412" s="35">
        <f>'Fiscal Forecasts'!D$328</f>
        <v>1.371</v>
      </c>
      <c r="E412" s="35">
        <f>'Fiscal Forecasts'!E$328</f>
        <v>1.4770000000000001</v>
      </c>
      <c r="F412" s="35">
        <f>'Fiscal Forecasts'!F$328</f>
        <v>1.4950000000000001</v>
      </c>
      <c r="G412" s="35">
        <f>'Fiscal Forecasts'!G$328</f>
        <v>1.605</v>
      </c>
      <c r="H412" s="35">
        <f>'Fiscal Forecasts'!H$328</f>
        <v>1.6339999999999999</v>
      </c>
      <c r="I412" s="35">
        <f>'Fiscal Forecasts'!I$328</f>
        <v>1.5980000000000001</v>
      </c>
      <c r="J412" s="17">
        <f>'Fiscal Forecasts'!J$328</f>
        <v>1.5669999999999999</v>
      </c>
      <c r="K412" s="17">
        <f>'Fiscal Forecasts'!K$328</f>
        <v>1.631</v>
      </c>
      <c r="L412" s="17">
        <f>'Fiscal Forecasts'!L$328</f>
        <v>1.6890000000000001</v>
      </c>
      <c r="M412" s="17">
        <f>'Fiscal Forecasts'!M$328</f>
        <v>1.736</v>
      </c>
      <c r="N412" s="17">
        <f>'Fiscal Forecasts'!N$328</f>
        <v>1.7869999999999999</v>
      </c>
      <c r="O412" s="16">
        <f>Exogenous!Z$19</f>
        <v>1.6779999999999999</v>
      </c>
      <c r="P412" s="16">
        <f>Exogenous!AA$19</f>
        <v>1.736</v>
      </c>
      <c r="Q412" s="16">
        <f>Exogenous!AB$19</f>
        <v>1.79</v>
      </c>
      <c r="R412" s="16">
        <f>Exogenous!AC$19</f>
        <v>1.839</v>
      </c>
      <c r="S412" s="16">
        <f>Exogenous!AD$19</f>
        <v>1.887</v>
      </c>
      <c r="T412" s="16">
        <f>Exogenous!AE$19</f>
        <v>1.9350000000000001</v>
      </c>
      <c r="U412" s="16">
        <f>Exogenous!AF$19</f>
        <v>1.9810000000000001</v>
      </c>
      <c r="V412" s="16">
        <f>Exogenous!AG$19</f>
        <v>2.0249999999999999</v>
      </c>
      <c r="W412" s="16">
        <f>Exogenous!AH$19</f>
        <v>2.069</v>
      </c>
      <c r="X412" s="16">
        <f>Exogenous!AI$19</f>
        <v>2.1110000000000002</v>
      </c>
    </row>
    <row r="413" spans="1:24" x14ac:dyDescent="0.25">
      <c r="A413" s="11" t="s">
        <v>473</v>
      </c>
      <c r="B413" s="10" t="str">
        <f t="shared" si="253"/>
        <v>From Fiscal Forecasts</v>
      </c>
      <c r="D413" s="35">
        <f>'Fiscal Forecasts'!D$329</f>
        <v>0.39400000000000002</v>
      </c>
      <c r="E413" s="35">
        <f>'Fiscal Forecasts'!E$329</f>
        <v>0.33100000000000002</v>
      </c>
      <c r="F413" s="35">
        <f>'Fiscal Forecasts'!F$329</f>
        <v>0.23499999999999999</v>
      </c>
      <c r="G413" s="35">
        <f>'Fiscal Forecasts'!G$329</f>
        <v>0.28000000000000003</v>
      </c>
      <c r="H413" s="35">
        <f>'Fiscal Forecasts'!H$329</f>
        <v>0.57699999999999996</v>
      </c>
      <c r="I413" s="35">
        <f>'Fiscal Forecasts'!I$329</f>
        <v>0.63400000000000001</v>
      </c>
      <c r="J413" s="17">
        <f>'Fiscal Forecasts'!J$329</f>
        <v>0.502</v>
      </c>
      <c r="K413" s="17">
        <f>'Fiscal Forecasts'!K$329</f>
        <v>0.41299999999999998</v>
      </c>
      <c r="L413" s="17">
        <f>'Fiscal Forecasts'!L$329</f>
        <v>0.42899999999999999</v>
      </c>
      <c r="M413" s="17">
        <f>'Fiscal Forecasts'!M$329</f>
        <v>0.46100000000000002</v>
      </c>
      <c r="N413" s="17">
        <f>'Fiscal Forecasts'!N$329</f>
        <v>0.48599999999999999</v>
      </c>
      <c r="O413" s="16">
        <f>Exogenous!Z$20</f>
        <v>0.50700000000000001</v>
      </c>
      <c r="P413" s="16">
        <f>Exogenous!AA$20</f>
        <v>0.52800000000000002</v>
      </c>
      <c r="Q413" s="16">
        <f>Exogenous!AB$20</f>
        <v>0.54300000000000004</v>
      </c>
      <c r="R413" s="16">
        <f>Exogenous!AC$20</f>
        <v>0.55300000000000005</v>
      </c>
      <c r="S413" s="16">
        <f>Exogenous!AD$20</f>
        <v>0.55800000000000005</v>
      </c>
      <c r="T413" s="16">
        <f>Exogenous!AE$20</f>
        <v>0.55700000000000005</v>
      </c>
      <c r="U413" s="16">
        <f>Exogenous!AF$20</f>
        <v>0.54800000000000004</v>
      </c>
      <c r="V413" s="16">
        <f>Exogenous!AG$20</f>
        <v>0.53400000000000003</v>
      </c>
      <c r="W413" s="16">
        <f>Exogenous!AH$20</f>
        <v>0.51800000000000002</v>
      </c>
      <c r="X413" s="16">
        <f>Exogenous!AI$20</f>
        <v>0.498</v>
      </c>
    </row>
    <row r="414" spans="1:24" x14ac:dyDescent="0.25">
      <c r="A414" s="11" t="s">
        <v>1241</v>
      </c>
      <c r="B414" s="10" t="str">
        <f t="shared" si="253"/>
        <v>From Fiscal Forecasts</v>
      </c>
      <c r="D414" s="35">
        <f>'Fiscal Forecasts'!D$330</f>
        <v>0</v>
      </c>
      <c r="E414" s="35">
        <f>'Fiscal Forecasts'!E$330</f>
        <v>0</v>
      </c>
      <c r="F414" s="35">
        <f>'Fiscal Forecasts'!F$330</f>
        <v>0</v>
      </c>
      <c r="G414" s="35">
        <f>'Fiscal Forecasts'!G$330</f>
        <v>0</v>
      </c>
      <c r="H414" s="35">
        <f>'Fiscal Forecasts'!H$330</f>
        <v>0</v>
      </c>
      <c r="I414" s="35">
        <f>'Fiscal Forecasts'!I$330</f>
        <v>0</v>
      </c>
      <c r="J414" s="17">
        <f>'Fiscal Forecasts'!J$330</f>
        <v>0</v>
      </c>
      <c r="K414" s="17">
        <f>'Fiscal Forecasts'!K$330</f>
        <v>3.4000000000000002E-2</v>
      </c>
      <c r="L414" s="17">
        <f>'Fiscal Forecasts'!L$330</f>
        <v>6.4000000000000001E-2</v>
      </c>
      <c r="M414" s="17">
        <f>'Fiscal Forecasts'!M$330</f>
        <v>0.11600000000000001</v>
      </c>
      <c r="N414" s="17">
        <f>'Fiscal Forecasts'!N$330</f>
        <v>0.16800000000000001</v>
      </c>
      <c r="O414" s="16">
        <f>Exogenous!Z$21</f>
        <v>0.20100000000000001</v>
      </c>
      <c r="P414" s="16">
        <f>Exogenous!AA$21</f>
        <v>0.221</v>
      </c>
      <c r="Q414" s="16">
        <f>Exogenous!AB$21</f>
        <v>0.23300000000000001</v>
      </c>
      <c r="R414" s="16">
        <f>Exogenous!AC$21</f>
        <v>0.24099999999999999</v>
      </c>
      <c r="S414" s="16">
        <f>Exogenous!AD$21</f>
        <v>0.248</v>
      </c>
      <c r="T414" s="16">
        <f>Exogenous!AE$21</f>
        <v>0.255</v>
      </c>
      <c r="U414" s="16">
        <f>Exogenous!AF$21</f>
        <v>0.26100000000000001</v>
      </c>
      <c r="V414" s="16">
        <f>Exogenous!AG$21</f>
        <v>0.26700000000000002</v>
      </c>
      <c r="W414" s="16">
        <f>Exogenous!AH$21</f>
        <v>0.27300000000000002</v>
      </c>
      <c r="X414" s="16">
        <f>Exogenous!AI$21</f>
        <v>0.27800000000000002</v>
      </c>
    </row>
    <row r="415" spans="1:24" x14ac:dyDescent="0.25">
      <c r="A415" s="11" t="s">
        <v>474</v>
      </c>
      <c r="B415" s="10" t="str">
        <f t="shared" si="253"/>
        <v>From Fiscal Forecasts</v>
      </c>
      <c r="D415" s="35">
        <f>'Fiscal Forecasts'!D$331</f>
        <v>0.94499999999999995</v>
      </c>
      <c r="E415" s="35">
        <f>'Fiscal Forecasts'!E$331</f>
        <v>-0.13300000000000001</v>
      </c>
      <c r="F415" s="35">
        <f>'Fiscal Forecasts'!F$331</f>
        <v>0.70699999999999996</v>
      </c>
      <c r="G415" s="35">
        <f>'Fiscal Forecasts'!G$331</f>
        <v>-1.151</v>
      </c>
      <c r="H415" s="35">
        <f>'Fiscal Forecasts'!H$331</f>
        <v>0.47099999999999997</v>
      </c>
      <c r="I415" s="35">
        <f>'Fiscal Forecasts'!I$331</f>
        <v>0.35499999999999998</v>
      </c>
      <c r="J415" s="17">
        <f>'Fiscal Forecasts'!J$331</f>
        <v>0.38100000000000001</v>
      </c>
      <c r="K415" s="17">
        <f>'Fiscal Forecasts'!K$331</f>
        <v>0</v>
      </c>
      <c r="L415" s="17">
        <f>'Fiscal Forecasts'!L$331</f>
        <v>0</v>
      </c>
      <c r="M415" s="17">
        <f>'Fiscal Forecasts'!M$331</f>
        <v>0</v>
      </c>
      <c r="N415" s="17">
        <f>'Fiscal Forecasts'!N$331</f>
        <v>0</v>
      </c>
      <c r="O415" s="16">
        <f>Exogenous!Z$22</f>
        <v>0</v>
      </c>
      <c r="P415" s="16">
        <f>Exogenous!AA$22</f>
        <v>0</v>
      </c>
      <c r="Q415" s="16">
        <f>Exogenous!AB$22</f>
        <v>0</v>
      </c>
      <c r="R415" s="16">
        <f>Exogenous!AC$22</f>
        <v>0</v>
      </c>
      <c r="S415" s="16">
        <f>Exogenous!AD$22</f>
        <v>0</v>
      </c>
      <c r="T415" s="16">
        <f>Exogenous!AE$22</f>
        <v>0</v>
      </c>
      <c r="U415" s="16">
        <f>Exogenous!AF$22</f>
        <v>0</v>
      </c>
      <c r="V415" s="16">
        <f>Exogenous!AG$22</f>
        <v>0</v>
      </c>
      <c r="W415" s="16">
        <f>Exogenous!AH$22</f>
        <v>0</v>
      </c>
      <c r="X415" s="16">
        <f>Exogenous!AI$22</f>
        <v>0</v>
      </c>
    </row>
    <row r="416" spans="1:24" x14ac:dyDescent="0.25">
      <c r="A416" s="9" t="s">
        <v>760</v>
      </c>
      <c r="C416" s="76">
        <f>'Fiscal Forecasts'!$C$332</f>
        <v>9.9290000000000003</v>
      </c>
      <c r="D416" s="65">
        <f>SUM(C$416,D$409,D$410,D$413,D$415)-SUM(D$411,D$412,D$414)</f>
        <v>10.731000000000002</v>
      </c>
      <c r="E416" s="65">
        <f t="shared" ref="E416:X416" si="254">SUM(D$416,E$409,E$410,E$413,E$415)-SUM(E$411,E$412,E$414)</f>
        <v>10.395</v>
      </c>
      <c r="F416" s="65">
        <f t="shared" si="254"/>
        <v>10.840999999999999</v>
      </c>
      <c r="G416" s="65">
        <f t="shared" si="254"/>
        <v>9.2089999999999996</v>
      </c>
      <c r="H416" s="65">
        <f t="shared" si="254"/>
        <v>9.3729999999999993</v>
      </c>
      <c r="I416" s="65">
        <f t="shared" si="254"/>
        <v>9.5960000000000001</v>
      </c>
      <c r="J416" s="66">
        <f t="shared" si="254"/>
        <v>10.012</v>
      </c>
      <c r="K416" s="66">
        <f t="shared" ref="K416" si="255">SUM(J$416,K$409,K$410,K$413,K$415)-SUM(K$411,K$412,K$414)</f>
        <v>10.026000000000002</v>
      </c>
      <c r="L416" s="66">
        <f t="shared" ref="L416" si="256">SUM(K$416,L$409,L$410,L$413,L$415)-SUM(L$411,L$412,L$414)</f>
        <v>9.9530000000000012</v>
      </c>
      <c r="M416" s="66">
        <f t="shared" ref="M416" si="257">SUM(L$416,M$409,M$410,M$413,M$415)-SUM(M$411,M$412,M$414)</f>
        <v>9.8220000000000027</v>
      </c>
      <c r="N416" s="66">
        <f t="shared" ref="N416" si="258">SUM(M$416,N$409,N$410,N$413,N$415)-SUM(N$411,N$412,N$414)</f>
        <v>9.6330000000000027</v>
      </c>
      <c r="O416" s="67">
        <f t="shared" si="254"/>
        <v>9.5700000000000021</v>
      </c>
      <c r="P416" s="67">
        <f t="shared" si="254"/>
        <v>9.4880000000000013</v>
      </c>
      <c r="Q416" s="67">
        <f t="shared" si="254"/>
        <v>9.3870000000000005</v>
      </c>
      <c r="R416" s="67">
        <f t="shared" si="254"/>
        <v>9.2650000000000023</v>
      </c>
      <c r="S416" s="67">
        <f t="shared" si="254"/>
        <v>9.1210000000000022</v>
      </c>
      <c r="T416" s="67">
        <f t="shared" si="254"/>
        <v>8.9440000000000008</v>
      </c>
      <c r="U416" s="67">
        <f t="shared" si="254"/>
        <v>8.7349999999999994</v>
      </c>
      <c r="V416" s="67">
        <f t="shared" si="254"/>
        <v>8.4890000000000008</v>
      </c>
      <c r="W416" s="67">
        <f t="shared" si="254"/>
        <v>8.2050000000000018</v>
      </c>
      <c r="X416" s="67">
        <f t="shared" si="254"/>
        <v>7.8840000000000003</v>
      </c>
    </row>
    <row r="418" spans="1:24" x14ac:dyDescent="0.25">
      <c r="A418" s="9" t="s">
        <v>624</v>
      </c>
    </row>
    <row r="419" spans="1:24" x14ac:dyDescent="0.25">
      <c r="A419" s="9" t="s">
        <v>1062</v>
      </c>
      <c r="B419" s="10" t="str">
        <f t="shared" ref="B419:B420" si="259">$B$38</f>
        <v>From Fiscal Forecasts</v>
      </c>
      <c r="D419" s="42">
        <f>ROUND('Fiscal Forecasts'!D$189*D$420/SUM(D$420,D$424),3)</f>
        <v>0.75700000000000001</v>
      </c>
      <c r="E419" s="42">
        <f>ROUND('Fiscal Forecasts'!E$189*E$420/SUM(E$420,E$424),3)</f>
        <v>1.0569999999999999</v>
      </c>
      <c r="F419" s="42">
        <f>ROUND('Fiscal Forecasts'!F$189*F$420/SUM(F$420,F$424),3)</f>
        <v>1.169</v>
      </c>
      <c r="G419" s="42">
        <f>ROUND('Fiscal Forecasts'!G$189*G$420/SUM(G$420,G$424),3)</f>
        <v>1.7330000000000001</v>
      </c>
      <c r="H419" s="42">
        <f>ROUND('Fiscal Forecasts'!H$189*H$420/SUM(H$420,H$424),3)</f>
        <v>1.5860000000000001</v>
      </c>
      <c r="I419" s="42">
        <f>ROUND('Fiscal Forecasts'!I$189*I$420/SUM(I$420,I$424),3)</f>
        <v>1.6120000000000001</v>
      </c>
      <c r="J419" s="43">
        <f>ROUND('Fiscal Forecasts'!J$189*J$420/SUM(J$420,J$424),3)</f>
        <v>1.899</v>
      </c>
      <c r="K419" s="43">
        <f>ROUND('Fiscal Forecasts'!K$189*K$420/SUM(K$420,K$424),3)</f>
        <v>1.835</v>
      </c>
      <c r="L419" s="43">
        <f>ROUND('Fiscal Forecasts'!L$189*L$420/SUM(L$420,L$424),3)</f>
        <v>1.8320000000000001</v>
      </c>
      <c r="M419" s="43">
        <f>ROUND('Fiscal Forecasts'!M$189*M$420/SUM(M$420,M$424),3)</f>
        <v>1.734</v>
      </c>
      <c r="N419" s="43">
        <f>ROUND('Fiscal Forecasts'!N$189*N$420/SUM(N$420,N$424),3)</f>
        <v>1.649</v>
      </c>
      <c r="O419" s="47">
        <f t="shared" ref="O419:X419" si="260">N$419</f>
        <v>1.649</v>
      </c>
      <c r="P419" s="47">
        <f t="shared" si="260"/>
        <v>1.649</v>
      </c>
      <c r="Q419" s="47">
        <f t="shared" si="260"/>
        <v>1.649</v>
      </c>
      <c r="R419" s="47">
        <f t="shared" si="260"/>
        <v>1.649</v>
      </c>
      <c r="S419" s="47">
        <f t="shared" si="260"/>
        <v>1.649</v>
      </c>
      <c r="T419" s="47">
        <f t="shared" si="260"/>
        <v>1.649</v>
      </c>
      <c r="U419" s="47">
        <f t="shared" si="260"/>
        <v>1.649</v>
      </c>
      <c r="V419" s="47">
        <f t="shared" si="260"/>
        <v>1.649</v>
      </c>
      <c r="W419" s="47">
        <f t="shared" si="260"/>
        <v>1.649</v>
      </c>
      <c r="X419" s="47">
        <f t="shared" si="260"/>
        <v>1.649</v>
      </c>
    </row>
    <row r="420" spans="1:24" x14ac:dyDescent="0.25">
      <c r="A420" s="9" t="s">
        <v>1063</v>
      </c>
      <c r="B420" s="10" t="str">
        <f t="shared" si="259"/>
        <v>From Fiscal Forecasts</v>
      </c>
      <c r="D420" s="42">
        <f>'Fiscal Forecasts'!D$126</f>
        <v>1.5169999999999999</v>
      </c>
      <c r="E420" s="42">
        <f>'Fiscal Forecasts'!E$126</f>
        <v>1.7729999999999999</v>
      </c>
      <c r="F420" s="42">
        <f>'Fiscal Forecasts'!F$126</f>
        <v>2.194</v>
      </c>
      <c r="G420" s="42">
        <f>'Fiscal Forecasts'!G$126</f>
        <v>3.0680000000000001</v>
      </c>
      <c r="H420" s="42">
        <f>'Fiscal Forecasts'!H$126</f>
        <v>3.0409999999999999</v>
      </c>
      <c r="I420" s="42">
        <f>'Fiscal Forecasts'!I$126</f>
        <v>2.8610000000000002</v>
      </c>
      <c r="J420" s="43">
        <f>'Fiscal Forecasts'!J$126</f>
        <v>3.4049999999999998</v>
      </c>
      <c r="K420" s="43">
        <f>'Fiscal Forecasts'!K$126</f>
        <v>3.5169999999999999</v>
      </c>
      <c r="L420" s="43">
        <f>'Fiscal Forecasts'!L$126</f>
        <v>3.5590000000000002</v>
      </c>
      <c r="M420" s="43">
        <f>'Fiscal Forecasts'!M$126</f>
        <v>3.488</v>
      </c>
      <c r="N420" s="43">
        <f>'Fiscal Forecasts'!N$126</f>
        <v>3.395</v>
      </c>
      <c r="O420" s="47">
        <f t="shared" ref="O420:X420" ca="1" si="261">O$419+(N$420-N$419)*(1+O$29)</f>
        <v>3.4299200000000001</v>
      </c>
      <c r="P420" s="47">
        <f t="shared" ca="1" si="261"/>
        <v>3.4655383999999998</v>
      </c>
      <c r="Q420" s="47">
        <f t="shared" ca="1" si="261"/>
        <v>3.5018691679999998</v>
      </c>
      <c r="R420" s="47">
        <f t="shared" ca="1" si="261"/>
        <v>3.5389265513599999</v>
      </c>
      <c r="S420" s="47">
        <f t="shared" ca="1" si="261"/>
        <v>3.5767250823871999</v>
      </c>
      <c r="T420" s="47">
        <f t="shared" ca="1" si="261"/>
        <v>3.6152795840349441</v>
      </c>
      <c r="U420" s="47">
        <f t="shared" ca="1" si="261"/>
        <v>3.654605175715643</v>
      </c>
      <c r="V420" s="47">
        <f t="shared" ca="1" si="261"/>
        <v>3.6947172792299559</v>
      </c>
      <c r="W420" s="47">
        <f t="shared" ca="1" si="261"/>
        <v>3.7356316248145549</v>
      </c>
      <c r="X420" s="47">
        <f t="shared" ca="1" si="261"/>
        <v>3.7773642573108459</v>
      </c>
    </row>
    <row r="422" spans="1:24" x14ac:dyDescent="0.25">
      <c r="A422" s="9" t="s">
        <v>1064</v>
      </c>
    </row>
    <row r="423" spans="1:24" x14ac:dyDescent="0.25">
      <c r="A423" s="9" t="s">
        <v>1062</v>
      </c>
      <c r="B423" s="10" t="str">
        <f t="shared" ref="B423:B424" si="262">$B$38</f>
        <v>From Fiscal Forecasts</v>
      </c>
      <c r="D423" s="42">
        <f>'Fiscal Forecasts'!D$189-D$419</f>
        <v>1.4119999999999999</v>
      </c>
      <c r="E423" s="42">
        <f>'Fiscal Forecasts'!E$189-E$419</f>
        <v>2.153</v>
      </c>
      <c r="F423" s="42">
        <f>'Fiscal Forecasts'!F$189-F$419</f>
        <v>2.0920000000000001</v>
      </c>
      <c r="G423" s="42">
        <f>'Fiscal Forecasts'!G$189-G$419</f>
        <v>2.3759999999999999</v>
      </c>
      <c r="H423" s="42">
        <f>'Fiscal Forecasts'!H$189-H$419</f>
        <v>2.4050000000000002</v>
      </c>
      <c r="I423" s="42">
        <f>'Fiscal Forecasts'!I$189-I$419</f>
        <v>2.8419999999999996</v>
      </c>
      <c r="J423" s="43">
        <f>'Fiscal Forecasts'!J$189-J$419</f>
        <v>3.0019999999999998</v>
      </c>
      <c r="K423" s="43">
        <f>'Fiscal Forecasts'!K$189-K$419</f>
        <v>2.63</v>
      </c>
      <c r="L423" s="43">
        <f>'Fiscal Forecasts'!L$189-L$419</f>
        <v>2.6539999999999999</v>
      </c>
      <c r="M423" s="43">
        <f>'Fiscal Forecasts'!M$189-M$419</f>
        <v>2.6340000000000003</v>
      </c>
      <c r="N423" s="43">
        <f>'Fiscal Forecasts'!N$189-N$419</f>
        <v>2.5919999999999996</v>
      </c>
      <c r="O423" s="47">
        <f t="shared" ref="O423:X423" si="263">N$423</f>
        <v>2.5919999999999996</v>
      </c>
      <c r="P423" s="47">
        <f t="shared" si="263"/>
        <v>2.5919999999999996</v>
      </c>
      <c r="Q423" s="47">
        <f t="shared" si="263"/>
        <v>2.5919999999999996</v>
      </c>
      <c r="R423" s="47">
        <f t="shared" si="263"/>
        <v>2.5919999999999996</v>
      </c>
      <c r="S423" s="47">
        <f t="shared" si="263"/>
        <v>2.5919999999999996</v>
      </c>
      <c r="T423" s="47">
        <f t="shared" si="263"/>
        <v>2.5919999999999996</v>
      </c>
      <c r="U423" s="47">
        <f t="shared" si="263"/>
        <v>2.5919999999999996</v>
      </c>
      <c r="V423" s="47">
        <f t="shared" si="263"/>
        <v>2.5919999999999996</v>
      </c>
      <c r="W423" s="47">
        <f t="shared" si="263"/>
        <v>2.5919999999999996</v>
      </c>
      <c r="X423" s="47">
        <f t="shared" si="263"/>
        <v>2.5919999999999996</v>
      </c>
    </row>
    <row r="424" spans="1:24" x14ac:dyDescent="0.25">
      <c r="A424" s="9" t="s">
        <v>1063</v>
      </c>
      <c r="B424" s="10" t="str">
        <f t="shared" si="262"/>
        <v>From Fiscal Forecasts</v>
      </c>
      <c r="D424" s="42">
        <f>'Fiscal Forecasts'!D$127</f>
        <v>2.8279999999999998</v>
      </c>
      <c r="E424" s="42">
        <f>'Fiscal Forecasts'!E$127</f>
        <v>3.61</v>
      </c>
      <c r="F424" s="42">
        <f>'Fiscal Forecasts'!F$127</f>
        <v>3.9279999999999999</v>
      </c>
      <c r="G424" s="42">
        <f>'Fiscal Forecasts'!G$127</f>
        <v>4.2080000000000002</v>
      </c>
      <c r="H424" s="42">
        <f>'Fiscal Forecasts'!H$127</f>
        <v>4.6120000000000001</v>
      </c>
      <c r="I424" s="42">
        <f>'Fiscal Forecasts'!I$127</f>
        <v>5.0449999999999999</v>
      </c>
      <c r="J424" s="43">
        <f>'Fiscal Forecasts'!J$127</f>
        <v>5.3849999999999998</v>
      </c>
      <c r="K424" s="43">
        <f>'Fiscal Forecasts'!K$127</f>
        <v>5.0410000000000004</v>
      </c>
      <c r="L424" s="43">
        <f>'Fiscal Forecasts'!L$127</f>
        <v>5.1580000000000004</v>
      </c>
      <c r="M424" s="43">
        <f>'Fiscal Forecasts'!M$127</f>
        <v>5.3</v>
      </c>
      <c r="N424" s="43">
        <f>'Fiscal Forecasts'!N$127</f>
        <v>5.3339999999999996</v>
      </c>
      <c r="O424" s="47">
        <f t="shared" ref="O424:X424" ca="1" si="264">O$423+(N$424-N$423)*(1+O$29)</f>
        <v>5.3888400000000001</v>
      </c>
      <c r="P424" s="47">
        <f t="shared" ca="1" si="264"/>
        <v>5.4447767999999996</v>
      </c>
      <c r="Q424" s="47">
        <f t="shared" ca="1" si="264"/>
        <v>5.5018323359999997</v>
      </c>
      <c r="R424" s="47">
        <f t="shared" ca="1" si="264"/>
        <v>5.5600289827199996</v>
      </c>
      <c r="S424" s="47">
        <f t="shared" ca="1" si="264"/>
        <v>5.6193895623743995</v>
      </c>
      <c r="T424" s="47">
        <f t="shared" ca="1" si="264"/>
        <v>5.679937353621888</v>
      </c>
      <c r="U424" s="47">
        <f t="shared" ca="1" si="264"/>
        <v>5.7416961006943259</v>
      </c>
      <c r="V424" s="47">
        <f t="shared" ca="1" si="264"/>
        <v>5.804690022708213</v>
      </c>
      <c r="W424" s="47">
        <f t="shared" ca="1" si="264"/>
        <v>5.8689438231623772</v>
      </c>
      <c r="X424" s="47">
        <f t="shared" ca="1" si="264"/>
        <v>5.9344826996256241</v>
      </c>
    </row>
    <row r="426" spans="1:24" x14ac:dyDescent="0.25">
      <c r="A426" s="9" t="s">
        <v>1065</v>
      </c>
    </row>
    <row r="427" spans="1:24" x14ac:dyDescent="0.25">
      <c r="A427" s="9" t="s">
        <v>1066</v>
      </c>
      <c r="B427" s="10" t="str">
        <f t="shared" ref="B427:B428" si="265">$B$38</f>
        <v>From Fiscal Forecasts</v>
      </c>
      <c r="C427" s="64" cm="1">
        <f t="array" aca="1" ref="C427" ca="1">SUMPRODUCT(OFFSET($N$427,0,0,1,-OFFSET(Assumptions!$B$59,0,$C$1))/OFFSET($N$13,0,0,1,-OFFSET(Assumptions!$B$59,0,$C$1)))/OFFSET(Assumptions!$B$59,0,$C$1)</f>
        <v>0.15052333138299728</v>
      </c>
      <c r="D427" s="42">
        <f>'Fiscal Forecasts'!D$186</f>
        <v>43.683999999999997</v>
      </c>
      <c r="E427" s="42">
        <f>'Fiscal Forecasts'!E$186</f>
        <v>45.167000000000002</v>
      </c>
      <c r="F427" s="42">
        <f>'Fiscal Forecasts'!F$186</f>
        <v>51.92</v>
      </c>
      <c r="G427" s="42">
        <f>'Fiscal Forecasts'!G$186</f>
        <v>56.518999999999998</v>
      </c>
      <c r="H427" s="42">
        <f>'Fiscal Forecasts'!H$186</f>
        <v>63.033999999999999</v>
      </c>
      <c r="I427" s="42">
        <f>'Fiscal Forecasts'!I$186</f>
        <v>67.997</v>
      </c>
      <c r="J427" s="43">
        <f>'Fiscal Forecasts'!J$186</f>
        <v>69.701999999999998</v>
      </c>
      <c r="K427" s="43">
        <f>'Fiscal Forecasts'!K$186</f>
        <v>70.847999999999999</v>
      </c>
      <c r="L427" s="43">
        <f>'Fiscal Forecasts'!L$186</f>
        <v>71.221000000000004</v>
      </c>
      <c r="M427" s="43">
        <f>'Fiscal Forecasts'!M$186</f>
        <v>70.656999999999996</v>
      </c>
      <c r="N427" s="43">
        <f>'Fiscal Forecasts'!N$186</f>
        <v>69.775000000000006</v>
      </c>
      <c r="O427" s="47">
        <f t="shared" ref="O427:X427" ca="1" si="266">N$427+O$430</f>
        <v>69.775000000000006</v>
      </c>
      <c r="P427" s="47">
        <f t="shared" ca="1" si="266"/>
        <v>69.775000000000006</v>
      </c>
      <c r="Q427" s="47">
        <f t="shared" ca="1" si="266"/>
        <v>69.775000000000006</v>
      </c>
      <c r="R427" s="47">
        <f t="shared" ca="1" si="266"/>
        <v>69.775000000000006</v>
      </c>
      <c r="S427" s="47">
        <f t="shared" ca="1" si="266"/>
        <v>69.775000000000006</v>
      </c>
      <c r="T427" s="47">
        <f t="shared" ca="1" si="266"/>
        <v>69.775000000000006</v>
      </c>
      <c r="U427" s="47">
        <f t="shared" ca="1" si="266"/>
        <v>69.775000000000006</v>
      </c>
      <c r="V427" s="47">
        <f t="shared" ca="1" si="266"/>
        <v>69.775000000000006</v>
      </c>
      <c r="W427" s="47">
        <f t="shared" ca="1" si="266"/>
        <v>69.775000000000006</v>
      </c>
      <c r="X427" s="47">
        <f t="shared" ca="1" si="266"/>
        <v>69.775000000000006</v>
      </c>
    </row>
    <row r="428" spans="1:24" x14ac:dyDescent="0.25">
      <c r="A428" s="11" t="s">
        <v>1073</v>
      </c>
      <c r="B428" s="10" t="str">
        <f t="shared" si="265"/>
        <v>From Fiscal Forecasts</v>
      </c>
      <c r="C428" s="64" cm="1">
        <f t="array" aca="1" ref="C428" ca="1">SUMPRODUCT(OFFSET($N$428,0,0,1,-OFFSET(Assumptions!$B$59,0,$C$1))/OFFSET($N$13,0,0,1,-OFFSET(Assumptions!$B$59,0,$C$1)))/OFFSET(Assumptions!$B$59,0,$C$1)</f>
        <v>0.49343205869727769</v>
      </c>
      <c r="D428" s="35">
        <f>SUM('Fiscal Forecasts'!D$335:D$337)</f>
        <v>133.941</v>
      </c>
      <c r="E428" s="35">
        <f>SUM('Fiscal Forecasts'!E$335:E$337)</f>
        <v>141.33499999999998</v>
      </c>
      <c r="F428" s="35">
        <f>SUM('Fiscal Forecasts'!F$335:F$337)</f>
        <v>161.29599999999999</v>
      </c>
      <c r="G428" s="35">
        <f>SUM('Fiscal Forecasts'!G$335:G$337)</f>
        <v>192.66300000000001</v>
      </c>
      <c r="H428" s="35">
        <f>SUM('Fiscal Forecasts'!H$335:H$337)</f>
        <v>204.35599999999999</v>
      </c>
      <c r="I428" s="35">
        <f>SUM('Fiscal Forecasts'!I$335:I$337)</f>
        <v>215.79300000000001</v>
      </c>
      <c r="J428" s="17">
        <f>SUM('Fiscal Forecasts'!J$335:J$337)</f>
        <v>222.494</v>
      </c>
      <c r="K428" s="17">
        <f>SUM('Fiscal Forecasts'!K$335:K$337)</f>
        <v>231.94200000000001</v>
      </c>
      <c r="L428" s="17">
        <f>SUM('Fiscal Forecasts'!L$335:L$337)</f>
        <v>237.44499999999999</v>
      </c>
      <c r="M428" s="17">
        <f>SUM('Fiscal Forecasts'!M$335:M$337)</f>
        <v>242.58699999999999</v>
      </c>
      <c r="N428" s="17">
        <f>SUM('Fiscal Forecasts'!N$335:N$337)</f>
        <v>246.40100000000001</v>
      </c>
      <c r="O428" s="16">
        <f ca="1">SUM(N$428,O$432,O$433-N$433)</f>
        <v>248.88197059077865</v>
      </c>
      <c r="P428" s="16">
        <f t="shared" ref="P428:X428" ca="1" si="267">SUM(O$428,P$432,P$433-O$433)</f>
        <v>251.35879318428604</v>
      </c>
      <c r="Q428" s="16">
        <f t="shared" ca="1" si="267"/>
        <v>253.86807307238067</v>
      </c>
      <c r="R428" s="16">
        <f t="shared" ca="1" si="267"/>
        <v>256.41726550177668</v>
      </c>
      <c r="S428" s="16">
        <f t="shared" ca="1" si="267"/>
        <v>259.00725053048018</v>
      </c>
      <c r="T428" s="16">
        <f t="shared" ca="1" si="267"/>
        <v>261.63884596334356</v>
      </c>
      <c r="U428" s="16">
        <f t="shared" ca="1" si="267"/>
        <v>264.31260659405336</v>
      </c>
      <c r="V428" s="16">
        <f t="shared" ca="1" si="267"/>
        <v>267.02916636822295</v>
      </c>
      <c r="W428" s="16">
        <f t="shared" ca="1" si="267"/>
        <v>269.78915763691987</v>
      </c>
      <c r="X428" s="16">
        <f t="shared" ca="1" si="267"/>
        <v>272.59354003051533</v>
      </c>
    </row>
    <row r="429" spans="1:24" x14ac:dyDescent="0.25">
      <c r="A429" s="9" t="s">
        <v>1070</v>
      </c>
      <c r="D429" s="65">
        <f t="shared" ref="D429:N429" si="268">SUM(D$427:D$428)</f>
        <v>177.625</v>
      </c>
      <c r="E429" s="65">
        <f t="shared" si="268"/>
        <v>186.50199999999998</v>
      </c>
      <c r="F429" s="65">
        <f t="shared" si="268"/>
        <v>213.21600000000001</v>
      </c>
      <c r="G429" s="65">
        <f t="shared" si="268"/>
        <v>249.18200000000002</v>
      </c>
      <c r="H429" s="65">
        <f t="shared" si="268"/>
        <v>267.39</v>
      </c>
      <c r="I429" s="65">
        <f t="shared" si="268"/>
        <v>283.79000000000002</v>
      </c>
      <c r="J429" s="66">
        <f t="shared" si="268"/>
        <v>292.19600000000003</v>
      </c>
      <c r="K429" s="66">
        <f t="shared" si="268"/>
        <v>302.79000000000002</v>
      </c>
      <c r="L429" s="66">
        <f t="shared" si="268"/>
        <v>308.666</v>
      </c>
      <c r="M429" s="66">
        <f t="shared" si="268"/>
        <v>313.24399999999997</v>
      </c>
      <c r="N429" s="66">
        <f t="shared" si="268"/>
        <v>316.17600000000004</v>
      </c>
      <c r="O429" s="67">
        <f t="shared" ref="O429:X429" ca="1" si="269">SUM(O$427:O$428)</f>
        <v>318.65697059077866</v>
      </c>
      <c r="P429" s="67">
        <f t="shared" ca="1" si="269"/>
        <v>321.13379318428605</v>
      </c>
      <c r="Q429" s="67">
        <f t="shared" ca="1" si="269"/>
        <v>323.64307307238067</v>
      </c>
      <c r="R429" s="67">
        <f t="shared" ca="1" si="269"/>
        <v>326.19226550177666</v>
      </c>
      <c r="S429" s="67">
        <f t="shared" ca="1" si="269"/>
        <v>328.78225053048016</v>
      </c>
      <c r="T429" s="67">
        <f t="shared" ca="1" si="269"/>
        <v>331.41384596334353</v>
      </c>
      <c r="U429" s="67">
        <f t="shared" ca="1" si="269"/>
        <v>334.08760659405334</v>
      </c>
      <c r="V429" s="67">
        <f t="shared" ca="1" si="269"/>
        <v>336.80416636822292</v>
      </c>
      <c r="W429" s="67">
        <f t="shared" ca="1" si="269"/>
        <v>339.56415763691984</v>
      </c>
      <c r="X429" s="67">
        <f t="shared" ca="1" si="269"/>
        <v>342.36854003051531</v>
      </c>
    </row>
    <row r="430" spans="1:24" x14ac:dyDescent="0.25">
      <c r="A430" s="11" t="s">
        <v>1067</v>
      </c>
      <c r="D430" s="35">
        <f>D$427-'Fiscal Forecasts'!$C$186</f>
        <v>2.404999999999994</v>
      </c>
      <c r="E430" s="35">
        <f t="shared" ref="E430:J430" si="270">E$427-D$427</f>
        <v>1.4830000000000041</v>
      </c>
      <c r="F430" s="35">
        <f t="shared" si="270"/>
        <v>6.7530000000000001</v>
      </c>
      <c r="G430" s="35">
        <f t="shared" si="270"/>
        <v>4.5989999999999966</v>
      </c>
      <c r="H430" s="35">
        <f t="shared" si="270"/>
        <v>6.5150000000000006</v>
      </c>
      <c r="I430" s="35">
        <f t="shared" si="270"/>
        <v>4.963000000000001</v>
      </c>
      <c r="J430" s="17">
        <f t="shared" si="270"/>
        <v>1.7049999999999983</v>
      </c>
      <c r="K430" s="17">
        <f t="shared" ref="K430" si="271">K$427-J$427</f>
        <v>1.1460000000000008</v>
      </c>
      <c r="L430" s="17">
        <f t="shared" ref="L430" si="272">L$427-K$427</f>
        <v>0.37300000000000466</v>
      </c>
      <c r="M430" s="17">
        <f t="shared" ref="M430" si="273">M$427-L$427</f>
        <v>-0.56400000000000716</v>
      </c>
      <c r="N430" s="17">
        <f t="shared" ref="N430" si="274">N$427-M$427</f>
        <v>-0.88199999999999079</v>
      </c>
      <c r="O430" s="16">
        <f ca="1">IF(O$6=OFFSET(Assumptions!$B$8,0,$C$1),OFFSET(Assumptions!$B$9,0,$C$1),N$430)</f>
        <v>0</v>
      </c>
      <c r="P430" s="16">
        <f ca="1">IF(P$6=OFFSET(Assumptions!$B$8,0,$C$1),OFFSET(Assumptions!$B$9,0,$C$1),O$430)</f>
        <v>0</v>
      </c>
      <c r="Q430" s="16">
        <f ca="1">IF(Q$6=OFFSET(Assumptions!$B$8,0,$C$1),OFFSET(Assumptions!$B$9,0,$C$1),P$430)</f>
        <v>0</v>
      </c>
      <c r="R430" s="16">
        <f ca="1">IF(R$6=OFFSET(Assumptions!$B$8,0,$C$1),OFFSET(Assumptions!$B$9,0,$C$1),Q$430)</f>
        <v>0</v>
      </c>
      <c r="S430" s="16">
        <f ca="1">IF(S$6=OFFSET(Assumptions!$B$8,0,$C$1),OFFSET(Assumptions!$B$9,0,$C$1),R$430)</f>
        <v>0</v>
      </c>
      <c r="T430" s="16">
        <f ca="1">IF(T$6=OFFSET(Assumptions!$B$8,0,$C$1),OFFSET(Assumptions!$B$9,0,$C$1),S$430)</f>
        <v>0</v>
      </c>
      <c r="U430" s="16">
        <f ca="1">IF(U$6=OFFSET(Assumptions!$B$8,0,$C$1),OFFSET(Assumptions!$B$9,0,$C$1),T$430)</f>
        <v>0</v>
      </c>
      <c r="V430" s="16">
        <f ca="1">IF(V$6=OFFSET(Assumptions!$B$8,0,$C$1),OFFSET(Assumptions!$B$9,0,$C$1),U$430)</f>
        <v>0</v>
      </c>
      <c r="W430" s="16">
        <f ca="1">IF(W$6=OFFSET(Assumptions!$B$8,0,$C$1),OFFSET(Assumptions!$B$9,0,$C$1),V$430)</f>
        <v>0</v>
      </c>
      <c r="X430" s="16">
        <f ca="1">IF(X$6=OFFSET(Assumptions!$B$8,0,$C$1),OFFSET(Assumptions!$B$9,0,$C$1),W$430)</f>
        <v>0</v>
      </c>
    </row>
    <row r="431" spans="1:24" x14ac:dyDescent="0.25">
      <c r="A431" s="11" t="s">
        <v>1071</v>
      </c>
      <c r="D431" s="35">
        <f t="shared" ref="D431:N431" si="275">D$215</f>
        <v>1.5009999999999999</v>
      </c>
      <c r="E431" s="35">
        <f t="shared" si="275"/>
        <v>1.675</v>
      </c>
      <c r="F431" s="35">
        <f t="shared" si="275"/>
        <v>1.883</v>
      </c>
      <c r="G431" s="35">
        <f t="shared" si="275"/>
        <v>2.0019999999999998</v>
      </c>
      <c r="H431" s="35">
        <f t="shared" si="275"/>
        <v>2.4</v>
      </c>
      <c r="I431" s="35">
        <f t="shared" si="275"/>
        <v>2.81</v>
      </c>
      <c r="J431" s="17">
        <f t="shared" si="275"/>
        <v>2.7429999999999999</v>
      </c>
      <c r="K431" s="17">
        <f t="shared" si="275"/>
        <v>2.9079999999999999</v>
      </c>
      <c r="L431" s="17">
        <f t="shared" si="275"/>
        <v>2.9940000000000002</v>
      </c>
      <c r="M431" s="17">
        <f t="shared" si="275"/>
        <v>3.069</v>
      </c>
      <c r="N431" s="17">
        <f t="shared" si="275"/>
        <v>3.073</v>
      </c>
      <c r="O431" s="16">
        <f t="shared" ref="O431:X431" si="276">N$431</f>
        <v>3.073</v>
      </c>
      <c r="P431" s="16">
        <f t="shared" si="276"/>
        <v>3.073</v>
      </c>
      <c r="Q431" s="16">
        <f t="shared" si="276"/>
        <v>3.073</v>
      </c>
      <c r="R431" s="16">
        <f t="shared" si="276"/>
        <v>3.073</v>
      </c>
      <c r="S431" s="16">
        <f t="shared" si="276"/>
        <v>3.073</v>
      </c>
      <c r="T431" s="16">
        <f t="shared" si="276"/>
        <v>3.073</v>
      </c>
      <c r="U431" s="16">
        <f t="shared" si="276"/>
        <v>3.073</v>
      </c>
      <c r="V431" s="16">
        <f t="shared" si="276"/>
        <v>3.073</v>
      </c>
      <c r="W431" s="16">
        <f t="shared" si="276"/>
        <v>3.073</v>
      </c>
      <c r="X431" s="16">
        <f t="shared" si="276"/>
        <v>3.073</v>
      </c>
    </row>
    <row r="432" spans="1:24" x14ac:dyDescent="0.25">
      <c r="A432" s="11" t="s">
        <v>1068</v>
      </c>
      <c r="D432" s="35">
        <f t="shared" ref="D432:X432" si="277">D$138-D$292</f>
        <v>0.99300000000000033</v>
      </c>
      <c r="E432" s="35">
        <f t="shared" si="277"/>
        <v>0.64000000000000012</v>
      </c>
      <c r="F432" s="35">
        <f t="shared" si="277"/>
        <v>-1.3499999999999996</v>
      </c>
      <c r="G432" s="35">
        <f t="shared" si="277"/>
        <v>-0.83400000000000007</v>
      </c>
      <c r="H432" s="35">
        <f t="shared" si="277"/>
        <v>-2.4960000000000004</v>
      </c>
      <c r="I432" s="35">
        <f t="shared" si="277"/>
        <v>-1.4139999999999997</v>
      </c>
      <c r="J432" s="17">
        <f t="shared" si="277"/>
        <v>-1.6440000000000001</v>
      </c>
      <c r="K432" s="17">
        <f t="shared" si="277"/>
        <v>-2.6550000000000002</v>
      </c>
      <c r="L432" s="17">
        <f t="shared" si="277"/>
        <v>3.0000000000000249E-2</v>
      </c>
      <c r="M432" s="17">
        <f t="shared" si="277"/>
        <v>0.9350000000000005</v>
      </c>
      <c r="N432" s="17">
        <f t="shared" si="277"/>
        <v>0.9870000000000001</v>
      </c>
      <c r="O432" s="16">
        <f t="shared" ca="1" si="277"/>
        <v>0.98530392411196743</v>
      </c>
      <c r="P432" s="16">
        <f t="shared" ca="1" si="277"/>
        <v>0.98115592684073771</v>
      </c>
      <c r="Q432" s="16">
        <f t="shared" ca="1" si="277"/>
        <v>1.0136132214279483</v>
      </c>
      <c r="R432" s="16">
        <f t="shared" ca="1" si="277"/>
        <v>1.0535257627293655</v>
      </c>
      <c r="S432" s="16">
        <f t="shared" ca="1" si="277"/>
        <v>1.0943183620368719</v>
      </c>
      <c r="T432" s="16">
        <f t="shared" ca="1" si="277"/>
        <v>1.1359287661966766</v>
      </c>
      <c r="U432" s="16">
        <f t="shared" ca="1" si="277"/>
        <v>1.1780939640431569</v>
      </c>
      <c r="V432" s="16">
        <f t="shared" ca="1" si="277"/>
        <v>1.2208931075028984</v>
      </c>
      <c r="W432" s="16">
        <f t="shared" ca="1" si="277"/>
        <v>1.2643246020302064</v>
      </c>
      <c r="X432" s="16">
        <f t="shared" ca="1" si="277"/>
        <v>1.3087157269287957</v>
      </c>
    </row>
    <row r="433" spans="1:24" x14ac:dyDescent="0.25">
      <c r="A433" s="11" t="s">
        <v>1069</v>
      </c>
      <c r="B433" s="10" t="str">
        <f t="shared" ref="B433:B434" si="278">$B$38</f>
        <v>From Fiscal Forecasts</v>
      </c>
      <c r="D433" s="35">
        <f>'Fiscal Forecasts'!D$336</f>
        <v>40.21</v>
      </c>
      <c r="E433" s="35">
        <f>'Fiscal Forecasts'!E$336</f>
        <v>39.828000000000003</v>
      </c>
      <c r="F433" s="35">
        <f>'Fiscal Forecasts'!F$336</f>
        <v>41.613999999999997</v>
      </c>
      <c r="G433" s="35">
        <f>'Fiscal Forecasts'!G$336</f>
        <v>47.475999999999999</v>
      </c>
      <c r="H433" s="35">
        <f>'Fiscal Forecasts'!H$336</f>
        <v>53.314</v>
      </c>
      <c r="I433" s="35">
        <f>'Fiscal Forecasts'!I$336</f>
        <v>57.723999999999997</v>
      </c>
      <c r="J433" s="17">
        <f>'Fiscal Forecasts'!J$336</f>
        <v>59.405999999999999</v>
      </c>
      <c r="K433" s="17">
        <f>'Fiscal Forecasts'!K$336</f>
        <v>63.405999999999999</v>
      </c>
      <c r="L433" s="17">
        <f>'Fiscal Forecasts'!L$336</f>
        <v>65.626999999999995</v>
      </c>
      <c r="M433" s="17">
        <f>'Fiscal Forecasts'!M$336</f>
        <v>67.17</v>
      </c>
      <c r="N433" s="17">
        <f>'Fiscal Forecasts'!N$336</f>
        <v>67.893000000000001</v>
      </c>
      <c r="O433" s="16">
        <f ca="1">N$433+IF(O$6=OFFSET(Assumptions!$B$8,0,$C$1),AVERAGE(L$433-K$433,M$433-L$433,N$433-M$433),N$433-M$433)</f>
        <v>69.388666666666666</v>
      </c>
      <c r="P433" s="16">
        <f ca="1">O$433+IF(P$6=OFFSET(Assumptions!$B$8,0,$C$1),AVERAGE(M$433-L$433,N$433-M$433,O$433-N$433),O$433-N$433)</f>
        <v>70.884333333333331</v>
      </c>
      <c r="Q433" s="16">
        <f ca="1">P$433+IF(Q$6=OFFSET(Assumptions!$B$8,0,$C$1),AVERAGE(N$433-M$433,O$433-N$433,P$433-O$433),P$433-O$433)</f>
        <v>72.38</v>
      </c>
      <c r="R433" s="16">
        <f ca="1">Q$433+IF(R$6=OFFSET(Assumptions!$B$8,0,$C$1),AVERAGE(O$433-N$433,P$433-O$433,Q$433-P$433),Q$433-P$433)</f>
        <v>73.87566666666666</v>
      </c>
      <c r="S433" s="16">
        <f ca="1">R$433+IF(S$6=OFFSET(Assumptions!$B$8,0,$C$1),AVERAGE(P$433-O$433,Q$433-P$433,R$433-Q$433),R$433-Q$433)</f>
        <v>75.371333333333325</v>
      </c>
      <c r="T433" s="16">
        <f ca="1">S$433+IF(T$6=OFFSET(Assumptions!$B$8,0,$C$1),AVERAGE(Q$433-P$433,R$433-Q$433,S$433-R$433),S$433-R$433)</f>
        <v>76.86699999999999</v>
      </c>
      <c r="U433" s="16">
        <f ca="1">T$433+IF(U$6=OFFSET(Assumptions!$B$8,0,$C$1),AVERAGE(R$433-Q$433,S$433-R$433,T$433-S$433),T$433-S$433)</f>
        <v>78.362666666666655</v>
      </c>
      <c r="V433" s="16">
        <f ca="1">U$433+IF(V$6=OFFSET(Assumptions!$B$8,0,$C$1),AVERAGE(S$433-R$433,T$433-S$433,U$433-T$433),U$433-T$433)</f>
        <v>79.85833333333332</v>
      </c>
      <c r="W433" s="16">
        <f ca="1">V$433+IF(W$6=OFFSET(Assumptions!$B$8,0,$C$1),AVERAGE(T$433-S$433,U$433-T$433,V$433-U$433),V$433-U$433)</f>
        <v>81.353999999999985</v>
      </c>
      <c r="X433" s="16">
        <f ca="1">W$433+IF(X$6=OFFSET(Assumptions!$B$8,0,$C$1),AVERAGE(U$433-T$433,V$433-U$433,W$433-V$433),W$433-V$433)</f>
        <v>82.84966666666665</v>
      </c>
    </row>
    <row r="434" spans="1:24" x14ac:dyDescent="0.25">
      <c r="A434" s="11" t="s">
        <v>1072</v>
      </c>
      <c r="B434" s="10" t="str">
        <f t="shared" si="278"/>
        <v>From Fiscal Forecasts</v>
      </c>
      <c r="D434" s="35">
        <f>'Fiscal Forecasts'!D$348-D$431</f>
        <v>3.0530000000000004</v>
      </c>
      <c r="E434" s="35">
        <f>'Fiscal Forecasts'!E$348-E$431</f>
        <v>3.6189999999999998</v>
      </c>
      <c r="F434" s="35">
        <f>'Fiscal Forecasts'!F$348-F$431</f>
        <v>3.6829999999999998</v>
      </c>
      <c r="G434" s="35">
        <f>'Fiscal Forecasts'!G$348-G$431</f>
        <v>4.1500000000000004</v>
      </c>
      <c r="H434" s="35">
        <f>'Fiscal Forecasts'!H$348-H$431</f>
        <v>4.2010000000000005</v>
      </c>
      <c r="I434" s="35">
        <f>'Fiscal Forecasts'!I$348-I$431</f>
        <v>4.8109999999999999</v>
      </c>
      <c r="J434" s="17">
        <f>'Fiscal Forecasts'!J$348-J$431</f>
        <v>5.3170000000000002</v>
      </c>
      <c r="K434" s="17">
        <f>'Fiscal Forecasts'!K$348-K$431</f>
        <v>5.516</v>
      </c>
      <c r="L434" s="17">
        <f>'Fiscal Forecasts'!L$348-L$431</f>
        <v>5.7230000000000008</v>
      </c>
      <c r="M434" s="17">
        <f>'Fiscal Forecasts'!M$348-M$431</f>
        <v>5.9950000000000001</v>
      </c>
      <c r="N434" s="17">
        <f>'Fiscal Forecasts'!N$348-N$431</f>
        <v>6.1319999999999997</v>
      </c>
      <c r="O434" s="16">
        <f t="shared" ref="O434:X434" ca="1" si="279">SUM(O$216:O$217)</f>
        <v>6.1607767255345767</v>
      </c>
      <c r="P434" s="16">
        <f t="shared" ca="1" si="279"/>
        <v>6.1895053385363266</v>
      </c>
      <c r="Q434" s="16">
        <f t="shared" ca="1" si="279"/>
        <v>6.2186104230131534</v>
      </c>
      <c r="R434" s="16">
        <f t="shared" ca="1" si="279"/>
        <v>6.2481784522143897</v>
      </c>
      <c r="S434" s="16">
        <f t="shared" ca="1" si="279"/>
        <v>6.2782196339142793</v>
      </c>
      <c r="T434" s="16">
        <f t="shared" ca="1" si="279"/>
        <v>6.308743453814051</v>
      </c>
      <c r="U434" s="16">
        <f t="shared" ca="1" si="279"/>
        <v>6.3397563469539673</v>
      </c>
      <c r="V434" s="16">
        <f t="shared" ca="1" si="279"/>
        <v>6.3712656664558232</v>
      </c>
      <c r="W434" s="16">
        <f t="shared" ca="1" si="279"/>
        <v>6.4032787469463068</v>
      </c>
      <c r="X434" s="16">
        <f t="shared" ca="1" si="279"/>
        <v>6.4358067191578474</v>
      </c>
    </row>
    <row r="436" spans="1:24" x14ac:dyDescent="0.25">
      <c r="A436" s="9" t="s">
        <v>627</v>
      </c>
    </row>
    <row r="437" spans="1:24" x14ac:dyDescent="0.25">
      <c r="A437" s="9" t="s">
        <v>1074</v>
      </c>
      <c r="B437" s="10" t="str">
        <f t="shared" ref="B437:B438" si="280">$B$38</f>
        <v>From Fiscal Forecasts</v>
      </c>
      <c r="C437" s="64" cm="1">
        <f t="array" aca="1" ref="C437" ca="1">SUMPRODUCT(OFFSET($N$437,0,0,1,-OFFSET(Assumptions!$B$59,0,$C$1))/OFFSET($N$13,0,0,1,-OFFSET(Assumptions!$B$59,0,$C$1)))/OFFSET(Assumptions!$B$59,0,$C$1)</f>
        <v>0.17001946418798214</v>
      </c>
      <c r="D437" s="42">
        <f>'Fiscal Forecasts'!D$187</f>
        <v>46.601999999999997</v>
      </c>
      <c r="E437" s="42">
        <f>'Fiscal Forecasts'!E$187</f>
        <v>49.604999999999997</v>
      </c>
      <c r="F437" s="42">
        <f>'Fiscal Forecasts'!F$187</f>
        <v>53.877000000000002</v>
      </c>
      <c r="G437" s="42">
        <f>'Fiscal Forecasts'!G$187</f>
        <v>57.801000000000002</v>
      </c>
      <c r="H437" s="42">
        <f>'Fiscal Forecasts'!H$187</f>
        <v>64.816999999999993</v>
      </c>
      <c r="I437" s="42">
        <f>'Fiscal Forecasts'!I$187</f>
        <v>69.174000000000007</v>
      </c>
      <c r="J437" s="43">
        <f>'Fiscal Forecasts'!J$187</f>
        <v>76.697999999999993</v>
      </c>
      <c r="K437" s="43">
        <f>'Fiscal Forecasts'!K$187</f>
        <v>82.582999999999998</v>
      </c>
      <c r="L437" s="43">
        <f>'Fiscal Forecasts'!L$187</f>
        <v>87.412000000000006</v>
      </c>
      <c r="M437" s="43">
        <f>'Fiscal Forecasts'!M$187</f>
        <v>91.539000000000001</v>
      </c>
      <c r="N437" s="43">
        <f>'Fiscal Forecasts'!N$187</f>
        <v>94.503</v>
      </c>
      <c r="O437" s="47">
        <f ca="1">SUM(N$437,O$138-O$292)</f>
        <v>95.48830392411196</v>
      </c>
      <c r="P437" s="47">
        <f t="shared" ref="P437:X437" ca="1" si="281">SUM(O$437,P$138-P$292)</f>
        <v>96.469459850952703</v>
      </c>
      <c r="Q437" s="47">
        <f t="shared" ca="1" si="281"/>
        <v>97.483073072380648</v>
      </c>
      <c r="R437" s="47">
        <f t="shared" ca="1" si="281"/>
        <v>98.536598835110013</v>
      </c>
      <c r="S437" s="47">
        <f t="shared" ca="1" si="281"/>
        <v>99.630917197146886</v>
      </c>
      <c r="T437" s="47">
        <f t="shared" ca="1" si="281"/>
        <v>100.76684596334356</v>
      </c>
      <c r="U437" s="47">
        <f t="shared" ca="1" si="281"/>
        <v>101.94493992738671</v>
      </c>
      <c r="V437" s="47">
        <f t="shared" ca="1" si="281"/>
        <v>103.16583303488962</v>
      </c>
      <c r="W437" s="47">
        <f t="shared" ca="1" si="281"/>
        <v>104.43015763691982</v>
      </c>
      <c r="X437" s="47">
        <f t="shared" ca="1" si="281"/>
        <v>105.73887336384861</v>
      </c>
    </row>
    <row r="438" spans="1:24" x14ac:dyDescent="0.25">
      <c r="A438" s="9" t="s">
        <v>1075</v>
      </c>
      <c r="B438" s="10" t="str">
        <f t="shared" si="280"/>
        <v>From Fiscal Forecasts</v>
      </c>
      <c r="D438" s="42">
        <f>'Fiscal Forecasts'!D$129</f>
        <v>14.65</v>
      </c>
      <c r="E438" s="42">
        <f>'Fiscal Forecasts'!E$129</f>
        <v>14.308</v>
      </c>
      <c r="F438" s="42">
        <f>'Fiscal Forecasts'!F$129</f>
        <v>14.420999999999999</v>
      </c>
      <c r="G438" s="42">
        <f>'Fiscal Forecasts'!G$129</f>
        <v>16.247</v>
      </c>
      <c r="H438" s="42">
        <f>'Fiscal Forecasts'!H$129</f>
        <v>17.033999999999999</v>
      </c>
      <c r="I438" s="42">
        <f>'Fiscal Forecasts'!I$129</f>
        <v>17.951000000000001</v>
      </c>
      <c r="J438" s="43">
        <f>'Fiscal Forecasts'!J$129</f>
        <v>18.553000000000001</v>
      </c>
      <c r="K438" s="43">
        <f>'Fiscal Forecasts'!K$129</f>
        <v>16.738</v>
      </c>
      <c r="L438" s="43">
        <f>'Fiscal Forecasts'!L$129</f>
        <v>17.015000000000001</v>
      </c>
      <c r="M438" s="43">
        <f>'Fiscal Forecasts'!M$129</f>
        <v>17.399000000000001</v>
      </c>
      <c r="N438" s="43">
        <f>'Fiscal Forecasts'!N$129</f>
        <v>17.648</v>
      </c>
      <c r="O438" s="47">
        <f ca="1">N$438*(1+O$29)</f>
        <v>18.000959999999999</v>
      </c>
      <c r="P438" s="47">
        <f t="shared" ref="P438:X438" ca="1" si="282">O$438*(1+P$29)</f>
        <v>18.360979199999999</v>
      </c>
      <c r="Q438" s="47">
        <f t="shared" ca="1" si="282"/>
        <v>18.728198784</v>
      </c>
      <c r="R438" s="47">
        <f t="shared" ca="1" si="282"/>
        <v>19.102762759680001</v>
      </c>
      <c r="S438" s="47">
        <f t="shared" ca="1" si="282"/>
        <v>19.4848180148736</v>
      </c>
      <c r="T438" s="47">
        <f t="shared" ca="1" si="282"/>
        <v>19.874514375171071</v>
      </c>
      <c r="U438" s="47">
        <f t="shared" ca="1" si="282"/>
        <v>20.272004662674494</v>
      </c>
      <c r="V438" s="47">
        <f t="shared" ca="1" si="282"/>
        <v>20.677444755927983</v>
      </c>
      <c r="W438" s="47">
        <f t="shared" ca="1" si="282"/>
        <v>21.090993651046542</v>
      </c>
      <c r="X438" s="47">
        <f t="shared" ca="1" si="282"/>
        <v>21.512813524067472</v>
      </c>
    </row>
    <row r="440" spans="1:24" x14ac:dyDescent="0.25">
      <c r="A440" s="9" t="s">
        <v>628</v>
      </c>
    </row>
    <row r="441" spans="1:24" x14ac:dyDescent="0.25">
      <c r="A441" s="9" t="s">
        <v>1107</v>
      </c>
      <c r="B441" s="10" t="str">
        <f t="shared" ref="B441:B443" si="283">$B$38</f>
        <v>From Fiscal Forecasts</v>
      </c>
      <c r="D441" s="42">
        <f>'Fiscal Forecasts'!D$188</f>
        <v>1.681</v>
      </c>
      <c r="E441" s="42">
        <f>'Fiscal Forecasts'!E$188</f>
        <v>1.57</v>
      </c>
      <c r="F441" s="42">
        <f>'Fiscal Forecasts'!F$188</f>
        <v>1.637</v>
      </c>
      <c r="G441" s="42">
        <f>'Fiscal Forecasts'!G$188</f>
        <v>1.4650000000000001</v>
      </c>
      <c r="H441" s="42">
        <f>'Fiscal Forecasts'!H$188</f>
        <v>1.583</v>
      </c>
      <c r="I441" s="42">
        <f>'Fiscal Forecasts'!I$188</f>
        <v>1.577</v>
      </c>
      <c r="J441" s="43">
        <f>'Fiscal Forecasts'!J$188</f>
        <v>1.7330000000000001</v>
      </c>
      <c r="K441" s="43">
        <f>'Fiscal Forecasts'!K$188</f>
        <v>1.764</v>
      </c>
      <c r="L441" s="43">
        <f>'Fiscal Forecasts'!L$188</f>
        <v>1.72</v>
      </c>
      <c r="M441" s="43">
        <f>'Fiscal Forecasts'!M$188</f>
        <v>1.665</v>
      </c>
      <c r="N441" s="43">
        <f>'Fiscal Forecasts'!N$188</f>
        <v>1.607</v>
      </c>
      <c r="O441" s="47">
        <f t="shared" ref="O441:X441" si="284">N$441</f>
        <v>1.607</v>
      </c>
      <c r="P441" s="47">
        <f t="shared" si="284"/>
        <v>1.607</v>
      </c>
      <c r="Q441" s="47">
        <f t="shared" si="284"/>
        <v>1.607</v>
      </c>
      <c r="R441" s="47">
        <f t="shared" si="284"/>
        <v>1.607</v>
      </c>
      <c r="S441" s="47">
        <f t="shared" si="284"/>
        <v>1.607</v>
      </c>
      <c r="T441" s="47">
        <f t="shared" si="284"/>
        <v>1.607</v>
      </c>
      <c r="U441" s="47">
        <f t="shared" si="284"/>
        <v>1.607</v>
      </c>
      <c r="V441" s="47">
        <f t="shared" si="284"/>
        <v>1.607</v>
      </c>
      <c r="W441" s="47">
        <f t="shared" si="284"/>
        <v>1.607</v>
      </c>
      <c r="X441" s="47">
        <f t="shared" si="284"/>
        <v>1.607</v>
      </c>
    </row>
    <row r="442" spans="1:24" x14ac:dyDescent="0.25">
      <c r="A442" s="11" t="s">
        <v>707</v>
      </c>
      <c r="B442" s="10" t="str">
        <f t="shared" si="283"/>
        <v>From Fiscal Forecasts</v>
      </c>
      <c r="D442" s="35">
        <f>'Fiscal Forecasts'!D$353</f>
        <v>0.69299999999999995</v>
      </c>
      <c r="E442" s="35">
        <f>'Fiscal Forecasts'!E$353</f>
        <v>0.81599999999999995</v>
      </c>
      <c r="F442" s="35">
        <f>'Fiscal Forecasts'!F$353</f>
        <v>0.83299999999999996</v>
      </c>
      <c r="G442" s="35">
        <f>'Fiscal Forecasts'!G$353</f>
        <v>0.72799999999999998</v>
      </c>
      <c r="H442" s="35">
        <f>'Fiscal Forecasts'!H$353</f>
        <v>0.98099999999999998</v>
      </c>
      <c r="I442" s="35">
        <f>'Fiscal Forecasts'!I$353</f>
        <v>1.008</v>
      </c>
      <c r="J442" s="17">
        <f>'Fiscal Forecasts'!J$353</f>
        <v>0.98899999999999999</v>
      </c>
      <c r="K442" s="17">
        <f>'Fiscal Forecasts'!K$353</f>
        <v>1.0009999999999999</v>
      </c>
      <c r="L442" s="17">
        <f>'Fiscal Forecasts'!L$353</f>
        <v>0.98899999999999999</v>
      </c>
      <c r="M442" s="17">
        <f>'Fiscal Forecasts'!M$353</f>
        <v>0.98199999999999998</v>
      </c>
      <c r="N442" s="17">
        <f>'Fiscal Forecasts'!N$353</f>
        <v>0.98699999999999999</v>
      </c>
      <c r="O442" s="16">
        <f t="shared" ref="O442:X442" ca="1" si="285">N$442*(1+O$29)</f>
        <v>1.00674</v>
      </c>
      <c r="P442" s="16">
        <f t="shared" ca="1" si="285"/>
        <v>1.0268748000000001</v>
      </c>
      <c r="Q442" s="16">
        <f t="shared" ca="1" si="285"/>
        <v>1.0474122960000001</v>
      </c>
      <c r="R442" s="16">
        <f t="shared" ca="1" si="285"/>
        <v>1.0683605419200002</v>
      </c>
      <c r="S442" s="16">
        <f t="shared" ca="1" si="285"/>
        <v>1.0897277527584002</v>
      </c>
      <c r="T442" s="16">
        <f t="shared" ca="1" si="285"/>
        <v>1.1115223078135681</v>
      </c>
      <c r="U442" s="16">
        <f t="shared" ca="1" si="285"/>
        <v>1.1337527539698395</v>
      </c>
      <c r="V442" s="16">
        <f t="shared" ca="1" si="285"/>
        <v>1.1564278090492364</v>
      </c>
      <c r="W442" s="16">
        <f t="shared" ca="1" si="285"/>
        <v>1.179556365230221</v>
      </c>
      <c r="X442" s="16">
        <f t="shared" ca="1" si="285"/>
        <v>1.2031474925348253</v>
      </c>
    </row>
    <row r="443" spans="1:24" x14ac:dyDescent="0.25">
      <c r="A443" s="11" t="s">
        <v>1078</v>
      </c>
      <c r="B443" s="10" t="str">
        <f t="shared" si="283"/>
        <v>From Fiscal Forecasts</v>
      </c>
      <c r="D443" s="35">
        <f>SUM('Fiscal Forecasts'!D$354:D$355)</f>
        <v>1.5369999999999999</v>
      </c>
      <c r="E443" s="35">
        <f>SUM('Fiscal Forecasts'!E$354:E$355)</f>
        <v>1.506</v>
      </c>
      <c r="F443" s="35">
        <f>SUM('Fiscal Forecasts'!F$354:F$355)</f>
        <v>1.131</v>
      </c>
      <c r="G443" s="35">
        <f>SUM('Fiscal Forecasts'!G$354:G$355)</f>
        <v>1.504</v>
      </c>
      <c r="H443" s="35">
        <f>SUM('Fiscal Forecasts'!H$354:H$355)</f>
        <v>1.3439999999999999</v>
      </c>
      <c r="I443" s="35">
        <f>SUM('Fiscal Forecasts'!I$354:I$355)</f>
        <v>1.4989999999999999</v>
      </c>
      <c r="J443" s="17">
        <f>SUM('Fiscal Forecasts'!J$354:J$355)</f>
        <v>1.4809999999999999</v>
      </c>
      <c r="K443" s="17">
        <f>SUM('Fiscal Forecasts'!K$354:K$355)</f>
        <v>1.4259999999999999</v>
      </c>
      <c r="L443" s="17">
        <f>SUM('Fiscal Forecasts'!L$354:L$355)</f>
        <v>1.407</v>
      </c>
      <c r="M443" s="17">
        <f>SUM('Fiscal Forecasts'!M$354:M$355)</f>
        <v>1.399</v>
      </c>
      <c r="N443" s="17">
        <f>SUM('Fiscal Forecasts'!N$354:N$355)</f>
        <v>1.4129999999999998</v>
      </c>
      <c r="O443" s="16">
        <f t="shared" ref="O443:X443" ca="1" si="286">N$443*(1+O$29)</f>
        <v>1.4412599999999998</v>
      </c>
      <c r="P443" s="16">
        <f t="shared" ca="1" si="286"/>
        <v>1.4700851999999998</v>
      </c>
      <c r="Q443" s="16">
        <f t="shared" ca="1" si="286"/>
        <v>1.4994869039999998</v>
      </c>
      <c r="R443" s="16">
        <f t="shared" ca="1" si="286"/>
        <v>1.5294766420799999</v>
      </c>
      <c r="S443" s="16">
        <f t="shared" ca="1" si="286"/>
        <v>1.5600661749215998</v>
      </c>
      <c r="T443" s="16">
        <f t="shared" ca="1" si="286"/>
        <v>1.5912674984200319</v>
      </c>
      <c r="U443" s="16">
        <f t="shared" ca="1" si="286"/>
        <v>1.6230928483884326</v>
      </c>
      <c r="V443" s="16">
        <f t="shared" ca="1" si="286"/>
        <v>1.6555547053562012</v>
      </c>
      <c r="W443" s="16">
        <f t="shared" ca="1" si="286"/>
        <v>1.6886657994633252</v>
      </c>
      <c r="X443" s="16">
        <f t="shared" ca="1" si="286"/>
        <v>1.7224391154525918</v>
      </c>
    </row>
    <row r="444" spans="1:24" x14ac:dyDescent="0.25">
      <c r="A444" s="9" t="s">
        <v>1077</v>
      </c>
      <c r="D444" s="65">
        <f t="shared" ref="D444:X444" si="287">SUM(D$441:D$443)</f>
        <v>3.911</v>
      </c>
      <c r="E444" s="65">
        <f t="shared" si="287"/>
        <v>3.8920000000000003</v>
      </c>
      <c r="F444" s="65">
        <f t="shared" si="287"/>
        <v>3.601</v>
      </c>
      <c r="G444" s="65">
        <f t="shared" si="287"/>
        <v>3.6970000000000001</v>
      </c>
      <c r="H444" s="65">
        <f t="shared" si="287"/>
        <v>3.9079999999999999</v>
      </c>
      <c r="I444" s="65">
        <f t="shared" si="287"/>
        <v>4.0839999999999996</v>
      </c>
      <c r="J444" s="66">
        <f t="shared" si="287"/>
        <v>4.2029999999999994</v>
      </c>
      <c r="K444" s="66">
        <f t="shared" si="287"/>
        <v>4.1909999999999998</v>
      </c>
      <c r="L444" s="66">
        <f t="shared" si="287"/>
        <v>4.1159999999999997</v>
      </c>
      <c r="M444" s="66">
        <f t="shared" si="287"/>
        <v>4.0460000000000003</v>
      </c>
      <c r="N444" s="66">
        <f t="shared" si="287"/>
        <v>4.0069999999999997</v>
      </c>
      <c r="O444" s="67">
        <f t="shared" ca="1" si="287"/>
        <v>4.0549999999999997</v>
      </c>
      <c r="P444" s="67">
        <f t="shared" ca="1" si="287"/>
        <v>4.1039599999999998</v>
      </c>
      <c r="Q444" s="67">
        <f t="shared" ca="1" si="287"/>
        <v>4.1538991999999997</v>
      </c>
      <c r="R444" s="67">
        <f t="shared" ca="1" si="287"/>
        <v>4.2048371839999996</v>
      </c>
      <c r="S444" s="67">
        <f t="shared" ca="1" si="287"/>
        <v>4.2567939276800004</v>
      </c>
      <c r="T444" s="67">
        <f t="shared" ca="1" si="287"/>
        <v>4.3097898062336002</v>
      </c>
      <c r="U444" s="67">
        <f t="shared" ca="1" si="287"/>
        <v>4.3638456023582721</v>
      </c>
      <c r="V444" s="67">
        <f t="shared" ca="1" si="287"/>
        <v>4.418982514405438</v>
      </c>
      <c r="W444" s="67">
        <f t="shared" ca="1" si="287"/>
        <v>4.4752221646935464</v>
      </c>
      <c r="X444" s="67">
        <f t="shared" ca="1" si="287"/>
        <v>4.5325866079874171</v>
      </c>
    </row>
    <row r="446" spans="1:24" x14ac:dyDescent="0.25">
      <c r="A446" s="9" t="s">
        <v>1079</v>
      </c>
    </row>
    <row r="447" spans="1:24" x14ac:dyDescent="0.25">
      <c r="A447" s="11" t="s">
        <v>742</v>
      </c>
      <c r="B447" s="10" t="str">
        <f t="shared" ref="B447:B451" si="288">$B$38</f>
        <v>From Fiscal Forecasts</v>
      </c>
      <c r="D447" s="35">
        <f>'Fiscal Forecasts'!D$293</f>
        <v>0</v>
      </c>
      <c r="E447" s="35">
        <f>'Fiscal Forecasts'!E$293</f>
        <v>0</v>
      </c>
      <c r="F447" s="35">
        <f>'Fiscal Forecasts'!F$293</f>
        <v>0</v>
      </c>
      <c r="G447" s="35">
        <f>'Fiscal Forecasts'!G$293</f>
        <v>0</v>
      </c>
      <c r="H447" s="35">
        <f>'Fiscal Forecasts'!H$293</f>
        <v>0</v>
      </c>
      <c r="I447" s="35">
        <f>'Fiscal Forecasts'!I$293</f>
        <v>0</v>
      </c>
      <c r="J447" s="17">
        <f>'Fiscal Forecasts'!J$293</f>
        <v>0</v>
      </c>
      <c r="K447" s="17">
        <f>'Fiscal Forecasts'!K$293</f>
        <v>2.56</v>
      </c>
      <c r="L447" s="17">
        <f>'Fiscal Forecasts'!L$293</f>
        <v>2.4780000000000002</v>
      </c>
      <c r="M447" s="17">
        <f>'Fiscal Forecasts'!M$293</f>
        <v>1.5880000000000001</v>
      </c>
      <c r="N447" s="17">
        <f>'Fiscal Forecasts'!N$293</f>
        <v>1.2010000000000001</v>
      </c>
      <c r="O447" s="16">
        <f ca="1">IF(O$6=OFFSET(Assumptions!$B$8,0,$C$1),OFFSET(Assumptions!$B$9,0,$C$1),N$447)</f>
        <v>0</v>
      </c>
      <c r="P447" s="16">
        <f ca="1">IF(P$6=OFFSET(Assumptions!$B$8,0,$C$1),OFFSET(Assumptions!$B$9,0,$C$1),O$447)</f>
        <v>0</v>
      </c>
      <c r="Q447" s="16">
        <f ca="1">IF(Q$6=OFFSET(Assumptions!$B$8,0,$C$1),OFFSET(Assumptions!$B$9,0,$C$1),P$447)</f>
        <v>0</v>
      </c>
      <c r="R447" s="16">
        <f ca="1">IF(R$6=OFFSET(Assumptions!$B$8,0,$C$1),OFFSET(Assumptions!$B$9,0,$C$1),Q$447)</f>
        <v>0</v>
      </c>
      <c r="S447" s="16">
        <f ca="1">IF(S$6=OFFSET(Assumptions!$B$8,0,$C$1),OFFSET(Assumptions!$B$9,0,$C$1),R$447)</f>
        <v>0</v>
      </c>
      <c r="T447" s="16">
        <f ca="1">IF(T$6=OFFSET(Assumptions!$B$8,0,$C$1),OFFSET(Assumptions!$B$9,0,$C$1),S$447)</f>
        <v>0</v>
      </c>
      <c r="U447" s="16">
        <f ca="1">IF(U$6=OFFSET(Assumptions!$B$8,0,$C$1),OFFSET(Assumptions!$B$9,0,$C$1),T$447)</f>
        <v>0</v>
      </c>
      <c r="V447" s="16">
        <f ca="1">IF(V$6=OFFSET(Assumptions!$B$8,0,$C$1),OFFSET(Assumptions!$B$9,0,$C$1),U$447)</f>
        <v>0</v>
      </c>
      <c r="W447" s="16">
        <f ca="1">IF(W$6=OFFSET(Assumptions!$B$8,0,$C$1),OFFSET(Assumptions!$B$9,0,$C$1),V$447)</f>
        <v>0</v>
      </c>
      <c r="X447" s="16">
        <f ca="1">IF(X$6=OFFSET(Assumptions!$B$8,0,$C$1),OFFSET(Assumptions!$B$9,0,$C$1),W$447)</f>
        <v>0</v>
      </c>
    </row>
    <row r="448" spans="1:24" x14ac:dyDescent="0.25">
      <c r="A448" s="11" t="s">
        <v>1080</v>
      </c>
      <c r="B448" s="10" t="str">
        <f t="shared" si="288"/>
        <v>From Fiscal Forecasts</v>
      </c>
      <c r="D448" s="35">
        <f>SUM('Fiscal Forecasts'!D$294:D$297)</f>
        <v>0</v>
      </c>
      <c r="E448" s="35">
        <f>SUM('Fiscal Forecasts'!E$294:E$297)</f>
        <v>0</v>
      </c>
      <c r="F448" s="35">
        <f>SUM('Fiscal Forecasts'!F$294:F$297)</f>
        <v>0</v>
      </c>
      <c r="G448" s="35">
        <f>SUM('Fiscal Forecasts'!G$294:G$297)</f>
        <v>0</v>
      </c>
      <c r="H448" s="35">
        <f>SUM('Fiscal Forecasts'!H$294:H$297)</f>
        <v>0</v>
      </c>
      <c r="I448" s="35">
        <f>SUM('Fiscal Forecasts'!I$294:I$297)</f>
        <v>0</v>
      </c>
      <c r="J448" s="17">
        <f>SUM('Fiscal Forecasts'!J$294:J$297)+IF($C$2="Yes",'Fiscal Forecast Adjuster'!C$30/1000,0)</f>
        <v>0</v>
      </c>
      <c r="K448" s="17">
        <f>SUM('Fiscal Forecasts'!K$294:K$297)+IF($C$2="Yes",'Fiscal Forecast Adjuster'!D$30/1000,0)</f>
        <v>0</v>
      </c>
      <c r="L448" s="17">
        <f>SUM('Fiscal Forecasts'!L$294:L$297)+IF($C$2="Yes",'Fiscal Forecast Adjuster'!E$30/1000,0)</f>
        <v>0.66400000000000003</v>
      </c>
      <c r="M448" s="17">
        <f>SUM('Fiscal Forecasts'!M$294:M$297)+IF($C$2="Yes",'Fiscal Forecast Adjuster'!F$30/1000,0)</f>
        <v>1.8890000000000002</v>
      </c>
      <c r="N448" s="17">
        <f>SUM('Fiscal Forecasts'!N$294:N$297)+IF($C$2="Yes",'Fiscal Forecast Adjuster'!G$30/1000,0)</f>
        <v>2.83</v>
      </c>
      <c r="O448" s="16">
        <f ca="1">IF(O$6=OFFSET(Assumptions!$B$8,0,$C$1),OFFSET(Assumptions!$B$43,0,$C$1),N$448*(1+OFFSET(Assumptions!$B$44,0,$C$1)))</f>
        <v>3.625</v>
      </c>
      <c r="P448" s="16">
        <f ca="1">IF(P$6=OFFSET(Assumptions!$B$8,0,$C$1),OFFSET(Assumptions!$B$43,0,$C$1),O$448*(1+OFFSET(Assumptions!$B$44,0,$C$1)))</f>
        <v>3.7337500000000001</v>
      </c>
      <c r="Q448" s="16">
        <f ca="1">IF(Q$6=OFFSET(Assumptions!$B$8,0,$C$1),OFFSET(Assumptions!$B$43,0,$C$1),P$448*(1+OFFSET(Assumptions!$B$44,0,$C$1)))</f>
        <v>3.8457625000000002</v>
      </c>
      <c r="R448" s="16">
        <f ca="1">IF(R$6=OFFSET(Assumptions!$B$8,0,$C$1),OFFSET(Assumptions!$B$43,0,$C$1),Q$448*(1+OFFSET(Assumptions!$B$44,0,$C$1)))</f>
        <v>3.9611353750000005</v>
      </c>
      <c r="S448" s="16">
        <f ca="1">IF(S$6=OFFSET(Assumptions!$B$8,0,$C$1),OFFSET(Assumptions!$B$43,0,$C$1),R$448*(1+OFFSET(Assumptions!$B$44,0,$C$1)))</f>
        <v>4.0799694362500007</v>
      </c>
      <c r="T448" s="16">
        <f ca="1">IF(T$6=OFFSET(Assumptions!$B$8,0,$C$1),OFFSET(Assumptions!$B$43,0,$C$1),S$448*(1+OFFSET(Assumptions!$B$44,0,$C$1)))</f>
        <v>4.2023685193375009</v>
      </c>
      <c r="U448" s="16">
        <f ca="1">IF(U$6=OFFSET(Assumptions!$B$8,0,$C$1),OFFSET(Assumptions!$B$43,0,$C$1),T$448*(1+OFFSET(Assumptions!$B$44,0,$C$1)))</f>
        <v>4.3284395749176259</v>
      </c>
      <c r="V448" s="16">
        <f ca="1">IF(V$6=OFFSET(Assumptions!$B$8,0,$C$1),OFFSET(Assumptions!$B$43,0,$C$1),U$448*(1+OFFSET(Assumptions!$B$44,0,$C$1)))</f>
        <v>4.4582927621651551</v>
      </c>
      <c r="W448" s="16">
        <f ca="1">IF(W$6=OFFSET(Assumptions!$B$8,0,$C$1),OFFSET(Assumptions!$B$43,0,$C$1),V$448*(1+OFFSET(Assumptions!$B$44,0,$C$1)))</f>
        <v>4.59204154503011</v>
      </c>
      <c r="X448" s="16">
        <f ca="1">IF(X$6=OFFSET(Assumptions!$B$8,0,$C$1),OFFSET(Assumptions!$B$43,0,$C$1),W$448*(1+OFFSET(Assumptions!$B$44,0,$C$1)))</f>
        <v>4.7298027913810134</v>
      </c>
    </row>
    <row r="449" spans="1:24" x14ac:dyDescent="0.25">
      <c r="A449" s="9" t="s">
        <v>1081</v>
      </c>
      <c r="D449" s="65">
        <f t="shared" ref="D449:X449" si="289">SUM(D$447:D$448)</f>
        <v>0</v>
      </c>
      <c r="E449" s="65">
        <f t="shared" si="289"/>
        <v>0</v>
      </c>
      <c r="F449" s="65">
        <f t="shared" si="289"/>
        <v>0</v>
      </c>
      <c r="G449" s="65">
        <f t="shared" si="289"/>
        <v>0</v>
      </c>
      <c r="H449" s="65">
        <f t="shared" si="289"/>
        <v>0</v>
      </c>
      <c r="I449" s="65">
        <f t="shared" si="289"/>
        <v>0</v>
      </c>
      <c r="J449" s="66">
        <f t="shared" si="289"/>
        <v>0</v>
      </c>
      <c r="K449" s="66">
        <f t="shared" si="289"/>
        <v>2.56</v>
      </c>
      <c r="L449" s="66">
        <f t="shared" si="289"/>
        <v>3.1420000000000003</v>
      </c>
      <c r="M449" s="66">
        <f t="shared" si="289"/>
        <v>3.4770000000000003</v>
      </c>
      <c r="N449" s="66">
        <f t="shared" si="289"/>
        <v>4.0310000000000006</v>
      </c>
      <c r="O449" s="67">
        <f t="shared" ca="1" si="289"/>
        <v>3.625</v>
      </c>
      <c r="P449" s="67">
        <f t="shared" ca="1" si="289"/>
        <v>3.7337500000000001</v>
      </c>
      <c r="Q449" s="67">
        <f t="shared" ca="1" si="289"/>
        <v>3.8457625000000002</v>
      </c>
      <c r="R449" s="67">
        <f t="shared" ca="1" si="289"/>
        <v>3.9611353750000005</v>
      </c>
      <c r="S449" s="67">
        <f t="shared" ca="1" si="289"/>
        <v>4.0799694362500007</v>
      </c>
      <c r="T449" s="67">
        <f t="shared" ca="1" si="289"/>
        <v>4.2023685193375009</v>
      </c>
      <c r="U449" s="67">
        <f t="shared" ca="1" si="289"/>
        <v>4.3284395749176259</v>
      </c>
      <c r="V449" s="67">
        <f t="shared" ca="1" si="289"/>
        <v>4.4582927621651551</v>
      </c>
      <c r="W449" s="67">
        <f t="shared" ca="1" si="289"/>
        <v>4.59204154503011</v>
      </c>
      <c r="X449" s="67">
        <f t="shared" ca="1" si="289"/>
        <v>4.7298027913810134</v>
      </c>
    </row>
    <row r="450" spans="1:24" x14ac:dyDescent="0.25">
      <c r="A450" s="9" t="s">
        <v>1082</v>
      </c>
      <c r="B450" s="10" t="str">
        <f t="shared" si="288"/>
        <v>From Fiscal Forecasts</v>
      </c>
      <c r="D450" s="42">
        <f>'Fiscal Forecasts'!D$131</f>
        <v>0</v>
      </c>
      <c r="E450" s="42">
        <f>'Fiscal Forecasts'!E$131</f>
        <v>0</v>
      </c>
      <c r="F450" s="42">
        <f>'Fiscal Forecasts'!F$131</f>
        <v>0</v>
      </c>
      <c r="G450" s="42">
        <f>'Fiscal Forecasts'!G$131</f>
        <v>0</v>
      </c>
      <c r="H450" s="42">
        <f>'Fiscal Forecasts'!H$131</f>
        <v>0</v>
      </c>
      <c r="I450" s="42">
        <f>'Fiscal Forecasts'!I$131</f>
        <v>0</v>
      </c>
      <c r="J450" s="43">
        <f>'Fiscal Forecasts'!J$131+IF($C$2="Yes",'Fiscal Forecast Adjuster'!C$31/1000,0)</f>
        <v>0</v>
      </c>
      <c r="K450" s="43">
        <f>'Fiscal Forecasts'!K$131+IF($C$2="Yes",'Fiscal Forecast Adjuster'!D$31/1000,0)</f>
        <v>2.56</v>
      </c>
      <c r="L450" s="43">
        <f>'Fiscal Forecasts'!L$131+IF($C$2="Yes",'Fiscal Forecast Adjuster'!E$31/1000,0)</f>
        <v>5.702</v>
      </c>
      <c r="M450" s="43">
        <f>'Fiscal Forecasts'!M$131+IF($C$2="Yes",'Fiscal Forecast Adjuster'!F$31/1000,0)</f>
        <v>9.1790000000000003</v>
      </c>
      <c r="N450" s="43">
        <f>'Fiscal Forecasts'!N$131+IF($C$2="Yes",'Fiscal Forecast Adjuster'!G$31/1000,0)</f>
        <v>13.21</v>
      </c>
      <c r="O450" s="47">
        <f ca="1">SUM($D$449:O$449)</f>
        <v>16.835000000000001</v>
      </c>
      <c r="P450" s="47">
        <f ca="1">SUM($D$449:P$449)</f>
        <v>20.568750000000001</v>
      </c>
      <c r="Q450" s="47">
        <f ca="1">SUM($D$449:Q$449)</f>
        <v>24.414512500000001</v>
      </c>
      <c r="R450" s="47">
        <f ca="1">SUM($D$449:R$449)</f>
        <v>28.375647875000002</v>
      </c>
      <c r="S450" s="47">
        <f ca="1">SUM($D$449:S$449)</f>
        <v>32.455617311250002</v>
      </c>
      <c r="T450" s="47">
        <f ca="1">SUM($D$449:T$449)</f>
        <v>36.657985830587506</v>
      </c>
      <c r="U450" s="47">
        <f ca="1">SUM($D$449:U$449)</f>
        <v>40.98642540550513</v>
      </c>
      <c r="V450" s="47">
        <f ca="1">SUM($D$449:V$449)</f>
        <v>45.444718167670288</v>
      </c>
      <c r="W450" s="47">
        <f ca="1">SUM($D$449:W$449)</f>
        <v>50.036759712700402</v>
      </c>
      <c r="X450" s="47">
        <f ca="1">SUM($D$449:X$449)</f>
        <v>54.766562504081413</v>
      </c>
    </row>
    <row r="451" spans="1:24" x14ac:dyDescent="0.25">
      <c r="A451" s="9" t="s">
        <v>1083</v>
      </c>
      <c r="B451" s="10" t="str">
        <f t="shared" si="288"/>
        <v>From Fiscal Forecasts</v>
      </c>
      <c r="D451" s="42">
        <f>'Fiscal Forecasts'!D$132</f>
        <v>0</v>
      </c>
      <c r="E451" s="42">
        <f>'Fiscal Forecasts'!E$132</f>
        <v>0</v>
      </c>
      <c r="F451" s="42">
        <f>'Fiscal Forecasts'!F$132</f>
        <v>0</v>
      </c>
      <c r="G451" s="42">
        <f>'Fiscal Forecasts'!G$132</f>
        <v>0</v>
      </c>
      <c r="H451" s="42">
        <f>'Fiscal Forecasts'!H$132</f>
        <v>0</v>
      </c>
      <c r="I451" s="42">
        <f>'Fiscal Forecasts'!I$132</f>
        <v>0</v>
      </c>
      <c r="J451" s="43">
        <f>'Fiscal Forecasts'!J$132</f>
        <v>-1.5</v>
      </c>
      <c r="K451" s="43">
        <f>'Fiscal Forecasts'!K$132</f>
        <v>-2.4</v>
      </c>
      <c r="L451" s="43">
        <f>'Fiscal Forecasts'!L$132</f>
        <v>-2.5</v>
      </c>
      <c r="M451" s="43">
        <f>'Fiscal Forecasts'!M$132</f>
        <v>-2.6</v>
      </c>
      <c r="N451" s="43">
        <f>'Fiscal Forecasts'!N$132</f>
        <v>-2.7</v>
      </c>
      <c r="O451" s="47">
        <f t="shared" ref="O451:X451" si="290">N$451</f>
        <v>-2.7</v>
      </c>
      <c r="P451" s="47">
        <f t="shared" si="290"/>
        <v>-2.7</v>
      </c>
      <c r="Q451" s="47">
        <f t="shared" si="290"/>
        <v>-2.7</v>
      </c>
      <c r="R451" s="47">
        <f t="shared" si="290"/>
        <v>-2.7</v>
      </c>
      <c r="S451" s="47">
        <f t="shared" si="290"/>
        <v>-2.7</v>
      </c>
      <c r="T451" s="47">
        <f t="shared" si="290"/>
        <v>-2.7</v>
      </c>
      <c r="U451" s="47">
        <f t="shared" si="290"/>
        <v>-2.7</v>
      </c>
      <c r="V451" s="47">
        <f t="shared" si="290"/>
        <v>-2.7</v>
      </c>
      <c r="W451" s="47">
        <f t="shared" si="290"/>
        <v>-2.7</v>
      </c>
      <c r="X451" s="47">
        <f t="shared" si="290"/>
        <v>-2.7</v>
      </c>
    </row>
    <row r="453" spans="1:24" x14ac:dyDescent="0.25">
      <c r="A453" s="9" t="s">
        <v>632</v>
      </c>
    </row>
    <row r="454" spans="1:24" x14ac:dyDescent="0.25">
      <c r="A454" s="9" t="s">
        <v>1084</v>
      </c>
      <c r="B454" s="10" t="str">
        <f t="shared" ref="B454" si="291">$B$38</f>
        <v>From Fiscal Forecasts</v>
      </c>
      <c r="D454" s="42">
        <f>'Fiscal Forecasts'!D$134</f>
        <v>6.8129999999999997</v>
      </c>
      <c r="E454" s="42">
        <f>'Fiscal Forecasts'!E$134</f>
        <v>8.0220000000000002</v>
      </c>
      <c r="F454" s="42">
        <f>'Fiscal Forecasts'!F$134</f>
        <v>8.2560000000000002</v>
      </c>
      <c r="G454" s="42">
        <f>'Fiscal Forecasts'!G$134</f>
        <v>9.0609999999999999</v>
      </c>
      <c r="H454" s="42">
        <f>'Fiscal Forecasts'!H$134</f>
        <v>9.0020000000000007</v>
      </c>
      <c r="I454" s="42">
        <f>'Fiscal Forecasts'!I$134</f>
        <v>8.9770000000000003</v>
      </c>
      <c r="J454" s="43">
        <f>'Fiscal Forecasts'!J$134</f>
        <v>9.0660000000000007</v>
      </c>
      <c r="K454" s="43">
        <f>'Fiscal Forecasts'!K$134</f>
        <v>9.1560000000000006</v>
      </c>
      <c r="L454" s="43">
        <f>'Fiscal Forecasts'!L$134</f>
        <v>9.2479999999999993</v>
      </c>
      <c r="M454" s="43">
        <f>'Fiscal Forecasts'!M$134</f>
        <v>9.34</v>
      </c>
      <c r="N454" s="43">
        <f>'Fiscal Forecasts'!N$134</f>
        <v>9.4339999999999993</v>
      </c>
      <c r="O454" s="47">
        <f t="shared" ref="O454:X454" ca="1" si="292">N$454*(1+O$29)</f>
        <v>9.622679999999999</v>
      </c>
      <c r="P454" s="47">
        <f t="shared" ca="1" si="292"/>
        <v>9.8151335999999993</v>
      </c>
      <c r="Q454" s="47">
        <f t="shared" ca="1" si="292"/>
        <v>10.011436271999999</v>
      </c>
      <c r="R454" s="47">
        <f t="shared" ca="1" si="292"/>
        <v>10.21166499744</v>
      </c>
      <c r="S454" s="47">
        <f t="shared" ca="1" si="292"/>
        <v>10.4158982973888</v>
      </c>
      <c r="T454" s="47">
        <f t="shared" ca="1" si="292"/>
        <v>10.624216263336576</v>
      </c>
      <c r="U454" s="47">
        <f t="shared" ca="1" si="292"/>
        <v>10.836700588603309</v>
      </c>
      <c r="V454" s="47">
        <f t="shared" ca="1" si="292"/>
        <v>11.053434600375375</v>
      </c>
      <c r="W454" s="47">
        <f t="shared" ca="1" si="292"/>
        <v>11.274503292382883</v>
      </c>
      <c r="X454" s="47">
        <f t="shared" ca="1" si="292"/>
        <v>11.499993358230542</v>
      </c>
    </row>
    <row r="456" spans="1:24" x14ac:dyDescent="0.25">
      <c r="A456" s="9" t="s">
        <v>633</v>
      </c>
    </row>
    <row r="457" spans="1:24" x14ac:dyDescent="0.25">
      <c r="A457" s="11" t="s">
        <v>1085</v>
      </c>
      <c r="D457" s="35">
        <f t="shared" ref="D457:X457" si="293">D$394-D$73</f>
        <v>1.0880000000000001</v>
      </c>
      <c r="E457" s="35">
        <f t="shared" si="293"/>
        <v>1.5510000000000002</v>
      </c>
      <c r="F457" s="35">
        <f t="shared" si="293"/>
        <v>2.7319999999999998</v>
      </c>
      <c r="G457" s="35">
        <f t="shared" si="293"/>
        <v>-0.8879999999999999</v>
      </c>
      <c r="H457" s="35">
        <f t="shared" si="293"/>
        <v>0.40799999999999992</v>
      </c>
      <c r="I457" s="35">
        <f t="shared" si="293"/>
        <v>1.4810000000000003</v>
      </c>
      <c r="J457" s="17">
        <f t="shared" si="293"/>
        <v>1.3769999999999998</v>
      </c>
      <c r="K457" s="17">
        <f t="shared" si="293"/>
        <v>0.48899999999999988</v>
      </c>
      <c r="L457" s="17">
        <f t="shared" si="293"/>
        <v>0.53200000000000003</v>
      </c>
      <c r="M457" s="17">
        <f t="shared" si="293"/>
        <v>0.57600000000000051</v>
      </c>
      <c r="N457" s="17">
        <f t="shared" si="293"/>
        <v>0.59400000000000031</v>
      </c>
      <c r="O457" s="16">
        <f t="shared" ca="1" si="293"/>
        <v>3.3388721804007391</v>
      </c>
      <c r="P457" s="16">
        <f t="shared" ca="1" si="293"/>
        <v>3.5356306626569909</v>
      </c>
      <c r="Q457" s="16">
        <f t="shared" ca="1" si="293"/>
        <v>3.7392185619948295</v>
      </c>
      <c r="R457" s="16">
        <f t="shared" ca="1" si="293"/>
        <v>3.9482608185917343</v>
      </c>
      <c r="S457" s="16">
        <f t="shared" ca="1" si="293"/>
        <v>4.1620850005709489</v>
      </c>
      <c r="T457" s="16">
        <f t="shared" ca="1" si="293"/>
        <v>4.3812152050008422</v>
      </c>
      <c r="U457" s="16">
        <f t="shared" ca="1" si="293"/>
        <v>4.604439094198006</v>
      </c>
      <c r="V457" s="16">
        <f t="shared" ca="1" si="293"/>
        <v>4.8326373888600189</v>
      </c>
      <c r="W457" s="16">
        <f t="shared" ca="1" si="293"/>
        <v>5.0683028731462407</v>
      </c>
      <c r="X457" s="16">
        <f t="shared" ca="1" si="293"/>
        <v>5.314252651556342</v>
      </c>
    </row>
    <row r="458" spans="1:24" x14ac:dyDescent="0.25">
      <c r="A458" s="11" t="s">
        <v>789</v>
      </c>
      <c r="B458" s="10" t="str">
        <f t="shared" ref="B458:B461" si="294">$B$38</f>
        <v>From Fiscal Forecasts</v>
      </c>
      <c r="D458" s="35">
        <f>'Fiscal Forecasts'!D$371</f>
        <v>6.2930000000000001</v>
      </c>
      <c r="E458" s="35">
        <f>'Fiscal Forecasts'!E$371</f>
        <v>5.0430000000000001</v>
      </c>
      <c r="F458" s="35">
        <f>'Fiscal Forecasts'!F$371</f>
        <v>5.3979999999999997</v>
      </c>
      <c r="G458" s="35">
        <f>'Fiscal Forecasts'!G$371</f>
        <v>5.4870000000000001</v>
      </c>
      <c r="H458" s="35">
        <f>'Fiscal Forecasts'!H$371</f>
        <v>6.2060000000000004</v>
      </c>
      <c r="I458" s="35">
        <f>'Fiscal Forecasts'!I$371</f>
        <v>6.65</v>
      </c>
      <c r="J458" s="17">
        <f>'Fiscal Forecasts'!J$371</f>
        <v>7.2039999999999997</v>
      </c>
      <c r="K458" s="17">
        <f>'Fiscal Forecasts'!K$371</f>
        <v>7.3639999999999999</v>
      </c>
      <c r="L458" s="17">
        <f>'Fiscal Forecasts'!L$371</f>
        <v>6.9560000000000004</v>
      </c>
      <c r="M458" s="17">
        <f>'Fiscal Forecasts'!M$371</f>
        <v>7.1340000000000003</v>
      </c>
      <c r="N458" s="17">
        <f>'Fiscal Forecasts'!N$371</f>
        <v>7.3280000000000003</v>
      </c>
      <c r="O458" s="16">
        <f t="shared" ref="O458:X458" ca="1" si="295">N$458*O$142/N$142</f>
        <v>7.6089309288847353</v>
      </c>
      <c r="P458" s="16">
        <f t="shared" ca="1" si="295"/>
        <v>7.9212943020391924</v>
      </c>
      <c r="Q458" s="16">
        <f t="shared" ca="1" si="295"/>
        <v>8.2432910504739869</v>
      </c>
      <c r="R458" s="16">
        <f t="shared" ca="1" si="295"/>
        <v>8.5662228729633068</v>
      </c>
      <c r="S458" s="16">
        <f t="shared" ca="1" si="295"/>
        <v>8.8961970908025521</v>
      </c>
      <c r="T458" s="16">
        <f t="shared" ca="1" si="295"/>
        <v>9.2327054814816378</v>
      </c>
      <c r="U458" s="16">
        <f t="shared" ca="1" si="295"/>
        <v>9.5737320543799065</v>
      </c>
      <c r="V458" s="16">
        <f t="shared" ca="1" si="295"/>
        <v>9.9198768805508202</v>
      </c>
      <c r="W458" s="16">
        <f t="shared" ca="1" si="295"/>
        <v>10.271043105515879</v>
      </c>
      <c r="X458" s="16">
        <f t="shared" ca="1" si="295"/>
        <v>10.629894763076283</v>
      </c>
    </row>
    <row r="459" spans="1:24" x14ac:dyDescent="0.25">
      <c r="A459" s="11" t="s">
        <v>1086</v>
      </c>
      <c r="B459" s="10" t="str">
        <f t="shared" si="294"/>
        <v>From Fiscal Forecasts</v>
      </c>
      <c r="D459" s="35">
        <f>'Fiscal Forecasts'!D$192-SUM(D$457:D$458)</f>
        <v>3.0849999999999991</v>
      </c>
      <c r="E459" s="35">
        <f>'Fiscal Forecasts'!E$192-SUM(E$457:E$458)</f>
        <v>4.2559999999999993</v>
      </c>
      <c r="F459" s="35">
        <f>'Fiscal Forecasts'!F$192-SUM(F$457:F$458)</f>
        <v>3.9080000000000013</v>
      </c>
      <c r="G459" s="35">
        <f>'Fiscal Forecasts'!G$192-SUM(G$457:G$458)</f>
        <v>11.707999999999998</v>
      </c>
      <c r="H459" s="35">
        <f>'Fiscal Forecasts'!H$192-SUM(H$457:H$458)</f>
        <v>5.7219999999999995</v>
      </c>
      <c r="I459" s="35">
        <f>'Fiscal Forecasts'!I$192-SUM(I$457:I$458)</f>
        <v>4.6649999999999991</v>
      </c>
      <c r="J459" s="17">
        <f>'Fiscal Forecasts'!J$192-SUM(J$457:J$458)</f>
        <v>8.5300000000000011</v>
      </c>
      <c r="K459" s="17">
        <f>'Fiscal Forecasts'!K$192-SUM(K$457:K$458)</f>
        <v>8.9429999999999996</v>
      </c>
      <c r="L459" s="17">
        <f>'Fiscal Forecasts'!L$192-SUM(L$457:L$458)</f>
        <v>10.146000000000001</v>
      </c>
      <c r="M459" s="17">
        <f>'Fiscal Forecasts'!M$192-SUM(M$457:M$458)</f>
        <v>9.6720000000000006</v>
      </c>
      <c r="N459" s="17">
        <f>'Fiscal Forecasts'!N$192-SUM(N$457:N$458)</f>
        <v>9.4719999999999978</v>
      </c>
      <c r="O459" s="16">
        <f t="shared" ref="O459:X459" ca="1" si="296">N$459*(1+O$29)</f>
        <v>9.6614399999999971</v>
      </c>
      <c r="P459" s="16">
        <f t="shared" ca="1" si="296"/>
        <v>9.8546687999999971</v>
      </c>
      <c r="Q459" s="16">
        <f t="shared" ca="1" si="296"/>
        <v>10.051762175999997</v>
      </c>
      <c r="R459" s="16">
        <f t="shared" ca="1" si="296"/>
        <v>10.252797419519997</v>
      </c>
      <c r="S459" s="16">
        <f t="shared" ca="1" si="296"/>
        <v>10.457853367910397</v>
      </c>
      <c r="T459" s="16">
        <f t="shared" ca="1" si="296"/>
        <v>10.667010435268605</v>
      </c>
      <c r="U459" s="16">
        <f t="shared" ca="1" si="296"/>
        <v>10.880350643973976</v>
      </c>
      <c r="V459" s="16">
        <f t="shared" ca="1" si="296"/>
        <v>11.097957656853456</v>
      </c>
      <c r="W459" s="16">
        <f t="shared" ca="1" si="296"/>
        <v>11.319916809990525</v>
      </c>
      <c r="X459" s="16">
        <f t="shared" ca="1" si="296"/>
        <v>11.546315146190336</v>
      </c>
    </row>
    <row r="460" spans="1:24" x14ac:dyDescent="0.25">
      <c r="A460" s="9" t="s">
        <v>1087</v>
      </c>
      <c r="D460" s="65">
        <f t="shared" ref="D460:X460" si="297">SUM(D$457:D$459)</f>
        <v>10.465999999999999</v>
      </c>
      <c r="E460" s="65">
        <f t="shared" si="297"/>
        <v>10.85</v>
      </c>
      <c r="F460" s="65">
        <f t="shared" si="297"/>
        <v>12.038</v>
      </c>
      <c r="G460" s="65">
        <f t="shared" si="297"/>
        <v>16.306999999999999</v>
      </c>
      <c r="H460" s="65">
        <f t="shared" si="297"/>
        <v>12.336</v>
      </c>
      <c r="I460" s="65">
        <f t="shared" si="297"/>
        <v>12.795999999999999</v>
      </c>
      <c r="J460" s="66">
        <f t="shared" si="297"/>
        <v>17.111000000000001</v>
      </c>
      <c r="K460" s="66">
        <f t="shared" si="297"/>
        <v>16.795999999999999</v>
      </c>
      <c r="L460" s="66">
        <f t="shared" si="297"/>
        <v>17.634</v>
      </c>
      <c r="M460" s="66">
        <f t="shared" si="297"/>
        <v>17.382000000000001</v>
      </c>
      <c r="N460" s="66">
        <f t="shared" si="297"/>
        <v>17.393999999999998</v>
      </c>
      <c r="O460" s="67">
        <f t="shared" ca="1" si="297"/>
        <v>20.609243109285472</v>
      </c>
      <c r="P460" s="67">
        <f t="shared" ca="1" si="297"/>
        <v>21.31159376469618</v>
      </c>
      <c r="Q460" s="67">
        <f t="shared" ca="1" si="297"/>
        <v>22.034271788468814</v>
      </c>
      <c r="R460" s="67">
        <f t="shared" ca="1" si="297"/>
        <v>22.767281111075036</v>
      </c>
      <c r="S460" s="67">
        <f t="shared" ca="1" si="297"/>
        <v>23.516135459283898</v>
      </c>
      <c r="T460" s="67">
        <f t="shared" ca="1" si="297"/>
        <v>24.280931121751085</v>
      </c>
      <c r="U460" s="67">
        <f t="shared" ca="1" si="297"/>
        <v>25.05852179255189</v>
      </c>
      <c r="V460" s="67">
        <f t="shared" ca="1" si="297"/>
        <v>25.850471926264294</v>
      </c>
      <c r="W460" s="67">
        <f t="shared" ca="1" si="297"/>
        <v>26.659262788652647</v>
      </c>
      <c r="X460" s="67">
        <f t="shared" ca="1" si="297"/>
        <v>27.490462560822962</v>
      </c>
    </row>
    <row r="461" spans="1:24" x14ac:dyDescent="0.25">
      <c r="A461" s="9" t="s">
        <v>1088</v>
      </c>
      <c r="B461" s="10" t="str">
        <f t="shared" si="294"/>
        <v>From Fiscal Forecasts</v>
      </c>
      <c r="D461" s="42">
        <f>'Fiscal Forecasts'!D$135</f>
        <v>16.742000000000001</v>
      </c>
      <c r="E461" s="42">
        <f>'Fiscal Forecasts'!E$135</f>
        <v>16.971</v>
      </c>
      <c r="F461" s="42">
        <f>'Fiscal Forecasts'!F$135</f>
        <v>17.577000000000002</v>
      </c>
      <c r="G461" s="42">
        <f>'Fiscal Forecasts'!G$135</f>
        <v>21.42</v>
      </c>
      <c r="H461" s="42">
        <f>'Fiscal Forecasts'!H$135</f>
        <v>18.725999999999999</v>
      </c>
      <c r="I461" s="42">
        <f>'Fiscal Forecasts'!I$135</f>
        <v>19.863</v>
      </c>
      <c r="J461" s="43">
        <f>'Fiscal Forecasts'!J$135</f>
        <v>26.414999999999999</v>
      </c>
      <c r="K461" s="43">
        <f>'Fiscal Forecasts'!K$135</f>
        <v>26.925000000000001</v>
      </c>
      <c r="L461" s="43">
        <f>'Fiscal Forecasts'!L$135</f>
        <v>28.08</v>
      </c>
      <c r="M461" s="43">
        <f>'Fiscal Forecasts'!M$135</f>
        <v>28.029</v>
      </c>
      <c r="N461" s="43">
        <f>'Fiscal Forecasts'!N$135</f>
        <v>28.588999999999999</v>
      </c>
      <c r="O461" s="47">
        <f t="shared" ref="O461:X461" ca="1" si="298">O$460+(N$461-N$460)*(1+O$29)</f>
        <v>32.028143109285473</v>
      </c>
      <c r="P461" s="47">
        <f t="shared" ca="1" si="298"/>
        <v>32.958871764696184</v>
      </c>
      <c r="Q461" s="47">
        <f t="shared" ca="1" si="298"/>
        <v>33.914495348468819</v>
      </c>
      <c r="R461" s="47">
        <f t="shared" ca="1" si="298"/>
        <v>34.885109142275041</v>
      </c>
      <c r="S461" s="47">
        <f t="shared" ca="1" si="298"/>
        <v>35.876320051107903</v>
      </c>
      <c r="T461" s="47">
        <f t="shared" ca="1" si="298"/>
        <v>36.888319405411572</v>
      </c>
      <c r="U461" s="47">
        <f t="shared" ca="1" si="298"/>
        <v>37.918057841885584</v>
      </c>
      <c r="V461" s="47">
        <f t="shared" ca="1" si="298"/>
        <v>38.96719869658466</v>
      </c>
      <c r="W461" s="47">
        <f t="shared" ca="1" si="298"/>
        <v>40.038324094379419</v>
      </c>
      <c r="X461" s="47">
        <f t="shared" ca="1" si="298"/>
        <v>41.137105092664271</v>
      </c>
    </row>
    <row r="463" spans="1:24" x14ac:dyDescent="0.25">
      <c r="A463" s="9" t="s">
        <v>634</v>
      </c>
    </row>
    <row r="464" spans="1:24" x14ac:dyDescent="0.25">
      <c r="A464" s="9" t="s">
        <v>1089</v>
      </c>
      <c r="B464" s="10" t="str">
        <f t="shared" ref="B464:B465" si="299">$B$38</f>
        <v>From Fiscal Forecasts</v>
      </c>
      <c r="D464" s="42">
        <f>'Fiscal Forecasts'!D$193</f>
        <v>0.44900000000000001</v>
      </c>
      <c r="E464" s="42">
        <f>'Fiscal Forecasts'!E$193</f>
        <v>0.39800000000000002</v>
      </c>
      <c r="F464" s="42">
        <f>'Fiscal Forecasts'!F$193</f>
        <v>0.505</v>
      </c>
      <c r="G464" s="42">
        <f>'Fiscal Forecasts'!G$193</f>
        <v>0.56999999999999995</v>
      </c>
      <c r="H464" s="42">
        <f>'Fiscal Forecasts'!H$193</f>
        <v>0.504</v>
      </c>
      <c r="I464" s="42">
        <f>'Fiscal Forecasts'!I$193</f>
        <v>0.498</v>
      </c>
      <c r="J464" s="43">
        <f>'Fiscal Forecasts'!J$193</f>
        <v>0.47199999999999998</v>
      </c>
      <c r="K464" s="43">
        <f>'Fiscal Forecasts'!K$193</f>
        <v>0.47</v>
      </c>
      <c r="L464" s="43">
        <f>'Fiscal Forecasts'!L$193</f>
        <v>0.47</v>
      </c>
      <c r="M464" s="43">
        <f>'Fiscal Forecasts'!M$193</f>
        <v>0.47</v>
      </c>
      <c r="N464" s="43">
        <f>'Fiscal Forecasts'!N$193</f>
        <v>0.47</v>
      </c>
      <c r="O464" s="47">
        <f t="shared" ref="O464:X464" si="300">SUM(N$464,O$419-N$419,O$423-N$423)</f>
        <v>0.47</v>
      </c>
      <c r="P464" s="47">
        <f t="shared" si="300"/>
        <v>0.47</v>
      </c>
      <c r="Q464" s="47">
        <f t="shared" si="300"/>
        <v>0.47</v>
      </c>
      <c r="R464" s="47">
        <f t="shared" si="300"/>
        <v>0.47</v>
      </c>
      <c r="S464" s="47">
        <f t="shared" si="300"/>
        <v>0.47</v>
      </c>
      <c r="T464" s="47">
        <f t="shared" si="300"/>
        <v>0.47</v>
      </c>
      <c r="U464" s="47">
        <f t="shared" si="300"/>
        <v>0.47</v>
      </c>
      <c r="V464" s="47">
        <f t="shared" si="300"/>
        <v>0.47</v>
      </c>
      <c r="W464" s="47">
        <f t="shared" si="300"/>
        <v>0.47</v>
      </c>
      <c r="X464" s="47">
        <f t="shared" si="300"/>
        <v>0.47</v>
      </c>
    </row>
    <row r="465" spans="1:24" x14ac:dyDescent="0.25">
      <c r="A465" s="9" t="s">
        <v>1090</v>
      </c>
      <c r="B465" s="10" t="str">
        <f t="shared" si="299"/>
        <v>From Fiscal Forecasts</v>
      </c>
      <c r="D465" s="42">
        <f>'Fiscal Forecasts'!D$136</f>
        <v>2.5230000000000001</v>
      </c>
      <c r="E465" s="42">
        <f>'Fiscal Forecasts'!E$136</f>
        <v>2.59</v>
      </c>
      <c r="F465" s="42">
        <f>'Fiscal Forecasts'!F$136</f>
        <v>2.5489999999999999</v>
      </c>
      <c r="G465" s="42">
        <f>'Fiscal Forecasts'!G$136</f>
        <v>3.3679999999999999</v>
      </c>
      <c r="H465" s="42">
        <f>'Fiscal Forecasts'!H$136</f>
        <v>3.61</v>
      </c>
      <c r="I465" s="42">
        <f>'Fiscal Forecasts'!I$136</f>
        <v>3.4529999999999998</v>
      </c>
      <c r="J465" s="43">
        <f>'Fiscal Forecasts'!J$136</f>
        <v>3.6360000000000001</v>
      </c>
      <c r="K465" s="43">
        <f>'Fiscal Forecasts'!K$136</f>
        <v>3.6429999999999998</v>
      </c>
      <c r="L465" s="43">
        <f>'Fiscal Forecasts'!L$136</f>
        <v>3.734</v>
      </c>
      <c r="M465" s="43">
        <f>'Fiscal Forecasts'!M$136</f>
        <v>3.758</v>
      </c>
      <c r="N465" s="43">
        <f>'Fiscal Forecasts'!N$136</f>
        <v>3.8220000000000001</v>
      </c>
      <c r="O465" s="47">
        <f t="shared" ref="O465:X465" ca="1" si="301">SUM(N$465,O$420-N$420,O$424-N$424)</f>
        <v>3.9117600000000006</v>
      </c>
      <c r="P465" s="47">
        <f t="shared" ca="1" si="301"/>
        <v>4.0033151999999994</v>
      </c>
      <c r="Q465" s="47">
        <f t="shared" ca="1" si="301"/>
        <v>4.0967015039999994</v>
      </c>
      <c r="R465" s="47">
        <f t="shared" ca="1" si="301"/>
        <v>4.191955534079999</v>
      </c>
      <c r="S465" s="47">
        <f t="shared" ca="1" si="301"/>
        <v>4.2891146447615993</v>
      </c>
      <c r="T465" s="47">
        <f t="shared" ca="1" si="301"/>
        <v>4.3882169376568321</v>
      </c>
      <c r="U465" s="47">
        <f t="shared" ca="1" si="301"/>
        <v>4.4893012764099689</v>
      </c>
      <c r="V465" s="47">
        <f t="shared" ca="1" si="301"/>
        <v>4.5924073019381693</v>
      </c>
      <c r="W465" s="47">
        <f t="shared" ca="1" si="301"/>
        <v>4.6975754479769325</v>
      </c>
      <c r="X465" s="47">
        <f t="shared" ca="1" si="301"/>
        <v>4.8048469569364709</v>
      </c>
    </row>
    <row r="467" spans="1:24" x14ac:dyDescent="0.25">
      <c r="A467" s="9" t="s">
        <v>1091</v>
      </c>
    </row>
    <row r="468" spans="1:24" x14ac:dyDescent="0.25">
      <c r="A468" s="9" t="s">
        <v>1092</v>
      </c>
      <c r="B468" s="10" t="str">
        <f t="shared" ref="B468:B469" si="302">$B$38</f>
        <v>From Fiscal Forecasts</v>
      </c>
      <c r="D468" s="42">
        <f>'Fiscal Forecasts'!D$194</f>
        <v>2.8839999999999999</v>
      </c>
      <c r="E468" s="42">
        <f>'Fiscal Forecasts'!E$194</f>
        <v>3.8039999999999998</v>
      </c>
      <c r="F468" s="42">
        <f>'Fiscal Forecasts'!F$194</f>
        <v>5.8239999999999998</v>
      </c>
      <c r="G468" s="42">
        <f>'Fiscal Forecasts'!G$194</f>
        <v>11.461</v>
      </c>
      <c r="H468" s="42">
        <f>'Fiscal Forecasts'!H$194</f>
        <v>6.093</v>
      </c>
      <c r="I468" s="42">
        <f>'Fiscal Forecasts'!I$194</f>
        <v>6.8659999999999997</v>
      </c>
      <c r="J468" s="43">
        <f>'Fiscal Forecasts'!J$194</f>
        <v>6.77</v>
      </c>
      <c r="K468" s="43">
        <f>'Fiscal Forecasts'!K$194</f>
        <v>5.9660000000000002</v>
      </c>
      <c r="L468" s="43">
        <f>'Fiscal Forecasts'!L$194</f>
        <v>5.4269999999999996</v>
      </c>
      <c r="M468" s="43">
        <f>'Fiscal Forecasts'!M$194</f>
        <v>4.952</v>
      </c>
      <c r="N468" s="43">
        <f>'Fiscal Forecasts'!N$194</f>
        <v>4.4619999999999997</v>
      </c>
      <c r="O468" s="47">
        <f t="shared" ref="O468:X468" ca="1" si="303">SUM(N$468,-O$145,O$151,O$322)</f>
        <v>4.0529599999999997</v>
      </c>
      <c r="P468" s="47">
        <f t="shared" ca="1" si="303"/>
        <v>3.6734591999999999</v>
      </c>
      <c r="Q468" s="47">
        <f t="shared" ca="1" si="303"/>
        <v>3.324088384</v>
      </c>
      <c r="R468" s="47">
        <f t="shared" ca="1" si="303"/>
        <v>3.0054501516799998</v>
      </c>
      <c r="S468" s="47">
        <f t="shared" ca="1" si="303"/>
        <v>2.7181591547136001</v>
      </c>
      <c r="T468" s="47">
        <f t="shared" ca="1" si="303"/>
        <v>2.4628423378078725</v>
      </c>
      <c r="U468" s="47">
        <f t="shared" ca="1" si="303"/>
        <v>2.2401391845640299</v>
      </c>
      <c r="V468" s="47">
        <f t="shared" ca="1" si="303"/>
        <v>2.0507019682553107</v>
      </c>
      <c r="W468" s="47">
        <f t="shared" ca="1" si="303"/>
        <v>1.8951960076204171</v>
      </c>
      <c r="X468" s="47">
        <f t="shared" ca="1" si="303"/>
        <v>1.7742999277728255</v>
      </c>
    </row>
    <row r="469" spans="1:24" x14ac:dyDescent="0.25">
      <c r="A469" s="9" t="s">
        <v>1093</v>
      </c>
      <c r="B469" s="10" t="str">
        <f t="shared" si="302"/>
        <v>From Fiscal Forecasts</v>
      </c>
      <c r="D469" s="42">
        <f>'Fiscal Forecasts'!D$138</f>
        <v>2.8839999999999999</v>
      </c>
      <c r="E469" s="42">
        <f>'Fiscal Forecasts'!E$138</f>
        <v>3.8039999999999998</v>
      </c>
      <c r="F469" s="42">
        <f>'Fiscal Forecasts'!F$138</f>
        <v>5.8239999999999998</v>
      </c>
      <c r="G469" s="42">
        <f>'Fiscal Forecasts'!G$138</f>
        <v>11.308</v>
      </c>
      <c r="H469" s="42">
        <f>'Fiscal Forecasts'!H$138</f>
        <v>6.125</v>
      </c>
      <c r="I469" s="42">
        <f>'Fiscal Forecasts'!I$138</f>
        <v>6.6260000000000003</v>
      </c>
      <c r="J469" s="43">
        <f>'Fiscal Forecasts'!J$138</f>
        <v>6.556</v>
      </c>
      <c r="K469" s="43">
        <f>'Fiscal Forecasts'!K$138</f>
        <v>5.7409999999999997</v>
      </c>
      <c r="L469" s="43">
        <f>'Fiscal Forecasts'!L$138</f>
        <v>5.1379999999999999</v>
      </c>
      <c r="M469" s="43">
        <f>'Fiscal Forecasts'!M$138</f>
        <v>4.7249999999999996</v>
      </c>
      <c r="N469" s="43">
        <f>'Fiscal Forecasts'!N$138</f>
        <v>4.2530000000000001</v>
      </c>
      <c r="O469" s="47">
        <f t="shared" ref="O469:X469" ca="1" si="304">SUM(N$469,-O$145,O$151,O$322)</f>
        <v>3.84396</v>
      </c>
      <c r="P469" s="47">
        <f t="shared" ca="1" si="304"/>
        <v>3.4644592000000003</v>
      </c>
      <c r="Q469" s="47">
        <f t="shared" ca="1" si="304"/>
        <v>3.1150883840000003</v>
      </c>
      <c r="R469" s="47">
        <f t="shared" ca="1" si="304"/>
        <v>2.7964501516800002</v>
      </c>
      <c r="S469" s="47">
        <f t="shared" ca="1" si="304"/>
        <v>2.5091591547136005</v>
      </c>
      <c r="T469" s="47">
        <f t="shared" ca="1" si="304"/>
        <v>2.2538423378078729</v>
      </c>
      <c r="U469" s="47">
        <f t="shared" ca="1" si="304"/>
        <v>2.0311391845640303</v>
      </c>
      <c r="V469" s="47">
        <f t="shared" ca="1" si="304"/>
        <v>1.8417019682553111</v>
      </c>
      <c r="W469" s="47">
        <f t="shared" ca="1" si="304"/>
        <v>1.6861960076204174</v>
      </c>
      <c r="X469" s="47">
        <f t="shared" ca="1" si="304"/>
        <v>1.5652999277728259</v>
      </c>
    </row>
    <row r="471" spans="1:24" x14ac:dyDescent="0.25">
      <c r="A471" s="9" t="s">
        <v>637</v>
      </c>
    </row>
    <row r="472" spans="1:24" x14ac:dyDescent="0.25">
      <c r="A472" s="9" t="s">
        <v>1094</v>
      </c>
      <c r="B472" s="10" t="str">
        <f t="shared" ref="B472:B474" si="305">$B$38</f>
        <v>From Fiscal Forecasts</v>
      </c>
      <c r="D472" s="42">
        <f>'Fiscal Forecasts'!D$195</f>
        <v>4.0000000000000001E-3</v>
      </c>
      <c r="E472" s="42">
        <f>'Fiscal Forecasts'!E$195</f>
        <v>5.0000000000000001E-3</v>
      </c>
      <c r="F472" s="42">
        <f>'Fiscal Forecasts'!F$195</f>
        <v>4.0000000000000001E-3</v>
      </c>
      <c r="G472" s="42">
        <f>'Fiscal Forecasts'!G$195</f>
        <v>2E-3</v>
      </c>
      <c r="H472" s="42">
        <f>'Fiscal Forecasts'!H$195</f>
        <v>3.0000000000000001E-3</v>
      </c>
      <c r="I472" s="42">
        <f>'Fiscal Forecasts'!I$195</f>
        <v>2E-3</v>
      </c>
      <c r="J472" s="43">
        <f>'Fiscal Forecasts'!J$195</f>
        <v>2E-3</v>
      </c>
      <c r="K472" s="43">
        <f>'Fiscal Forecasts'!K$195</f>
        <v>2E-3</v>
      </c>
      <c r="L472" s="43">
        <f>'Fiscal Forecasts'!L$195</f>
        <v>2E-3</v>
      </c>
      <c r="M472" s="43">
        <f>'Fiscal Forecasts'!M$195</f>
        <v>2E-3</v>
      </c>
      <c r="N472" s="43">
        <f>'Fiscal Forecasts'!N$195</f>
        <v>2E-3</v>
      </c>
      <c r="O472" s="47">
        <f ca="1">IF(O$6=OFFSET(Assumptions!$B$8,0,$C$1),OFFSET(Assumptions!$B$9,0,$C$1),N$472)</f>
        <v>0</v>
      </c>
      <c r="P472" s="47">
        <f ca="1">IF(P$6=OFFSET(Assumptions!$B$8,0,$C$1),OFFSET(Assumptions!$B$9,0,$C$1),O$472)</f>
        <v>0</v>
      </c>
      <c r="Q472" s="47">
        <f ca="1">IF(Q$6=OFFSET(Assumptions!$B$8,0,$C$1),OFFSET(Assumptions!$B$9,0,$C$1),P$472)</f>
        <v>0</v>
      </c>
      <c r="R472" s="47">
        <f ca="1">IF(R$6=OFFSET(Assumptions!$B$8,0,$C$1),OFFSET(Assumptions!$B$9,0,$C$1),Q$472)</f>
        <v>0</v>
      </c>
      <c r="S472" s="47">
        <f ca="1">IF(S$6=OFFSET(Assumptions!$B$8,0,$C$1),OFFSET(Assumptions!$B$9,0,$C$1),R$472)</f>
        <v>0</v>
      </c>
      <c r="T472" s="47">
        <f ca="1">IF(T$6=OFFSET(Assumptions!$B$8,0,$C$1),OFFSET(Assumptions!$B$9,0,$C$1),S$472)</f>
        <v>0</v>
      </c>
      <c r="U472" s="47">
        <f ca="1">IF(U$6=OFFSET(Assumptions!$B$8,0,$C$1),OFFSET(Assumptions!$B$9,0,$C$1),T$472)</f>
        <v>0</v>
      </c>
      <c r="V472" s="47">
        <f ca="1">IF(V$6=OFFSET(Assumptions!$B$8,0,$C$1),OFFSET(Assumptions!$B$9,0,$C$1),U$472)</f>
        <v>0</v>
      </c>
      <c r="W472" s="47">
        <f ca="1">IF(W$6=OFFSET(Assumptions!$B$8,0,$C$1),OFFSET(Assumptions!$B$9,0,$C$1),V$472)</f>
        <v>0</v>
      </c>
      <c r="X472" s="47">
        <f ca="1">IF(X$6=OFFSET(Assumptions!$B$8,0,$C$1),OFFSET(Assumptions!$B$9,0,$C$1),W$472)</f>
        <v>0</v>
      </c>
    </row>
    <row r="473" spans="1:24" x14ac:dyDescent="0.25">
      <c r="A473" s="11" t="s">
        <v>1095</v>
      </c>
      <c r="B473" s="10" t="str">
        <f t="shared" si="305"/>
        <v>From Fiscal Forecasts</v>
      </c>
      <c r="D473" s="35">
        <f>'Fiscal Forecasts'!D$381</f>
        <v>56.610999999999997</v>
      </c>
      <c r="E473" s="35">
        <f>'Fiscal Forecasts'!E$381</f>
        <v>64.945999999999998</v>
      </c>
      <c r="F473" s="35">
        <f>'Fiscal Forecasts'!F$381</f>
        <v>59.133000000000003</v>
      </c>
      <c r="G473" s="35">
        <f>'Fiscal Forecasts'!G$381</f>
        <v>54.115000000000002</v>
      </c>
      <c r="H473" s="35">
        <f>'Fiscal Forecasts'!H$381</f>
        <v>55.664000000000001</v>
      </c>
      <c r="I473" s="35">
        <f>'Fiscal Forecasts'!I$381</f>
        <v>65.049000000000007</v>
      </c>
      <c r="J473" s="17">
        <f>'Fiscal Forecasts'!J$381</f>
        <v>68.626999999999995</v>
      </c>
      <c r="K473" s="17">
        <f>'Fiscal Forecasts'!K$381</f>
        <v>71.796999999999997</v>
      </c>
      <c r="L473" s="17">
        <f>'Fiscal Forecasts'!L$381</f>
        <v>75.256</v>
      </c>
      <c r="M473" s="17">
        <f>'Fiscal Forecasts'!M$381</f>
        <v>79.001999999999995</v>
      </c>
      <c r="N473" s="17">
        <f>'Fiscal Forecasts'!N$381</f>
        <v>82.98</v>
      </c>
      <c r="O473" s="16">
        <f>N$473*Exogenous!Z$31/Exogenous!Y$31</f>
        <v>87.232633748189329</v>
      </c>
      <c r="P473" s="16">
        <f>O$473*Exogenous!AA$31/Exogenous!Z$31</f>
        <v>91.859921600249137</v>
      </c>
      <c r="Q473" s="16">
        <f>P$473*Exogenous!AB$31/Exogenous!AA$31</f>
        <v>96.802667925117291</v>
      </c>
      <c r="R473" s="16">
        <f>Q$473*Exogenous!AC$31/Exogenous!AB$31</f>
        <v>102.02138967233698</v>
      </c>
      <c r="S473" s="16">
        <f>R$473*Exogenous!AD$31/Exogenous!AC$31</f>
        <v>107.5116608182833</v>
      </c>
      <c r="T473" s="16">
        <f>S$473*Exogenous!AE$31/Exogenous!AD$31</f>
        <v>113.29291750429732</v>
      </c>
      <c r="U473" s="16">
        <f>T$473*Exogenous!AF$31/Exogenous!AE$31</f>
        <v>119.32125172654598</v>
      </c>
      <c r="V473" s="16">
        <f>U$473*Exogenous!AG$31/Exogenous!AF$31</f>
        <v>125.57045233176501</v>
      </c>
      <c r="W473" s="16">
        <f>V$473*Exogenous!AH$31/Exogenous!AG$31</f>
        <v>132.05084530239904</v>
      </c>
      <c r="X473" s="16">
        <f>W$473*Exogenous!AI$31/Exogenous!AH$31</f>
        <v>138.76543147139884</v>
      </c>
    </row>
    <row r="474" spans="1:24" x14ac:dyDescent="0.25">
      <c r="A474" s="11" t="s">
        <v>1096</v>
      </c>
      <c r="B474" s="10" t="str">
        <f t="shared" si="305"/>
        <v>From Fiscal Forecasts</v>
      </c>
      <c r="D474" s="35">
        <f>SUM('Fiscal Forecasts'!D$382:D$383)-D$472</f>
        <v>1.601</v>
      </c>
      <c r="E474" s="35">
        <f>SUM('Fiscal Forecasts'!E$382:E$383)-E$472</f>
        <v>1.7390000000000001</v>
      </c>
      <c r="F474" s="35">
        <f>SUM('Fiscal Forecasts'!F$382:F$383)-F$472</f>
        <v>1.1990000000000001</v>
      </c>
      <c r="G474" s="35">
        <f>SUM('Fiscal Forecasts'!G$382:G$383)-G$472</f>
        <v>1.1839999999999999</v>
      </c>
      <c r="H474" s="35">
        <f>SUM('Fiscal Forecasts'!H$382:H$383)-H$472</f>
        <v>1.8440000000000001</v>
      </c>
      <c r="I474" s="35">
        <f>SUM('Fiscal Forecasts'!I$382:I$383)-I$472</f>
        <v>1.524</v>
      </c>
      <c r="J474" s="17">
        <f>SUM('Fiscal Forecasts'!J$382:J$383)-J$472</f>
        <v>1.2989999999999999</v>
      </c>
      <c r="K474" s="17">
        <f>SUM('Fiscal Forecasts'!K$382:K$383)-K$472</f>
        <v>1.165</v>
      </c>
      <c r="L474" s="17">
        <f>SUM('Fiscal Forecasts'!L$382:L$383)-L$472</f>
        <v>1.03</v>
      </c>
      <c r="M474" s="17">
        <f>SUM('Fiscal Forecasts'!M$382:M$383)-M$472</f>
        <v>0.97499999999999998</v>
      </c>
      <c r="N474" s="17">
        <f>SUM('Fiscal Forecasts'!N$382:N$383)-N$472</f>
        <v>0.84699999999999998</v>
      </c>
      <c r="O474" s="16">
        <f t="shared" ref="O474:X474" si="306">N$474*O$473/N$473</f>
        <v>0.89040781856732165</v>
      </c>
      <c r="P474" s="16">
        <f t="shared" si="306"/>
        <v>0.93763983604978329</v>
      </c>
      <c r="Q474" s="16">
        <f t="shared" si="306"/>
        <v>0.98809182613369895</v>
      </c>
      <c r="R474" s="16">
        <f t="shared" si="306"/>
        <v>1.0413607743127189</v>
      </c>
      <c r="S474" s="16">
        <f t="shared" si="306"/>
        <v>1.0974015029294522</v>
      </c>
      <c r="T474" s="16">
        <f t="shared" si="306"/>
        <v>1.1564124020985755</v>
      </c>
      <c r="U474" s="16">
        <f t="shared" si="306"/>
        <v>1.2179452905806749</v>
      </c>
      <c r="V474" s="16">
        <f t="shared" si="306"/>
        <v>1.2817326238250772</v>
      </c>
      <c r="W474" s="16">
        <f t="shared" si="306"/>
        <v>1.3478798020141229</v>
      </c>
      <c r="X474" s="16">
        <f t="shared" si="306"/>
        <v>1.4164174554865601</v>
      </c>
    </row>
    <row r="475" spans="1:24" x14ac:dyDescent="0.25">
      <c r="A475" s="9" t="s">
        <v>1097</v>
      </c>
      <c r="D475" s="65">
        <f t="shared" ref="D475:X475" si="307">SUM(D$472:D$474)</f>
        <v>58.215999999999994</v>
      </c>
      <c r="E475" s="65">
        <f t="shared" si="307"/>
        <v>66.69</v>
      </c>
      <c r="F475" s="65">
        <f t="shared" si="307"/>
        <v>60.335999999999999</v>
      </c>
      <c r="G475" s="65">
        <f t="shared" si="307"/>
        <v>55.301000000000002</v>
      </c>
      <c r="H475" s="65">
        <f t="shared" si="307"/>
        <v>57.511000000000003</v>
      </c>
      <c r="I475" s="65">
        <f t="shared" si="307"/>
        <v>66.575000000000003</v>
      </c>
      <c r="J475" s="66">
        <f t="shared" si="307"/>
        <v>69.927999999999997</v>
      </c>
      <c r="K475" s="66">
        <f t="shared" si="307"/>
        <v>72.963999999999999</v>
      </c>
      <c r="L475" s="66">
        <f t="shared" si="307"/>
        <v>76.287999999999997</v>
      </c>
      <c r="M475" s="66">
        <f t="shared" si="307"/>
        <v>79.978999999999985</v>
      </c>
      <c r="N475" s="66">
        <f t="shared" si="307"/>
        <v>83.828999999999994</v>
      </c>
      <c r="O475" s="67">
        <f t="shared" ca="1" si="307"/>
        <v>88.123041566756655</v>
      </c>
      <c r="P475" s="67">
        <f t="shared" ca="1" si="307"/>
        <v>92.797561436298921</v>
      </c>
      <c r="Q475" s="67">
        <f t="shared" ca="1" si="307"/>
        <v>97.790759751250988</v>
      </c>
      <c r="R475" s="67">
        <f t="shared" ca="1" si="307"/>
        <v>103.0627504466497</v>
      </c>
      <c r="S475" s="67">
        <f t="shared" ca="1" si="307"/>
        <v>108.60906232121276</v>
      </c>
      <c r="T475" s="67">
        <f t="shared" ca="1" si="307"/>
        <v>114.4493299063959</v>
      </c>
      <c r="U475" s="67">
        <f t="shared" ca="1" si="307"/>
        <v>120.53919701712665</v>
      </c>
      <c r="V475" s="67">
        <f t="shared" ca="1" si="307"/>
        <v>126.85218495559009</v>
      </c>
      <c r="W475" s="67">
        <f t="shared" ca="1" si="307"/>
        <v>133.39872510441316</v>
      </c>
      <c r="X475" s="67">
        <f t="shared" ca="1" si="307"/>
        <v>140.18184892688541</v>
      </c>
    </row>
    <row r="477" spans="1:24" x14ac:dyDescent="0.25">
      <c r="A477" s="9" t="s">
        <v>1109</v>
      </c>
    </row>
    <row r="478" spans="1:24" x14ac:dyDescent="0.25">
      <c r="A478" s="9" t="s">
        <v>1110</v>
      </c>
      <c r="B478" s="10" t="str">
        <f t="shared" ref="B478:B479" si="308">$B$38</f>
        <v>From Fiscal Forecasts</v>
      </c>
      <c r="D478" s="42">
        <f>'Fiscal Forecasts'!D$196</f>
        <v>13.164999999999999</v>
      </c>
      <c r="E478" s="42">
        <f>'Fiscal Forecasts'!E$196</f>
        <v>13.976000000000001</v>
      </c>
      <c r="F478" s="42">
        <f>'Fiscal Forecasts'!F$196</f>
        <v>11.039</v>
      </c>
      <c r="G478" s="42">
        <f>'Fiscal Forecasts'!G$196</f>
        <v>8.7650000000000006</v>
      </c>
      <c r="H478" s="42">
        <f>'Fiscal Forecasts'!H$196</f>
        <v>8.0380000000000003</v>
      </c>
      <c r="I478" s="42">
        <f>'Fiscal Forecasts'!I$196</f>
        <v>7.3339999999999996</v>
      </c>
      <c r="J478" s="43">
        <f>'Fiscal Forecasts'!J$196</f>
        <v>6.532</v>
      </c>
      <c r="K478" s="43">
        <f>'Fiscal Forecasts'!K$196</f>
        <v>6.0250000000000004</v>
      </c>
      <c r="L478" s="43">
        <f>'Fiscal Forecasts'!L$196</f>
        <v>5.5129999999999999</v>
      </c>
      <c r="M478" s="43">
        <f>'Fiscal Forecasts'!M$196</f>
        <v>5.0270000000000001</v>
      </c>
      <c r="N478" s="43">
        <f>'Fiscal Forecasts'!N$196</f>
        <v>4.5670000000000002</v>
      </c>
      <c r="O478" s="16">
        <f>N$478*Exogenous!Z$35/Exogenous!Y$35</f>
        <v>4.3797723516949159</v>
      </c>
      <c r="P478" s="16">
        <f>O$478*Exogenous!AA$35/Exogenous!Z$35</f>
        <v>4.187706779661017</v>
      </c>
      <c r="Q478" s="16">
        <f>P$478*Exogenous!AB$35/Exogenous!AA$35</f>
        <v>3.9932222457627118</v>
      </c>
      <c r="R478" s="16">
        <f>Q$478*Exogenous!AC$35/Exogenous!AB$35</f>
        <v>3.7943835805084745</v>
      </c>
      <c r="S478" s="16">
        <f>R$478*Exogenous!AD$35/Exogenous!AC$35</f>
        <v>3.5940935381355934</v>
      </c>
      <c r="T478" s="16">
        <f>S$478*Exogenous!AE$35/Exogenous!AD$35</f>
        <v>3.3933197033898308</v>
      </c>
      <c r="U478" s="16">
        <f>T$478*Exogenous!AF$35/Exogenous!AE$35</f>
        <v>3.1993189618644076</v>
      </c>
      <c r="V478" s="16">
        <f>U$478*Exogenous!AG$35/Exogenous!AF$35</f>
        <v>3.0077371822033903</v>
      </c>
      <c r="W478" s="16">
        <f>V$478*Exogenous!AH$35/Exogenous!AG$35</f>
        <v>2.8190581567796613</v>
      </c>
      <c r="X478" s="16">
        <f>W$478*Exogenous!AI$35/Exogenous!AH$35</f>
        <v>2.6337656779661018</v>
      </c>
    </row>
    <row r="479" spans="1:24" x14ac:dyDescent="0.25">
      <c r="A479" s="11" t="s">
        <v>1111</v>
      </c>
      <c r="B479" s="10" t="str">
        <f t="shared" si="308"/>
        <v>From Fiscal Forecasts</v>
      </c>
      <c r="D479" s="35">
        <f>'Fiscal Forecasts'!D$140-D$478</f>
        <v>1.4000000000001123E-2</v>
      </c>
      <c r="E479" s="35">
        <f>'Fiscal Forecasts'!E$140-E$478</f>
        <v>6.9999999999996732E-3</v>
      </c>
      <c r="F479" s="35">
        <f>'Fiscal Forecasts'!F$140-F$478</f>
        <v>-9.9999999999944578E-4</v>
      </c>
      <c r="G479" s="35">
        <f>'Fiscal Forecasts'!G$140-G$478</f>
        <v>3.9999999999995595E-3</v>
      </c>
      <c r="H479" s="35">
        <f>'Fiscal Forecasts'!H$140-H$478</f>
        <v>9.9999999999944578E-4</v>
      </c>
      <c r="I479" s="35">
        <f>'Fiscal Forecasts'!I$140-I$478</f>
        <v>3.0000000000001137E-3</v>
      </c>
      <c r="J479" s="17">
        <f>'Fiscal Forecasts'!J$140-J$478</f>
        <v>3.0000000000001137E-3</v>
      </c>
      <c r="K479" s="17">
        <f>'Fiscal Forecasts'!K$140-K$478</f>
        <v>2.9999999999992255E-3</v>
      </c>
      <c r="L479" s="17">
        <f>'Fiscal Forecasts'!L$140-L$478</f>
        <v>3.0000000000001137E-3</v>
      </c>
      <c r="M479" s="17">
        <f>'Fiscal Forecasts'!M$140-M$478</f>
        <v>3.0000000000001137E-3</v>
      </c>
      <c r="N479" s="17">
        <f>'Fiscal Forecasts'!N$140-N$478</f>
        <v>3.0000000000001137E-3</v>
      </c>
      <c r="O479" s="16">
        <f ca="1">IF(O$6=OFFSET(Assumptions!$B$8,0,$C$1),OFFSET(Assumptions!$B$9,0,$C$1),N$479)</f>
        <v>0</v>
      </c>
      <c r="P479" s="16">
        <f ca="1">IF(P$6=OFFSET(Assumptions!$B$8,0,$C$1),OFFSET(Assumptions!$B$9,0,$C$1),O$479)</f>
        <v>0</v>
      </c>
      <c r="Q479" s="16">
        <f ca="1">IF(Q$6=OFFSET(Assumptions!$B$8,0,$C$1),OFFSET(Assumptions!$B$9,0,$C$1),P$479)</f>
        <v>0</v>
      </c>
      <c r="R479" s="16">
        <f ca="1">IF(R$6=OFFSET(Assumptions!$B$8,0,$C$1),OFFSET(Assumptions!$B$9,0,$C$1),Q$479)</f>
        <v>0</v>
      </c>
      <c r="S479" s="16">
        <f ca="1">IF(S$6=OFFSET(Assumptions!$B$8,0,$C$1),OFFSET(Assumptions!$B$9,0,$C$1),R$479)</f>
        <v>0</v>
      </c>
      <c r="T479" s="16">
        <f ca="1">IF(T$6=OFFSET(Assumptions!$B$8,0,$C$1),OFFSET(Assumptions!$B$9,0,$C$1),S$479)</f>
        <v>0</v>
      </c>
      <c r="U479" s="16">
        <f ca="1">IF(U$6=OFFSET(Assumptions!$B$8,0,$C$1),OFFSET(Assumptions!$B$9,0,$C$1),T$479)</f>
        <v>0</v>
      </c>
      <c r="V479" s="16">
        <f ca="1">IF(V$6=OFFSET(Assumptions!$B$8,0,$C$1),OFFSET(Assumptions!$B$9,0,$C$1),U$479)</f>
        <v>0</v>
      </c>
      <c r="W479" s="16">
        <f ca="1">IF(W$6=OFFSET(Assumptions!$B$8,0,$C$1),OFFSET(Assumptions!$B$9,0,$C$1),V$479)</f>
        <v>0</v>
      </c>
      <c r="X479" s="16">
        <f ca="1">IF(X$6=OFFSET(Assumptions!$B$8,0,$C$1),OFFSET(Assumptions!$B$9,0,$C$1),W$479)</f>
        <v>0</v>
      </c>
    </row>
    <row r="480" spans="1:24" x14ac:dyDescent="0.25">
      <c r="A480" s="9" t="s">
        <v>1112</v>
      </c>
      <c r="D480" s="65">
        <f t="shared" ref="D480:X480" si="309">SUM(D$478:D$479)</f>
        <v>13.179</v>
      </c>
      <c r="E480" s="65">
        <f t="shared" si="309"/>
        <v>13.983000000000001</v>
      </c>
      <c r="F480" s="65">
        <f t="shared" si="309"/>
        <v>11.038</v>
      </c>
      <c r="G480" s="65">
        <f t="shared" si="309"/>
        <v>8.7690000000000001</v>
      </c>
      <c r="H480" s="65">
        <f t="shared" si="309"/>
        <v>8.0389999999999997</v>
      </c>
      <c r="I480" s="65">
        <f t="shared" si="309"/>
        <v>7.3369999999999997</v>
      </c>
      <c r="J480" s="66">
        <f t="shared" si="309"/>
        <v>6.5350000000000001</v>
      </c>
      <c r="K480" s="66">
        <f t="shared" si="309"/>
        <v>6.0279999999999996</v>
      </c>
      <c r="L480" s="66">
        <f t="shared" si="309"/>
        <v>5.516</v>
      </c>
      <c r="M480" s="66">
        <f t="shared" si="309"/>
        <v>5.03</v>
      </c>
      <c r="N480" s="66">
        <f t="shared" si="309"/>
        <v>4.57</v>
      </c>
      <c r="O480" s="67">
        <f t="shared" ca="1" si="309"/>
        <v>4.3797723516949159</v>
      </c>
      <c r="P480" s="67">
        <f t="shared" ca="1" si="309"/>
        <v>4.187706779661017</v>
      </c>
      <c r="Q480" s="67">
        <f t="shared" ca="1" si="309"/>
        <v>3.9932222457627118</v>
      </c>
      <c r="R480" s="67">
        <f t="shared" ca="1" si="309"/>
        <v>3.7943835805084745</v>
      </c>
      <c r="S480" s="67">
        <f t="shared" ca="1" si="309"/>
        <v>3.5940935381355934</v>
      </c>
      <c r="T480" s="67">
        <f t="shared" ca="1" si="309"/>
        <v>3.3933197033898308</v>
      </c>
      <c r="U480" s="67">
        <f t="shared" ca="1" si="309"/>
        <v>3.1993189618644076</v>
      </c>
      <c r="V480" s="67">
        <f t="shared" ca="1" si="309"/>
        <v>3.0077371822033903</v>
      </c>
      <c r="W480" s="67">
        <f t="shared" ca="1" si="309"/>
        <v>2.8190581567796613</v>
      </c>
      <c r="X480" s="67">
        <f t="shared" ca="1" si="309"/>
        <v>2.6337656779661018</v>
      </c>
    </row>
    <row r="482" spans="1:24" x14ac:dyDescent="0.25">
      <c r="A482" s="9" t="s">
        <v>639</v>
      </c>
    </row>
    <row r="483" spans="1:24" x14ac:dyDescent="0.25">
      <c r="A483" s="11" t="s">
        <v>1113</v>
      </c>
      <c r="D483" s="35">
        <f t="shared" ref="D483:N483" si="310">-D$395</f>
        <v>0</v>
      </c>
      <c r="E483" s="35">
        <f t="shared" si="310"/>
        <v>-2E-3</v>
      </c>
      <c r="F483" s="35">
        <f t="shared" si="310"/>
        <v>-2E-3</v>
      </c>
      <c r="G483" s="35">
        <f t="shared" si="310"/>
        <v>9.9000000000000005E-2</v>
      </c>
      <c r="H483" s="35">
        <f t="shared" si="310"/>
        <v>0.06</v>
      </c>
      <c r="I483" s="35">
        <f t="shared" si="310"/>
        <v>4.0000000000000001E-3</v>
      </c>
      <c r="J483" s="17">
        <f t="shared" si="310"/>
        <v>2.4E-2</v>
      </c>
      <c r="K483" s="17">
        <f t="shared" si="310"/>
        <v>5.5E-2</v>
      </c>
      <c r="L483" s="17">
        <f t="shared" si="310"/>
        <v>4.4999999999999998E-2</v>
      </c>
      <c r="M483" s="17">
        <f t="shared" si="310"/>
        <v>5.1999999999999998E-2</v>
      </c>
      <c r="N483" s="17">
        <f t="shared" si="310"/>
        <v>0.06</v>
      </c>
      <c r="O483" s="16">
        <f ca="1">IF(O$6=OFFSET(Assumptions!$B$8,0,$C$1),OFFSET(Assumptions!$B$9,0,$C$1),N$483)</f>
        <v>0</v>
      </c>
      <c r="P483" s="16">
        <f ca="1">IF(P$6=OFFSET(Assumptions!$B$8,0,$C$1),OFFSET(Assumptions!$B$9,0,$C$1),O$483)</f>
        <v>0</v>
      </c>
      <c r="Q483" s="16">
        <f ca="1">IF(Q$6=OFFSET(Assumptions!$B$8,0,$C$1),OFFSET(Assumptions!$B$9,0,$C$1),P$483)</f>
        <v>0</v>
      </c>
      <c r="R483" s="16">
        <f ca="1">IF(R$6=OFFSET(Assumptions!$B$8,0,$C$1),OFFSET(Assumptions!$B$9,0,$C$1),Q$483)</f>
        <v>0</v>
      </c>
      <c r="S483" s="16">
        <f ca="1">IF(S$6=OFFSET(Assumptions!$B$8,0,$C$1),OFFSET(Assumptions!$B$9,0,$C$1),R$483)</f>
        <v>0</v>
      </c>
      <c r="T483" s="16">
        <f ca="1">IF(T$6=OFFSET(Assumptions!$B$8,0,$C$1),OFFSET(Assumptions!$B$9,0,$C$1),S$483)</f>
        <v>0</v>
      </c>
      <c r="U483" s="16">
        <f ca="1">IF(U$6=OFFSET(Assumptions!$B$8,0,$C$1),OFFSET(Assumptions!$B$9,0,$C$1),T$483)</f>
        <v>0</v>
      </c>
      <c r="V483" s="16">
        <f ca="1">IF(V$6=OFFSET(Assumptions!$B$8,0,$C$1),OFFSET(Assumptions!$B$9,0,$C$1),U$483)</f>
        <v>0</v>
      </c>
      <c r="W483" s="16">
        <f ca="1">IF(W$6=OFFSET(Assumptions!$B$8,0,$C$1),OFFSET(Assumptions!$B$9,0,$C$1),V$483)</f>
        <v>0</v>
      </c>
      <c r="X483" s="16">
        <f ca="1">IF(X$6=OFFSET(Assumptions!$B$8,0,$C$1),OFFSET(Assumptions!$B$9,0,$C$1),W$483)</f>
        <v>0</v>
      </c>
    </row>
    <row r="484" spans="1:24" x14ac:dyDescent="0.25">
      <c r="A484" s="11" t="s">
        <v>1114</v>
      </c>
      <c r="B484" s="10" t="str">
        <f t="shared" ref="B484:B486" si="311">$B$38</f>
        <v>From Fiscal Forecasts</v>
      </c>
      <c r="D484" s="35">
        <f>'Fiscal Forecasts'!D$197-D$483</f>
        <v>7.5890000000000004</v>
      </c>
      <c r="E484" s="35">
        <f>'Fiscal Forecasts'!E$197-E$483</f>
        <v>9.3109999999999999</v>
      </c>
      <c r="F484" s="35">
        <f>'Fiscal Forecasts'!F$197-F$483</f>
        <v>8.6100000000000012</v>
      </c>
      <c r="G484" s="35">
        <f>'Fiscal Forecasts'!G$197-G$483</f>
        <v>8.7850000000000001</v>
      </c>
      <c r="H484" s="35">
        <f>'Fiscal Forecasts'!H$197-H$483</f>
        <v>8.2880000000000003</v>
      </c>
      <c r="I484" s="35">
        <f>'Fiscal Forecasts'!I$197-I$483</f>
        <v>8.875</v>
      </c>
      <c r="J484" s="17">
        <f>'Fiscal Forecasts'!J$197-J$483</f>
        <v>11.777000000000001</v>
      </c>
      <c r="K484" s="17">
        <f>'Fiscal Forecasts'!K$197-K$483</f>
        <v>11.204000000000001</v>
      </c>
      <c r="L484" s="17">
        <f>'Fiscal Forecasts'!L$197-L$483</f>
        <v>11.087</v>
      </c>
      <c r="M484" s="17">
        <f>'Fiscal Forecasts'!M$197-M$483</f>
        <v>10.794</v>
      </c>
      <c r="N484" s="17">
        <f>'Fiscal Forecasts'!N$197-N$483</f>
        <v>10.699</v>
      </c>
      <c r="O484" s="16">
        <f t="shared" ref="O484:X484" ca="1" si="312">N$484*(1+O$29)</f>
        <v>10.912979999999999</v>
      </c>
      <c r="P484" s="16">
        <f t="shared" ca="1" si="312"/>
        <v>11.131239599999999</v>
      </c>
      <c r="Q484" s="16">
        <f t="shared" ca="1" si="312"/>
        <v>11.353864391999998</v>
      </c>
      <c r="R484" s="16">
        <f t="shared" ca="1" si="312"/>
        <v>11.580941679839999</v>
      </c>
      <c r="S484" s="16">
        <f t="shared" ca="1" si="312"/>
        <v>11.812560513436798</v>
      </c>
      <c r="T484" s="16">
        <f t="shared" ca="1" si="312"/>
        <v>12.048811723705535</v>
      </c>
      <c r="U484" s="16">
        <f t="shared" ca="1" si="312"/>
        <v>12.289787958179646</v>
      </c>
      <c r="V484" s="16">
        <f t="shared" ca="1" si="312"/>
        <v>12.53558371734324</v>
      </c>
      <c r="W484" s="16">
        <f t="shared" ca="1" si="312"/>
        <v>12.786295391690105</v>
      </c>
      <c r="X484" s="16">
        <f t="shared" ca="1" si="312"/>
        <v>13.042021299523908</v>
      </c>
    </row>
    <row r="485" spans="1:24" x14ac:dyDescent="0.25">
      <c r="A485" s="9" t="s">
        <v>1115</v>
      </c>
      <c r="D485" s="65">
        <f t="shared" ref="D485:X485" si="313">SUM(D$483:D$484)</f>
        <v>7.5890000000000004</v>
      </c>
      <c r="E485" s="65">
        <f t="shared" si="313"/>
        <v>9.3089999999999993</v>
      </c>
      <c r="F485" s="65">
        <f t="shared" si="313"/>
        <v>8.6080000000000005</v>
      </c>
      <c r="G485" s="65">
        <f t="shared" si="313"/>
        <v>8.8840000000000003</v>
      </c>
      <c r="H485" s="65">
        <f t="shared" si="313"/>
        <v>8.3480000000000008</v>
      </c>
      <c r="I485" s="65">
        <f t="shared" si="313"/>
        <v>8.8789999999999996</v>
      </c>
      <c r="J485" s="66">
        <f t="shared" si="313"/>
        <v>11.801</v>
      </c>
      <c r="K485" s="66">
        <f t="shared" si="313"/>
        <v>11.259</v>
      </c>
      <c r="L485" s="66">
        <f t="shared" si="313"/>
        <v>11.132</v>
      </c>
      <c r="M485" s="66">
        <f t="shared" si="313"/>
        <v>10.846</v>
      </c>
      <c r="N485" s="66">
        <f t="shared" si="313"/>
        <v>10.759</v>
      </c>
      <c r="O485" s="67">
        <f t="shared" ca="1" si="313"/>
        <v>10.912979999999999</v>
      </c>
      <c r="P485" s="67">
        <f t="shared" ca="1" si="313"/>
        <v>11.131239599999999</v>
      </c>
      <c r="Q485" s="67">
        <f t="shared" ca="1" si="313"/>
        <v>11.353864391999998</v>
      </c>
      <c r="R485" s="67">
        <f t="shared" ca="1" si="313"/>
        <v>11.580941679839999</v>
      </c>
      <c r="S485" s="67">
        <f t="shared" ca="1" si="313"/>
        <v>11.812560513436798</v>
      </c>
      <c r="T485" s="67">
        <f t="shared" ca="1" si="313"/>
        <v>12.048811723705535</v>
      </c>
      <c r="U485" s="67">
        <f t="shared" ca="1" si="313"/>
        <v>12.289787958179646</v>
      </c>
      <c r="V485" s="67">
        <f t="shared" ca="1" si="313"/>
        <v>12.53558371734324</v>
      </c>
      <c r="W485" s="67">
        <f t="shared" ca="1" si="313"/>
        <v>12.786295391690105</v>
      </c>
      <c r="X485" s="67">
        <f t="shared" ca="1" si="313"/>
        <v>13.042021299523908</v>
      </c>
    </row>
    <row r="486" spans="1:24" x14ac:dyDescent="0.25">
      <c r="A486" s="9" t="s">
        <v>1116</v>
      </c>
      <c r="B486" s="10" t="str">
        <f t="shared" si="311"/>
        <v>From Fiscal Forecasts</v>
      </c>
      <c r="D486" s="42">
        <f>'Fiscal Forecasts'!D$141</f>
        <v>10.708</v>
      </c>
      <c r="E486" s="42">
        <f>'Fiscal Forecasts'!E$141</f>
        <v>12.68</v>
      </c>
      <c r="F486" s="42">
        <f>'Fiscal Forecasts'!F$141</f>
        <v>13.263</v>
      </c>
      <c r="G486" s="42">
        <f>'Fiscal Forecasts'!G$141</f>
        <v>14.333</v>
      </c>
      <c r="H486" s="42">
        <f>'Fiscal Forecasts'!H$141</f>
        <v>15.426</v>
      </c>
      <c r="I486" s="42">
        <f>'Fiscal Forecasts'!I$141</f>
        <v>16.045000000000002</v>
      </c>
      <c r="J486" s="43">
        <f>'Fiscal Forecasts'!J$141</f>
        <v>17.672000000000001</v>
      </c>
      <c r="K486" s="43">
        <f>'Fiscal Forecasts'!K$141</f>
        <v>16.707000000000001</v>
      </c>
      <c r="L486" s="43">
        <f>'Fiscal Forecasts'!L$141</f>
        <v>16.04</v>
      </c>
      <c r="M486" s="43">
        <f>'Fiscal Forecasts'!M$141</f>
        <v>15.742000000000001</v>
      </c>
      <c r="N486" s="43">
        <f>'Fiscal Forecasts'!N$141</f>
        <v>15.646000000000001</v>
      </c>
      <c r="O486" s="47">
        <f t="shared" ref="O486:X486" ca="1" si="314">O$485+(N$486-N$485)*(1+O$29)</f>
        <v>15.89772</v>
      </c>
      <c r="P486" s="47">
        <f t="shared" ca="1" si="314"/>
        <v>16.215674399999997</v>
      </c>
      <c r="Q486" s="47">
        <f t="shared" ca="1" si="314"/>
        <v>16.539987887999999</v>
      </c>
      <c r="R486" s="47">
        <f t="shared" ca="1" si="314"/>
        <v>16.87078764576</v>
      </c>
      <c r="S486" s="47">
        <f t="shared" ca="1" si="314"/>
        <v>17.208203398675199</v>
      </c>
      <c r="T486" s="47">
        <f t="shared" ca="1" si="314"/>
        <v>17.552367466648704</v>
      </c>
      <c r="U486" s="47">
        <f t="shared" ca="1" si="314"/>
        <v>17.903414815981677</v>
      </c>
      <c r="V486" s="47">
        <f t="shared" ca="1" si="314"/>
        <v>18.26148311230131</v>
      </c>
      <c r="W486" s="47">
        <f t="shared" ca="1" si="314"/>
        <v>18.626712774547336</v>
      </c>
      <c r="X486" s="47">
        <f t="shared" ca="1" si="314"/>
        <v>18.999247030038283</v>
      </c>
    </row>
    <row r="488" spans="1:24" x14ac:dyDescent="0.25">
      <c r="A488" s="9" t="s">
        <v>1117</v>
      </c>
    </row>
    <row r="489" spans="1:24" x14ac:dyDescent="0.25">
      <c r="A489" s="11" t="s">
        <v>801</v>
      </c>
      <c r="B489" s="10" t="str">
        <f t="shared" ref="B489:B495" si="315">$B$38</f>
        <v>From Fiscal Forecasts</v>
      </c>
      <c r="D489" s="35">
        <f>'Fiscal Forecasts'!D$387</f>
        <v>83.715999999999994</v>
      </c>
      <c r="E489" s="35">
        <f>'Fiscal Forecasts'!E$387</f>
        <v>84.31</v>
      </c>
      <c r="F489" s="35">
        <f>'Fiscal Forecasts'!F$387</f>
        <v>96.551000000000002</v>
      </c>
      <c r="G489" s="35">
        <f>'Fiscal Forecasts'!G$387</f>
        <v>105.48699999999999</v>
      </c>
      <c r="H489" s="35">
        <f>'Fiscal Forecasts'!H$387</f>
        <v>111.292</v>
      </c>
      <c r="I489" s="35">
        <f>'Fiscal Forecasts'!I$387</f>
        <v>116.73699999999999</v>
      </c>
      <c r="J489" s="17">
        <f>'Fiscal Forecasts'!J$387+IF($C$2="Yes",SUM('Fiscal Forecast Adjuster'!C$8:C$13)/1000,0)+IF($C$3="Yes",'NZSF Adjuster'!U$22-'Fiscal Forecasts'!J$359,0)</f>
        <v>123.553</v>
      </c>
      <c r="K489" s="17">
        <f>'Fiscal Forecasts'!K$387+IF($C$2="Yes",SUM('Fiscal Forecast Adjuster'!D$8:D$13)/1000,0)+IF($C$3="Yes",'NZSF Adjuster'!V$22-'Fiscal Forecasts'!K$359,0)</f>
        <v>125.956</v>
      </c>
      <c r="L489" s="17">
        <f>'Fiscal Forecasts'!L$387+IF($C$2="Yes",SUM('Fiscal Forecast Adjuster'!E$8:E$13)/1000,0)+IF($C$3="Yes",'NZSF Adjuster'!W$22-'Fiscal Forecasts'!L$359,0)</f>
        <v>133.53399999999999</v>
      </c>
      <c r="M489" s="17">
        <f>'Fiscal Forecasts'!M$387+IF($C$2="Yes",SUM('Fiscal Forecast Adjuster'!F$8:F$13)/1000,0)+IF($C$3="Yes",'NZSF Adjuster'!X$22-'Fiscal Forecasts'!M$359,0)</f>
        <v>140.86500000000001</v>
      </c>
      <c r="N489" s="17">
        <f>'Fiscal Forecasts'!N$387+IF($C$2="Yes",SUM('Fiscal Forecast Adjuster'!G$8:G$13)/1000,0)+IF($C$3="Yes",'NZSF Adjuster'!Y$22-'Fiscal Forecasts'!N$359,0)</f>
        <v>148.369</v>
      </c>
      <c r="O489" s="16">
        <f t="shared" ref="O489:X489" ca="1" si="316">SUM(O$142,O$385,O$458-N$458)-SUM(O$360-N$360,O$282)</f>
        <v>154.03058814526557</v>
      </c>
      <c r="P489" s="16">
        <f t="shared" ca="1" si="316"/>
        <v>160.35372371483743</v>
      </c>
      <c r="Q489" s="16">
        <f t="shared" ca="1" si="316"/>
        <v>166.91393222973528</v>
      </c>
      <c r="R489" s="16">
        <f t="shared" ca="1" si="316"/>
        <v>173.51239362483147</v>
      </c>
      <c r="S489" s="16">
        <f t="shared" ca="1" si="316"/>
        <v>180.2441093860904</v>
      </c>
      <c r="T489" s="16">
        <f t="shared" ca="1" si="316"/>
        <v>187.11080442961128</v>
      </c>
      <c r="U489" s="16">
        <f t="shared" ca="1" si="316"/>
        <v>194.0746238970938</v>
      </c>
      <c r="V489" s="16">
        <f t="shared" ca="1" si="316"/>
        <v>201.1427007210402</v>
      </c>
      <c r="W489" s="16">
        <f t="shared" ca="1" si="316"/>
        <v>208.31532460548382</v>
      </c>
      <c r="X489" s="16">
        <f t="shared" ca="1" si="316"/>
        <v>215.64250245858591</v>
      </c>
    </row>
    <row r="490" spans="1:24" x14ac:dyDescent="0.25">
      <c r="A490" s="11" t="s">
        <v>575</v>
      </c>
      <c r="B490" s="10" t="str">
        <f t="shared" si="315"/>
        <v>From Fiscal Forecasts</v>
      </c>
      <c r="D490" s="35">
        <f>'Fiscal Forecasts'!D$388</f>
        <v>1.359</v>
      </c>
      <c r="E490" s="35">
        <f>'Fiscal Forecasts'!E$388</f>
        <v>1.226</v>
      </c>
      <c r="F490" s="35">
        <f>'Fiscal Forecasts'!F$388</f>
        <v>2.2869999999999999</v>
      </c>
      <c r="G490" s="35">
        <f>'Fiscal Forecasts'!G$388</f>
        <v>3.3639999999999999</v>
      </c>
      <c r="H490" s="35">
        <f>'Fiscal Forecasts'!H$388</f>
        <v>2.492</v>
      </c>
      <c r="I490" s="35">
        <f>'Fiscal Forecasts'!I$388</f>
        <v>1.79</v>
      </c>
      <c r="J490" s="17">
        <f>'Fiscal Forecasts'!J$388</f>
        <v>1.9770000000000001</v>
      </c>
      <c r="K490" s="17">
        <f>'Fiscal Forecasts'!K$388</f>
        <v>2.2309999999999999</v>
      </c>
      <c r="L490" s="17">
        <f>'Fiscal Forecasts'!L$388</f>
        <v>2.371</v>
      </c>
      <c r="M490" s="17">
        <f>'Fiscal Forecasts'!M$388</f>
        <v>2.367</v>
      </c>
      <c r="N490" s="17">
        <f>'Fiscal Forecasts'!N$388</f>
        <v>2.35</v>
      </c>
      <c r="O490" s="16">
        <f t="shared" ref="O490:X490" ca="1" si="317">SUM(O$146,O$151)</f>
        <v>2.6429340481804928</v>
      </c>
      <c r="P490" s="16">
        <f t="shared" ca="1" si="317"/>
        <v>2.7216053594266576</v>
      </c>
      <c r="Q490" s="16">
        <f t="shared" ca="1" si="317"/>
        <v>2.8012224425256846</v>
      </c>
      <c r="R490" s="16">
        <f t="shared" ca="1" si="317"/>
        <v>2.8810709463860236</v>
      </c>
      <c r="S490" s="16">
        <f t="shared" ca="1" si="317"/>
        <v>2.9615746880905123</v>
      </c>
      <c r="T490" s="16">
        <f t="shared" ca="1" si="317"/>
        <v>3.0425449995930327</v>
      </c>
      <c r="U490" s="16">
        <f t="shared" ca="1" si="317"/>
        <v>3.1250404675093675</v>
      </c>
      <c r="V490" s="16">
        <f t="shared" ca="1" si="317"/>
        <v>3.2086487064120868</v>
      </c>
      <c r="W490" s="16">
        <f t="shared" ca="1" si="317"/>
        <v>3.2921789269818311</v>
      </c>
      <c r="X490" s="16">
        <f t="shared" ca="1" si="317"/>
        <v>3.3765125193692844</v>
      </c>
    </row>
    <row r="491" spans="1:24" x14ac:dyDescent="0.25">
      <c r="A491" s="11" t="s">
        <v>802</v>
      </c>
      <c r="B491" s="10" t="str">
        <f t="shared" si="315"/>
        <v>From Fiscal Forecasts</v>
      </c>
      <c r="D491" s="35">
        <f>'Fiscal Forecasts'!D$389</f>
        <v>0.71199999999999997</v>
      </c>
      <c r="E491" s="35">
        <f>'Fiscal Forecasts'!E$389</f>
        <v>0.42799999999999999</v>
      </c>
      <c r="F491" s="35">
        <f>'Fiscal Forecasts'!F$389</f>
        <v>0.249</v>
      </c>
      <c r="G491" s="35">
        <f>'Fiscal Forecasts'!G$389</f>
        <v>0.39300000000000002</v>
      </c>
      <c r="H491" s="35">
        <f>'Fiscal Forecasts'!H$389</f>
        <v>0.98199999999999998</v>
      </c>
      <c r="I491" s="35">
        <f>'Fiscal Forecasts'!I$389</f>
        <v>1.8779999999999999</v>
      </c>
      <c r="J491" s="17">
        <f>'Fiscal Forecasts'!J$389</f>
        <v>2.7080000000000002</v>
      </c>
      <c r="K491" s="17">
        <f>'Fiscal Forecasts'!K$389</f>
        <v>2.2959999999999998</v>
      </c>
      <c r="L491" s="17">
        <f>'Fiscal Forecasts'!L$389</f>
        <v>1.3180000000000001</v>
      </c>
      <c r="M491" s="17">
        <f>'Fiscal Forecasts'!M$389</f>
        <v>1.2809999999999999</v>
      </c>
      <c r="N491" s="17">
        <f>'Fiscal Forecasts'!N$389</f>
        <v>1.3220000000000001</v>
      </c>
      <c r="O491" s="16">
        <f t="shared" ref="O491:X491" ca="1" si="318">SUM(O$154,O$169,O$177)</f>
        <v>4.4155915525049076</v>
      </c>
      <c r="P491" s="16">
        <f t="shared" ca="1" si="318"/>
        <v>4.5564632751770393</v>
      </c>
      <c r="Q491" s="16">
        <f t="shared" ca="1" si="318"/>
        <v>4.699028531464629</v>
      </c>
      <c r="R491" s="16">
        <f t="shared" ca="1" si="318"/>
        <v>4.8420081782179638</v>
      </c>
      <c r="S491" s="16">
        <f t="shared" ca="1" si="318"/>
        <v>4.9861611177816423</v>
      </c>
      <c r="T491" s="16">
        <f t="shared" ca="1" si="318"/>
        <v>5.1311495142628969</v>
      </c>
      <c r="U491" s="16">
        <f t="shared" ca="1" si="318"/>
        <v>5.278868911511208</v>
      </c>
      <c r="V491" s="16">
        <f t="shared" ca="1" si="318"/>
        <v>5.4285808771215862</v>
      </c>
      <c r="W491" s="16">
        <f t="shared" ca="1" si="318"/>
        <v>5.5781531402560294</v>
      </c>
      <c r="X491" s="16">
        <f t="shared" ca="1" si="318"/>
        <v>5.7291639503031178</v>
      </c>
    </row>
    <row r="492" spans="1:24" x14ac:dyDescent="0.25">
      <c r="A492" s="11" t="s">
        <v>576</v>
      </c>
      <c r="B492" s="10" t="str">
        <f t="shared" si="315"/>
        <v>From Fiscal Forecasts</v>
      </c>
      <c r="D492" s="35">
        <f>'Fiscal Forecasts'!D$390</f>
        <v>3.2</v>
      </c>
      <c r="E492" s="35">
        <f>'Fiscal Forecasts'!E$390</f>
        <v>3.2429999999999999</v>
      </c>
      <c r="F492" s="35">
        <f>'Fiscal Forecasts'!F$390</f>
        <v>2.98</v>
      </c>
      <c r="G492" s="35">
        <f>'Fiscal Forecasts'!G$390</f>
        <v>2.883</v>
      </c>
      <c r="H492" s="35">
        <f>'Fiscal Forecasts'!H$390</f>
        <v>3.9540000000000002</v>
      </c>
      <c r="I492" s="35">
        <f>'Fiscal Forecasts'!I$390</f>
        <v>3.7789999999999999</v>
      </c>
      <c r="J492" s="17">
        <f>'Fiscal Forecasts'!J$390</f>
        <v>3.89</v>
      </c>
      <c r="K492" s="17">
        <f>'Fiscal Forecasts'!K$390</f>
        <v>4.1050000000000004</v>
      </c>
      <c r="L492" s="17">
        <f>'Fiscal Forecasts'!L$390</f>
        <v>4.0579999999999998</v>
      </c>
      <c r="M492" s="17">
        <f>'Fiscal Forecasts'!M$390</f>
        <v>4.1710000000000003</v>
      </c>
      <c r="N492" s="17">
        <f>'Fiscal Forecasts'!N$390</f>
        <v>4.2569999999999997</v>
      </c>
      <c r="O492" s="16">
        <f t="shared" ref="O492:X492" ca="1" si="319">SUM(O$160,O$341)</f>
        <v>3.1799687142148629</v>
      </c>
      <c r="P492" s="16">
        <f t="shared" ca="1" si="319"/>
        <v>3.2225883059503575</v>
      </c>
      <c r="Q492" s="16">
        <f t="shared" ca="1" si="319"/>
        <v>3.2656212012352208</v>
      </c>
      <c r="R492" s="16">
        <f t="shared" ca="1" si="319"/>
        <v>3.309055477854896</v>
      </c>
      <c r="S492" s="16">
        <f t="shared" ca="1" si="319"/>
        <v>3.3530554434049047</v>
      </c>
      <c r="T492" s="16">
        <f t="shared" ca="1" si="319"/>
        <v>3.3921354471533838</v>
      </c>
      <c r="U492" s="16">
        <f t="shared" ca="1" si="319"/>
        <v>3.4316313478063689</v>
      </c>
      <c r="V492" s="16">
        <f t="shared" ca="1" si="319"/>
        <v>3.4715606234926826</v>
      </c>
      <c r="W492" s="16">
        <f t="shared" ca="1" si="319"/>
        <v>3.5119261722492077</v>
      </c>
      <c r="X492" s="16">
        <f t="shared" ca="1" si="319"/>
        <v>3.5527904360154672</v>
      </c>
    </row>
    <row r="493" spans="1:24" x14ac:dyDescent="0.25">
      <c r="A493" s="11" t="s">
        <v>534</v>
      </c>
      <c r="B493" s="10" t="str">
        <f t="shared" si="315"/>
        <v>From Fiscal Forecasts</v>
      </c>
      <c r="D493" s="35">
        <f>'Fiscal Forecasts'!D$391</f>
        <v>28.91</v>
      </c>
      <c r="E493" s="35">
        <f>'Fiscal Forecasts'!E$391</f>
        <v>43.915999999999997</v>
      </c>
      <c r="F493" s="35">
        <f>'Fiscal Forecasts'!F$391</f>
        <v>36.573999999999998</v>
      </c>
      <c r="G493" s="35">
        <f>'Fiscal Forecasts'!G$391</f>
        <v>45.44</v>
      </c>
      <c r="H493" s="35">
        <f>'Fiscal Forecasts'!H$391</f>
        <v>40.417000000000002</v>
      </c>
      <c r="I493" s="35">
        <f>'Fiscal Forecasts'!I$391</f>
        <v>43.494999999999997</v>
      </c>
      <c r="J493" s="17">
        <f>'Fiscal Forecasts'!J$391+IF($C$2="Yes",SUM('Fiscal Forecast Adjuster'!C$16:C$24)/1000,0)</f>
        <v>47.723999999999997</v>
      </c>
      <c r="K493" s="17">
        <f>'Fiscal Forecasts'!K$391+IF($C$2="Yes",SUM('Fiscal Forecast Adjuster'!D$16:D$24)/1000,0)</f>
        <v>49.08</v>
      </c>
      <c r="L493" s="17">
        <f>'Fiscal Forecasts'!L$391+IF($C$2="Yes",SUM('Fiscal Forecast Adjuster'!E$16:E$24)/1000,0)</f>
        <v>50.116</v>
      </c>
      <c r="M493" s="17">
        <f>'Fiscal Forecasts'!M$391+IF($C$2="Yes",SUM('Fiscal Forecast Adjuster'!F$16:F$24)/1000,0)</f>
        <v>51.552</v>
      </c>
      <c r="N493" s="17">
        <f>'Fiscal Forecasts'!N$391+IF($C$2="Yes",SUM('Fiscal Forecast Adjuster'!G$16:G$24)/1000,0)</f>
        <v>53.042000000000002</v>
      </c>
      <c r="O493" s="16">
        <f t="shared" ref="O493:X493" ca="1" si="320">O$195</f>
        <v>52.716537878014769</v>
      </c>
      <c r="P493" s="16">
        <f t="shared" ca="1" si="320"/>
        <v>54.97496932655698</v>
      </c>
      <c r="Q493" s="16">
        <f t="shared" ca="1" si="320"/>
        <v>57.336481433380918</v>
      </c>
      <c r="R493" s="16">
        <f t="shared" ca="1" si="320"/>
        <v>59.784834344606928</v>
      </c>
      <c r="S493" s="16">
        <f t="shared" ca="1" si="320"/>
        <v>62.321710620668796</v>
      </c>
      <c r="T493" s="16">
        <f t="shared" ca="1" si="320"/>
        <v>64.903902206045629</v>
      </c>
      <c r="U493" s="16">
        <f t="shared" ca="1" si="320"/>
        <v>67.58738423613697</v>
      </c>
      <c r="V493" s="16">
        <f t="shared" ca="1" si="320"/>
        <v>70.30501559046796</v>
      </c>
      <c r="W493" s="16">
        <f t="shared" ca="1" si="320"/>
        <v>72.993209551386627</v>
      </c>
      <c r="X493" s="16">
        <f t="shared" ca="1" si="320"/>
        <v>75.659959432481941</v>
      </c>
    </row>
    <row r="494" spans="1:24" x14ac:dyDescent="0.25">
      <c r="A494" s="11" t="s">
        <v>1124</v>
      </c>
      <c r="B494" s="10" t="str">
        <f t="shared" si="315"/>
        <v>From Fiscal Forecasts</v>
      </c>
      <c r="D494" s="35">
        <f>'Fiscal Forecasts'!D$392</f>
        <v>50.591000000000001</v>
      </c>
      <c r="E494" s="35">
        <f>'Fiscal Forecasts'!E$392</f>
        <v>56.582999999999998</v>
      </c>
      <c r="F494" s="35">
        <f>'Fiscal Forecasts'!F$392</f>
        <v>63.893999999999998</v>
      </c>
      <c r="G494" s="35">
        <f>'Fiscal Forecasts'!G$392</f>
        <v>71.98</v>
      </c>
      <c r="H494" s="35">
        <f>'Fiscal Forecasts'!H$392</f>
        <v>76.433999999999997</v>
      </c>
      <c r="I494" s="35">
        <f>'Fiscal Forecasts'!I$392</f>
        <v>79.747</v>
      </c>
      <c r="J494" s="17">
        <f ca="1">'Fiscal Forecasts'!J$392+IF(OFFSET(Assumptions!$B$56,0,$C$1)="Yes",SUM(Allocation!C$14:C$24),0)+IF($C$2="Yes",'Fiscal Forecast Adjuster'!C$26/1000,0)</f>
        <v>84.227999999999994</v>
      </c>
      <c r="K494" s="17">
        <f ca="1">'Fiscal Forecasts'!K$392+IF(OFFSET(Assumptions!$B$56,0,$C$1)="Yes",SUM(Allocation!D$14:D$24),0)+IF($C$2="Yes",'Fiscal Forecast Adjuster'!D$26/1000,0)</f>
        <v>83.905000000000001</v>
      </c>
      <c r="L494" s="17">
        <f ca="1">'Fiscal Forecasts'!L$392+IF(OFFSET(Assumptions!$B$56,0,$C$1)="Yes",SUM(Allocation!E$14:E$24),0)+IF($C$2="Yes",'Fiscal Forecast Adjuster'!E$26/1000,0)</f>
        <v>84.182000000000002</v>
      </c>
      <c r="M494" s="17">
        <f ca="1">'Fiscal Forecasts'!M$392+IF(OFFSET(Assumptions!$B$56,0,$C$1)="Yes",SUM(Allocation!F$14:F$24),0)+IF($C$2="Yes",'Fiscal Forecast Adjuster'!F$26/1000,0)</f>
        <v>82.603999999999999</v>
      </c>
      <c r="N494" s="17">
        <f ca="1">'Fiscal Forecasts'!N$392+IF(OFFSET(Assumptions!$B$56,0,$C$1)="Yes",SUM(Allocation!G$14:G$24),0)+IF($C$2="Yes",'Fiscal Forecast Adjuster'!G$26/1000,0)</f>
        <v>82.471999999999994</v>
      </c>
      <c r="O494" s="16">
        <f t="shared" ref="O494:X494" ca="1" si="321">SUM(O$208,O$222,O$237)-SUM(O$219,O$272,O$280,O$282,O$322,O$472-N$472,O$478-N$478)</f>
        <v>84.020885134545338</v>
      </c>
      <c r="P494" s="16">
        <f t="shared" ca="1" si="321"/>
        <v>84.000317857049339</v>
      </c>
      <c r="Q494" s="16">
        <f t="shared" ca="1" si="321"/>
        <v>84.168700027242323</v>
      </c>
      <c r="R494" s="16">
        <f t="shared" ca="1" si="321"/>
        <v>84.377585238986342</v>
      </c>
      <c r="S494" s="16">
        <f t="shared" ca="1" si="321"/>
        <v>84.588120458579326</v>
      </c>
      <c r="T494" s="16">
        <f t="shared" ca="1" si="321"/>
        <v>84.80180430042617</v>
      </c>
      <c r="U494" s="16">
        <f t="shared" ca="1" si="321"/>
        <v>85.011330352017708</v>
      </c>
      <c r="V494" s="16">
        <f t="shared" ca="1" si="321"/>
        <v>85.228490095554136</v>
      </c>
      <c r="W494" s="16">
        <f t="shared" ca="1" si="321"/>
        <v>85.448322854502706</v>
      </c>
      <c r="X494" s="16">
        <f t="shared" ca="1" si="321"/>
        <v>85.67263623108424</v>
      </c>
    </row>
    <row r="495" spans="1:24" x14ac:dyDescent="0.25">
      <c r="A495" s="11" t="s">
        <v>580</v>
      </c>
      <c r="B495" s="10" t="str">
        <f t="shared" si="315"/>
        <v>From Fiscal Forecasts</v>
      </c>
      <c r="D495" s="35">
        <f>'Fiscal Forecasts'!D$393</f>
        <v>3.45</v>
      </c>
      <c r="E495" s="35">
        <f>'Fiscal Forecasts'!E$393</f>
        <v>3.016</v>
      </c>
      <c r="F495" s="35">
        <f>'Fiscal Forecasts'!F$393</f>
        <v>2.6419999999999999</v>
      </c>
      <c r="G495" s="35">
        <f>'Fiscal Forecasts'!G$393</f>
        <v>2.8410000000000002</v>
      </c>
      <c r="H495" s="35">
        <f>'Fiscal Forecasts'!H$393</f>
        <v>5.3049999999999997</v>
      </c>
      <c r="I495" s="35">
        <f>'Fiscal Forecasts'!I$393</f>
        <v>7.0439999999999996</v>
      </c>
      <c r="J495" s="17">
        <f>'Fiscal Forecasts'!J$393+IF($C$2="Yes",'Fiscal Forecast Adjuster'!C$37/1000,0)+IF($C$3="Yes",'NZSF Adjuster'!U$9,0)</f>
        <v>6.9340000000000002</v>
      </c>
      <c r="K495" s="17">
        <f>'Fiscal Forecasts'!K$393+IF($C$2="Yes",'Fiscal Forecast Adjuster'!D$37/1000,0)+IF($C$3="Yes",'NZSF Adjuster'!V$9,0)</f>
        <v>7.6150000000000002</v>
      </c>
      <c r="L495" s="17">
        <f>'Fiscal Forecasts'!L$393+IF($C$2="Yes",'Fiscal Forecast Adjuster'!E$37/1000,0)+IF($C$3="Yes",'NZSF Adjuster'!W$9,0)</f>
        <v>8.6690000000000005</v>
      </c>
      <c r="M495" s="17">
        <f>'Fiscal Forecasts'!M$393+IF($C$2="Yes",'Fiscal Forecast Adjuster'!F$37/1000,0)+IF($C$3="Yes",'NZSF Adjuster'!X$9,0)</f>
        <v>9.2949999999999999</v>
      </c>
      <c r="N495" s="17">
        <f>'Fiscal Forecasts'!N$393+IF($C$2="Yes",'Fiscal Forecast Adjuster'!G$37/1000,0)+IF($C$3="Yes",'NZSF Adjuster'!Y$9,0)</f>
        <v>10.396000000000001</v>
      </c>
      <c r="O495" s="16">
        <f t="shared" ref="O495:X495" ca="1" si="322">(2*N$71-SUM(O$489:O$492,O$503,O$509)+SUM(O$493,O$494,O$496,O$508,O$354-N$354))/(2/O$234-1)</f>
        <v>12.980800432315222</v>
      </c>
      <c r="P495" s="16">
        <f t="shared" ca="1" si="322"/>
        <v>13.090310943283994</v>
      </c>
      <c r="Q495" s="16">
        <f t="shared" ca="1" si="322"/>
        <v>13.195249015320956</v>
      </c>
      <c r="R495" s="16">
        <f t="shared" ca="1" si="322"/>
        <v>13.230357020783462</v>
      </c>
      <c r="S495" s="16">
        <f t="shared" ca="1" si="322"/>
        <v>13.194527284340602</v>
      </c>
      <c r="T495" s="16">
        <f t="shared" ca="1" si="322"/>
        <v>13.037809134856799</v>
      </c>
      <c r="U495" s="16">
        <f t="shared" ca="1" si="322"/>
        <v>12.803060829163035</v>
      </c>
      <c r="V495" s="16">
        <f t="shared" ca="1" si="322"/>
        <v>12.488656357506748</v>
      </c>
      <c r="W495" s="16">
        <f t="shared" ca="1" si="322"/>
        <v>12.092861758300087</v>
      </c>
      <c r="X495" s="16">
        <f t="shared" ca="1" si="322"/>
        <v>11.613078148015521</v>
      </c>
    </row>
    <row r="496" spans="1:24" x14ac:dyDescent="0.25">
      <c r="A496" s="11" t="s">
        <v>1125</v>
      </c>
      <c r="D496" s="35">
        <f t="shared" ref="D496:X496" si="323">SUM(D$245,D$248)</f>
        <v>0</v>
      </c>
      <c r="E496" s="35">
        <f t="shared" si="323"/>
        <v>0</v>
      </c>
      <c r="F496" s="35">
        <f t="shared" si="323"/>
        <v>0</v>
      </c>
      <c r="G496" s="35">
        <f t="shared" si="323"/>
        <v>0</v>
      </c>
      <c r="H496" s="35">
        <f t="shared" si="323"/>
        <v>0</v>
      </c>
      <c r="I496" s="35">
        <f t="shared" si="323"/>
        <v>0</v>
      </c>
      <c r="J496" s="17">
        <f t="shared" ca="1" si="323"/>
        <v>-2.7</v>
      </c>
      <c r="K496" s="17">
        <f t="shared" ca="1" si="323"/>
        <v>0.82</v>
      </c>
      <c r="L496" s="17">
        <f t="shared" ca="1" si="323"/>
        <v>2.1190000000000002</v>
      </c>
      <c r="M496" s="17">
        <f t="shared" ca="1" si="323"/>
        <v>4.7690000000000001</v>
      </c>
      <c r="N496" s="17">
        <f t="shared" ca="1" si="323"/>
        <v>7.3029999999999999</v>
      </c>
      <c r="O496" s="16">
        <f t="shared" ca="1" si="323"/>
        <v>10.302999999999999</v>
      </c>
      <c r="P496" s="16">
        <f t="shared" ca="1" si="323"/>
        <v>12.774999999999999</v>
      </c>
      <c r="Q496" s="16">
        <f t="shared" ca="1" si="323"/>
        <v>15.321159999999999</v>
      </c>
      <c r="R496" s="16">
        <f t="shared" ca="1" si="323"/>
        <v>17.943704799999999</v>
      </c>
      <c r="S496" s="16">
        <f t="shared" ca="1" si="323"/>
        <v>20.644925944000001</v>
      </c>
      <c r="T496" s="16">
        <f t="shared" ca="1" si="323"/>
        <v>23.427183722320002</v>
      </c>
      <c r="U496" s="16">
        <f t="shared" ca="1" si="323"/>
        <v>26.292909233989604</v>
      </c>
      <c r="V496" s="16">
        <f t="shared" ca="1" si="323"/>
        <v>29.244606511009295</v>
      </c>
      <c r="W496" s="16">
        <f t="shared" ca="1" si="323"/>
        <v>32.284854706339573</v>
      </c>
      <c r="X496" s="16">
        <f t="shared" ca="1" si="323"/>
        <v>35.416310347529759</v>
      </c>
    </row>
    <row r="497" spans="1:24" x14ac:dyDescent="0.25">
      <c r="A497" s="9" t="s">
        <v>1118</v>
      </c>
      <c r="D497" s="65">
        <f t="shared" ref="D497:I497" si="324">SUM(D$489:D$492)-SUM(D$493:D$496)</f>
        <v>6.0359999999999872</v>
      </c>
      <c r="E497" s="65">
        <f t="shared" si="324"/>
        <v>-14.308000000000007</v>
      </c>
      <c r="F497" s="65">
        <f t="shared" si="324"/>
        <v>-1.0429999999999779</v>
      </c>
      <c r="G497" s="65">
        <f t="shared" si="324"/>
        <v>-8.1340000000000003</v>
      </c>
      <c r="H497" s="65">
        <f t="shared" si="324"/>
        <v>-3.436000000000007</v>
      </c>
      <c r="I497" s="65">
        <f t="shared" si="324"/>
        <v>-6.1020000000000039</v>
      </c>
      <c r="J497" s="66">
        <f t="shared" ref="J497:N497" ca="1" si="325">SUM(J$489:J$492)-SUM(J$493:J$496)</f>
        <v>-4.0580000000000211</v>
      </c>
      <c r="K497" s="66">
        <f t="shared" ca="1" si="325"/>
        <v>-6.8320000000000221</v>
      </c>
      <c r="L497" s="66">
        <f t="shared" ca="1" si="325"/>
        <v>-3.8050000000000068</v>
      </c>
      <c r="M497" s="66">
        <f t="shared" ca="1" si="325"/>
        <v>0.46399999999999864</v>
      </c>
      <c r="N497" s="66">
        <f t="shared" ca="1" si="325"/>
        <v>3.0849999999999795</v>
      </c>
      <c r="O497" s="67">
        <f t="shared" ref="O497:X497" ca="1" si="326">SUM(O$489:O$492)-SUM(O$493:O$496)</f>
        <v>4.2478590152904872</v>
      </c>
      <c r="P497" s="67">
        <f t="shared" ca="1" si="326"/>
        <v>6.0137825285011672</v>
      </c>
      <c r="Q497" s="67">
        <f t="shared" ca="1" si="326"/>
        <v>7.6582139290165969</v>
      </c>
      <c r="R497" s="67">
        <f t="shared" ca="1" si="326"/>
        <v>9.2080468229135874</v>
      </c>
      <c r="S497" s="67">
        <f t="shared" ca="1" si="326"/>
        <v>10.795616327778731</v>
      </c>
      <c r="T497" s="67">
        <f t="shared" ca="1" si="326"/>
        <v>12.505935026971969</v>
      </c>
      <c r="U497" s="67">
        <f t="shared" ca="1" si="326"/>
        <v>14.215479972613423</v>
      </c>
      <c r="V497" s="67">
        <f t="shared" ca="1" si="326"/>
        <v>15.984722373528399</v>
      </c>
      <c r="W497" s="67">
        <f t="shared" ca="1" si="326"/>
        <v>17.878333974441887</v>
      </c>
      <c r="X497" s="67">
        <f t="shared" ca="1" si="326"/>
        <v>19.938985205162339</v>
      </c>
    </row>
    <row r="498" spans="1:24" x14ac:dyDescent="0.25">
      <c r="A498" s="11" t="s">
        <v>1126</v>
      </c>
      <c r="B498" s="10" t="str">
        <f t="shared" ref="B498:B500" si="327">$B$38</f>
        <v>From Fiscal Forecasts</v>
      </c>
      <c r="D498" s="35">
        <f>-'Fiscal Forecasts'!D$395</f>
        <v>3.0019999999999998</v>
      </c>
      <c r="E498" s="35">
        <f>-'Fiscal Forecasts'!E$395</f>
        <v>2.9550000000000001</v>
      </c>
      <c r="F498" s="35">
        <f>-'Fiscal Forecasts'!F$395</f>
        <v>3.137</v>
      </c>
      <c r="G498" s="35">
        <f>-'Fiscal Forecasts'!G$395</f>
        <v>3.4740000000000002</v>
      </c>
      <c r="H498" s="35">
        <f>-'Fiscal Forecasts'!H$395</f>
        <v>4.4349999999999996</v>
      </c>
      <c r="I498" s="35">
        <f>-'Fiscal Forecasts'!I$395</f>
        <v>4.7009999999999996</v>
      </c>
      <c r="J498" s="17">
        <f>-'Fiscal Forecasts'!J$395</f>
        <v>4.242</v>
      </c>
      <c r="K498" s="17">
        <f>-'Fiscal Forecasts'!K$395</f>
        <v>4.3230000000000004</v>
      </c>
      <c r="L498" s="17">
        <f>-'Fiscal Forecasts'!L$395</f>
        <v>3.5950000000000002</v>
      </c>
      <c r="M498" s="17">
        <f>-'Fiscal Forecasts'!M$395</f>
        <v>2.7170000000000001</v>
      </c>
      <c r="N498" s="17">
        <f>-'Fiscal Forecasts'!N$395</f>
        <v>2.4750000000000001</v>
      </c>
      <c r="O498" s="16">
        <f t="shared" ref="O498:X498" ca="1" si="328">SUM(O$427-N$427,O$215,O$441-N$441,O$219)</f>
        <v>3.403850728053635</v>
      </c>
      <c r="P498" s="16">
        <f t="shared" ca="1" si="328"/>
        <v>3.403850728053635</v>
      </c>
      <c r="Q498" s="16">
        <f t="shared" ca="1" si="328"/>
        <v>3.403850728053635</v>
      </c>
      <c r="R498" s="16">
        <f t="shared" ca="1" si="328"/>
        <v>3.403850728053635</v>
      </c>
      <c r="S498" s="16">
        <f t="shared" ca="1" si="328"/>
        <v>3.403850728053635</v>
      </c>
      <c r="T498" s="16">
        <f t="shared" ca="1" si="328"/>
        <v>3.403850728053635</v>
      </c>
      <c r="U498" s="16">
        <f t="shared" ca="1" si="328"/>
        <v>3.403850728053635</v>
      </c>
      <c r="V498" s="16">
        <f t="shared" ca="1" si="328"/>
        <v>3.403850728053635</v>
      </c>
      <c r="W498" s="16">
        <f t="shared" ca="1" si="328"/>
        <v>3.403850728053635</v>
      </c>
      <c r="X498" s="16">
        <f t="shared" ca="1" si="328"/>
        <v>3.403850728053635</v>
      </c>
    </row>
    <row r="499" spans="1:24" x14ac:dyDescent="0.25">
      <c r="A499" s="11" t="s">
        <v>1127</v>
      </c>
      <c r="B499" s="10" t="str">
        <f t="shared" si="327"/>
        <v>From Fiscal Forecasts</v>
      </c>
      <c r="D499" s="35">
        <f>-'Fiscal Forecasts'!D$396</f>
        <v>8.5999999999999993E-2</v>
      </c>
      <c r="E499" s="35">
        <f>-'Fiscal Forecasts'!E$396</f>
        <v>1.798</v>
      </c>
      <c r="F499" s="35">
        <f>-'Fiscal Forecasts'!F$396</f>
        <v>3.8679999999999999</v>
      </c>
      <c r="G499" s="35">
        <f>-'Fiscal Forecasts'!G$396</f>
        <v>9.1920000000000002</v>
      </c>
      <c r="H499" s="35">
        <f>-'Fiscal Forecasts'!H$396</f>
        <v>9.1590000000000007</v>
      </c>
      <c r="I499" s="35">
        <f>-'Fiscal Forecasts'!I$396</f>
        <v>2.5329999999999999</v>
      </c>
      <c r="J499" s="17">
        <f>-'Fiscal Forecasts'!J$396</f>
        <v>-5.3380000000000001</v>
      </c>
      <c r="K499" s="17">
        <f>-'Fiscal Forecasts'!K$396</f>
        <v>-4.7889999999999997</v>
      </c>
      <c r="L499" s="17">
        <f>-'Fiscal Forecasts'!L$396</f>
        <v>2.992</v>
      </c>
      <c r="M499" s="17">
        <f>-'Fiscal Forecasts'!M$396</f>
        <v>1.8180000000000001</v>
      </c>
      <c r="N499" s="17">
        <f>-'Fiscal Forecasts'!N$396</f>
        <v>1.944</v>
      </c>
      <c r="O499" s="16">
        <f t="shared" ref="O499:X499" si="329">SUM(O$401-N$401-O$413+O$411,O$402-N$402)</f>
        <v>8.599999999999941E-2</v>
      </c>
      <c r="P499" s="16">
        <f t="shared" si="329"/>
        <v>6.399999999999928E-2</v>
      </c>
      <c r="Q499" s="16">
        <f t="shared" si="329"/>
        <v>4.8999999999999044E-2</v>
      </c>
      <c r="R499" s="16">
        <f t="shared" si="329"/>
        <v>3.6000000000001808E-2</v>
      </c>
      <c r="S499" s="16">
        <f t="shared" si="329"/>
        <v>2.49999999999998E-2</v>
      </c>
      <c r="T499" s="16">
        <f t="shared" si="329"/>
        <v>7.9999999999985638E-3</v>
      </c>
      <c r="U499" s="16">
        <f t="shared" si="329"/>
        <v>-1.0000000000014442E-3</v>
      </c>
      <c r="V499" s="16">
        <f t="shared" si="329"/>
        <v>-1.0999999999998678E-2</v>
      </c>
      <c r="W499" s="16">
        <f t="shared" si="329"/>
        <v>-1.8999999999998907E-2</v>
      </c>
      <c r="X499" s="16">
        <f t="shared" si="329"/>
        <v>-2.2000000000001463E-2</v>
      </c>
    </row>
    <row r="500" spans="1:24" x14ac:dyDescent="0.25">
      <c r="A500" s="11" t="s">
        <v>1128</v>
      </c>
      <c r="B500" s="10" t="str">
        <f t="shared" si="327"/>
        <v>From Fiscal Forecasts</v>
      </c>
      <c r="D500" s="35">
        <f>-'Fiscal Forecasts'!D$397</f>
        <v>2.6579999999999999</v>
      </c>
      <c r="E500" s="35">
        <f>-'Fiscal Forecasts'!E$397</f>
        <v>3.1709999999999998</v>
      </c>
      <c r="F500" s="35">
        <f>-'Fiscal Forecasts'!F$397</f>
        <v>3.5990000000000002</v>
      </c>
      <c r="G500" s="35">
        <f>-'Fiscal Forecasts'!G$397</f>
        <v>3.823</v>
      </c>
      <c r="H500" s="35">
        <f>-'Fiscal Forecasts'!H$397</f>
        <v>6.06</v>
      </c>
      <c r="I500" s="35">
        <f>-'Fiscal Forecasts'!I$397</f>
        <v>4.3520000000000003</v>
      </c>
      <c r="J500" s="17">
        <f>-'Fiscal Forecasts'!J$397</f>
        <v>7.649</v>
      </c>
      <c r="K500" s="17">
        <f>-'Fiscal Forecasts'!K$397</f>
        <v>6.5069999999999997</v>
      </c>
      <c r="L500" s="17">
        <f>-'Fiscal Forecasts'!L$397</f>
        <v>4.774</v>
      </c>
      <c r="M500" s="17">
        <f>-'Fiscal Forecasts'!M$397</f>
        <v>3.9990000000000001</v>
      </c>
      <c r="N500" s="17">
        <f>-'Fiscal Forecasts'!N$397</f>
        <v>2.8170000000000002</v>
      </c>
      <c r="O500" s="16">
        <f t="shared" ref="O500:X500" ca="1" si="330">SUM(O$437-N$437,-O$349)</f>
        <v>0.97069985849933604</v>
      </c>
      <c r="P500" s="16">
        <f t="shared" ca="1" si="330"/>
        <v>0.96592899551477984</v>
      </c>
      <c r="Q500" s="16">
        <f t="shared" ca="1" si="330"/>
        <v>0.9977620719770075</v>
      </c>
      <c r="R500" s="16">
        <f t="shared" ca="1" si="330"/>
        <v>1.0370504504875699</v>
      </c>
      <c r="S500" s="16">
        <f t="shared" ca="1" si="330"/>
        <v>1.0772051244262628</v>
      </c>
      <c r="T500" s="16">
        <f t="shared" ca="1" si="330"/>
        <v>1.1181648141704357</v>
      </c>
      <c r="U500" s="16">
        <f t="shared" ca="1" si="330"/>
        <v>1.15967062159209</v>
      </c>
      <c r="V500" s="16">
        <f t="shared" ca="1" si="330"/>
        <v>1.201800460819205</v>
      </c>
      <c r="W500" s="16">
        <f t="shared" ca="1" si="330"/>
        <v>1.2445527622419963</v>
      </c>
      <c r="X500" s="16">
        <f t="shared" ca="1" si="330"/>
        <v>1.2882496870846063</v>
      </c>
    </row>
    <row r="501" spans="1:24" x14ac:dyDescent="0.25">
      <c r="A501" s="11" t="s">
        <v>1129</v>
      </c>
      <c r="D501" s="35">
        <f t="shared" ref="D501:X501" si="331">D$389</f>
        <v>1</v>
      </c>
      <c r="E501" s="35">
        <f t="shared" si="331"/>
        <v>1.46</v>
      </c>
      <c r="F501" s="35">
        <f t="shared" si="331"/>
        <v>2.12</v>
      </c>
      <c r="G501" s="35">
        <f t="shared" si="331"/>
        <v>2.42</v>
      </c>
      <c r="H501" s="35">
        <f t="shared" si="331"/>
        <v>2.5579999999999998</v>
      </c>
      <c r="I501" s="35">
        <f t="shared" si="331"/>
        <v>1.6140000000000001</v>
      </c>
      <c r="J501" s="17">
        <f t="shared" si="331"/>
        <v>0.879</v>
      </c>
      <c r="K501" s="17">
        <f t="shared" si="331"/>
        <v>0</v>
      </c>
      <c r="L501" s="17">
        <f t="shared" si="331"/>
        <v>4.0000000000000001E-3</v>
      </c>
      <c r="M501" s="17">
        <f t="shared" si="331"/>
        <v>-3.2000000000000001E-2</v>
      </c>
      <c r="N501" s="17">
        <f t="shared" si="331"/>
        <v>6.3E-2</v>
      </c>
      <c r="O501" s="16">
        <f t="shared" si="331"/>
        <v>7.8931226568819568E-2</v>
      </c>
      <c r="P501" s="16">
        <f t="shared" si="331"/>
        <v>-3.7546449235872359E-2</v>
      </c>
      <c r="Q501" s="16">
        <f t="shared" si="331"/>
        <v>-0.19270640692964491</v>
      </c>
      <c r="R501" s="16">
        <f t="shared" si="331"/>
        <v>-0.40499215635222185</v>
      </c>
      <c r="S501" s="16">
        <f t="shared" si="331"/>
        <v>-0.64923682824001006</v>
      </c>
      <c r="T501" s="16">
        <f t="shared" si="331"/>
        <v>-0.88575870240245536</v>
      </c>
      <c r="U501" s="16">
        <f t="shared" si="331"/>
        <v>-1.1712854524337715</v>
      </c>
      <c r="V501" s="16">
        <f t="shared" si="331"/>
        <v>-1.4363342055452506</v>
      </c>
      <c r="W501" s="16">
        <f t="shared" si="331"/>
        <v>-1.6308417389458754</v>
      </c>
      <c r="X501" s="16">
        <f t="shared" si="331"/>
        <v>-1.7491417757201475</v>
      </c>
    </row>
    <row r="502" spans="1:24" x14ac:dyDescent="0.25">
      <c r="A502" s="11" t="s">
        <v>1130</v>
      </c>
      <c r="D502" s="35">
        <f t="shared" ref="D502:X502" si="332">SUM(D$450-C$450,D$451-C$451)</f>
        <v>0</v>
      </c>
      <c r="E502" s="35">
        <f t="shared" si="332"/>
        <v>0</v>
      </c>
      <c r="F502" s="35">
        <f t="shared" si="332"/>
        <v>0</v>
      </c>
      <c r="G502" s="35">
        <f t="shared" si="332"/>
        <v>0</v>
      </c>
      <c r="H502" s="35">
        <f t="shared" si="332"/>
        <v>0</v>
      </c>
      <c r="I502" s="35">
        <f t="shared" si="332"/>
        <v>0</v>
      </c>
      <c r="J502" s="17">
        <f t="shared" si="332"/>
        <v>-1.5</v>
      </c>
      <c r="K502" s="17">
        <f t="shared" ref="K502" si="333">SUM(K$450-J$450,K$451-J$451)</f>
        <v>1.6600000000000001</v>
      </c>
      <c r="L502" s="17">
        <f t="shared" ref="L502" si="334">SUM(L$450-K$450,L$451-K$451)</f>
        <v>3.0419999999999998</v>
      </c>
      <c r="M502" s="17">
        <f t="shared" ref="M502" si="335">SUM(M$450-L$450,M$451-L$451)</f>
        <v>3.3770000000000002</v>
      </c>
      <c r="N502" s="17">
        <f t="shared" ref="N502" si="336">SUM(N$450-M$450,N$451-M$451)</f>
        <v>3.9310000000000005</v>
      </c>
      <c r="O502" s="16">
        <f t="shared" ca="1" si="332"/>
        <v>3.625</v>
      </c>
      <c r="P502" s="16">
        <f t="shared" ca="1" si="332"/>
        <v>3.7337500000000006</v>
      </c>
      <c r="Q502" s="16">
        <f t="shared" ca="1" si="332"/>
        <v>3.8457624999999993</v>
      </c>
      <c r="R502" s="16">
        <f t="shared" ca="1" si="332"/>
        <v>3.9611353750000013</v>
      </c>
      <c r="S502" s="16">
        <f t="shared" ca="1" si="332"/>
        <v>4.0799694362499999</v>
      </c>
      <c r="T502" s="16">
        <f t="shared" ca="1" si="332"/>
        <v>4.2023685193375044</v>
      </c>
      <c r="U502" s="16">
        <f t="shared" ca="1" si="332"/>
        <v>4.3284395749176241</v>
      </c>
      <c r="V502" s="16">
        <f t="shared" ca="1" si="332"/>
        <v>4.4582927621651578</v>
      </c>
      <c r="W502" s="16">
        <f t="shared" ca="1" si="332"/>
        <v>4.5920415450301135</v>
      </c>
      <c r="X502" s="16">
        <f t="shared" ca="1" si="332"/>
        <v>4.7298027913810117</v>
      </c>
    </row>
    <row r="503" spans="1:24" x14ac:dyDescent="0.25">
      <c r="A503" s="9" t="s">
        <v>1119</v>
      </c>
      <c r="D503" s="65">
        <f t="shared" ref="D503:I503" si="337">-SUM(D$498:D$502)</f>
        <v>-6.7459999999999996</v>
      </c>
      <c r="E503" s="65">
        <f t="shared" si="337"/>
        <v>-9.3840000000000003</v>
      </c>
      <c r="F503" s="65">
        <f t="shared" si="337"/>
        <v>-12.724</v>
      </c>
      <c r="G503" s="65">
        <f t="shared" si="337"/>
        <v>-18.908999999999999</v>
      </c>
      <c r="H503" s="65">
        <f t="shared" si="337"/>
        <v>-22.212</v>
      </c>
      <c r="I503" s="65">
        <f t="shared" si="337"/>
        <v>-13.200000000000001</v>
      </c>
      <c r="J503" s="66">
        <f t="shared" ref="J503:N503" si="338">-SUM(J$498:J$502)</f>
        <v>-5.9320000000000004</v>
      </c>
      <c r="K503" s="66">
        <f t="shared" si="338"/>
        <v>-7.7010000000000005</v>
      </c>
      <c r="L503" s="66">
        <f t="shared" si="338"/>
        <v>-14.407</v>
      </c>
      <c r="M503" s="66">
        <f t="shared" si="338"/>
        <v>-11.879000000000001</v>
      </c>
      <c r="N503" s="66">
        <f t="shared" si="338"/>
        <v>-11.23</v>
      </c>
      <c r="O503" s="67">
        <f t="shared" ref="O503:X503" ca="1" si="339">-SUM(O$498:O$502)</f>
        <v>-8.1644818131217889</v>
      </c>
      <c r="P503" s="67">
        <f t="shared" ca="1" si="339"/>
        <v>-8.1299832743325418</v>
      </c>
      <c r="Q503" s="67">
        <f t="shared" ca="1" si="339"/>
        <v>-8.1036688931009948</v>
      </c>
      <c r="R503" s="67">
        <f t="shared" ca="1" si="339"/>
        <v>-8.033044397188986</v>
      </c>
      <c r="S503" s="67">
        <f t="shared" ca="1" si="339"/>
        <v>-7.936788460489888</v>
      </c>
      <c r="T503" s="67">
        <f t="shared" ca="1" si="339"/>
        <v>-7.846625359159118</v>
      </c>
      <c r="U503" s="67">
        <f t="shared" ca="1" si="339"/>
        <v>-7.7196754721295759</v>
      </c>
      <c r="V503" s="67">
        <f t="shared" ca="1" si="339"/>
        <v>-7.6166097454927488</v>
      </c>
      <c r="W503" s="67">
        <f t="shared" ca="1" si="339"/>
        <v>-7.5906032963798706</v>
      </c>
      <c r="X503" s="67">
        <f t="shared" ca="1" si="339"/>
        <v>-7.6507614307991041</v>
      </c>
    </row>
    <row r="504" spans="1:24" x14ac:dyDescent="0.25">
      <c r="A504" s="9" t="s">
        <v>1120</v>
      </c>
      <c r="D504" s="65">
        <f t="shared" ref="D504:X504" si="340">SUM(D$497,D$503)</f>
        <v>-0.7100000000000124</v>
      </c>
      <c r="E504" s="65">
        <f t="shared" si="340"/>
        <v>-23.692000000000007</v>
      </c>
      <c r="F504" s="65">
        <f t="shared" si="340"/>
        <v>-13.766999999999978</v>
      </c>
      <c r="G504" s="65">
        <f t="shared" si="340"/>
        <v>-27.042999999999999</v>
      </c>
      <c r="H504" s="65">
        <f t="shared" si="340"/>
        <v>-25.648000000000007</v>
      </c>
      <c r="I504" s="65">
        <f t="shared" si="340"/>
        <v>-19.302000000000007</v>
      </c>
      <c r="J504" s="66">
        <f t="shared" ca="1" si="340"/>
        <v>-9.9900000000000215</v>
      </c>
      <c r="K504" s="66">
        <f t="shared" ca="1" si="340"/>
        <v>-14.533000000000023</v>
      </c>
      <c r="L504" s="66">
        <f t="shared" ca="1" si="340"/>
        <v>-18.212000000000007</v>
      </c>
      <c r="M504" s="66">
        <f t="shared" ca="1" si="340"/>
        <v>-11.415000000000003</v>
      </c>
      <c r="N504" s="66">
        <f t="shared" ca="1" si="340"/>
        <v>-8.1450000000000209</v>
      </c>
      <c r="O504" s="67">
        <f t="shared" ca="1" si="340"/>
        <v>-3.9166227978313017</v>
      </c>
      <c r="P504" s="67">
        <f t="shared" ca="1" si="340"/>
        <v>-2.1162007458313745</v>
      </c>
      <c r="Q504" s="67">
        <f t="shared" ca="1" si="340"/>
        <v>-0.44545496408439789</v>
      </c>
      <c r="R504" s="67">
        <f t="shared" ca="1" si="340"/>
        <v>1.1750024257246015</v>
      </c>
      <c r="S504" s="67">
        <f t="shared" ca="1" si="340"/>
        <v>2.8588278672888432</v>
      </c>
      <c r="T504" s="67">
        <f t="shared" ca="1" si="340"/>
        <v>4.6593096678128507</v>
      </c>
      <c r="U504" s="67">
        <f t="shared" ca="1" si="340"/>
        <v>6.4958045004838469</v>
      </c>
      <c r="V504" s="67">
        <f t="shared" ca="1" si="340"/>
        <v>8.3681126280356501</v>
      </c>
      <c r="W504" s="67">
        <f t="shared" ca="1" si="340"/>
        <v>10.287730678062015</v>
      </c>
      <c r="X504" s="67">
        <f t="shared" ca="1" si="340"/>
        <v>12.288223774363235</v>
      </c>
    </row>
    <row r="505" spans="1:24" x14ac:dyDescent="0.25">
      <c r="A505" s="9" t="s">
        <v>1121</v>
      </c>
      <c r="B505" s="10" t="str">
        <f>$B$62</f>
        <v>Projected Years only</v>
      </c>
      <c r="O505" s="91" t="str">
        <f t="shared" ref="O505:X505" ca="1" si="341">IF(ROUND(SUM(O$504,O$78-N$78,O$509),3)=0,"OK","ERROR")</f>
        <v>OK</v>
      </c>
      <c r="P505" s="91" t="str">
        <f t="shared" ca="1" si="341"/>
        <v>OK</v>
      </c>
      <c r="Q505" s="91" t="str">
        <f t="shared" ca="1" si="341"/>
        <v>OK</v>
      </c>
      <c r="R505" s="91" t="str">
        <f t="shared" ca="1" si="341"/>
        <v>OK</v>
      </c>
      <c r="S505" s="91" t="str">
        <f t="shared" ca="1" si="341"/>
        <v>OK</v>
      </c>
      <c r="T505" s="91" t="str">
        <f t="shared" ca="1" si="341"/>
        <v>OK</v>
      </c>
      <c r="U505" s="91" t="str">
        <f t="shared" ca="1" si="341"/>
        <v>OK</v>
      </c>
      <c r="V505" s="91" t="str">
        <f t="shared" ca="1" si="341"/>
        <v>OK</v>
      </c>
      <c r="W505" s="91" t="str">
        <f t="shared" ca="1" si="341"/>
        <v>OK</v>
      </c>
      <c r="X505" s="91" t="str">
        <f t="shared" ca="1" si="341"/>
        <v>OK</v>
      </c>
    </row>
    <row r="506" spans="1:24" x14ac:dyDescent="0.25">
      <c r="A506" s="9"/>
    </row>
    <row r="507" spans="1:24" x14ac:dyDescent="0.25">
      <c r="A507" s="9" t="s">
        <v>813</v>
      </c>
      <c r="B507" s="10" t="str">
        <f t="shared" ref="B507:B510" si="342">$B$38</f>
        <v>From Fiscal Forecasts</v>
      </c>
      <c r="D507" s="42">
        <f>'Fiscal Forecasts'!D$401</f>
        <v>-4.9580000000000002</v>
      </c>
      <c r="E507" s="42">
        <f>'Fiscal Forecasts'!E$401</f>
        <v>33.061999999999998</v>
      </c>
      <c r="F507" s="42">
        <f>'Fiscal Forecasts'!F$401</f>
        <v>3.8090000000000002</v>
      </c>
      <c r="G507" s="42">
        <f>'Fiscal Forecasts'!G$401</f>
        <v>28.693999999999999</v>
      </c>
      <c r="H507" s="42">
        <f>'Fiscal Forecasts'!H$401</f>
        <v>22.715</v>
      </c>
      <c r="I507" s="42">
        <f>'Fiscal Forecasts'!I$401</f>
        <v>25.202999999999999</v>
      </c>
      <c r="J507" s="43">
        <f>'Fiscal Forecasts'!J$401+IF($C$2="Yes",'Fiscal Forecast Adjuster'!C$39/1000,0)+IF($C$3="Yes",'NZSF Adjuster'!U$10,0)</f>
        <v>22.451000000000001</v>
      </c>
      <c r="K507" s="43">
        <f>'Fiscal Forecasts'!K$401+IF($C$2="Yes",'Fiscal Forecast Adjuster'!D$39/1000,0)+IF($C$3="Yes",'NZSF Adjuster'!V$10,0)</f>
        <v>20.768000000000001</v>
      </c>
      <c r="L507" s="43">
        <f>'Fiscal Forecasts'!L$401+IF($C$2="Yes",'Fiscal Forecast Adjuster'!E$39/1000,0)+IF($C$3="Yes",'NZSF Adjuster'!W$10,0)</f>
        <v>15.787000000000001</v>
      </c>
      <c r="M507" s="43">
        <f>'Fiscal Forecasts'!M$401+IF($C$2="Yes",'Fiscal Forecast Adjuster'!F$39/1000,0)+IF($C$3="Yes",'NZSF Adjuster'!X$10,0)</f>
        <v>10.113</v>
      </c>
      <c r="N507" s="43">
        <f>'Fiscal Forecasts'!N$401+IF($C$2="Yes",'Fiscal Forecast Adjuster'!G$39/1000,0)+IF($C$3="Yes",'NZSF Adjuster'!Y$10,0)</f>
        <v>6.9329999999999998</v>
      </c>
      <c r="O507" s="47">
        <f t="shared" ref="O507:X507" ca="1" si="343">-SUM(O$497,O$503,O$511)</f>
        <v>3.727942797831302</v>
      </c>
      <c r="P507" s="47">
        <f t="shared" ca="1" si="343"/>
        <v>1.9237471458313742</v>
      </c>
      <c r="Q507" s="47">
        <f t="shared" ca="1" si="343"/>
        <v>0.24915229208439804</v>
      </c>
      <c r="R507" s="47">
        <f t="shared" ca="1" si="343"/>
        <v>-1.375231151164602</v>
      </c>
      <c r="S507" s="47">
        <f t="shared" ca="1" si="343"/>
        <v>-3.0630611672376435</v>
      </c>
      <c r="T507" s="47">
        <f t="shared" ca="1" si="343"/>
        <v>-4.8676276337606268</v>
      </c>
      <c r="U507" s="47">
        <f t="shared" ca="1" si="343"/>
        <v>-6.7082888257505795</v>
      </c>
      <c r="V507" s="47">
        <f t="shared" ca="1" si="343"/>
        <v>-8.5848466398077168</v>
      </c>
      <c r="W507" s="47">
        <f t="shared" ca="1" si="343"/>
        <v>-10.508799370069523</v>
      </c>
      <c r="X507" s="47">
        <f t="shared" ca="1" si="343"/>
        <v>-12.513713840210894</v>
      </c>
    </row>
    <row r="508" spans="1:24" x14ac:dyDescent="0.25">
      <c r="A508" s="11" t="s">
        <v>1131</v>
      </c>
      <c r="B508" s="10" t="str">
        <f t="shared" si="342"/>
        <v>From Fiscal Forecasts</v>
      </c>
      <c r="D508" s="35">
        <f>-'Fiscal Forecasts'!D$402</f>
        <v>-5.1630000000000003</v>
      </c>
      <c r="E508" s="35">
        <f>-'Fiscal Forecasts'!E$402</f>
        <v>14.911</v>
      </c>
      <c r="F508" s="35">
        <f>-'Fiscal Forecasts'!F$402</f>
        <v>-6.0419999999999998</v>
      </c>
      <c r="G508" s="35">
        <f>-'Fiscal Forecasts'!G$402</f>
        <v>2.8000000000000001E-2</v>
      </c>
      <c r="H508" s="35">
        <f>-'Fiscal Forecasts'!H$402</f>
        <v>-2.7749999999999999</v>
      </c>
      <c r="I508" s="35">
        <f>-'Fiscal Forecasts'!I$402</f>
        <v>8.4169999999999998</v>
      </c>
      <c r="J508" s="17">
        <f>-'Fiscal Forecasts'!J$402</f>
        <v>5.7210000000000001</v>
      </c>
      <c r="K508" s="17">
        <f>-'Fiscal Forecasts'!K$402</f>
        <v>6.3159999999999998</v>
      </c>
      <c r="L508" s="17">
        <f>-'Fiscal Forecasts'!L$402</f>
        <v>-2.339</v>
      </c>
      <c r="M508" s="17">
        <f>-'Fiscal Forecasts'!M$402</f>
        <v>-1.2090000000000001</v>
      </c>
      <c r="N508" s="17">
        <f>-'Fiscal Forecasts'!N$402</f>
        <v>-1.113</v>
      </c>
      <c r="O508" s="16">
        <f t="shared" ref="O508:X508" ca="1" si="344">SUM(O$367-N$367,O$376-N$376)</f>
        <v>0</v>
      </c>
      <c r="P508" s="16">
        <f t="shared" ca="1" si="344"/>
        <v>0</v>
      </c>
      <c r="Q508" s="16">
        <f t="shared" ca="1" si="344"/>
        <v>0</v>
      </c>
      <c r="R508" s="16">
        <f t="shared" ca="1" si="344"/>
        <v>0</v>
      </c>
      <c r="S508" s="16">
        <f t="shared" ca="1" si="344"/>
        <v>0</v>
      </c>
      <c r="T508" s="16">
        <f t="shared" ca="1" si="344"/>
        <v>0</v>
      </c>
      <c r="U508" s="16">
        <f t="shared" ca="1" si="344"/>
        <v>0</v>
      </c>
      <c r="V508" s="16">
        <f t="shared" ca="1" si="344"/>
        <v>0</v>
      </c>
      <c r="W508" s="16">
        <f t="shared" ca="1" si="344"/>
        <v>0</v>
      </c>
      <c r="X508" s="16">
        <f t="shared" ca="1" si="344"/>
        <v>0</v>
      </c>
    </row>
    <row r="509" spans="1:24" x14ac:dyDescent="0.25">
      <c r="A509" s="11" t="s">
        <v>590</v>
      </c>
      <c r="D509" s="35">
        <f>D$107</f>
        <v>0.437</v>
      </c>
      <c r="E509" s="35">
        <f t="shared" ref="E509:X509" si="345">E$107</f>
        <v>1.2090000000000001</v>
      </c>
      <c r="F509" s="35">
        <f t="shared" si="345"/>
        <v>0.23400000000000001</v>
      </c>
      <c r="G509" s="35">
        <f t="shared" si="345"/>
        <v>0.80500000000000005</v>
      </c>
      <c r="H509" s="35">
        <f t="shared" si="345"/>
        <v>-5.8999999999999997E-2</v>
      </c>
      <c r="I509" s="35">
        <f t="shared" si="345"/>
        <v>-2.4E-2</v>
      </c>
      <c r="J509" s="17">
        <f t="shared" si="345"/>
        <v>8.8999999999999996E-2</v>
      </c>
      <c r="K509" s="17">
        <f t="shared" si="345"/>
        <v>9.0999999999999998E-2</v>
      </c>
      <c r="L509" s="17">
        <f t="shared" si="345"/>
        <v>9.1999999999999998E-2</v>
      </c>
      <c r="M509" s="17">
        <f t="shared" si="345"/>
        <v>9.1999999999999998E-2</v>
      </c>
      <c r="N509" s="17">
        <f t="shared" si="345"/>
        <v>9.2999999999999999E-2</v>
      </c>
      <c r="O509" s="16">
        <f t="shared" ca="1" si="345"/>
        <v>0.18867999999999974</v>
      </c>
      <c r="P509" s="16">
        <f t="shared" ca="1" si="345"/>
        <v>0.19245360000000034</v>
      </c>
      <c r="Q509" s="16">
        <f t="shared" ca="1" si="345"/>
        <v>0.19630267199999984</v>
      </c>
      <c r="R509" s="16">
        <f t="shared" ca="1" si="345"/>
        <v>0.20022872544000059</v>
      </c>
      <c r="S509" s="16">
        <f t="shared" ca="1" si="345"/>
        <v>0.20423329994880035</v>
      </c>
      <c r="T509" s="16">
        <f t="shared" ca="1" si="345"/>
        <v>0.20831796594777607</v>
      </c>
      <c r="U509" s="16">
        <f t="shared" ca="1" si="345"/>
        <v>0.21248432526673255</v>
      </c>
      <c r="V509" s="16">
        <f t="shared" ca="1" si="345"/>
        <v>0.21673401177206664</v>
      </c>
      <c r="W509" s="16">
        <f t="shared" ca="1" si="345"/>
        <v>0.22106869200750801</v>
      </c>
      <c r="X509" s="16">
        <f t="shared" ca="1" si="345"/>
        <v>0.22549006584765863</v>
      </c>
    </row>
    <row r="510" spans="1:24" x14ac:dyDescent="0.25">
      <c r="A510" s="11" t="s">
        <v>597</v>
      </c>
      <c r="B510" s="10" t="str">
        <f t="shared" si="342"/>
        <v>From Fiscal Forecasts</v>
      </c>
      <c r="D510" s="35">
        <f>-'Fiscal Forecasts'!D$403</f>
        <v>-6.8000000000000005E-2</v>
      </c>
      <c r="E510" s="35">
        <f>-'Fiscal Forecasts'!E$403</f>
        <v>-4.3319999999999999</v>
      </c>
      <c r="F510" s="35">
        <f>-'Fiscal Forecasts'!F$403</f>
        <v>-3.6819999999999999</v>
      </c>
      <c r="G510" s="35">
        <f>-'Fiscal Forecasts'!G$403</f>
        <v>2.4279999999999999</v>
      </c>
      <c r="H510" s="35">
        <f>-'Fiscal Forecasts'!H$403</f>
        <v>-0.217</v>
      </c>
      <c r="I510" s="35">
        <f>-'Fiscal Forecasts'!I$403</f>
        <v>-2.54</v>
      </c>
      <c r="J510" s="17">
        <f>-'Fiscal Forecasts'!J$403</f>
        <v>6.8289999999999997</v>
      </c>
      <c r="K510" s="17">
        <f>-'Fiscal Forecasts'!K$403</f>
        <v>0.01</v>
      </c>
      <c r="L510" s="17">
        <f>-'Fiscal Forecasts'!L$403</f>
        <v>6.0000000000000001E-3</v>
      </c>
      <c r="M510" s="17">
        <f>-'Fiscal Forecasts'!M$403</f>
        <v>-1E-3</v>
      </c>
      <c r="N510" s="17">
        <f>-'Fiscal Forecasts'!N$403</f>
        <v>-6.0000000000000001E-3</v>
      </c>
      <c r="O510" s="16">
        <f t="shared" ref="O510:X510" ca="1" si="346">O$354-N$354</f>
        <v>0</v>
      </c>
      <c r="P510" s="16">
        <f t="shared" ca="1" si="346"/>
        <v>0</v>
      </c>
      <c r="Q510" s="16">
        <f t="shared" ca="1" si="346"/>
        <v>0</v>
      </c>
      <c r="R510" s="16">
        <f t="shared" ca="1" si="346"/>
        <v>0</v>
      </c>
      <c r="S510" s="16">
        <f t="shared" ca="1" si="346"/>
        <v>0</v>
      </c>
      <c r="T510" s="16">
        <f t="shared" ca="1" si="346"/>
        <v>0</v>
      </c>
      <c r="U510" s="16">
        <f t="shared" ca="1" si="346"/>
        <v>0</v>
      </c>
      <c r="V510" s="16">
        <f t="shared" ca="1" si="346"/>
        <v>0</v>
      </c>
      <c r="W510" s="16">
        <f t="shared" ca="1" si="346"/>
        <v>0</v>
      </c>
      <c r="X510" s="16">
        <f t="shared" ca="1" si="346"/>
        <v>0</v>
      </c>
    </row>
    <row r="511" spans="1:24" x14ac:dyDescent="0.25">
      <c r="A511" s="9" t="s">
        <v>1122</v>
      </c>
      <c r="D511" s="65">
        <f t="shared" ref="D511:X511" si="347">SUM(-D$508,D$509,-D$510)</f>
        <v>5.6680000000000001</v>
      </c>
      <c r="E511" s="65">
        <f t="shared" si="347"/>
        <v>-9.370000000000001</v>
      </c>
      <c r="F511" s="65">
        <f t="shared" si="347"/>
        <v>9.9580000000000002</v>
      </c>
      <c r="G511" s="65">
        <f t="shared" si="347"/>
        <v>-1.6509999999999998</v>
      </c>
      <c r="H511" s="65">
        <f t="shared" si="347"/>
        <v>2.9329999999999998</v>
      </c>
      <c r="I511" s="65">
        <f t="shared" si="347"/>
        <v>-5.9009999999999989</v>
      </c>
      <c r="J511" s="66">
        <f t="shared" si="347"/>
        <v>-12.460999999999999</v>
      </c>
      <c r="K511" s="66">
        <f t="shared" si="347"/>
        <v>-6.2349999999999994</v>
      </c>
      <c r="L511" s="66">
        <f t="shared" si="347"/>
        <v>2.4250000000000003</v>
      </c>
      <c r="M511" s="66">
        <f t="shared" si="347"/>
        <v>1.302</v>
      </c>
      <c r="N511" s="66">
        <f t="shared" si="347"/>
        <v>1.212</v>
      </c>
      <c r="O511" s="67">
        <f t="shared" ca="1" si="347"/>
        <v>0.18867999999999974</v>
      </c>
      <c r="P511" s="67">
        <f t="shared" ca="1" si="347"/>
        <v>0.19245360000000034</v>
      </c>
      <c r="Q511" s="67">
        <f t="shared" ca="1" si="347"/>
        <v>0.19630267199999984</v>
      </c>
      <c r="R511" s="67">
        <f t="shared" ca="1" si="347"/>
        <v>0.20022872544000059</v>
      </c>
      <c r="S511" s="67">
        <f t="shared" ca="1" si="347"/>
        <v>0.20423329994880035</v>
      </c>
      <c r="T511" s="67">
        <f t="shared" ca="1" si="347"/>
        <v>0.20831796594777607</v>
      </c>
      <c r="U511" s="67">
        <f t="shared" ca="1" si="347"/>
        <v>0.21248432526673255</v>
      </c>
      <c r="V511" s="67">
        <f t="shared" ca="1" si="347"/>
        <v>0.21673401177206664</v>
      </c>
      <c r="W511" s="67">
        <f t="shared" ca="1" si="347"/>
        <v>0.22106869200750801</v>
      </c>
      <c r="X511" s="67">
        <f t="shared" ca="1" si="347"/>
        <v>0.22549006584765863</v>
      </c>
    </row>
    <row r="512" spans="1:24" x14ac:dyDescent="0.25">
      <c r="A512" s="9" t="s">
        <v>1123</v>
      </c>
      <c r="D512" s="91" t="str">
        <f t="shared" ref="D512:X512" si="348">IF(ROUND(SUM(D$504,D$507,D$511),3)=0,"OK","ERROR")</f>
        <v>OK</v>
      </c>
      <c r="E512" s="91" t="str">
        <f t="shared" si="348"/>
        <v>OK</v>
      </c>
      <c r="F512" s="91" t="str">
        <f t="shared" si="348"/>
        <v>OK</v>
      </c>
      <c r="G512" s="91" t="str">
        <f t="shared" si="348"/>
        <v>OK</v>
      </c>
      <c r="H512" s="91" t="str">
        <f t="shared" si="348"/>
        <v>OK</v>
      </c>
      <c r="I512" s="91" t="str">
        <f t="shared" si="348"/>
        <v>OK</v>
      </c>
      <c r="J512" s="91" t="str">
        <f t="shared" ca="1" si="348"/>
        <v>OK</v>
      </c>
      <c r="K512" s="91" t="str">
        <f t="shared" ca="1" si="348"/>
        <v>OK</v>
      </c>
      <c r="L512" s="91" t="str">
        <f t="shared" ca="1" si="348"/>
        <v>OK</v>
      </c>
      <c r="M512" s="91" t="str">
        <f t="shared" ca="1" si="348"/>
        <v>OK</v>
      </c>
      <c r="N512" s="91" t="str">
        <f t="shared" ca="1" si="348"/>
        <v>OK</v>
      </c>
      <c r="O512" s="91" t="str">
        <f t="shared" ca="1" si="348"/>
        <v>OK</v>
      </c>
      <c r="P512" s="91" t="str">
        <f t="shared" ca="1" si="348"/>
        <v>OK</v>
      </c>
      <c r="Q512" s="91" t="str">
        <f t="shared" ca="1" si="348"/>
        <v>OK</v>
      </c>
      <c r="R512" s="91" t="str">
        <f t="shared" ca="1" si="348"/>
        <v>OK</v>
      </c>
      <c r="S512" s="91" t="str">
        <f t="shared" ca="1" si="348"/>
        <v>OK</v>
      </c>
      <c r="T512" s="91" t="str">
        <f t="shared" ca="1" si="348"/>
        <v>OK</v>
      </c>
      <c r="U512" s="91" t="str">
        <f t="shared" ca="1" si="348"/>
        <v>OK</v>
      </c>
      <c r="V512" s="91" t="str">
        <f t="shared" ca="1" si="348"/>
        <v>OK</v>
      </c>
      <c r="W512" s="91" t="str">
        <f t="shared" ca="1" si="348"/>
        <v>OK</v>
      </c>
      <c r="X512" s="91" t="str">
        <f t="shared" ca="1" si="348"/>
        <v>OK</v>
      </c>
    </row>
    <row r="514" spans="1:24" x14ac:dyDescent="0.25">
      <c r="A514" s="12" t="s">
        <v>1145</v>
      </c>
      <c r="B514" s="10" t="str">
        <f>$B$62</f>
        <v>Projected Years only</v>
      </c>
    </row>
    <row r="515" spans="1:24" x14ac:dyDescent="0.25">
      <c r="A515" s="11" t="s">
        <v>1137</v>
      </c>
      <c r="O515" s="16">
        <f ca="1">O$497-O$385+O$384-O$386</f>
        <v>4.1425624154179053</v>
      </c>
      <c r="P515" s="16">
        <f t="shared" ref="P515:X515" ca="1" si="349">P$497-P$385+P$384-P$386</f>
        <v>5.9022174800756479</v>
      </c>
      <c r="Q515" s="16">
        <f t="shared" ca="1" si="349"/>
        <v>7.540144737439463</v>
      </c>
      <c r="R515" s="16">
        <f t="shared" ca="1" si="349"/>
        <v>9.0832715279418377</v>
      </c>
      <c r="S515" s="16">
        <f t="shared" ca="1" si="349"/>
        <v>10.663967347828946</v>
      </c>
      <c r="T515" s="16">
        <f t="shared" ca="1" si="349"/>
        <v>12.367249002244145</v>
      </c>
      <c r="U515" s="16">
        <f t="shared" ca="1" si="349"/>
        <v>14.069602118486049</v>
      </c>
      <c r="V515" s="16">
        <f t="shared" ca="1" si="349"/>
        <v>15.831506464284816</v>
      </c>
      <c r="W515" s="16">
        <f t="shared" ca="1" si="349"/>
        <v>17.717581326451004</v>
      </c>
      <c r="X515" s="16">
        <f t="shared" ca="1" si="349"/>
        <v>19.770411222009262</v>
      </c>
    </row>
    <row r="516" spans="1:24" x14ac:dyDescent="0.25">
      <c r="A516" s="11" t="s">
        <v>1138</v>
      </c>
      <c r="O516" s="16">
        <f t="shared" ref="O516:X516" ca="1" si="350">O$503+O$501-SUM(O$366-N$366,O$375-N$375,O$397-N$397,O$400-N$400,-O$340)</f>
        <v>-6.5481527346074397</v>
      </c>
      <c r="P516" s="16">
        <f t="shared" ca="1" si="350"/>
        <v>-8.007090038215404</v>
      </c>
      <c r="Q516" s="16">
        <f t="shared" ca="1" si="350"/>
        <v>-7.973878316458304</v>
      </c>
      <c r="R516" s="16">
        <f t="shared" ca="1" si="350"/>
        <v>-7.8962336875756147</v>
      </c>
      <c r="S516" s="16">
        <f t="shared" ca="1" si="350"/>
        <v>-7.7928287509659722</v>
      </c>
      <c r="T516" s="16">
        <f t="shared" ca="1" si="350"/>
        <v>-7.6953231155205746</v>
      </c>
      <c r="U516" s="16">
        <f t="shared" ca="1" si="350"/>
        <v>-7.5609457089760728</v>
      </c>
      <c r="V516" s="16">
        <f t="shared" ca="1" si="350"/>
        <v>-7.4502555304277376</v>
      </c>
      <c r="W516" s="16">
        <f t="shared" ca="1" si="350"/>
        <v>-7.4162824260291806</v>
      </c>
      <c r="X516" s="16">
        <f t="shared" ca="1" si="350"/>
        <v>-7.4680271165609753</v>
      </c>
    </row>
    <row r="517" spans="1:24" x14ac:dyDescent="0.25">
      <c r="A517" s="11" t="s">
        <v>590</v>
      </c>
      <c r="O517" s="16">
        <f t="shared" ref="O517:X517" ca="1" si="351">O$509</f>
        <v>0.18867999999999974</v>
      </c>
      <c r="P517" s="16">
        <f t="shared" ca="1" si="351"/>
        <v>0.19245360000000034</v>
      </c>
      <c r="Q517" s="16">
        <f t="shared" ca="1" si="351"/>
        <v>0.19630267199999984</v>
      </c>
      <c r="R517" s="16">
        <f t="shared" ca="1" si="351"/>
        <v>0.20022872544000059</v>
      </c>
      <c r="S517" s="16">
        <f t="shared" ca="1" si="351"/>
        <v>0.20423329994880035</v>
      </c>
      <c r="T517" s="16">
        <f t="shared" ca="1" si="351"/>
        <v>0.20831796594777607</v>
      </c>
      <c r="U517" s="16">
        <f t="shared" ca="1" si="351"/>
        <v>0.21248432526673255</v>
      </c>
      <c r="V517" s="16">
        <f t="shared" ca="1" si="351"/>
        <v>0.21673401177206664</v>
      </c>
      <c r="W517" s="16">
        <f t="shared" ca="1" si="351"/>
        <v>0.22106869200750801</v>
      </c>
      <c r="X517" s="16">
        <f t="shared" ca="1" si="351"/>
        <v>0.22549006584765863</v>
      </c>
    </row>
    <row r="518" spans="1:24" x14ac:dyDescent="0.25">
      <c r="A518" s="11" t="s">
        <v>1139</v>
      </c>
      <c r="O518" s="16">
        <f t="shared" ref="O518:U518" ca="1" si="352">SUM(O$510,O$353-N$353)-SUM(O$515:O$517)</f>
        <v>2.4012510684324226</v>
      </c>
      <c r="P518" s="16">
        <f t="shared" ca="1" si="352"/>
        <v>2.2188848692157572</v>
      </c>
      <c r="Q518" s="16">
        <f t="shared" ca="1" si="352"/>
        <v>0.55453414109116128</v>
      </c>
      <c r="R518" s="16">
        <f t="shared" ca="1" si="352"/>
        <v>-1.0616677662692435</v>
      </c>
      <c r="S518" s="16">
        <f t="shared" ca="1" si="352"/>
        <v>-2.7423248942688447</v>
      </c>
      <c r="T518" s="16">
        <f t="shared" ca="1" si="352"/>
        <v>-4.5389323271157949</v>
      </c>
      <c r="U518" s="16">
        <f t="shared" ca="1" si="352"/>
        <v>-6.3734529919548235</v>
      </c>
      <c r="V518" s="16">
        <f t="shared" ref="V518:X518" ca="1" si="353">SUM(V$510,V$353-U$353)-SUM(V$515:V$517)</f>
        <v>-8.2425491978147036</v>
      </c>
      <c r="W518" s="16">
        <f t="shared" ca="1" si="353"/>
        <v>-10.155301143640191</v>
      </c>
      <c r="X518" s="16">
        <f t="shared" ca="1" si="353"/>
        <v>-12.14478917259574</v>
      </c>
    </row>
    <row r="519" spans="1:24" x14ac:dyDescent="0.25">
      <c r="A519" s="9" t="s">
        <v>1140</v>
      </c>
      <c r="O519" s="67">
        <f t="shared" ref="O519:X519" ca="1" si="354">SUM(O$515:O$518)</f>
        <v>0.1843407492428879</v>
      </c>
      <c r="P519" s="67">
        <f t="shared" ca="1" si="354"/>
        <v>0.30646591107600152</v>
      </c>
      <c r="Q519" s="67">
        <f t="shared" ca="1" si="354"/>
        <v>0.31710323407232011</v>
      </c>
      <c r="R519" s="67">
        <f t="shared" ca="1" si="354"/>
        <v>0.32559879953698001</v>
      </c>
      <c r="S519" s="67">
        <f t="shared" ca="1" si="354"/>
        <v>0.33304700254292907</v>
      </c>
      <c r="T519" s="67">
        <f t="shared" ca="1" si="354"/>
        <v>0.34131152555555211</v>
      </c>
      <c r="U519" s="67">
        <f t="shared" ca="1" si="354"/>
        <v>0.34768774282188541</v>
      </c>
      <c r="V519" s="67">
        <f t="shared" ca="1" si="354"/>
        <v>0.35543574781444143</v>
      </c>
      <c r="W519" s="67">
        <f t="shared" ca="1" si="354"/>
        <v>0.36706644878914041</v>
      </c>
      <c r="X519" s="67">
        <f t="shared" ca="1" si="354"/>
        <v>0.3830849987002054</v>
      </c>
    </row>
    <row r="520" spans="1:24" x14ac:dyDescent="0.25">
      <c r="A520" s="12" t="s">
        <v>1141</v>
      </c>
    </row>
    <row r="521" spans="1:24" x14ac:dyDescent="0.25">
      <c r="A521" s="9" t="s">
        <v>1142</v>
      </c>
      <c r="O521" s="47">
        <f t="shared" ref="O521:X521" ca="1" si="355">O$515</f>
        <v>4.1425624154179053</v>
      </c>
      <c r="P521" s="47">
        <f t="shared" ca="1" si="355"/>
        <v>5.9022174800756479</v>
      </c>
      <c r="Q521" s="47">
        <f t="shared" ca="1" si="355"/>
        <v>7.540144737439463</v>
      </c>
      <c r="R521" s="47">
        <f t="shared" ca="1" si="355"/>
        <v>9.0832715279418377</v>
      </c>
      <c r="S521" s="47">
        <f t="shared" ca="1" si="355"/>
        <v>10.663967347828946</v>
      </c>
      <c r="T521" s="47">
        <f t="shared" ca="1" si="355"/>
        <v>12.367249002244145</v>
      </c>
      <c r="U521" s="47">
        <f t="shared" ca="1" si="355"/>
        <v>14.069602118486049</v>
      </c>
      <c r="V521" s="47">
        <f t="shared" ca="1" si="355"/>
        <v>15.831506464284816</v>
      </c>
      <c r="W521" s="47">
        <f t="shared" ca="1" si="355"/>
        <v>17.717581326451004</v>
      </c>
      <c r="X521" s="47">
        <f t="shared" ca="1" si="355"/>
        <v>19.770411222009262</v>
      </c>
    </row>
    <row r="522" spans="1:24" x14ac:dyDescent="0.25">
      <c r="A522" s="9" t="s">
        <v>545</v>
      </c>
      <c r="O522" s="47">
        <f t="shared" ref="O522:X522" ca="1" si="356">O$342</f>
        <v>6.4300877252816813</v>
      </c>
      <c r="P522" s="47">
        <f t="shared" ca="1" si="356"/>
        <v>6.8100267661178</v>
      </c>
      <c r="Q522" s="47">
        <f t="shared" ca="1" si="356"/>
        <v>7.2039962197330922</v>
      </c>
      <c r="R522" s="47">
        <f t="shared" ca="1" si="356"/>
        <v>7.609973899810373</v>
      </c>
      <c r="S522" s="47">
        <f t="shared" ca="1" si="356"/>
        <v>8.0260754913435619</v>
      </c>
      <c r="T522" s="47">
        <f t="shared" ca="1" si="356"/>
        <v>8.4520386954492732</v>
      </c>
      <c r="U522" s="47">
        <f t="shared" ca="1" si="356"/>
        <v>8.8873060251010578</v>
      </c>
      <c r="V522" s="47">
        <f t="shared" ca="1" si="356"/>
        <v>9.3313828777468473</v>
      </c>
      <c r="W522" s="47">
        <f t="shared" ca="1" si="356"/>
        <v>9.7873881931389697</v>
      </c>
      <c r="X522" s="47">
        <f t="shared" ca="1" si="356"/>
        <v>10.260489701068273</v>
      </c>
    </row>
    <row r="523" spans="1:24" x14ac:dyDescent="0.25">
      <c r="A523" s="11" t="s">
        <v>1148</v>
      </c>
      <c r="O523" s="16">
        <f t="shared" ref="O523:X523" ca="1" si="357">SUM(O$215,O$219)</f>
        <v>3.403850728053635</v>
      </c>
      <c r="P523" s="16">
        <f t="shared" ca="1" si="357"/>
        <v>3.403850728053635</v>
      </c>
      <c r="Q523" s="16">
        <f t="shared" ca="1" si="357"/>
        <v>3.403850728053635</v>
      </c>
      <c r="R523" s="16">
        <f t="shared" ca="1" si="357"/>
        <v>3.403850728053635</v>
      </c>
      <c r="S523" s="16">
        <f t="shared" ca="1" si="357"/>
        <v>3.403850728053635</v>
      </c>
      <c r="T523" s="16">
        <f t="shared" ca="1" si="357"/>
        <v>3.403850728053635</v>
      </c>
      <c r="U523" s="16">
        <f t="shared" ca="1" si="357"/>
        <v>3.403850728053635</v>
      </c>
      <c r="V523" s="16">
        <f t="shared" ca="1" si="357"/>
        <v>3.403850728053635</v>
      </c>
      <c r="W523" s="16">
        <f t="shared" ca="1" si="357"/>
        <v>3.403850728053635</v>
      </c>
      <c r="X523" s="16">
        <f t="shared" ca="1" si="357"/>
        <v>3.403850728053635</v>
      </c>
    </row>
    <row r="524" spans="1:24" x14ac:dyDescent="0.25">
      <c r="A524" s="11" t="s">
        <v>1149</v>
      </c>
      <c r="O524" s="16">
        <f t="shared" ref="O524:X524" si="358">O$411</f>
        <v>0.65600000000000003</v>
      </c>
      <c r="P524" s="16">
        <f t="shared" si="358"/>
        <v>0.67400000000000004</v>
      </c>
      <c r="Q524" s="16">
        <f t="shared" si="358"/>
        <v>0.69299999999999995</v>
      </c>
      <c r="R524" s="16">
        <f t="shared" si="358"/>
        <v>0.71099999999999997</v>
      </c>
      <c r="S524" s="16">
        <f t="shared" si="358"/>
        <v>0.72699999999999998</v>
      </c>
      <c r="T524" s="16">
        <f t="shared" si="358"/>
        <v>0.74199999999999999</v>
      </c>
      <c r="U524" s="16">
        <f t="shared" si="358"/>
        <v>0.75600000000000001</v>
      </c>
      <c r="V524" s="16">
        <f t="shared" si="358"/>
        <v>0.76900000000000002</v>
      </c>
      <c r="W524" s="16">
        <f t="shared" si="358"/>
        <v>0.78300000000000003</v>
      </c>
      <c r="X524" s="16">
        <f t="shared" si="358"/>
        <v>0.79700000000000004</v>
      </c>
    </row>
    <row r="525" spans="1:24" x14ac:dyDescent="0.25">
      <c r="A525" s="11" t="s">
        <v>1150</v>
      </c>
      <c r="O525" s="16">
        <f t="shared" ref="O525:X525" ca="1" si="359">O$472-N$472</f>
        <v>-2E-3</v>
      </c>
      <c r="P525" s="16">
        <f t="shared" ca="1" si="359"/>
        <v>0</v>
      </c>
      <c r="Q525" s="16">
        <f t="shared" ca="1" si="359"/>
        <v>0</v>
      </c>
      <c r="R525" s="16">
        <f t="shared" ca="1" si="359"/>
        <v>0</v>
      </c>
      <c r="S525" s="16">
        <f t="shared" ca="1" si="359"/>
        <v>0</v>
      </c>
      <c r="T525" s="16">
        <f t="shared" ca="1" si="359"/>
        <v>0</v>
      </c>
      <c r="U525" s="16">
        <f t="shared" ca="1" si="359"/>
        <v>0</v>
      </c>
      <c r="V525" s="16">
        <f t="shared" ca="1" si="359"/>
        <v>0</v>
      </c>
      <c r="W525" s="16">
        <f t="shared" ca="1" si="359"/>
        <v>0</v>
      </c>
      <c r="X525" s="16">
        <f t="shared" ca="1" si="359"/>
        <v>0</v>
      </c>
    </row>
    <row r="526" spans="1:24" x14ac:dyDescent="0.25">
      <c r="A526" s="11" t="s">
        <v>568</v>
      </c>
      <c r="O526" s="16">
        <f t="shared" ref="O526:X526" ca="1" si="360">-O$349</f>
        <v>-1.460406561262434E-2</v>
      </c>
      <c r="P526" s="16">
        <f t="shared" ca="1" si="360"/>
        <v>-1.522693132596236E-2</v>
      </c>
      <c r="Q526" s="16">
        <f t="shared" ca="1" si="360"/>
        <v>-1.5851149450938101E-2</v>
      </c>
      <c r="R526" s="16">
        <f t="shared" ca="1" si="360"/>
        <v>-1.6475312241794576E-2</v>
      </c>
      <c r="S526" s="16">
        <f t="shared" ca="1" si="360"/>
        <v>-1.711323761060992E-2</v>
      </c>
      <c r="T526" s="16">
        <f t="shared" ca="1" si="360"/>
        <v>-1.7763952026234663E-2</v>
      </c>
      <c r="U526" s="16">
        <f t="shared" ca="1" si="360"/>
        <v>-1.8423342451066884E-2</v>
      </c>
      <c r="V526" s="16">
        <f t="shared" ca="1" si="360"/>
        <v>-1.9092646683697919E-2</v>
      </c>
      <c r="W526" s="16">
        <f t="shared" ca="1" si="360"/>
        <v>-1.9771839788203904E-2</v>
      </c>
      <c r="X526" s="16">
        <f t="shared" ca="1" si="360"/>
        <v>-2.0466039844189283E-2</v>
      </c>
    </row>
    <row r="527" spans="1:24" x14ac:dyDescent="0.25">
      <c r="A527" s="9" t="s">
        <v>1143</v>
      </c>
      <c r="O527" s="67">
        <f t="shared" ref="O527:X527" ca="1" si="361">-SUM(O$523:O$526)</f>
        <v>-4.0432466624410113</v>
      </c>
      <c r="P527" s="67">
        <f t="shared" ca="1" si="361"/>
        <v>-4.0626237967276726</v>
      </c>
      <c r="Q527" s="67">
        <f t="shared" ca="1" si="361"/>
        <v>-4.0809995786026967</v>
      </c>
      <c r="R527" s="67">
        <f t="shared" ca="1" si="361"/>
        <v>-4.09837541581184</v>
      </c>
      <c r="S527" s="67">
        <f t="shared" ca="1" si="361"/>
        <v>-4.1137374904430253</v>
      </c>
      <c r="T527" s="67">
        <f t="shared" ca="1" si="361"/>
        <v>-4.1280867760274003</v>
      </c>
      <c r="U527" s="67">
        <f t="shared" ca="1" si="361"/>
        <v>-4.1414273856025678</v>
      </c>
      <c r="V527" s="67">
        <f t="shared" ca="1" si="361"/>
        <v>-4.1537580813699364</v>
      </c>
      <c r="W527" s="67">
        <f t="shared" ca="1" si="361"/>
        <v>-4.167078888265431</v>
      </c>
      <c r="X527" s="67">
        <f t="shared" ca="1" si="361"/>
        <v>-4.180384688209446</v>
      </c>
    </row>
    <row r="528" spans="1:24" x14ac:dyDescent="0.25">
      <c r="A528" s="11" t="s">
        <v>609</v>
      </c>
      <c r="O528" s="16">
        <f t="shared" ref="O528:X528" ca="1" si="362">O$362-N$362</f>
        <v>3.8786021011101823</v>
      </c>
      <c r="P528" s="16">
        <f t="shared" ca="1" si="362"/>
        <v>1.4869819992839766</v>
      </c>
      <c r="Q528" s="16">
        <f t="shared" ca="1" si="362"/>
        <v>1.5291416253322794</v>
      </c>
      <c r="R528" s="16">
        <f t="shared" ca="1" si="362"/>
        <v>1.5456208797442059</v>
      </c>
      <c r="S528" s="16">
        <f t="shared" ca="1" si="362"/>
        <v>1.5787765978032127</v>
      </c>
      <c r="T528" s="16">
        <f t="shared" ca="1" si="362"/>
        <v>1.6111979353659791</v>
      </c>
      <c r="U528" s="16">
        <f t="shared" ca="1" si="362"/>
        <v>1.6369102559980746</v>
      </c>
      <c r="V528" s="16">
        <f t="shared" ca="1" si="362"/>
        <v>1.6653695699137927</v>
      </c>
      <c r="W528" s="16">
        <f t="shared" ca="1" si="362"/>
        <v>1.6962309252601528</v>
      </c>
      <c r="X528" s="16">
        <f t="shared" ca="1" si="362"/>
        <v>1.7375891589895289</v>
      </c>
    </row>
    <row r="529" spans="1:24" x14ac:dyDescent="0.25">
      <c r="A529" s="11" t="s">
        <v>610</v>
      </c>
      <c r="O529" s="16">
        <f t="shared" ref="O529:X529" ca="1" si="363">O$413-O$341</f>
        <v>0.33801009791106412</v>
      </c>
      <c r="P529" s="16">
        <f t="shared" ca="1" si="363"/>
        <v>0.35180265179958148</v>
      </c>
      <c r="Q529" s="16">
        <f t="shared" ca="1" si="363"/>
        <v>0.35957955635343375</v>
      </c>
      <c r="R529" s="16">
        <f t="shared" ca="1" si="363"/>
        <v>0.36235710120209463</v>
      </c>
      <c r="S529" s="16">
        <f t="shared" ca="1" si="363"/>
        <v>0.35997539336294582</v>
      </c>
      <c r="T529" s="16">
        <f t="shared" ca="1" si="363"/>
        <v>0.35144569798214537</v>
      </c>
      <c r="U529" s="16">
        <f t="shared" ca="1" si="363"/>
        <v>0.33481560878051553</v>
      </c>
      <c r="V529" s="16">
        <f t="shared" ca="1" si="363"/>
        <v>0.31307080266007081</v>
      </c>
      <c r="W529" s="16">
        <f t="shared" ca="1" si="363"/>
        <v>0.28921156816507315</v>
      </c>
      <c r="X529" s="16">
        <f t="shared" ca="1" si="363"/>
        <v>0.26117868180295678</v>
      </c>
    </row>
    <row r="530" spans="1:24" x14ac:dyDescent="0.25">
      <c r="A530" s="11" t="s">
        <v>611</v>
      </c>
      <c r="O530" s="16">
        <f t="shared" ref="O530:X530" si="364">O$419-N$419</f>
        <v>0</v>
      </c>
      <c r="P530" s="16">
        <f t="shared" si="364"/>
        <v>0</v>
      </c>
      <c r="Q530" s="16">
        <f t="shared" si="364"/>
        <v>0</v>
      </c>
      <c r="R530" s="16">
        <f t="shared" si="364"/>
        <v>0</v>
      </c>
      <c r="S530" s="16">
        <f t="shared" si="364"/>
        <v>0</v>
      </c>
      <c r="T530" s="16">
        <f t="shared" si="364"/>
        <v>0</v>
      </c>
      <c r="U530" s="16">
        <f t="shared" si="364"/>
        <v>0</v>
      </c>
      <c r="V530" s="16">
        <f t="shared" si="364"/>
        <v>0</v>
      </c>
      <c r="W530" s="16">
        <f t="shared" si="364"/>
        <v>0</v>
      </c>
      <c r="X530" s="16">
        <f t="shared" si="364"/>
        <v>0</v>
      </c>
    </row>
    <row r="531" spans="1:24" x14ac:dyDescent="0.25">
      <c r="A531" s="11" t="s">
        <v>612</v>
      </c>
      <c r="O531" s="16">
        <f t="shared" ref="O531:X531" si="365">O$423-N$423</f>
        <v>0</v>
      </c>
      <c r="P531" s="16">
        <f t="shared" si="365"/>
        <v>0</v>
      </c>
      <c r="Q531" s="16">
        <f t="shared" si="365"/>
        <v>0</v>
      </c>
      <c r="R531" s="16">
        <f t="shared" si="365"/>
        <v>0</v>
      </c>
      <c r="S531" s="16">
        <f t="shared" si="365"/>
        <v>0</v>
      </c>
      <c r="T531" s="16">
        <f t="shared" si="365"/>
        <v>0</v>
      </c>
      <c r="U531" s="16">
        <f t="shared" si="365"/>
        <v>0</v>
      </c>
      <c r="V531" s="16">
        <f t="shared" si="365"/>
        <v>0</v>
      </c>
      <c r="W531" s="16">
        <f t="shared" si="365"/>
        <v>0</v>
      </c>
      <c r="X531" s="16">
        <f t="shared" si="365"/>
        <v>0</v>
      </c>
    </row>
    <row r="532" spans="1:24" x14ac:dyDescent="0.25">
      <c r="A532" s="11" t="s">
        <v>1151</v>
      </c>
      <c r="O532" s="16">
        <f t="shared" ref="O532:X532" si="366">O$464-N$464</f>
        <v>0</v>
      </c>
      <c r="P532" s="16">
        <f t="shared" si="366"/>
        <v>0</v>
      </c>
      <c r="Q532" s="16">
        <f t="shared" si="366"/>
        <v>0</v>
      </c>
      <c r="R532" s="16">
        <f t="shared" si="366"/>
        <v>0</v>
      </c>
      <c r="S532" s="16">
        <f t="shared" si="366"/>
        <v>0</v>
      </c>
      <c r="T532" s="16">
        <f t="shared" si="366"/>
        <v>0</v>
      </c>
      <c r="U532" s="16">
        <f t="shared" si="366"/>
        <v>0</v>
      </c>
      <c r="V532" s="16">
        <f t="shared" si="366"/>
        <v>0</v>
      </c>
      <c r="W532" s="16">
        <f t="shared" si="366"/>
        <v>0</v>
      </c>
      <c r="X532" s="16">
        <f t="shared" si="366"/>
        <v>0</v>
      </c>
    </row>
    <row r="533" spans="1:24" x14ac:dyDescent="0.25">
      <c r="A533" s="11" t="s">
        <v>1152</v>
      </c>
      <c r="O533" s="16">
        <f t="shared" ref="O533:X533" ca="1" si="367">SUM(O$460-N$460,O$468-N$468,O$485-N$485)</f>
        <v>2.9601831092854729</v>
      </c>
      <c r="P533" s="16">
        <f t="shared" ca="1" si="367"/>
        <v>0.54110945541070787</v>
      </c>
      <c r="Q533" s="16">
        <f t="shared" ca="1" si="367"/>
        <v>0.59593199977263334</v>
      </c>
      <c r="R533" s="16">
        <f t="shared" ca="1" si="367"/>
        <v>0.64144837812622191</v>
      </c>
      <c r="S533" s="16">
        <f t="shared" ca="1" si="367"/>
        <v>0.69318218483926231</v>
      </c>
      <c r="T533" s="16">
        <f t="shared" ca="1" si="367"/>
        <v>0.74573005583019558</v>
      </c>
      <c r="U533" s="16">
        <f t="shared" ca="1" si="367"/>
        <v>0.79586375203107362</v>
      </c>
      <c r="V533" s="16">
        <f t="shared" ca="1" si="367"/>
        <v>0.84830867656727893</v>
      </c>
      <c r="W533" s="16">
        <f t="shared" ca="1" si="367"/>
        <v>0.90399657610032458</v>
      </c>
      <c r="X533" s="16">
        <f t="shared" ca="1" si="367"/>
        <v>0.96602960015652628</v>
      </c>
    </row>
    <row r="534" spans="1:24" x14ac:dyDescent="0.25">
      <c r="A534" s="11" t="s">
        <v>1153</v>
      </c>
      <c r="O534" s="16">
        <f t="shared" ref="O534:X534" si="368">O$478-N$478</f>
        <v>-0.18722764830508432</v>
      </c>
      <c r="P534" s="16">
        <f t="shared" si="368"/>
        <v>-0.19206557203389885</v>
      </c>
      <c r="Q534" s="16">
        <f t="shared" si="368"/>
        <v>-0.19448453389830522</v>
      </c>
      <c r="R534" s="16">
        <f t="shared" si="368"/>
        <v>-0.19883866525423732</v>
      </c>
      <c r="S534" s="16">
        <f t="shared" si="368"/>
        <v>-0.20029004237288106</v>
      </c>
      <c r="T534" s="16">
        <f t="shared" si="368"/>
        <v>-0.2007738347457626</v>
      </c>
      <c r="U534" s="16">
        <f t="shared" si="368"/>
        <v>-0.19400074152542324</v>
      </c>
      <c r="V534" s="16">
        <f t="shared" si="368"/>
        <v>-0.1915817796610173</v>
      </c>
      <c r="W534" s="16">
        <f t="shared" si="368"/>
        <v>-0.18867902542372894</v>
      </c>
      <c r="X534" s="16">
        <f t="shared" si="368"/>
        <v>-0.18529247881355948</v>
      </c>
    </row>
    <row r="535" spans="1:24" x14ac:dyDescent="0.25">
      <c r="A535" s="9" t="s">
        <v>615</v>
      </c>
      <c r="O535" s="67">
        <f t="shared" ref="O535:X535" ca="1" si="369">SUM(O$528:O$531)-SUM(O$532:O$534)</f>
        <v>1.4436567380408576</v>
      </c>
      <c r="P535" s="67">
        <f t="shared" ca="1" si="369"/>
        <v>1.4897407677067491</v>
      </c>
      <c r="Q535" s="67">
        <f t="shared" ca="1" si="369"/>
        <v>1.4872737158113849</v>
      </c>
      <c r="R535" s="67">
        <f t="shared" ca="1" si="369"/>
        <v>1.4653682680743159</v>
      </c>
      <c r="S535" s="67">
        <f t="shared" ca="1" si="369"/>
        <v>1.4458598486997771</v>
      </c>
      <c r="T535" s="67">
        <f t="shared" ca="1" si="369"/>
        <v>1.4176874122636915</v>
      </c>
      <c r="U535" s="67">
        <f t="shared" ca="1" si="369"/>
        <v>1.3698628542729399</v>
      </c>
      <c r="V535" s="67">
        <f t="shared" ca="1" si="369"/>
        <v>1.3217134756676019</v>
      </c>
      <c r="W535" s="67">
        <f t="shared" ca="1" si="369"/>
        <v>1.2701249427486303</v>
      </c>
      <c r="X535" s="67">
        <f t="shared" ca="1" si="369"/>
        <v>1.218030719449519</v>
      </c>
    </row>
    <row r="536" spans="1:24" x14ac:dyDescent="0.25">
      <c r="A536" s="9" t="s">
        <v>1144</v>
      </c>
      <c r="O536" s="67">
        <f t="shared" ref="O536:X536" ca="1" si="370">SUM(O$521,O$522,O$527,O$535)</f>
        <v>7.9730602162994328</v>
      </c>
      <c r="P536" s="67">
        <f t="shared" ca="1" si="370"/>
        <v>10.139361217172524</v>
      </c>
      <c r="Q536" s="67">
        <f t="shared" ca="1" si="370"/>
        <v>12.150415094381243</v>
      </c>
      <c r="R536" s="67">
        <f t="shared" ca="1" si="370"/>
        <v>14.060238280014685</v>
      </c>
      <c r="S536" s="67">
        <f t="shared" ca="1" si="370"/>
        <v>16.022165197429256</v>
      </c>
      <c r="T536" s="67">
        <f t="shared" ca="1" si="370"/>
        <v>18.108888333929709</v>
      </c>
      <c r="U536" s="67">
        <f t="shared" ca="1" si="370"/>
        <v>20.185343612257476</v>
      </c>
      <c r="V536" s="67">
        <f t="shared" ca="1" si="370"/>
        <v>22.330844736329325</v>
      </c>
      <c r="W536" s="67">
        <f t="shared" ca="1" si="370"/>
        <v>24.608015574073171</v>
      </c>
      <c r="X536" s="67">
        <f t="shared" ca="1" si="370"/>
        <v>27.068546954317608</v>
      </c>
    </row>
    <row r="537" spans="1:24" x14ac:dyDescent="0.25">
      <c r="A537" s="55" t="s">
        <v>1154</v>
      </c>
      <c r="O537" s="91" t="str">
        <f t="shared" ref="O537:X537" ca="1" si="371">IF(ROUND(O$49-O$536,3)=0,"OK","ERROR")</f>
        <v>OK</v>
      </c>
      <c r="P537" s="91" t="str">
        <f t="shared" ca="1" si="371"/>
        <v>OK</v>
      </c>
      <c r="Q537" s="91" t="str">
        <f t="shared" ca="1" si="371"/>
        <v>OK</v>
      </c>
      <c r="R537" s="91" t="str">
        <f t="shared" ca="1" si="371"/>
        <v>OK</v>
      </c>
      <c r="S537" s="91" t="str">
        <f t="shared" ca="1" si="371"/>
        <v>OK</v>
      </c>
      <c r="T537" s="91" t="str">
        <f t="shared" ca="1" si="371"/>
        <v>OK</v>
      </c>
      <c r="U537" s="91" t="str">
        <f t="shared" ca="1" si="371"/>
        <v>OK</v>
      </c>
      <c r="V537" s="91" t="str">
        <f t="shared" ca="1" si="371"/>
        <v>OK</v>
      </c>
      <c r="W537" s="91" t="str">
        <f t="shared" ca="1" si="371"/>
        <v>OK</v>
      </c>
      <c r="X537" s="91" t="str">
        <f t="shared" ca="1" si="371"/>
        <v>OK</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Drop Down 1">
              <controlPr defaultSize="0" autoLine="0" autoPict="0">
                <anchor moveWithCells="1">
                  <from>
                    <xdr:col>0</xdr:col>
                    <xdr:colOff>47625</xdr:colOff>
                    <xdr:row>6</xdr:row>
                    <xdr:rowOff>0</xdr:rowOff>
                  </from>
                  <to>
                    <xdr:col>0</xdr:col>
                    <xdr:colOff>5629275</xdr:colOff>
                    <xdr:row>7</xdr:row>
                    <xdr:rowOff>9525</xdr:rowOff>
                  </to>
                </anchor>
              </controlPr>
            </control>
          </mc:Choice>
        </mc:AlternateContent>
        <mc:AlternateContent xmlns:mc="http://schemas.openxmlformats.org/markup-compatibility/2006">
          <mc:Choice Requires="x14">
            <control shapeId="166914" r:id="rId5" name="Drop Down 2">
              <controlPr defaultSize="0" autoLine="0" autoPict="0">
                <anchor moveWithCells="1">
                  <from>
                    <xdr:col>0</xdr:col>
                    <xdr:colOff>47625</xdr:colOff>
                    <xdr:row>6</xdr:row>
                    <xdr:rowOff>0</xdr:rowOff>
                  </from>
                  <to>
                    <xdr:col>1</xdr:col>
                    <xdr:colOff>19050</xdr:colOff>
                    <xdr:row>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87004-9F2F-4B55-A732-173B743BC590}">
  <dimension ref="A1:R174"/>
  <sheetViews>
    <sheetView tabSelected="1" workbookViewId="0"/>
  </sheetViews>
  <sheetFormatPr defaultRowHeight="15" x14ac:dyDescent="0.25"/>
  <sheetData>
    <row r="1" spans="1:18" ht="15.75" x14ac:dyDescent="0.25">
      <c r="A1" s="48" t="s">
        <v>161</v>
      </c>
      <c r="B1" s="2"/>
      <c r="C1" s="2"/>
      <c r="D1" s="2"/>
      <c r="E1" s="2"/>
      <c r="F1" s="2"/>
      <c r="G1" s="2"/>
      <c r="H1" s="2"/>
      <c r="I1" s="2"/>
      <c r="J1" s="2"/>
      <c r="K1" s="2"/>
      <c r="L1" s="2"/>
      <c r="M1" s="2"/>
      <c r="N1" s="2"/>
      <c r="O1" s="2"/>
      <c r="P1" s="2"/>
      <c r="Q1" s="2"/>
      <c r="R1" s="2"/>
    </row>
    <row r="2" spans="1:18" x14ac:dyDescent="0.25">
      <c r="A2" s="3"/>
      <c r="B2" s="2"/>
      <c r="C2" s="2"/>
      <c r="D2" s="2"/>
      <c r="E2" s="2"/>
      <c r="F2" s="2"/>
      <c r="G2" s="2"/>
      <c r="H2" s="2"/>
      <c r="I2" s="2"/>
      <c r="J2" s="2"/>
      <c r="K2" s="2"/>
      <c r="L2" s="2"/>
      <c r="M2" s="2"/>
      <c r="N2" s="2"/>
      <c r="O2" s="2"/>
      <c r="P2" s="2"/>
      <c r="Q2" s="2"/>
      <c r="R2" s="2"/>
    </row>
    <row r="3" spans="1:18" x14ac:dyDescent="0.25">
      <c r="A3" s="49" t="s">
        <v>162</v>
      </c>
      <c r="B3" s="2"/>
      <c r="C3" s="2"/>
      <c r="D3" s="49" t="s">
        <v>163</v>
      </c>
      <c r="E3" s="2"/>
      <c r="F3" s="2"/>
      <c r="G3" s="2"/>
      <c r="H3" s="2"/>
      <c r="I3" s="49" t="s">
        <v>164</v>
      </c>
      <c r="J3" s="2"/>
      <c r="K3" s="2"/>
      <c r="L3" s="2"/>
      <c r="M3" s="2"/>
      <c r="N3" s="49" t="s">
        <v>165</v>
      </c>
      <c r="O3" s="2"/>
      <c r="P3" s="2"/>
      <c r="Q3" s="2"/>
      <c r="R3" s="2"/>
    </row>
    <row r="4" spans="1:18" x14ac:dyDescent="0.25">
      <c r="A4" s="49"/>
      <c r="B4" s="2"/>
      <c r="C4" s="2"/>
      <c r="D4" s="2"/>
      <c r="E4" s="2"/>
      <c r="F4" s="2"/>
      <c r="G4" s="2"/>
      <c r="H4" s="2"/>
      <c r="I4" s="2"/>
      <c r="J4" s="2"/>
      <c r="K4" s="2"/>
      <c r="L4" s="2"/>
      <c r="M4" s="2"/>
      <c r="N4" s="2"/>
      <c r="O4" s="2"/>
      <c r="P4" s="2"/>
      <c r="Q4" s="2"/>
      <c r="R4" s="2"/>
    </row>
    <row r="5" spans="1:18" x14ac:dyDescent="0.25">
      <c r="A5" s="3" t="s">
        <v>166</v>
      </c>
      <c r="B5" s="2"/>
      <c r="C5" s="2"/>
      <c r="D5" s="2" t="s">
        <v>167</v>
      </c>
      <c r="E5" s="2"/>
      <c r="F5" s="2"/>
      <c r="G5" s="2"/>
      <c r="H5" s="2"/>
      <c r="I5" s="2" t="s">
        <v>168</v>
      </c>
      <c r="J5" s="2"/>
      <c r="K5" s="2"/>
      <c r="L5" s="2"/>
      <c r="M5" s="2"/>
      <c r="N5" s="2" t="s">
        <v>169</v>
      </c>
      <c r="O5" s="2"/>
      <c r="P5" s="2"/>
      <c r="Q5" s="2"/>
      <c r="R5" s="2"/>
    </row>
    <row r="6" spans="1:18" x14ac:dyDescent="0.25">
      <c r="A6" s="2"/>
      <c r="B6" s="2"/>
      <c r="C6" s="2"/>
      <c r="D6" s="2" t="s">
        <v>170</v>
      </c>
      <c r="E6" s="2"/>
      <c r="F6" s="2"/>
      <c r="G6" s="2"/>
      <c r="H6" s="2"/>
      <c r="I6" s="2" t="s">
        <v>171</v>
      </c>
      <c r="J6" s="2"/>
      <c r="K6" s="2"/>
      <c r="L6" s="2"/>
      <c r="M6" s="2"/>
      <c r="N6" s="2"/>
      <c r="O6" s="2"/>
      <c r="P6" s="2"/>
      <c r="Q6" s="2"/>
      <c r="R6" s="2"/>
    </row>
    <row r="7" spans="1:18" x14ac:dyDescent="0.25">
      <c r="A7" s="2"/>
      <c r="B7" s="2"/>
      <c r="C7" s="2"/>
      <c r="D7" s="2" t="s">
        <v>172</v>
      </c>
      <c r="E7" s="2"/>
      <c r="F7" s="2"/>
      <c r="G7" s="2"/>
      <c r="H7" s="2"/>
      <c r="I7" s="2" t="s">
        <v>1432</v>
      </c>
      <c r="J7" s="2"/>
      <c r="K7" s="2"/>
      <c r="L7" s="2"/>
      <c r="M7" s="2"/>
      <c r="N7" s="2"/>
      <c r="O7" s="2"/>
      <c r="P7" s="2"/>
      <c r="Q7" s="2"/>
      <c r="R7" s="2"/>
    </row>
    <row r="8" spans="1:18" x14ac:dyDescent="0.25">
      <c r="A8" s="2"/>
      <c r="B8" s="2"/>
      <c r="C8" s="2"/>
      <c r="D8" s="2" t="s">
        <v>173</v>
      </c>
      <c r="E8" s="2"/>
      <c r="F8" s="2"/>
      <c r="G8" s="2"/>
      <c r="H8" s="2"/>
      <c r="I8" s="2" t="s">
        <v>1433</v>
      </c>
      <c r="J8" s="2"/>
      <c r="K8" s="2"/>
      <c r="L8" s="2"/>
      <c r="M8" s="2"/>
      <c r="N8" s="2"/>
      <c r="O8" s="2"/>
      <c r="P8" s="2"/>
      <c r="Q8" s="2"/>
      <c r="R8" s="2"/>
    </row>
    <row r="9" spans="1:18" x14ac:dyDescent="0.25">
      <c r="A9" s="2"/>
      <c r="B9" s="2"/>
      <c r="C9" s="2"/>
      <c r="D9" s="2"/>
      <c r="E9" s="2"/>
      <c r="F9" s="2"/>
      <c r="G9" s="2"/>
      <c r="H9" s="2"/>
      <c r="I9" s="2" t="s">
        <v>1434</v>
      </c>
      <c r="J9" s="2"/>
      <c r="K9" s="2"/>
      <c r="L9" s="2"/>
      <c r="M9" s="2"/>
      <c r="N9" s="2"/>
      <c r="O9" s="2"/>
      <c r="P9" s="2"/>
      <c r="Q9" s="2"/>
      <c r="R9" s="2"/>
    </row>
    <row r="10" spans="1:18" x14ac:dyDescent="0.25">
      <c r="A10" s="2"/>
      <c r="B10" s="2"/>
      <c r="C10" s="2"/>
      <c r="D10" s="2"/>
      <c r="E10" s="2"/>
      <c r="F10" s="2"/>
      <c r="G10" s="2"/>
      <c r="H10" s="2"/>
      <c r="I10" s="2" t="s">
        <v>174</v>
      </c>
      <c r="J10" s="2"/>
      <c r="K10" s="2"/>
      <c r="L10" s="2"/>
      <c r="M10" s="2"/>
      <c r="N10" s="2"/>
      <c r="O10" s="2"/>
      <c r="P10" s="2"/>
      <c r="Q10" s="2"/>
      <c r="R10" s="2"/>
    </row>
    <row r="11" spans="1:18" x14ac:dyDescent="0.25">
      <c r="A11" s="2"/>
      <c r="B11" s="2"/>
      <c r="C11" s="2"/>
      <c r="D11" s="2"/>
      <c r="E11" s="2"/>
      <c r="F11" s="2"/>
      <c r="G11" s="2"/>
      <c r="H11" s="2"/>
      <c r="I11" s="50" t="s">
        <v>175</v>
      </c>
      <c r="J11" s="2"/>
      <c r="K11" s="2"/>
      <c r="L11" s="2"/>
      <c r="M11" s="2"/>
      <c r="N11" s="2"/>
      <c r="O11" s="2"/>
      <c r="P11" s="2"/>
      <c r="Q11" s="2"/>
      <c r="R11" s="2"/>
    </row>
    <row r="12" spans="1:18" x14ac:dyDescent="0.25">
      <c r="A12" s="2"/>
      <c r="B12" s="2"/>
      <c r="C12" s="2"/>
      <c r="D12" s="2"/>
      <c r="E12" s="2"/>
      <c r="F12" s="2"/>
      <c r="G12" s="2"/>
      <c r="H12" s="2"/>
      <c r="I12" s="2"/>
      <c r="J12" s="2"/>
      <c r="K12" s="2"/>
      <c r="L12" s="2"/>
      <c r="M12" s="2"/>
      <c r="N12" s="2"/>
      <c r="O12" s="2"/>
      <c r="P12" s="2"/>
      <c r="Q12" s="2"/>
      <c r="R12" s="2"/>
    </row>
    <row r="13" spans="1:18" x14ac:dyDescent="0.25">
      <c r="A13" s="3" t="s">
        <v>176</v>
      </c>
      <c r="B13" s="2"/>
      <c r="C13" s="2"/>
      <c r="D13" s="2" t="s">
        <v>401</v>
      </c>
      <c r="E13" s="2"/>
      <c r="F13" s="2"/>
      <c r="G13" s="2"/>
      <c r="H13" s="2"/>
      <c r="I13" s="2" t="s">
        <v>177</v>
      </c>
      <c r="J13" s="2"/>
      <c r="K13" s="2"/>
      <c r="L13" s="2"/>
      <c r="M13" s="2"/>
      <c r="N13" s="2" t="s">
        <v>169</v>
      </c>
      <c r="O13" s="2"/>
      <c r="P13" s="2"/>
      <c r="Q13" s="2"/>
      <c r="R13" s="2"/>
    </row>
    <row r="14" spans="1:18" x14ac:dyDescent="0.25">
      <c r="A14" s="2"/>
      <c r="B14" s="2"/>
      <c r="C14" s="2"/>
      <c r="D14" s="2" t="s">
        <v>178</v>
      </c>
      <c r="E14" s="2"/>
      <c r="F14" s="2"/>
      <c r="G14" s="2"/>
      <c r="H14" s="2"/>
      <c r="I14" s="2" t="s">
        <v>179</v>
      </c>
      <c r="J14" s="2"/>
      <c r="K14" s="2"/>
      <c r="L14" s="2"/>
      <c r="M14" s="2"/>
      <c r="N14" s="2"/>
      <c r="O14" s="2"/>
      <c r="P14" s="2"/>
      <c r="Q14" s="2"/>
      <c r="R14" s="2"/>
    </row>
    <row r="15" spans="1:18" x14ac:dyDescent="0.25">
      <c r="A15" s="2"/>
      <c r="B15" s="2"/>
      <c r="C15" s="2"/>
      <c r="D15" s="2" t="s">
        <v>180</v>
      </c>
      <c r="E15" s="2"/>
      <c r="F15" s="2"/>
      <c r="G15" s="2"/>
      <c r="H15" s="2"/>
      <c r="I15" s="2"/>
      <c r="J15" s="2"/>
      <c r="K15" s="2"/>
      <c r="L15" s="2"/>
      <c r="M15" s="2"/>
      <c r="N15" s="2"/>
      <c r="O15" s="2"/>
      <c r="P15" s="2"/>
      <c r="Q15" s="2"/>
      <c r="R15" s="2"/>
    </row>
    <row r="16" spans="1:18" x14ac:dyDescent="0.25">
      <c r="A16" s="2"/>
      <c r="B16" s="2"/>
      <c r="C16" s="2"/>
      <c r="D16" s="2"/>
      <c r="E16" s="2"/>
      <c r="F16" s="2"/>
      <c r="G16" s="2"/>
      <c r="H16" s="2"/>
      <c r="I16" s="2"/>
      <c r="J16" s="2"/>
      <c r="K16" s="2"/>
      <c r="L16" s="2"/>
      <c r="M16" s="2"/>
      <c r="N16" s="2"/>
      <c r="O16" s="2"/>
      <c r="P16" s="2"/>
      <c r="Q16" s="2"/>
      <c r="R16" s="2"/>
    </row>
    <row r="17" spans="1:18" x14ac:dyDescent="0.25">
      <c r="A17" s="3" t="s">
        <v>181</v>
      </c>
      <c r="B17" s="2"/>
      <c r="C17" s="2"/>
      <c r="D17" s="2" t="s">
        <v>182</v>
      </c>
      <c r="E17" s="2"/>
      <c r="F17" s="2"/>
      <c r="G17" s="2"/>
      <c r="H17" s="2"/>
      <c r="I17" s="2" t="s">
        <v>177</v>
      </c>
      <c r="J17" s="2"/>
      <c r="K17" s="2"/>
      <c r="L17" s="2"/>
      <c r="M17" s="2"/>
      <c r="N17" s="2" t="s">
        <v>169</v>
      </c>
      <c r="O17" s="2"/>
      <c r="P17" s="2"/>
      <c r="Q17" s="2"/>
      <c r="R17" s="2"/>
    </row>
    <row r="18" spans="1:18" x14ac:dyDescent="0.25">
      <c r="A18" s="2"/>
      <c r="B18" s="2"/>
      <c r="C18" s="2"/>
      <c r="D18" s="2" t="s">
        <v>183</v>
      </c>
      <c r="E18" s="2"/>
      <c r="F18" s="2"/>
      <c r="G18" s="2"/>
      <c r="H18" s="2"/>
      <c r="I18" s="2" t="s">
        <v>179</v>
      </c>
      <c r="J18" s="2"/>
      <c r="K18" s="2"/>
      <c r="L18" s="2"/>
      <c r="M18" s="2"/>
      <c r="N18" s="2"/>
      <c r="O18" s="2"/>
      <c r="P18" s="2"/>
      <c r="Q18" s="2"/>
      <c r="R18" s="2"/>
    </row>
    <row r="19" spans="1:18" x14ac:dyDescent="0.25">
      <c r="A19" s="2"/>
      <c r="B19" s="2"/>
      <c r="C19" s="2"/>
      <c r="D19" s="2" t="s">
        <v>184</v>
      </c>
      <c r="E19" s="2"/>
      <c r="F19" s="2"/>
      <c r="G19" s="2"/>
      <c r="H19" s="2"/>
      <c r="I19" s="2"/>
      <c r="J19" s="2"/>
      <c r="K19" s="2"/>
      <c r="L19" s="2"/>
      <c r="M19" s="2"/>
      <c r="N19" s="2"/>
      <c r="O19" s="2"/>
      <c r="P19" s="2"/>
      <c r="Q19" s="2"/>
      <c r="R19" s="2"/>
    </row>
    <row r="20" spans="1:18" x14ac:dyDescent="0.25">
      <c r="A20" s="2"/>
      <c r="B20" s="2"/>
      <c r="C20" s="2"/>
      <c r="D20" s="2" t="s">
        <v>185</v>
      </c>
      <c r="E20" s="2"/>
      <c r="F20" s="2"/>
      <c r="G20" s="2"/>
      <c r="H20" s="2"/>
      <c r="I20" s="2"/>
      <c r="J20" s="2"/>
      <c r="K20" s="2"/>
      <c r="L20" s="2"/>
      <c r="M20" s="2"/>
      <c r="N20" s="2"/>
      <c r="O20" s="2"/>
      <c r="P20" s="2"/>
      <c r="Q20" s="2"/>
      <c r="R20" s="2"/>
    </row>
    <row r="21" spans="1:18" x14ac:dyDescent="0.25">
      <c r="A21" s="2"/>
      <c r="B21" s="2"/>
      <c r="C21" s="2"/>
      <c r="D21" s="2" t="s">
        <v>186</v>
      </c>
      <c r="E21" s="2"/>
      <c r="F21" s="2"/>
      <c r="G21" s="2"/>
      <c r="H21" s="2"/>
      <c r="I21" s="2"/>
      <c r="J21" s="2"/>
      <c r="K21" s="2"/>
      <c r="L21" s="2"/>
      <c r="M21" s="2"/>
      <c r="N21" s="2"/>
      <c r="O21" s="2"/>
      <c r="P21" s="2"/>
      <c r="Q21" s="2"/>
      <c r="R21" s="2"/>
    </row>
    <row r="22" spans="1:18" x14ac:dyDescent="0.25">
      <c r="A22" s="2"/>
      <c r="B22" s="2"/>
      <c r="C22" s="2"/>
      <c r="D22" s="2" t="s">
        <v>187</v>
      </c>
      <c r="E22" s="2"/>
      <c r="F22" s="2"/>
      <c r="G22" s="2"/>
      <c r="H22" s="2"/>
      <c r="I22" s="2"/>
      <c r="J22" s="2"/>
      <c r="K22" s="2"/>
      <c r="L22" s="2"/>
      <c r="M22" s="2"/>
      <c r="N22" s="2"/>
      <c r="O22" s="2"/>
      <c r="P22" s="2"/>
      <c r="Q22" s="2"/>
      <c r="R22" s="2"/>
    </row>
    <row r="23" spans="1:18" x14ac:dyDescent="0.25">
      <c r="A23" s="2"/>
      <c r="B23" s="2"/>
      <c r="C23" s="2"/>
      <c r="D23" s="2"/>
      <c r="E23" s="2"/>
      <c r="F23" s="2"/>
      <c r="G23" s="2"/>
      <c r="H23" s="2"/>
      <c r="I23" s="2"/>
      <c r="J23" s="2"/>
      <c r="K23" s="2"/>
      <c r="L23" s="2"/>
      <c r="M23" s="2"/>
      <c r="N23" s="2"/>
      <c r="O23" s="2"/>
      <c r="P23" s="2"/>
      <c r="Q23" s="2"/>
      <c r="R23" s="2"/>
    </row>
    <row r="24" spans="1:18" x14ac:dyDescent="0.25">
      <c r="A24" s="3" t="s">
        <v>188</v>
      </c>
      <c r="B24" s="2"/>
      <c r="C24" s="2"/>
      <c r="D24" s="2" t="s">
        <v>189</v>
      </c>
      <c r="E24" s="2"/>
      <c r="F24" s="2"/>
      <c r="G24" s="2"/>
      <c r="H24" s="2"/>
      <c r="I24" s="2" t="s">
        <v>190</v>
      </c>
      <c r="J24" s="2"/>
      <c r="K24" s="2"/>
      <c r="L24" s="2"/>
      <c r="M24" s="2"/>
      <c r="N24" s="2" t="s">
        <v>169</v>
      </c>
      <c r="O24" s="2"/>
      <c r="P24" s="2"/>
      <c r="Q24" s="2"/>
      <c r="R24" s="2"/>
    </row>
    <row r="25" spans="1:18" x14ac:dyDescent="0.25">
      <c r="A25" s="2"/>
      <c r="B25" s="2"/>
      <c r="C25" s="2"/>
      <c r="D25" s="2" t="s">
        <v>191</v>
      </c>
      <c r="E25" s="2"/>
      <c r="F25" s="2"/>
      <c r="G25" s="2"/>
      <c r="H25" s="2"/>
      <c r="I25" s="2" t="s">
        <v>192</v>
      </c>
      <c r="J25" s="2"/>
      <c r="K25" s="2"/>
      <c r="L25" s="2"/>
      <c r="M25" s="2"/>
      <c r="N25" s="2"/>
      <c r="O25" s="2"/>
      <c r="P25" s="2"/>
      <c r="Q25" s="2"/>
      <c r="R25" s="2"/>
    </row>
    <row r="26" spans="1:18" x14ac:dyDescent="0.25">
      <c r="A26" s="2"/>
      <c r="B26" s="2"/>
      <c r="C26" s="2"/>
      <c r="D26" s="2" t="s">
        <v>193</v>
      </c>
      <c r="E26" s="2"/>
      <c r="F26" s="2"/>
      <c r="G26" s="2"/>
      <c r="H26" s="2"/>
      <c r="I26" s="2" t="s">
        <v>194</v>
      </c>
      <c r="J26" s="2"/>
      <c r="K26" s="2"/>
      <c r="L26" s="2"/>
      <c r="M26" s="2"/>
      <c r="N26" s="2"/>
      <c r="O26" s="2"/>
      <c r="P26" s="2"/>
      <c r="Q26" s="2"/>
      <c r="R26" s="2"/>
    </row>
    <row r="27" spans="1:18" x14ac:dyDescent="0.25">
      <c r="A27" s="2"/>
      <c r="B27" s="2"/>
      <c r="C27" s="2"/>
      <c r="D27" s="2" t="s">
        <v>195</v>
      </c>
      <c r="E27" s="2"/>
      <c r="F27" s="2"/>
      <c r="G27" s="2"/>
      <c r="H27" s="2"/>
      <c r="I27" s="2" t="s">
        <v>196</v>
      </c>
      <c r="J27" s="2"/>
      <c r="K27" s="2"/>
      <c r="L27" s="2"/>
      <c r="M27" s="2"/>
      <c r="N27" s="2"/>
      <c r="O27" s="2"/>
      <c r="P27" s="2"/>
      <c r="Q27" s="2"/>
      <c r="R27" s="2"/>
    </row>
    <row r="28" spans="1:18" x14ac:dyDescent="0.25">
      <c r="A28" s="2"/>
      <c r="B28" s="2"/>
      <c r="C28" s="2"/>
      <c r="D28" s="2" t="s">
        <v>197</v>
      </c>
      <c r="E28" s="2"/>
      <c r="F28" s="2"/>
      <c r="G28" s="2"/>
      <c r="H28" s="2"/>
      <c r="I28" s="2" t="s">
        <v>198</v>
      </c>
      <c r="J28" s="2"/>
      <c r="K28" s="2"/>
      <c r="L28" s="2"/>
      <c r="M28" s="2"/>
      <c r="N28" s="2"/>
      <c r="O28" s="2"/>
      <c r="P28" s="2"/>
      <c r="Q28" s="2"/>
      <c r="R28" s="2"/>
    </row>
    <row r="29" spans="1:18" x14ac:dyDescent="0.25">
      <c r="A29" s="2"/>
      <c r="B29" s="2"/>
      <c r="C29" s="2"/>
      <c r="D29" s="2" t="s">
        <v>199</v>
      </c>
      <c r="E29" s="2"/>
      <c r="F29" s="2"/>
      <c r="G29" s="2"/>
      <c r="H29" s="2"/>
      <c r="I29" s="2" t="s">
        <v>200</v>
      </c>
      <c r="J29" s="2"/>
      <c r="K29" s="2"/>
      <c r="L29" s="2"/>
      <c r="M29" s="2"/>
      <c r="N29" s="2"/>
      <c r="O29" s="2"/>
      <c r="P29" s="2"/>
      <c r="Q29" s="2"/>
      <c r="R29" s="2"/>
    </row>
    <row r="30" spans="1:18" x14ac:dyDescent="0.25">
      <c r="A30" s="2"/>
      <c r="B30" s="2"/>
      <c r="C30" s="2"/>
      <c r="D30" s="2" t="s">
        <v>201</v>
      </c>
      <c r="E30" s="2"/>
      <c r="F30" s="2"/>
      <c r="G30" s="2"/>
      <c r="H30" s="2"/>
      <c r="I30" s="2"/>
      <c r="J30" s="2"/>
      <c r="K30" s="2"/>
      <c r="L30" s="2"/>
      <c r="M30" s="2"/>
      <c r="N30" s="2"/>
      <c r="O30" s="2"/>
      <c r="P30" s="2"/>
      <c r="Q30" s="2"/>
      <c r="R30" s="2"/>
    </row>
    <row r="31" spans="1:18" x14ac:dyDescent="0.25">
      <c r="A31" s="2"/>
      <c r="B31" s="2"/>
      <c r="C31" s="2"/>
      <c r="D31" s="2" t="s">
        <v>202</v>
      </c>
      <c r="E31" s="2"/>
      <c r="F31" s="2"/>
      <c r="G31" s="2"/>
      <c r="H31" s="2"/>
      <c r="I31" s="2"/>
      <c r="J31" s="2"/>
      <c r="K31" s="2"/>
      <c r="L31" s="2"/>
      <c r="M31" s="2"/>
      <c r="N31" s="2"/>
      <c r="O31" s="2"/>
      <c r="P31" s="2"/>
      <c r="Q31" s="2"/>
      <c r="R31" s="2"/>
    </row>
    <row r="32" spans="1:18" x14ac:dyDescent="0.25">
      <c r="A32" s="2"/>
      <c r="B32" s="2"/>
      <c r="C32" s="2"/>
      <c r="D32" s="2" t="s">
        <v>203</v>
      </c>
      <c r="E32" s="2"/>
      <c r="F32" s="2"/>
      <c r="G32" s="2"/>
      <c r="H32" s="2"/>
      <c r="I32" s="2"/>
      <c r="J32" s="2"/>
      <c r="K32" s="2"/>
      <c r="L32" s="2"/>
      <c r="M32" s="2"/>
      <c r="N32" s="2"/>
      <c r="O32" s="2"/>
      <c r="P32" s="2"/>
      <c r="Q32" s="2"/>
      <c r="R32" s="2"/>
    </row>
    <row r="33" spans="1:18" x14ac:dyDescent="0.25">
      <c r="A33" s="2"/>
      <c r="B33" s="2"/>
      <c r="C33" s="2"/>
      <c r="D33" s="2" t="s">
        <v>204</v>
      </c>
      <c r="E33" s="2"/>
      <c r="F33" s="2"/>
      <c r="G33" s="2"/>
      <c r="H33" s="2"/>
      <c r="I33" s="2"/>
      <c r="J33" s="2"/>
      <c r="K33" s="2"/>
      <c r="L33" s="2"/>
      <c r="M33" s="2"/>
      <c r="N33" s="2"/>
      <c r="O33" s="2"/>
      <c r="P33" s="2"/>
      <c r="Q33" s="2"/>
      <c r="R33" s="2"/>
    </row>
    <row r="34" spans="1:18" x14ac:dyDescent="0.25">
      <c r="A34" s="2"/>
      <c r="B34" s="2"/>
      <c r="C34" s="2"/>
      <c r="D34" s="2"/>
      <c r="E34" s="2"/>
      <c r="F34" s="2"/>
      <c r="G34" s="2"/>
      <c r="H34" s="2"/>
      <c r="I34" s="2"/>
      <c r="J34" s="2"/>
      <c r="K34" s="2"/>
      <c r="L34" s="2"/>
      <c r="M34" s="2"/>
      <c r="N34" s="2"/>
      <c r="O34" s="2"/>
      <c r="P34" s="2"/>
      <c r="Q34" s="2"/>
      <c r="R34" s="2"/>
    </row>
    <row r="35" spans="1:18" x14ac:dyDescent="0.25">
      <c r="A35" s="3" t="s">
        <v>205</v>
      </c>
      <c r="B35" s="2"/>
      <c r="C35" s="2"/>
      <c r="D35" s="2" t="s">
        <v>206</v>
      </c>
      <c r="E35" s="2"/>
      <c r="F35" s="2"/>
      <c r="G35" s="2"/>
      <c r="H35" s="2"/>
      <c r="I35" s="2" t="s">
        <v>207</v>
      </c>
      <c r="J35" s="2"/>
      <c r="K35" s="2"/>
      <c r="L35" s="2"/>
      <c r="M35" s="2"/>
      <c r="N35" s="3" t="s">
        <v>188</v>
      </c>
      <c r="O35" s="2"/>
      <c r="P35" s="2"/>
      <c r="Q35" s="2"/>
      <c r="R35" s="2"/>
    </row>
    <row r="36" spans="1:18" x14ac:dyDescent="0.25">
      <c r="A36" s="2"/>
      <c r="B36" s="2"/>
      <c r="C36" s="2"/>
      <c r="D36" s="2" t="s">
        <v>208</v>
      </c>
      <c r="E36" s="2"/>
      <c r="F36" s="2"/>
      <c r="G36" s="2"/>
      <c r="H36" s="2"/>
      <c r="I36" s="2" t="s">
        <v>209</v>
      </c>
      <c r="J36" s="2"/>
      <c r="K36" s="2"/>
      <c r="L36" s="2"/>
      <c r="M36" s="2"/>
      <c r="N36" s="3" t="s">
        <v>210</v>
      </c>
      <c r="O36" s="2"/>
      <c r="P36" s="2"/>
      <c r="Q36" s="2"/>
      <c r="R36" s="2"/>
    </row>
    <row r="37" spans="1:18" x14ac:dyDescent="0.25">
      <c r="A37" s="2"/>
      <c r="B37" s="2"/>
      <c r="C37" s="2"/>
      <c r="D37" s="2" t="s">
        <v>211</v>
      </c>
      <c r="E37" s="2"/>
      <c r="F37" s="2"/>
      <c r="G37" s="2"/>
      <c r="H37" s="2"/>
      <c r="I37" s="2" t="s">
        <v>212</v>
      </c>
      <c r="J37" s="2"/>
      <c r="K37" s="2"/>
      <c r="L37" s="2"/>
      <c r="M37" s="2"/>
      <c r="N37" s="2"/>
      <c r="O37" s="2"/>
      <c r="P37" s="2"/>
      <c r="Q37" s="2"/>
      <c r="R37" s="2"/>
    </row>
    <row r="38" spans="1:18" x14ac:dyDescent="0.25">
      <c r="A38" s="2"/>
      <c r="B38" s="2"/>
      <c r="C38" s="2"/>
      <c r="D38" s="2" t="s">
        <v>213</v>
      </c>
      <c r="E38" s="2"/>
      <c r="F38" s="2"/>
      <c r="G38" s="2"/>
      <c r="H38" s="2"/>
      <c r="I38" s="2" t="s">
        <v>214</v>
      </c>
      <c r="J38" s="2"/>
      <c r="K38" s="2"/>
      <c r="L38" s="2"/>
      <c r="M38" s="2"/>
      <c r="N38" s="2"/>
      <c r="O38" s="2"/>
      <c r="P38" s="2"/>
      <c r="Q38" s="2"/>
      <c r="R38" s="2"/>
    </row>
    <row r="39" spans="1:18" x14ac:dyDescent="0.25">
      <c r="A39" s="2"/>
      <c r="B39" s="2"/>
      <c r="C39" s="2"/>
      <c r="D39" s="2" t="s">
        <v>215</v>
      </c>
      <c r="E39" s="2"/>
      <c r="F39" s="2"/>
      <c r="G39" s="2"/>
      <c r="H39" s="2"/>
      <c r="I39" s="2" t="s">
        <v>216</v>
      </c>
      <c r="J39" s="2"/>
      <c r="K39" s="2"/>
      <c r="L39" s="2"/>
      <c r="M39" s="2"/>
      <c r="N39" s="2"/>
      <c r="O39" s="2"/>
      <c r="P39" s="2"/>
      <c r="Q39" s="2"/>
      <c r="R39" s="2"/>
    </row>
    <row r="40" spans="1:18" x14ac:dyDescent="0.25">
      <c r="A40" s="2"/>
      <c r="B40" s="2"/>
      <c r="C40" s="2"/>
      <c r="D40" s="2" t="s">
        <v>217</v>
      </c>
      <c r="E40" s="2"/>
      <c r="F40" s="2"/>
      <c r="G40" s="2"/>
      <c r="H40" s="2"/>
      <c r="I40" s="2" t="s">
        <v>218</v>
      </c>
      <c r="J40" s="2"/>
      <c r="K40" s="2"/>
      <c r="L40" s="2"/>
      <c r="M40" s="2"/>
      <c r="N40" s="2"/>
      <c r="O40" s="2"/>
      <c r="P40" s="2"/>
      <c r="Q40" s="2"/>
      <c r="R40" s="2"/>
    </row>
    <row r="41" spans="1:18" x14ac:dyDescent="0.25">
      <c r="A41" s="2"/>
      <c r="B41" s="2"/>
      <c r="C41" s="2"/>
      <c r="D41" s="2" t="s">
        <v>219</v>
      </c>
      <c r="E41" s="2"/>
      <c r="F41" s="2"/>
      <c r="G41" s="2"/>
      <c r="H41" s="2"/>
      <c r="I41" s="2" t="s">
        <v>220</v>
      </c>
      <c r="J41" s="2"/>
      <c r="K41" s="2"/>
      <c r="L41" s="2"/>
      <c r="M41" s="2"/>
      <c r="N41" s="2"/>
      <c r="O41" s="2"/>
      <c r="P41" s="2"/>
      <c r="Q41" s="2"/>
      <c r="R41" s="2"/>
    </row>
    <row r="42" spans="1:18" x14ac:dyDescent="0.25">
      <c r="A42" s="2"/>
      <c r="B42" s="2"/>
      <c r="C42" s="2"/>
      <c r="D42" s="2"/>
      <c r="E42" s="2"/>
      <c r="F42" s="2"/>
      <c r="G42" s="2"/>
      <c r="H42" s="2"/>
      <c r="I42" s="2" t="s">
        <v>221</v>
      </c>
      <c r="J42" s="2"/>
      <c r="K42" s="2"/>
      <c r="L42" s="2"/>
      <c r="M42" s="2"/>
      <c r="N42" s="2"/>
      <c r="O42" s="2"/>
      <c r="P42" s="2"/>
      <c r="Q42" s="2"/>
      <c r="R42" s="2"/>
    </row>
    <row r="43" spans="1:18" x14ac:dyDescent="0.25">
      <c r="A43" s="2"/>
      <c r="B43" s="2"/>
      <c r="C43" s="2"/>
      <c r="D43" s="2"/>
      <c r="E43" s="2"/>
      <c r="F43" s="2"/>
      <c r="G43" s="2"/>
      <c r="H43" s="2"/>
      <c r="I43" s="2" t="s">
        <v>222</v>
      </c>
      <c r="J43" s="2"/>
      <c r="K43" s="2"/>
      <c r="L43" s="2"/>
      <c r="M43" s="2"/>
      <c r="N43" s="2"/>
      <c r="O43" s="2"/>
      <c r="P43" s="2"/>
      <c r="Q43" s="2"/>
      <c r="R43" s="2"/>
    </row>
    <row r="44" spans="1:18" x14ac:dyDescent="0.25">
      <c r="A44" s="2"/>
      <c r="B44" s="2"/>
      <c r="C44" s="2"/>
      <c r="D44" s="2"/>
      <c r="E44" s="2"/>
      <c r="F44" s="2"/>
      <c r="G44" s="2"/>
      <c r="H44" s="2"/>
      <c r="I44" s="2" t="s">
        <v>223</v>
      </c>
      <c r="J44" s="2"/>
      <c r="K44" s="2"/>
      <c r="L44" s="2"/>
      <c r="M44" s="2"/>
      <c r="N44" s="2"/>
      <c r="O44" s="2"/>
      <c r="P44" s="2"/>
      <c r="Q44" s="2"/>
      <c r="R44" s="2"/>
    </row>
    <row r="45" spans="1:18" x14ac:dyDescent="0.25">
      <c r="A45" s="2"/>
      <c r="B45" s="2"/>
      <c r="C45" s="2"/>
      <c r="D45" s="2"/>
      <c r="E45" s="2"/>
      <c r="F45" s="2"/>
      <c r="G45" s="2"/>
      <c r="H45" s="2"/>
      <c r="I45" s="2"/>
      <c r="J45" s="2"/>
      <c r="K45" s="2"/>
      <c r="L45" s="2"/>
      <c r="M45" s="2"/>
      <c r="N45" s="2"/>
      <c r="O45" s="2"/>
      <c r="P45" s="2"/>
      <c r="Q45" s="2"/>
      <c r="R45" s="2"/>
    </row>
    <row r="46" spans="1:18" x14ac:dyDescent="0.25">
      <c r="A46" s="3" t="s">
        <v>224</v>
      </c>
      <c r="B46" s="2"/>
      <c r="C46" s="2"/>
      <c r="D46" s="2" t="s">
        <v>206</v>
      </c>
      <c r="E46" s="2"/>
      <c r="F46" s="2"/>
      <c r="G46" s="2"/>
      <c r="H46" s="2"/>
      <c r="I46" s="2" t="s">
        <v>225</v>
      </c>
      <c r="J46" s="2"/>
      <c r="K46" s="2"/>
      <c r="L46" s="2"/>
      <c r="M46" s="2"/>
      <c r="N46" s="3" t="s">
        <v>188</v>
      </c>
      <c r="O46" s="2"/>
      <c r="P46" s="2"/>
      <c r="Q46" s="2"/>
      <c r="R46" s="2"/>
    </row>
    <row r="47" spans="1:18" x14ac:dyDescent="0.25">
      <c r="A47" s="2"/>
      <c r="B47" s="2"/>
      <c r="C47" s="2"/>
      <c r="D47" s="2" t="s">
        <v>226</v>
      </c>
      <c r="E47" s="2"/>
      <c r="F47" s="2"/>
      <c r="G47" s="2"/>
      <c r="H47" s="2"/>
      <c r="I47" s="2" t="s">
        <v>227</v>
      </c>
      <c r="J47" s="2"/>
      <c r="K47" s="2"/>
      <c r="L47" s="2"/>
      <c r="M47" s="2"/>
      <c r="N47" s="3" t="s">
        <v>205</v>
      </c>
      <c r="O47" s="2"/>
      <c r="P47" s="2"/>
      <c r="Q47" s="2"/>
      <c r="R47" s="2"/>
    </row>
    <row r="48" spans="1:18" x14ac:dyDescent="0.25">
      <c r="A48" s="2"/>
      <c r="B48" s="2"/>
      <c r="C48" s="2"/>
      <c r="D48" s="2" t="s">
        <v>211</v>
      </c>
      <c r="E48" s="2"/>
      <c r="F48" s="2"/>
      <c r="G48" s="2"/>
      <c r="H48" s="2"/>
      <c r="I48" s="2" t="s">
        <v>228</v>
      </c>
      <c r="J48" s="2"/>
      <c r="K48" s="2"/>
      <c r="L48" s="2"/>
      <c r="M48" s="2"/>
      <c r="N48" s="3" t="s">
        <v>210</v>
      </c>
      <c r="O48" s="2"/>
      <c r="P48" s="2"/>
      <c r="Q48" s="2"/>
      <c r="R48" s="2"/>
    </row>
    <row r="49" spans="1:18" x14ac:dyDescent="0.25">
      <c r="A49" s="2"/>
      <c r="B49" s="2"/>
      <c r="C49" s="2"/>
      <c r="D49" s="2" t="s">
        <v>213</v>
      </c>
      <c r="E49" s="2"/>
      <c r="F49" s="2"/>
      <c r="G49" s="2"/>
      <c r="H49" s="2"/>
      <c r="I49" s="2" t="s">
        <v>229</v>
      </c>
      <c r="J49" s="2"/>
      <c r="K49" s="2"/>
      <c r="L49" s="2"/>
      <c r="M49" s="2"/>
      <c r="N49" s="2"/>
      <c r="O49" s="2"/>
      <c r="P49" s="2"/>
      <c r="Q49" s="2"/>
      <c r="R49" s="2"/>
    </row>
    <row r="50" spans="1:18" x14ac:dyDescent="0.25">
      <c r="A50" s="2"/>
      <c r="B50" s="2"/>
      <c r="C50" s="2"/>
      <c r="D50" s="2" t="s">
        <v>230</v>
      </c>
      <c r="E50" s="2"/>
      <c r="F50" s="2"/>
      <c r="G50" s="2"/>
      <c r="H50" s="2"/>
      <c r="I50" s="2" t="s">
        <v>231</v>
      </c>
      <c r="J50" s="2"/>
      <c r="K50" s="2"/>
      <c r="L50" s="2"/>
      <c r="M50" s="2"/>
      <c r="N50" s="2"/>
      <c r="O50" s="2"/>
      <c r="P50" s="2"/>
      <c r="Q50" s="2"/>
      <c r="R50" s="2"/>
    </row>
    <row r="51" spans="1:18" x14ac:dyDescent="0.25">
      <c r="A51" s="2"/>
      <c r="B51" s="2"/>
      <c r="C51" s="2"/>
      <c r="D51" s="2" t="s">
        <v>232</v>
      </c>
      <c r="E51" s="2"/>
      <c r="F51" s="2"/>
      <c r="G51" s="2"/>
      <c r="H51" s="2"/>
      <c r="I51" s="2"/>
      <c r="J51" s="2"/>
      <c r="K51" s="2"/>
      <c r="L51" s="2"/>
      <c r="M51" s="2"/>
      <c r="N51" s="2"/>
      <c r="O51" s="2"/>
      <c r="P51" s="2"/>
      <c r="Q51" s="2"/>
      <c r="R51" s="2"/>
    </row>
    <row r="52" spans="1:18" x14ac:dyDescent="0.25">
      <c r="A52" s="2"/>
      <c r="B52" s="2"/>
      <c r="C52" s="2"/>
      <c r="D52" s="2" t="s">
        <v>233</v>
      </c>
      <c r="E52" s="2"/>
      <c r="F52" s="2"/>
      <c r="G52" s="2"/>
      <c r="H52" s="2"/>
      <c r="I52" s="2"/>
      <c r="J52" s="2"/>
      <c r="K52" s="2"/>
      <c r="L52" s="2"/>
      <c r="M52" s="2"/>
      <c r="N52" s="2"/>
      <c r="O52" s="2"/>
      <c r="P52" s="2"/>
      <c r="Q52" s="2"/>
      <c r="R52" s="2"/>
    </row>
    <row r="53" spans="1:18" x14ac:dyDescent="0.25">
      <c r="A53" s="2"/>
      <c r="B53" s="2"/>
      <c r="C53" s="2"/>
      <c r="D53" s="2" t="s">
        <v>234</v>
      </c>
      <c r="E53" s="2"/>
      <c r="F53" s="2"/>
      <c r="G53" s="2"/>
      <c r="H53" s="2"/>
      <c r="I53" s="2"/>
      <c r="J53" s="2"/>
      <c r="K53" s="2"/>
      <c r="L53" s="2"/>
      <c r="M53" s="2"/>
      <c r="N53" s="2"/>
      <c r="O53" s="2"/>
      <c r="P53" s="2"/>
      <c r="Q53" s="2"/>
      <c r="R53" s="2"/>
    </row>
    <row r="54" spans="1:18" x14ac:dyDescent="0.25">
      <c r="A54" s="2"/>
      <c r="B54" s="2"/>
      <c r="C54" s="2"/>
      <c r="D54" s="2" t="s">
        <v>235</v>
      </c>
      <c r="E54" s="2"/>
      <c r="F54" s="2"/>
      <c r="G54" s="2"/>
      <c r="H54" s="2"/>
      <c r="I54" s="2"/>
      <c r="J54" s="2"/>
      <c r="K54" s="2"/>
      <c r="L54" s="2"/>
      <c r="M54" s="2"/>
      <c r="N54" s="2"/>
      <c r="O54" s="2"/>
      <c r="P54" s="2"/>
      <c r="Q54" s="2"/>
      <c r="R54" s="2"/>
    </row>
    <row r="55" spans="1:18" x14ac:dyDescent="0.25">
      <c r="A55" s="2"/>
      <c r="B55" s="2"/>
      <c r="C55" s="2"/>
      <c r="D55" s="2" t="s">
        <v>236</v>
      </c>
      <c r="E55" s="2"/>
      <c r="F55" s="2"/>
      <c r="G55" s="2"/>
      <c r="H55" s="2"/>
      <c r="I55" s="2"/>
      <c r="J55" s="2"/>
      <c r="K55" s="2"/>
      <c r="L55" s="2"/>
      <c r="M55" s="2"/>
      <c r="N55" s="3"/>
      <c r="O55" s="2"/>
      <c r="P55" s="2"/>
      <c r="Q55" s="2"/>
      <c r="R55" s="2"/>
    </row>
    <row r="56" spans="1:18" x14ac:dyDescent="0.25">
      <c r="A56" s="2"/>
      <c r="B56" s="2"/>
      <c r="C56" s="2"/>
      <c r="D56" s="2"/>
      <c r="E56" s="2"/>
      <c r="F56" s="2"/>
      <c r="G56" s="2"/>
      <c r="H56" s="2"/>
      <c r="I56" s="2"/>
      <c r="J56" s="2"/>
      <c r="K56" s="2"/>
      <c r="L56" s="2"/>
      <c r="M56" s="2"/>
      <c r="N56" s="2"/>
      <c r="O56" s="2"/>
      <c r="P56" s="2"/>
      <c r="Q56" s="2"/>
      <c r="R56" s="2"/>
    </row>
    <row r="57" spans="1:18" x14ac:dyDescent="0.25">
      <c r="A57" s="3" t="s">
        <v>237</v>
      </c>
      <c r="B57" s="2"/>
      <c r="C57" s="2"/>
      <c r="D57" s="2" t="s">
        <v>238</v>
      </c>
      <c r="E57" s="2"/>
      <c r="F57" s="2"/>
      <c r="G57" s="2"/>
      <c r="H57" s="2"/>
      <c r="I57" s="2" t="s">
        <v>239</v>
      </c>
      <c r="J57" s="2"/>
      <c r="K57" s="2"/>
      <c r="L57" s="2"/>
      <c r="M57" s="2"/>
      <c r="N57" s="2" t="s">
        <v>169</v>
      </c>
      <c r="O57" s="2"/>
      <c r="P57" s="2"/>
      <c r="Q57" s="2"/>
      <c r="R57" s="2"/>
    </row>
    <row r="58" spans="1:18" x14ac:dyDescent="0.25">
      <c r="A58" s="2"/>
      <c r="B58" s="2"/>
      <c r="C58" s="2"/>
      <c r="D58" s="2" t="s">
        <v>240</v>
      </c>
      <c r="E58" s="2"/>
      <c r="F58" s="2"/>
      <c r="G58" s="2"/>
      <c r="H58" s="2"/>
      <c r="I58" s="2" t="s">
        <v>241</v>
      </c>
      <c r="J58" s="2"/>
      <c r="K58" s="2"/>
      <c r="L58" s="2"/>
      <c r="M58" s="2"/>
      <c r="N58" s="2"/>
      <c r="O58" s="2"/>
      <c r="P58" s="2"/>
      <c r="Q58" s="2"/>
      <c r="R58" s="2"/>
    </row>
    <row r="59" spans="1:18" x14ac:dyDescent="0.25">
      <c r="A59" s="2"/>
      <c r="B59" s="2"/>
      <c r="C59" s="2"/>
      <c r="D59" s="2" t="s">
        <v>242</v>
      </c>
      <c r="E59" s="2"/>
      <c r="F59" s="2"/>
      <c r="G59" s="2"/>
      <c r="H59" s="2"/>
      <c r="I59" s="2" t="s">
        <v>243</v>
      </c>
      <c r="J59" s="2"/>
      <c r="K59" s="2"/>
      <c r="L59" s="2"/>
      <c r="M59" s="2"/>
      <c r="N59" s="2"/>
      <c r="O59" s="2"/>
      <c r="P59" s="2"/>
      <c r="Q59" s="2"/>
      <c r="R59" s="2"/>
    </row>
    <row r="60" spans="1:18" x14ac:dyDescent="0.25">
      <c r="A60" s="2"/>
      <c r="B60" s="2"/>
      <c r="C60" s="2"/>
      <c r="D60" s="2" t="s">
        <v>244</v>
      </c>
      <c r="E60" s="2"/>
      <c r="F60" s="2"/>
      <c r="G60" s="2"/>
      <c r="H60" s="2"/>
      <c r="I60" s="2" t="s">
        <v>245</v>
      </c>
      <c r="J60" s="2"/>
      <c r="K60" s="2"/>
      <c r="L60" s="2"/>
      <c r="M60" s="2"/>
      <c r="N60" s="2"/>
      <c r="O60" s="2"/>
      <c r="P60" s="2"/>
      <c r="Q60" s="2"/>
      <c r="R60" s="2"/>
    </row>
    <row r="61" spans="1:18" x14ac:dyDescent="0.25">
      <c r="A61" s="2"/>
      <c r="B61" s="2"/>
      <c r="C61" s="2"/>
      <c r="D61" s="2" t="s">
        <v>246</v>
      </c>
      <c r="E61" s="2"/>
      <c r="F61" s="2"/>
      <c r="G61" s="2"/>
      <c r="H61" s="2"/>
      <c r="I61" s="2" t="s">
        <v>247</v>
      </c>
      <c r="J61" s="2"/>
      <c r="K61" s="2"/>
      <c r="L61" s="2"/>
      <c r="M61" s="2"/>
      <c r="N61" s="2"/>
      <c r="O61" s="2"/>
      <c r="P61" s="2"/>
      <c r="Q61" s="2"/>
      <c r="R61" s="2"/>
    </row>
    <row r="62" spans="1:18" x14ac:dyDescent="0.25">
      <c r="A62" s="2"/>
      <c r="B62" s="2"/>
      <c r="C62" s="2"/>
      <c r="D62" s="2" t="s">
        <v>248</v>
      </c>
      <c r="E62" s="2"/>
      <c r="F62" s="2"/>
      <c r="G62" s="2"/>
      <c r="H62" s="2"/>
      <c r="I62" s="2" t="s">
        <v>249</v>
      </c>
      <c r="J62" s="2"/>
      <c r="K62" s="2"/>
      <c r="L62" s="2"/>
      <c r="M62" s="2"/>
      <c r="N62" s="2"/>
      <c r="O62" s="2"/>
      <c r="P62" s="2"/>
      <c r="Q62" s="2"/>
      <c r="R62" s="2"/>
    </row>
    <row r="63" spans="1:18" x14ac:dyDescent="0.25">
      <c r="A63" s="2"/>
      <c r="B63" s="2"/>
      <c r="C63" s="2"/>
      <c r="D63" s="2" t="s">
        <v>250</v>
      </c>
      <c r="E63" s="2"/>
      <c r="F63" s="2"/>
      <c r="G63" s="2"/>
      <c r="H63" s="2"/>
      <c r="I63" s="2" t="s">
        <v>251</v>
      </c>
      <c r="J63" s="2"/>
      <c r="K63" s="2"/>
      <c r="L63" s="2"/>
      <c r="M63" s="2"/>
      <c r="N63" s="2"/>
      <c r="O63" s="2"/>
      <c r="P63" s="2"/>
      <c r="Q63" s="2"/>
      <c r="R63" s="2"/>
    </row>
    <row r="64" spans="1:18" x14ac:dyDescent="0.25">
      <c r="A64" s="2"/>
      <c r="B64" s="2"/>
      <c r="C64" s="2"/>
      <c r="D64" s="2" t="s">
        <v>252</v>
      </c>
      <c r="E64" s="2"/>
      <c r="F64" s="2"/>
      <c r="G64" s="2"/>
      <c r="H64" s="2"/>
      <c r="I64" s="2" t="s">
        <v>1441</v>
      </c>
      <c r="J64" s="2"/>
      <c r="K64" s="2"/>
      <c r="L64" s="2"/>
      <c r="M64" s="2"/>
      <c r="N64" s="2"/>
      <c r="O64" s="2"/>
      <c r="P64" s="2"/>
      <c r="Q64" s="2"/>
      <c r="R64" s="2"/>
    </row>
    <row r="65" spans="1:18" x14ac:dyDescent="0.25">
      <c r="A65" s="2"/>
      <c r="B65" s="2"/>
      <c r="C65" s="2"/>
      <c r="D65" s="2" t="s">
        <v>253</v>
      </c>
      <c r="E65" s="2"/>
      <c r="F65" s="2"/>
      <c r="G65" s="2"/>
      <c r="H65" s="2"/>
      <c r="I65" s="2" t="s">
        <v>1442</v>
      </c>
      <c r="J65" s="2"/>
      <c r="K65" s="2"/>
      <c r="L65" s="2"/>
      <c r="M65" s="2"/>
      <c r="N65" s="2"/>
      <c r="O65" s="2"/>
      <c r="P65" s="2"/>
      <c r="Q65" s="2"/>
      <c r="R65" s="2"/>
    </row>
    <row r="66" spans="1:18" x14ac:dyDescent="0.25">
      <c r="A66" s="2"/>
      <c r="B66" s="2"/>
      <c r="C66" s="2"/>
      <c r="D66" s="2" t="s">
        <v>254</v>
      </c>
      <c r="E66" s="2"/>
      <c r="F66" s="2"/>
      <c r="G66" s="2"/>
      <c r="H66" s="2"/>
      <c r="I66" s="2" t="s">
        <v>1443</v>
      </c>
      <c r="J66" s="2"/>
      <c r="K66" s="2"/>
      <c r="L66" s="2"/>
      <c r="M66" s="2"/>
      <c r="N66" s="2"/>
      <c r="O66" s="2"/>
      <c r="P66" s="2"/>
      <c r="Q66" s="2"/>
      <c r="R66" s="2"/>
    </row>
    <row r="67" spans="1:18" x14ac:dyDescent="0.25">
      <c r="A67" s="2"/>
      <c r="B67" s="2"/>
      <c r="C67" s="2"/>
      <c r="D67" s="2" t="s">
        <v>255</v>
      </c>
      <c r="E67" s="2"/>
      <c r="F67" s="2"/>
      <c r="G67" s="2"/>
      <c r="H67" s="2"/>
      <c r="I67" s="2"/>
      <c r="J67" s="2"/>
      <c r="K67" s="2"/>
      <c r="L67" s="2"/>
      <c r="M67" s="2"/>
      <c r="N67" s="2"/>
      <c r="O67" s="2"/>
      <c r="P67" s="2"/>
      <c r="Q67" s="2"/>
      <c r="R67" s="2"/>
    </row>
    <row r="68" spans="1:18" x14ac:dyDescent="0.25">
      <c r="A68" s="2"/>
      <c r="B68" s="2"/>
      <c r="C68" s="2"/>
      <c r="D68" s="2"/>
      <c r="E68" s="2"/>
      <c r="F68" s="2"/>
      <c r="G68" s="2"/>
      <c r="H68" s="2"/>
      <c r="I68" s="2"/>
      <c r="J68" s="2"/>
      <c r="K68" s="2"/>
      <c r="L68" s="2"/>
      <c r="M68" s="2"/>
      <c r="N68" s="2"/>
      <c r="O68" s="2"/>
      <c r="P68" s="2"/>
      <c r="Q68" s="2"/>
      <c r="R68" s="2"/>
    </row>
    <row r="69" spans="1:18" x14ac:dyDescent="0.25">
      <c r="A69" s="3" t="s">
        <v>256</v>
      </c>
      <c r="B69" s="2"/>
      <c r="C69" s="2"/>
      <c r="D69" s="2" t="s">
        <v>257</v>
      </c>
      <c r="E69" s="2"/>
      <c r="F69" s="2"/>
      <c r="G69" s="2"/>
      <c r="H69" s="2"/>
      <c r="I69" s="2" t="s">
        <v>1444</v>
      </c>
      <c r="J69" s="2"/>
      <c r="K69" s="2"/>
      <c r="L69" s="2"/>
      <c r="M69" s="2"/>
      <c r="N69" s="2" t="s">
        <v>258</v>
      </c>
      <c r="O69" s="2"/>
      <c r="P69" s="2"/>
      <c r="Q69" s="2"/>
      <c r="R69" s="2"/>
    </row>
    <row r="70" spans="1:18" x14ac:dyDescent="0.25">
      <c r="A70" s="2"/>
      <c r="B70" s="2"/>
      <c r="C70" s="2"/>
      <c r="D70" s="2" t="s">
        <v>259</v>
      </c>
      <c r="E70" s="2"/>
      <c r="F70" s="2"/>
      <c r="G70" s="2"/>
      <c r="H70" s="2"/>
      <c r="I70" s="2" t="s">
        <v>260</v>
      </c>
      <c r="J70" s="2"/>
      <c r="K70" s="2"/>
      <c r="L70" s="2"/>
      <c r="M70" s="2"/>
      <c r="N70" s="2" t="s">
        <v>261</v>
      </c>
      <c r="O70" s="2"/>
      <c r="P70" s="2"/>
      <c r="Q70" s="2"/>
      <c r="R70" s="2"/>
    </row>
    <row r="71" spans="1:18" x14ac:dyDescent="0.25">
      <c r="A71" s="2"/>
      <c r="B71" s="2"/>
      <c r="C71" s="2"/>
      <c r="D71" s="2" t="s">
        <v>262</v>
      </c>
      <c r="E71" s="2"/>
      <c r="F71" s="2"/>
      <c r="G71" s="2"/>
      <c r="H71" s="2"/>
      <c r="I71" s="2" t="s">
        <v>263</v>
      </c>
      <c r="J71" s="2"/>
      <c r="K71" s="2"/>
      <c r="L71" s="2"/>
      <c r="M71" s="2"/>
      <c r="N71" s="3" t="s">
        <v>264</v>
      </c>
      <c r="O71" s="2"/>
      <c r="P71" s="2"/>
      <c r="Q71" s="2"/>
      <c r="R71" s="2"/>
    </row>
    <row r="72" spans="1:18" x14ac:dyDescent="0.25">
      <c r="A72" s="2"/>
      <c r="B72" s="2"/>
      <c r="C72" s="2"/>
      <c r="D72" s="2" t="s">
        <v>265</v>
      </c>
      <c r="E72" s="2"/>
      <c r="F72" s="2"/>
      <c r="G72" s="2"/>
      <c r="H72" s="2"/>
      <c r="I72" s="2" t="s">
        <v>266</v>
      </c>
      <c r="J72" s="2"/>
      <c r="K72" s="2"/>
      <c r="L72" s="2"/>
      <c r="M72" s="2"/>
      <c r="N72" s="2" t="s">
        <v>267</v>
      </c>
      <c r="O72" s="2"/>
      <c r="P72" s="2"/>
      <c r="Q72" s="2"/>
      <c r="R72" s="2"/>
    </row>
    <row r="73" spans="1:18" x14ac:dyDescent="0.25">
      <c r="A73" s="2"/>
      <c r="B73" s="2"/>
      <c r="C73" s="2"/>
      <c r="D73" s="2" t="s">
        <v>268</v>
      </c>
      <c r="E73" s="2"/>
      <c r="F73" s="2"/>
      <c r="G73" s="2"/>
      <c r="H73" s="2"/>
      <c r="I73" s="2" t="s">
        <v>269</v>
      </c>
      <c r="J73" s="2"/>
      <c r="K73" s="2"/>
      <c r="L73" s="2"/>
      <c r="M73" s="2"/>
      <c r="N73" s="2" t="s">
        <v>270</v>
      </c>
      <c r="O73" s="2"/>
      <c r="P73" s="2"/>
      <c r="Q73" s="2"/>
      <c r="R73" s="2"/>
    </row>
    <row r="74" spans="1:18" x14ac:dyDescent="0.25">
      <c r="A74" s="2"/>
      <c r="B74" s="2"/>
      <c r="C74" s="2"/>
      <c r="D74" s="4" t="s">
        <v>271</v>
      </c>
      <c r="E74" s="2"/>
      <c r="F74" s="2" t="s">
        <v>272</v>
      </c>
      <c r="G74" s="2"/>
      <c r="H74" s="2"/>
      <c r="I74" s="2" t="s">
        <v>273</v>
      </c>
      <c r="J74" s="2"/>
      <c r="K74" s="2"/>
      <c r="L74" s="2"/>
      <c r="M74" s="2"/>
      <c r="N74" s="2" t="s">
        <v>274</v>
      </c>
      <c r="O74" s="2"/>
      <c r="P74" s="2"/>
      <c r="Q74" s="2"/>
      <c r="R74" s="2"/>
    </row>
    <row r="75" spans="1:18" x14ac:dyDescent="0.25">
      <c r="A75" s="2"/>
      <c r="B75" s="2"/>
      <c r="C75" s="2"/>
      <c r="D75" s="2" t="s">
        <v>275</v>
      </c>
      <c r="E75" s="2"/>
      <c r="F75" s="2"/>
      <c r="G75" s="2"/>
      <c r="H75" s="2"/>
      <c r="I75" s="2" t="s">
        <v>276</v>
      </c>
      <c r="J75" s="2"/>
      <c r="K75" s="2"/>
      <c r="L75" s="2"/>
      <c r="M75" s="2"/>
      <c r="N75" s="2" t="s">
        <v>277</v>
      </c>
      <c r="O75" s="2"/>
      <c r="P75" s="2"/>
      <c r="Q75" s="2"/>
      <c r="R75" s="2"/>
    </row>
    <row r="76" spans="1:18" x14ac:dyDescent="0.25">
      <c r="A76" s="2"/>
      <c r="B76" s="2"/>
      <c r="C76" s="2"/>
      <c r="D76" s="2" t="s">
        <v>278</v>
      </c>
      <c r="E76" s="2"/>
      <c r="F76" s="2"/>
      <c r="G76" s="2"/>
      <c r="H76" s="2"/>
      <c r="I76" s="2" t="s">
        <v>279</v>
      </c>
      <c r="J76" s="2"/>
      <c r="K76" s="2"/>
      <c r="L76" s="2"/>
      <c r="M76" s="2"/>
      <c r="N76" s="2" t="s">
        <v>280</v>
      </c>
      <c r="O76" s="2"/>
      <c r="P76" s="2"/>
      <c r="Q76" s="2"/>
      <c r="R76" s="2"/>
    </row>
    <row r="77" spans="1:18" x14ac:dyDescent="0.25">
      <c r="A77" s="2"/>
      <c r="B77" s="2"/>
      <c r="C77" s="2"/>
      <c r="D77" s="2" t="s">
        <v>281</v>
      </c>
      <c r="E77" s="2"/>
      <c r="F77" s="2"/>
      <c r="G77" s="2"/>
      <c r="H77" s="2"/>
      <c r="I77" s="2" t="s">
        <v>282</v>
      </c>
      <c r="J77" s="2"/>
      <c r="K77" s="2"/>
      <c r="L77" s="2"/>
      <c r="M77" s="2"/>
      <c r="N77" s="2" t="s">
        <v>283</v>
      </c>
      <c r="O77" s="2"/>
      <c r="P77" s="2"/>
      <c r="Q77" s="2"/>
      <c r="R77" s="2"/>
    </row>
    <row r="78" spans="1:18" x14ac:dyDescent="0.25">
      <c r="A78" s="2"/>
      <c r="B78" s="2"/>
      <c r="C78" s="2"/>
      <c r="D78" s="2"/>
      <c r="E78" s="2"/>
      <c r="F78" s="2"/>
      <c r="G78" s="2"/>
      <c r="H78" s="2"/>
      <c r="I78" s="2" t="s">
        <v>284</v>
      </c>
      <c r="J78" s="2"/>
      <c r="K78" s="2"/>
      <c r="L78" s="2"/>
      <c r="M78" s="2"/>
      <c r="N78" s="2" t="s">
        <v>285</v>
      </c>
      <c r="O78" s="2"/>
      <c r="P78" s="2"/>
      <c r="Q78" s="2"/>
      <c r="R78" s="2"/>
    </row>
    <row r="79" spans="1:18" x14ac:dyDescent="0.25">
      <c r="A79" s="2"/>
      <c r="B79" s="2"/>
      <c r="C79" s="2"/>
      <c r="D79" s="2"/>
      <c r="E79" s="2"/>
      <c r="F79" s="2"/>
      <c r="G79" s="2"/>
      <c r="H79" s="2"/>
      <c r="I79" s="2"/>
      <c r="J79" s="2"/>
      <c r="K79" s="2"/>
      <c r="L79" s="2"/>
      <c r="M79" s="2"/>
      <c r="N79" s="2" t="s">
        <v>286</v>
      </c>
      <c r="O79" s="2"/>
      <c r="P79" s="2"/>
      <c r="Q79" s="2"/>
      <c r="R79" s="2"/>
    </row>
    <row r="80" spans="1:18" x14ac:dyDescent="0.25">
      <c r="A80" s="2"/>
      <c r="B80" s="2"/>
      <c r="C80" s="2"/>
      <c r="D80" s="2"/>
      <c r="E80" s="2"/>
      <c r="F80" s="2"/>
      <c r="G80" s="2"/>
      <c r="H80" s="2"/>
      <c r="I80" s="2"/>
      <c r="J80" s="2"/>
      <c r="K80" s="2"/>
      <c r="L80" s="2"/>
      <c r="M80" s="2"/>
      <c r="N80" s="2" t="s">
        <v>287</v>
      </c>
      <c r="O80" s="2"/>
      <c r="P80" s="2"/>
      <c r="Q80" s="2"/>
      <c r="R80" s="2"/>
    </row>
    <row r="81" spans="1:18" x14ac:dyDescent="0.25">
      <c r="A81" s="2"/>
      <c r="B81" s="2"/>
      <c r="C81" s="2"/>
      <c r="D81" s="2"/>
      <c r="E81" s="2"/>
      <c r="F81" s="2"/>
      <c r="G81" s="2"/>
      <c r="H81" s="2"/>
      <c r="I81" s="2"/>
      <c r="J81" s="2"/>
      <c r="K81" s="2"/>
      <c r="L81" s="2"/>
      <c r="M81" s="2"/>
      <c r="N81" s="2" t="s">
        <v>288</v>
      </c>
      <c r="O81" s="2"/>
      <c r="P81" s="2"/>
      <c r="Q81" s="2"/>
      <c r="R81" s="2"/>
    </row>
    <row r="82" spans="1:18" x14ac:dyDescent="0.25">
      <c r="A82" s="2"/>
      <c r="B82" s="2"/>
      <c r="C82" s="2"/>
      <c r="D82" s="2"/>
      <c r="E82" s="2"/>
      <c r="F82" s="2"/>
      <c r="G82" s="2"/>
      <c r="H82" s="2"/>
      <c r="I82" s="2"/>
      <c r="J82" s="2"/>
      <c r="K82" s="2"/>
      <c r="L82" s="2"/>
      <c r="M82" s="2"/>
      <c r="N82" s="2" t="s">
        <v>289</v>
      </c>
      <c r="O82" s="2"/>
      <c r="P82" s="2"/>
      <c r="Q82" s="2"/>
      <c r="R82" s="2"/>
    </row>
    <row r="83" spans="1:18" x14ac:dyDescent="0.25">
      <c r="A83" s="2"/>
      <c r="B83" s="2"/>
      <c r="C83" s="2"/>
      <c r="D83" s="2"/>
      <c r="E83" s="2"/>
      <c r="F83" s="2"/>
      <c r="G83" s="2"/>
      <c r="H83" s="2"/>
      <c r="I83" s="2"/>
      <c r="J83" s="2"/>
      <c r="K83" s="2"/>
      <c r="L83" s="2"/>
      <c r="M83" s="2"/>
      <c r="N83" s="2" t="s">
        <v>290</v>
      </c>
      <c r="O83" s="2"/>
      <c r="P83" s="2"/>
      <c r="Q83" s="2"/>
      <c r="R83" s="2"/>
    </row>
    <row r="84" spans="1:18" x14ac:dyDescent="0.25">
      <c r="A84" s="2"/>
      <c r="B84" s="2"/>
      <c r="C84" s="2"/>
      <c r="D84" s="2"/>
      <c r="E84" s="2"/>
      <c r="F84" s="2"/>
      <c r="G84" s="2"/>
      <c r="H84" s="2"/>
      <c r="I84" s="2"/>
      <c r="J84" s="2"/>
      <c r="K84" s="2"/>
      <c r="L84" s="2"/>
      <c r="M84" s="2"/>
      <c r="N84" s="2" t="s">
        <v>291</v>
      </c>
      <c r="O84" s="2"/>
      <c r="P84" s="2"/>
      <c r="Q84" s="2"/>
      <c r="R84" s="2"/>
    </row>
    <row r="85" spans="1:18" x14ac:dyDescent="0.25">
      <c r="A85" s="2"/>
      <c r="B85" s="2"/>
      <c r="C85" s="2"/>
      <c r="D85" s="2"/>
      <c r="E85" s="2"/>
      <c r="F85" s="2"/>
      <c r="G85" s="2"/>
      <c r="H85" s="2"/>
      <c r="I85" s="2"/>
      <c r="J85" s="2"/>
      <c r="K85" s="2"/>
      <c r="L85" s="2"/>
      <c r="M85" s="2"/>
      <c r="N85" s="2"/>
      <c r="O85" s="2"/>
      <c r="P85" s="2"/>
      <c r="Q85" s="2"/>
      <c r="R85" s="2"/>
    </row>
    <row r="86" spans="1:18" x14ac:dyDescent="0.25">
      <c r="A86" s="3" t="s">
        <v>292</v>
      </c>
      <c r="B86" s="2"/>
      <c r="C86" s="2"/>
      <c r="D86" s="2" t="s">
        <v>293</v>
      </c>
      <c r="E86" s="2"/>
      <c r="F86" s="2"/>
      <c r="G86" s="2"/>
      <c r="H86" s="2"/>
      <c r="I86" s="2" t="s">
        <v>1445</v>
      </c>
      <c r="J86" s="2"/>
      <c r="K86" s="2"/>
      <c r="L86" s="2"/>
      <c r="M86" s="2"/>
      <c r="N86" s="2" t="s">
        <v>258</v>
      </c>
      <c r="O86" s="2"/>
      <c r="P86" s="2"/>
      <c r="Q86" s="2"/>
      <c r="R86" s="2"/>
    </row>
    <row r="87" spans="1:18" x14ac:dyDescent="0.25">
      <c r="A87" s="2"/>
      <c r="B87" s="2"/>
      <c r="C87" s="2"/>
      <c r="D87" s="2" t="s">
        <v>294</v>
      </c>
      <c r="E87" s="2"/>
      <c r="F87" s="2"/>
      <c r="G87" s="2"/>
      <c r="H87" s="2"/>
      <c r="I87" s="2" t="s">
        <v>295</v>
      </c>
      <c r="J87" s="2"/>
      <c r="K87" s="2"/>
      <c r="L87" s="2"/>
      <c r="M87" s="2"/>
      <c r="N87" s="2" t="s">
        <v>261</v>
      </c>
      <c r="O87" s="2"/>
      <c r="P87" s="2"/>
      <c r="Q87" s="2"/>
      <c r="R87" s="2"/>
    </row>
    <row r="88" spans="1:18" x14ac:dyDescent="0.25">
      <c r="A88" s="2"/>
      <c r="B88" s="2"/>
      <c r="C88" s="2"/>
      <c r="D88" s="2" t="s">
        <v>296</v>
      </c>
      <c r="E88" s="2"/>
      <c r="F88" s="2"/>
      <c r="G88" s="2"/>
      <c r="H88" s="2"/>
      <c r="I88" s="2" t="s">
        <v>297</v>
      </c>
      <c r="J88" s="2"/>
      <c r="K88" s="2"/>
      <c r="L88" s="2"/>
      <c r="M88" s="2"/>
      <c r="N88" s="3" t="s">
        <v>264</v>
      </c>
      <c r="O88" s="2"/>
      <c r="P88" s="2"/>
      <c r="Q88" s="2"/>
      <c r="R88" s="2"/>
    </row>
    <row r="89" spans="1:18" x14ac:dyDescent="0.25">
      <c r="A89" s="2"/>
      <c r="B89" s="2"/>
      <c r="C89" s="2"/>
      <c r="D89" s="2" t="s">
        <v>298</v>
      </c>
      <c r="E89" s="2"/>
      <c r="F89" s="2"/>
      <c r="G89" s="2"/>
      <c r="H89" s="2"/>
      <c r="I89" s="2" t="s">
        <v>266</v>
      </c>
      <c r="J89" s="2"/>
      <c r="K89" s="2"/>
      <c r="L89" s="2"/>
      <c r="M89" s="2"/>
      <c r="N89" s="2" t="s">
        <v>267</v>
      </c>
      <c r="O89" s="2"/>
      <c r="P89" s="2"/>
      <c r="Q89" s="2"/>
      <c r="R89" s="2"/>
    </row>
    <row r="90" spans="1:18" x14ac:dyDescent="0.25">
      <c r="A90" s="2"/>
      <c r="B90" s="2"/>
      <c r="C90" s="2"/>
      <c r="D90" s="2" t="s">
        <v>299</v>
      </c>
      <c r="E90" s="2"/>
      <c r="F90" s="2"/>
      <c r="G90" s="2"/>
      <c r="H90" s="2"/>
      <c r="I90" s="2" t="s">
        <v>300</v>
      </c>
      <c r="J90" s="2"/>
      <c r="K90" s="2"/>
      <c r="L90" s="2"/>
      <c r="M90" s="2"/>
      <c r="N90" s="2" t="s">
        <v>270</v>
      </c>
      <c r="O90" s="2"/>
      <c r="P90" s="2"/>
      <c r="Q90" s="2"/>
      <c r="R90" s="2"/>
    </row>
    <row r="91" spans="1:18" x14ac:dyDescent="0.25">
      <c r="A91" s="2"/>
      <c r="B91" s="2"/>
      <c r="C91" s="2"/>
      <c r="D91" s="2" t="s">
        <v>301</v>
      </c>
      <c r="E91" s="2"/>
      <c r="F91" s="2"/>
      <c r="G91" s="2"/>
      <c r="H91" s="2"/>
      <c r="I91" s="51" t="s">
        <v>302</v>
      </c>
      <c r="J91" s="2"/>
      <c r="K91" s="2"/>
      <c r="L91" s="2"/>
      <c r="M91" s="2"/>
      <c r="N91" s="2" t="s">
        <v>274</v>
      </c>
      <c r="O91" s="2"/>
      <c r="P91" s="2"/>
      <c r="Q91" s="2"/>
      <c r="R91" s="2"/>
    </row>
    <row r="92" spans="1:18" x14ac:dyDescent="0.25">
      <c r="A92" s="2"/>
      <c r="B92" s="2"/>
      <c r="C92" s="2"/>
      <c r="D92" s="2" t="s">
        <v>303</v>
      </c>
      <c r="E92" s="2"/>
      <c r="F92" s="2"/>
      <c r="G92" s="2"/>
      <c r="H92" s="2"/>
      <c r="I92" s="2" t="s">
        <v>304</v>
      </c>
      <c r="J92" s="2"/>
      <c r="K92" s="2"/>
      <c r="L92" s="2"/>
      <c r="M92" s="2"/>
      <c r="N92" s="2" t="s">
        <v>277</v>
      </c>
      <c r="O92" s="2"/>
      <c r="P92" s="2"/>
      <c r="Q92" s="2"/>
      <c r="R92" s="2"/>
    </row>
    <row r="93" spans="1:18" x14ac:dyDescent="0.25">
      <c r="A93" s="2"/>
      <c r="B93" s="2"/>
      <c r="C93" s="2"/>
      <c r="D93" s="2" t="s">
        <v>305</v>
      </c>
      <c r="E93" s="2"/>
      <c r="F93" s="2"/>
      <c r="G93" s="2"/>
      <c r="H93" s="2"/>
      <c r="I93" s="2" t="s">
        <v>306</v>
      </c>
      <c r="J93" s="2"/>
      <c r="K93" s="2"/>
      <c r="L93" s="2"/>
      <c r="M93" s="2"/>
      <c r="N93" s="2"/>
      <c r="O93" s="2"/>
      <c r="P93" s="2"/>
      <c r="Q93" s="2"/>
      <c r="R93" s="2"/>
    </row>
    <row r="94" spans="1:18" x14ac:dyDescent="0.25">
      <c r="A94" s="2"/>
      <c r="B94" s="2"/>
      <c r="C94" s="2"/>
      <c r="D94" s="1" t="s">
        <v>307</v>
      </c>
      <c r="E94" s="2"/>
      <c r="F94" s="2"/>
      <c r="G94" s="2"/>
      <c r="H94" s="2"/>
      <c r="I94" s="2" t="s">
        <v>308</v>
      </c>
      <c r="J94" s="2"/>
      <c r="K94" s="2"/>
      <c r="L94" s="2"/>
      <c r="M94" s="2"/>
      <c r="N94" s="2"/>
      <c r="O94" s="2"/>
      <c r="P94" s="2"/>
      <c r="Q94" s="2"/>
      <c r="R94" s="2"/>
    </row>
    <row r="95" spans="1:18" x14ac:dyDescent="0.25">
      <c r="A95" s="2"/>
      <c r="B95" s="2"/>
      <c r="C95" s="2"/>
      <c r="D95" s="1" t="s">
        <v>309</v>
      </c>
      <c r="E95" s="2"/>
      <c r="F95" s="2"/>
      <c r="G95" s="2"/>
      <c r="H95" s="2"/>
      <c r="I95" s="3" t="s">
        <v>310</v>
      </c>
      <c r="J95" s="2"/>
      <c r="K95" s="2"/>
      <c r="L95" s="2"/>
      <c r="M95" s="2"/>
      <c r="N95" s="2"/>
      <c r="O95" s="2"/>
      <c r="P95" s="2"/>
      <c r="Q95" s="2"/>
      <c r="R95" s="2"/>
    </row>
    <row r="96" spans="1:18" x14ac:dyDescent="0.25">
      <c r="A96" s="2"/>
      <c r="B96" s="2"/>
      <c r="C96" s="2"/>
      <c r="D96" s="2"/>
      <c r="E96" s="2"/>
      <c r="F96" s="2"/>
      <c r="G96" s="2"/>
      <c r="H96" s="2"/>
      <c r="I96" s="2" t="s">
        <v>311</v>
      </c>
      <c r="J96" s="2"/>
      <c r="K96" s="2"/>
      <c r="L96" s="2"/>
      <c r="M96" s="2"/>
      <c r="N96" s="2"/>
      <c r="O96" s="2"/>
      <c r="P96" s="2"/>
      <c r="Q96" s="2"/>
      <c r="R96" s="2"/>
    </row>
    <row r="97" spans="1:18" x14ac:dyDescent="0.25">
      <c r="A97" s="2"/>
      <c r="B97" s="2"/>
      <c r="C97" s="2"/>
      <c r="D97" s="2"/>
      <c r="E97" s="2"/>
      <c r="F97" s="2"/>
      <c r="G97" s="2"/>
      <c r="H97" s="2"/>
      <c r="I97" s="2" t="s">
        <v>312</v>
      </c>
      <c r="J97" s="2"/>
      <c r="K97" s="2"/>
      <c r="L97" s="2"/>
      <c r="M97" s="2"/>
      <c r="N97" s="2"/>
      <c r="O97" s="2"/>
      <c r="P97" s="2"/>
      <c r="Q97" s="2"/>
      <c r="R97" s="2"/>
    </row>
    <row r="98" spans="1:18" x14ac:dyDescent="0.25">
      <c r="A98" s="2"/>
      <c r="B98" s="2"/>
      <c r="C98" s="2"/>
      <c r="D98" s="2"/>
      <c r="E98" s="2"/>
      <c r="F98" s="2"/>
      <c r="G98" s="2"/>
      <c r="H98" s="2"/>
      <c r="I98" s="2"/>
      <c r="J98" s="2"/>
      <c r="K98" s="2"/>
      <c r="L98" s="2"/>
      <c r="M98" s="2"/>
      <c r="N98" s="2"/>
      <c r="O98" s="2"/>
      <c r="P98" s="2"/>
      <c r="Q98" s="2"/>
      <c r="R98" s="2"/>
    </row>
    <row r="99" spans="1:18" x14ac:dyDescent="0.25">
      <c r="A99" s="3" t="s">
        <v>1252</v>
      </c>
      <c r="B99" s="2"/>
      <c r="C99" s="2"/>
      <c r="D99" s="2" t="s">
        <v>1452</v>
      </c>
      <c r="E99" s="2"/>
      <c r="F99" s="2"/>
      <c r="G99" s="2"/>
      <c r="H99" s="2"/>
      <c r="I99" s="2" t="s">
        <v>1465</v>
      </c>
      <c r="J99" s="2"/>
      <c r="K99" s="2"/>
      <c r="L99" s="2"/>
      <c r="M99" s="2"/>
      <c r="N99" s="2" t="s">
        <v>169</v>
      </c>
      <c r="O99" s="2"/>
      <c r="P99" s="2"/>
      <c r="Q99" s="2"/>
      <c r="R99" s="2"/>
    </row>
    <row r="100" spans="1:18" x14ac:dyDescent="0.25">
      <c r="A100" s="2"/>
      <c r="B100" s="2"/>
      <c r="C100" s="2"/>
      <c r="D100" s="2" t="s">
        <v>1453</v>
      </c>
      <c r="E100" s="2"/>
      <c r="F100" s="2"/>
      <c r="G100" s="2"/>
      <c r="H100" s="2"/>
      <c r="I100" s="2" t="s">
        <v>1466</v>
      </c>
      <c r="J100" s="2"/>
      <c r="K100" s="2"/>
      <c r="L100" s="2"/>
      <c r="M100" s="2"/>
      <c r="N100" s="2"/>
      <c r="O100" s="2"/>
      <c r="P100" s="2"/>
      <c r="Q100" s="2"/>
      <c r="R100" s="2"/>
    </row>
    <row r="101" spans="1:18" x14ac:dyDescent="0.25">
      <c r="A101" s="2"/>
      <c r="B101" s="2"/>
      <c r="C101" s="2"/>
      <c r="D101" s="2" t="s">
        <v>1454</v>
      </c>
      <c r="E101" s="2"/>
      <c r="F101" s="2"/>
      <c r="G101" s="2"/>
      <c r="H101" s="2"/>
      <c r="I101" s="2" t="s">
        <v>1467</v>
      </c>
      <c r="J101" s="2"/>
      <c r="K101" s="2"/>
      <c r="L101" s="2"/>
      <c r="M101" s="2"/>
      <c r="N101" s="2"/>
      <c r="O101" s="2"/>
      <c r="P101" s="2"/>
      <c r="Q101" s="2"/>
      <c r="R101" s="2"/>
    </row>
    <row r="102" spans="1:18" x14ac:dyDescent="0.25">
      <c r="A102" s="2"/>
      <c r="B102" s="2"/>
      <c r="C102" s="2"/>
      <c r="D102" s="2" t="s">
        <v>1455</v>
      </c>
      <c r="E102" s="2"/>
      <c r="F102" s="2"/>
      <c r="G102" s="2"/>
      <c r="H102" s="2"/>
      <c r="I102" s="2" t="s">
        <v>1468</v>
      </c>
      <c r="J102" s="2"/>
      <c r="K102" s="2"/>
      <c r="L102" s="2"/>
      <c r="M102" s="2"/>
      <c r="N102" s="2"/>
      <c r="O102" s="2"/>
      <c r="P102" s="2"/>
      <c r="Q102" s="2"/>
      <c r="R102" s="2"/>
    </row>
    <row r="103" spans="1:18" x14ac:dyDescent="0.25">
      <c r="A103" s="2"/>
      <c r="B103" s="2"/>
      <c r="C103" s="2"/>
      <c r="D103" s="2" t="s">
        <v>1456</v>
      </c>
      <c r="E103" s="2"/>
      <c r="F103" s="2"/>
      <c r="G103" s="2"/>
      <c r="H103" s="2"/>
      <c r="I103" s="2" t="s">
        <v>1469</v>
      </c>
      <c r="J103" s="2"/>
      <c r="K103" s="2"/>
      <c r="L103" s="2"/>
      <c r="M103" s="2"/>
      <c r="N103" s="2"/>
      <c r="O103" s="2"/>
      <c r="P103" s="2"/>
      <c r="Q103" s="2"/>
      <c r="R103" s="2"/>
    </row>
    <row r="104" spans="1:18" x14ac:dyDescent="0.25">
      <c r="A104" s="2"/>
      <c r="B104" s="2"/>
      <c r="C104" s="2"/>
      <c r="D104" s="2" t="s">
        <v>1457</v>
      </c>
      <c r="E104" s="2"/>
      <c r="F104" s="2"/>
      <c r="G104" s="2"/>
      <c r="H104" s="2"/>
      <c r="I104" s="2" t="s">
        <v>1470</v>
      </c>
      <c r="J104" s="2"/>
      <c r="K104" s="2"/>
      <c r="L104" s="2"/>
      <c r="M104" s="2"/>
      <c r="N104" s="2"/>
      <c r="O104" s="2"/>
      <c r="P104" s="2"/>
      <c r="Q104" s="2"/>
      <c r="R104" s="2"/>
    </row>
    <row r="105" spans="1:18" x14ac:dyDescent="0.25">
      <c r="A105" s="2"/>
      <c r="B105" s="2"/>
      <c r="C105" s="2"/>
      <c r="D105" s="2" t="s">
        <v>1458</v>
      </c>
      <c r="E105" s="2"/>
      <c r="F105" s="2"/>
      <c r="G105" s="2"/>
      <c r="H105" s="2"/>
      <c r="I105" s="2" t="s">
        <v>1471</v>
      </c>
      <c r="J105" s="2"/>
      <c r="K105" s="2"/>
      <c r="L105" s="2"/>
      <c r="M105" s="2"/>
      <c r="N105" s="2"/>
      <c r="O105" s="2"/>
      <c r="P105" s="2"/>
      <c r="Q105" s="2"/>
      <c r="R105" s="2"/>
    </row>
    <row r="106" spans="1:18" x14ac:dyDescent="0.25">
      <c r="A106" s="2"/>
      <c r="B106" s="2"/>
      <c r="C106" s="2"/>
      <c r="D106" s="2" t="s">
        <v>1459</v>
      </c>
      <c r="E106" s="2"/>
      <c r="F106" s="2"/>
      <c r="G106" s="2"/>
      <c r="H106" s="2"/>
      <c r="I106" s="2" t="s">
        <v>1473</v>
      </c>
      <c r="J106" s="2"/>
      <c r="K106" s="2"/>
      <c r="L106" s="2"/>
      <c r="M106" s="2"/>
      <c r="N106" s="2"/>
      <c r="O106" s="2"/>
      <c r="P106" s="2"/>
      <c r="Q106" s="2"/>
      <c r="R106" s="2"/>
    </row>
    <row r="107" spans="1:18" x14ac:dyDescent="0.25">
      <c r="A107" s="2"/>
      <c r="B107" s="2"/>
      <c r="C107" s="2"/>
      <c r="D107" s="2" t="s">
        <v>1460</v>
      </c>
      <c r="E107" s="2"/>
      <c r="F107" s="2"/>
      <c r="G107" s="2"/>
      <c r="H107" s="2"/>
      <c r="I107" s="2" t="s">
        <v>1472</v>
      </c>
      <c r="J107" s="2"/>
      <c r="K107" s="2"/>
      <c r="L107" s="2"/>
      <c r="M107" s="2"/>
      <c r="N107" s="2"/>
      <c r="O107" s="2"/>
      <c r="P107" s="2"/>
      <c r="Q107" s="2"/>
      <c r="R107" s="2"/>
    </row>
    <row r="108" spans="1:18" x14ac:dyDescent="0.25">
      <c r="A108" s="2"/>
      <c r="B108" s="2"/>
      <c r="C108" s="2"/>
      <c r="D108" s="2" t="s">
        <v>1461</v>
      </c>
      <c r="E108" s="2"/>
      <c r="F108" s="2"/>
      <c r="G108" s="2"/>
      <c r="H108" s="2"/>
      <c r="I108" s="2"/>
      <c r="J108" s="2"/>
      <c r="K108" s="2"/>
      <c r="L108" s="2"/>
      <c r="M108" s="2"/>
      <c r="N108" s="2"/>
      <c r="O108" s="2"/>
      <c r="P108" s="2"/>
      <c r="Q108" s="2"/>
      <c r="R108" s="2"/>
    </row>
    <row r="109" spans="1:18" x14ac:dyDescent="0.25">
      <c r="A109" s="2"/>
      <c r="B109" s="2"/>
      <c r="C109" s="2"/>
      <c r="D109" s="2" t="s">
        <v>1462</v>
      </c>
      <c r="E109" s="2"/>
      <c r="F109" s="2"/>
      <c r="G109" s="2"/>
      <c r="H109" s="2"/>
      <c r="I109" s="2"/>
      <c r="J109" s="2"/>
      <c r="K109" s="2"/>
      <c r="L109" s="2"/>
      <c r="M109" s="2"/>
      <c r="N109" s="2"/>
      <c r="O109" s="2"/>
      <c r="P109" s="2"/>
      <c r="Q109" s="2"/>
      <c r="R109" s="2"/>
    </row>
    <row r="110" spans="1:18" x14ac:dyDescent="0.25">
      <c r="A110" s="2"/>
      <c r="B110" s="2"/>
      <c r="C110" s="2"/>
      <c r="D110" s="2" t="s">
        <v>1463</v>
      </c>
      <c r="E110" s="2"/>
      <c r="F110" s="2"/>
      <c r="G110" s="2"/>
      <c r="H110" s="2"/>
      <c r="I110" s="2"/>
      <c r="J110" s="2"/>
      <c r="K110" s="2"/>
      <c r="L110" s="2"/>
      <c r="M110" s="2"/>
      <c r="N110" s="2"/>
      <c r="O110" s="2"/>
      <c r="P110" s="2"/>
      <c r="Q110" s="2"/>
      <c r="R110" s="2"/>
    </row>
    <row r="111" spans="1:18" x14ac:dyDescent="0.25">
      <c r="A111" s="2"/>
      <c r="B111" s="2"/>
      <c r="C111" s="2"/>
      <c r="D111" s="2" t="s">
        <v>1464</v>
      </c>
      <c r="E111" s="2"/>
      <c r="F111" s="2"/>
      <c r="G111" s="2"/>
      <c r="H111" s="2"/>
      <c r="I111" s="2"/>
      <c r="J111" s="2"/>
      <c r="K111" s="2"/>
      <c r="L111" s="2"/>
      <c r="M111" s="2"/>
      <c r="N111" s="2"/>
      <c r="O111" s="2"/>
      <c r="P111" s="2"/>
      <c r="Q111" s="2"/>
      <c r="R111" s="2"/>
    </row>
    <row r="112" spans="1:18" x14ac:dyDescent="0.25">
      <c r="A112" s="2"/>
      <c r="B112" s="2"/>
      <c r="C112" s="2"/>
      <c r="D112" s="2"/>
      <c r="E112" s="2"/>
      <c r="F112" s="2"/>
      <c r="G112" s="2"/>
      <c r="H112" s="2"/>
      <c r="I112" s="2"/>
      <c r="J112" s="2"/>
      <c r="K112" s="2"/>
      <c r="L112" s="2"/>
      <c r="M112" s="2"/>
      <c r="N112" s="2"/>
      <c r="O112" s="2"/>
      <c r="P112" s="2"/>
      <c r="Q112" s="2"/>
      <c r="R112" s="2"/>
    </row>
    <row r="113" spans="1:18" x14ac:dyDescent="0.25">
      <c r="A113" s="3" t="s">
        <v>313</v>
      </c>
      <c r="B113" s="2"/>
      <c r="C113" s="2"/>
      <c r="D113" s="2" t="s">
        <v>314</v>
      </c>
      <c r="E113" s="2"/>
      <c r="F113" s="2"/>
      <c r="G113" s="2"/>
      <c r="H113" s="2"/>
      <c r="I113" s="2" t="s">
        <v>177</v>
      </c>
      <c r="J113" s="2"/>
      <c r="K113" s="2"/>
      <c r="L113" s="2"/>
      <c r="M113" s="2"/>
      <c r="N113" s="2" t="s">
        <v>169</v>
      </c>
      <c r="O113" s="2"/>
      <c r="P113" s="2"/>
      <c r="Q113" s="2"/>
      <c r="R113" s="2"/>
    </row>
    <row r="114" spans="1:18" x14ac:dyDescent="0.25">
      <c r="A114" s="2"/>
      <c r="B114" s="2"/>
      <c r="C114" s="2"/>
      <c r="D114" s="2" t="s">
        <v>315</v>
      </c>
      <c r="E114" s="2"/>
      <c r="F114" s="2"/>
      <c r="G114" s="2"/>
      <c r="H114" s="2"/>
      <c r="I114" s="2" t="s">
        <v>179</v>
      </c>
      <c r="J114" s="2"/>
      <c r="K114" s="2"/>
      <c r="L114" s="2"/>
      <c r="M114" s="2"/>
      <c r="N114" s="2"/>
      <c r="O114" s="2"/>
      <c r="P114" s="2"/>
      <c r="Q114" s="2"/>
      <c r="R114" s="2"/>
    </row>
    <row r="115" spans="1:18" x14ac:dyDescent="0.25">
      <c r="A115" s="2"/>
      <c r="B115" s="2"/>
      <c r="C115" s="2"/>
      <c r="D115" s="2" t="s">
        <v>316</v>
      </c>
      <c r="E115" s="2"/>
      <c r="F115" s="2"/>
      <c r="G115" s="2"/>
      <c r="H115" s="2"/>
      <c r="I115" s="2"/>
      <c r="J115" s="2"/>
      <c r="K115" s="2"/>
      <c r="L115" s="2"/>
      <c r="M115" s="2"/>
      <c r="N115" s="2"/>
      <c r="O115" s="2"/>
      <c r="P115" s="2"/>
      <c r="Q115" s="2"/>
      <c r="R115" s="2"/>
    </row>
    <row r="116" spans="1:18" x14ac:dyDescent="0.25">
      <c r="A116" s="2"/>
      <c r="B116" s="2"/>
      <c r="C116" s="2"/>
      <c r="D116" s="2" t="s">
        <v>317</v>
      </c>
      <c r="E116" s="2"/>
      <c r="F116" s="2"/>
      <c r="G116" s="2"/>
      <c r="H116" s="2"/>
      <c r="I116" s="2"/>
      <c r="J116" s="2"/>
      <c r="K116" s="2"/>
      <c r="L116" s="2"/>
      <c r="M116" s="2"/>
      <c r="N116" s="2"/>
      <c r="O116" s="2"/>
      <c r="P116" s="2"/>
      <c r="Q116" s="2"/>
      <c r="R116" s="2"/>
    </row>
    <row r="117" spans="1:18" x14ac:dyDescent="0.25">
      <c r="A117" s="2"/>
      <c r="B117" s="2"/>
      <c r="C117" s="2"/>
      <c r="D117" s="2" t="s">
        <v>318</v>
      </c>
      <c r="E117" s="2"/>
      <c r="F117" s="2"/>
      <c r="G117" s="2"/>
      <c r="H117" s="2"/>
      <c r="I117" s="2"/>
      <c r="J117" s="2"/>
      <c r="K117" s="2"/>
      <c r="L117" s="2"/>
      <c r="M117" s="2"/>
      <c r="N117" s="2"/>
      <c r="O117" s="2"/>
      <c r="P117" s="2"/>
      <c r="Q117" s="2"/>
      <c r="R117" s="2"/>
    </row>
    <row r="118" spans="1:18" x14ac:dyDescent="0.25">
      <c r="A118" s="2"/>
      <c r="B118" s="2"/>
      <c r="C118" s="2"/>
      <c r="D118" s="2" t="s">
        <v>319</v>
      </c>
      <c r="E118" s="2"/>
      <c r="F118" s="2"/>
      <c r="G118" s="2"/>
      <c r="H118" s="2"/>
      <c r="I118" s="2"/>
      <c r="J118" s="2"/>
      <c r="K118" s="2"/>
      <c r="L118" s="2"/>
      <c r="M118" s="2"/>
      <c r="N118" s="2"/>
      <c r="O118" s="2"/>
      <c r="P118" s="2"/>
      <c r="Q118" s="2"/>
      <c r="R118" s="2"/>
    </row>
    <row r="119" spans="1:18" x14ac:dyDescent="0.25">
      <c r="A119" s="2"/>
      <c r="B119" s="2"/>
      <c r="C119" s="2"/>
      <c r="D119" s="2" t="s">
        <v>320</v>
      </c>
      <c r="E119" s="2"/>
      <c r="F119" s="2"/>
      <c r="G119" s="2"/>
      <c r="H119" s="2"/>
      <c r="I119" s="2"/>
      <c r="J119" s="2"/>
      <c r="K119" s="2"/>
      <c r="L119" s="2"/>
      <c r="M119" s="2"/>
      <c r="N119" s="2"/>
      <c r="O119" s="2"/>
      <c r="P119" s="2"/>
      <c r="Q119" s="2"/>
      <c r="R119" s="2"/>
    </row>
    <row r="120" spans="1:18" x14ac:dyDescent="0.25">
      <c r="A120" s="2"/>
      <c r="B120" s="2"/>
      <c r="C120" s="2"/>
      <c r="D120" s="2" t="s">
        <v>321</v>
      </c>
      <c r="E120" s="2"/>
      <c r="F120" s="2"/>
      <c r="G120" s="2"/>
      <c r="H120" s="2"/>
      <c r="I120" s="2"/>
      <c r="J120" s="2"/>
      <c r="K120" s="2"/>
      <c r="L120" s="2"/>
      <c r="M120" s="2"/>
      <c r="N120" s="2"/>
      <c r="O120" s="2"/>
      <c r="P120" s="2"/>
      <c r="Q120" s="2"/>
      <c r="R120" s="2"/>
    </row>
    <row r="121" spans="1:18" x14ac:dyDescent="0.25">
      <c r="A121" s="2"/>
      <c r="B121" s="2"/>
      <c r="C121" s="2"/>
      <c r="D121" s="2"/>
      <c r="E121" s="2"/>
      <c r="F121" s="2"/>
      <c r="G121" s="2"/>
      <c r="H121" s="2"/>
      <c r="I121" s="2"/>
      <c r="J121" s="2"/>
      <c r="K121" s="2"/>
      <c r="L121" s="2"/>
      <c r="M121" s="2"/>
      <c r="N121" s="2"/>
      <c r="O121" s="2"/>
      <c r="P121" s="2"/>
      <c r="Q121" s="2"/>
      <c r="R121" s="2"/>
    </row>
    <row r="122" spans="1:18" x14ac:dyDescent="0.25">
      <c r="A122" s="3" t="s">
        <v>210</v>
      </c>
      <c r="B122" s="2"/>
      <c r="C122" s="2"/>
      <c r="D122" s="2" t="s">
        <v>322</v>
      </c>
      <c r="E122" s="2"/>
      <c r="F122" s="2"/>
      <c r="G122" s="2"/>
      <c r="H122" s="2"/>
      <c r="I122" s="2" t="s">
        <v>323</v>
      </c>
      <c r="J122" s="2"/>
      <c r="K122" s="2"/>
      <c r="L122" s="2"/>
      <c r="M122" s="2"/>
      <c r="N122" s="2" t="s">
        <v>169</v>
      </c>
      <c r="O122" s="2"/>
      <c r="P122" s="2"/>
      <c r="Q122" s="2"/>
      <c r="R122" s="2"/>
    </row>
    <row r="123" spans="1:18" x14ac:dyDescent="0.25">
      <c r="A123" s="2"/>
      <c r="B123" s="2"/>
      <c r="C123" s="2"/>
      <c r="D123" s="2" t="s">
        <v>324</v>
      </c>
      <c r="E123" s="2"/>
      <c r="F123" s="2"/>
      <c r="G123" s="2"/>
      <c r="H123" s="2"/>
      <c r="I123" s="2" t="s">
        <v>325</v>
      </c>
      <c r="J123" s="2"/>
      <c r="K123" s="2"/>
      <c r="L123" s="2"/>
      <c r="M123" s="2"/>
      <c r="N123" s="2"/>
      <c r="O123" s="2"/>
      <c r="P123" s="2"/>
      <c r="Q123" s="2"/>
      <c r="R123" s="2"/>
    </row>
    <row r="124" spans="1:18" x14ac:dyDescent="0.25">
      <c r="A124" s="2"/>
      <c r="B124" s="2"/>
      <c r="C124" s="2"/>
      <c r="D124" s="2" t="s">
        <v>326</v>
      </c>
      <c r="E124" s="2"/>
      <c r="F124" s="2"/>
      <c r="G124" s="2"/>
      <c r="H124" s="2"/>
      <c r="I124" s="2" t="s">
        <v>327</v>
      </c>
      <c r="J124" s="2"/>
      <c r="K124" s="2"/>
      <c r="L124" s="2"/>
      <c r="M124" s="2"/>
      <c r="N124" s="2"/>
      <c r="O124" s="2"/>
      <c r="P124" s="2"/>
      <c r="Q124" s="2"/>
      <c r="R124" s="2"/>
    </row>
    <row r="125" spans="1:18" x14ac:dyDescent="0.25">
      <c r="A125" s="2"/>
      <c r="B125" s="2"/>
      <c r="C125" s="2"/>
      <c r="D125" s="2" t="s">
        <v>328</v>
      </c>
      <c r="E125" s="2"/>
      <c r="F125" s="2"/>
      <c r="G125" s="2"/>
      <c r="H125" s="2"/>
      <c r="I125" s="2" t="s">
        <v>329</v>
      </c>
      <c r="J125" s="2"/>
      <c r="K125" s="2"/>
      <c r="L125" s="2"/>
      <c r="M125" s="2"/>
      <c r="N125" s="2"/>
      <c r="O125" s="2"/>
      <c r="P125" s="2"/>
      <c r="Q125" s="2"/>
      <c r="R125" s="2"/>
    </row>
    <row r="126" spans="1:18" x14ac:dyDescent="0.25">
      <c r="A126" s="2"/>
      <c r="B126" s="2"/>
      <c r="C126" s="2"/>
      <c r="D126" s="2" t="s">
        <v>330</v>
      </c>
      <c r="E126" s="2"/>
      <c r="F126" s="2"/>
      <c r="G126" s="2"/>
      <c r="H126" s="2"/>
      <c r="I126" s="2" t="s">
        <v>331</v>
      </c>
      <c r="J126" s="2"/>
      <c r="K126" s="2"/>
      <c r="L126" s="2"/>
      <c r="M126" s="2"/>
      <c r="N126" s="2"/>
      <c r="O126" s="2"/>
      <c r="P126" s="2"/>
      <c r="Q126" s="2"/>
      <c r="R126" s="2"/>
    </row>
    <row r="127" spans="1:18" x14ac:dyDescent="0.25">
      <c r="A127" s="2"/>
      <c r="B127" s="2"/>
      <c r="C127" s="2"/>
      <c r="D127" s="2" t="s">
        <v>332</v>
      </c>
      <c r="E127" s="2"/>
      <c r="F127" s="2"/>
      <c r="G127" s="2"/>
      <c r="H127" s="2"/>
      <c r="I127" s="2" t="s">
        <v>333</v>
      </c>
      <c r="J127" s="2"/>
      <c r="K127" s="2"/>
      <c r="L127" s="2"/>
      <c r="M127" s="2"/>
      <c r="N127" s="2"/>
      <c r="O127" s="2"/>
      <c r="P127" s="2"/>
      <c r="Q127" s="2"/>
      <c r="R127" s="2"/>
    </row>
    <row r="128" spans="1:18" x14ac:dyDescent="0.25">
      <c r="A128" s="2"/>
      <c r="B128" s="2"/>
      <c r="C128" s="2"/>
      <c r="D128" s="2" t="s">
        <v>334</v>
      </c>
      <c r="E128" s="2"/>
      <c r="F128" s="2"/>
      <c r="G128" s="2"/>
      <c r="H128" s="2"/>
      <c r="I128" s="2"/>
      <c r="J128" s="2"/>
      <c r="K128" s="2"/>
      <c r="L128" s="2"/>
      <c r="M128" s="2"/>
      <c r="N128" s="2"/>
      <c r="O128" s="2"/>
      <c r="P128" s="2"/>
      <c r="Q128" s="2"/>
      <c r="R128" s="2"/>
    </row>
    <row r="129" spans="1:18" x14ac:dyDescent="0.25">
      <c r="A129" s="2"/>
      <c r="B129" s="2"/>
      <c r="C129" s="2"/>
      <c r="D129" s="2" t="s">
        <v>335</v>
      </c>
      <c r="E129" s="2"/>
      <c r="F129" s="2"/>
      <c r="G129" s="2"/>
      <c r="H129" s="2"/>
      <c r="I129" s="2"/>
      <c r="J129" s="2"/>
      <c r="K129" s="2"/>
      <c r="L129" s="2"/>
      <c r="M129" s="2"/>
      <c r="N129" s="2"/>
      <c r="O129" s="2"/>
      <c r="P129" s="2"/>
      <c r="Q129" s="2"/>
      <c r="R129" s="2"/>
    </row>
    <row r="130" spans="1:18" x14ac:dyDescent="0.25">
      <c r="A130" s="2"/>
      <c r="B130" s="2"/>
      <c r="C130" s="2"/>
      <c r="D130" s="2" t="s">
        <v>336</v>
      </c>
      <c r="E130" s="2"/>
      <c r="F130" s="2"/>
      <c r="G130" s="2"/>
      <c r="H130" s="2"/>
      <c r="I130" s="2"/>
      <c r="J130" s="2"/>
      <c r="K130" s="2"/>
      <c r="L130" s="2"/>
      <c r="M130" s="2"/>
      <c r="N130" s="2"/>
      <c r="O130" s="2"/>
      <c r="P130" s="2"/>
      <c r="Q130" s="2"/>
      <c r="R130" s="2"/>
    </row>
    <row r="131" spans="1:18" x14ac:dyDescent="0.25">
      <c r="A131" s="2"/>
      <c r="B131" s="2"/>
      <c r="C131" s="2"/>
      <c r="D131" s="2" t="s">
        <v>337</v>
      </c>
      <c r="E131" s="2"/>
      <c r="F131" s="2"/>
      <c r="G131" s="2"/>
      <c r="H131" s="2"/>
      <c r="I131" s="2"/>
      <c r="J131" s="2"/>
      <c r="K131" s="2"/>
      <c r="L131" s="2"/>
      <c r="M131" s="2"/>
      <c r="N131" s="2"/>
      <c r="O131" s="2"/>
      <c r="P131" s="2"/>
      <c r="Q131" s="2"/>
      <c r="R131" s="2"/>
    </row>
    <row r="132" spans="1:18" x14ac:dyDescent="0.25">
      <c r="A132" s="2"/>
      <c r="B132" s="2"/>
      <c r="C132" s="2"/>
      <c r="D132" s="2" t="s">
        <v>338</v>
      </c>
      <c r="E132" s="2"/>
      <c r="F132" s="2"/>
      <c r="G132" s="2"/>
      <c r="H132" s="2"/>
      <c r="I132" s="2"/>
      <c r="J132" s="2"/>
      <c r="K132" s="2"/>
      <c r="L132" s="2"/>
      <c r="M132" s="2"/>
      <c r="N132" s="2"/>
      <c r="O132" s="2"/>
      <c r="P132" s="2"/>
      <c r="Q132" s="2"/>
      <c r="R132" s="2"/>
    </row>
    <row r="133" spans="1:18" x14ac:dyDescent="0.25">
      <c r="A133" s="2"/>
      <c r="B133" s="2"/>
      <c r="C133" s="2"/>
      <c r="D133" s="2"/>
      <c r="E133" s="2"/>
      <c r="F133" s="2"/>
      <c r="G133" s="2"/>
      <c r="H133" s="2"/>
      <c r="I133" s="2"/>
      <c r="J133" s="2"/>
      <c r="K133" s="2"/>
      <c r="L133" s="2"/>
      <c r="M133" s="2"/>
      <c r="N133" s="2"/>
      <c r="O133" s="2"/>
      <c r="P133" s="2"/>
      <c r="Q133" s="2"/>
      <c r="R133" s="2"/>
    </row>
    <row r="134" spans="1:18" x14ac:dyDescent="0.25">
      <c r="A134" s="3" t="s">
        <v>339</v>
      </c>
      <c r="B134" s="2"/>
      <c r="C134" s="2"/>
      <c r="D134" s="2" t="s">
        <v>340</v>
      </c>
      <c r="E134" s="2"/>
      <c r="F134" s="2"/>
      <c r="G134" s="2"/>
      <c r="H134" s="2"/>
      <c r="I134" s="2" t="s">
        <v>341</v>
      </c>
      <c r="J134" s="2"/>
      <c r="K134" s="2"/>
      <c r="L134" s="2"/>
      <c r="M134" s="2"/>
      <c r="N134" s="2" t="s">
        <v>169</v>
      </c>
      <c r="O134" s="2"/>
      <c r="P134" s="2"/>
      <c r="Q134" s="2"/>
      <c r="R134" s="2"/>
    </row>
    <row r="135" spans="1:18" x14ac:dyDescent="0.25">
      <c r="A135" s="2"/>
      <c r="B135" s="2"/>
      <c r="C135" s="2"/>
      <c r="D135" s="2" t="s">
        <v>342</v>
      </c>
      <c r="E135" s="2"/>
      <c r="F135" s="2"/>
      <c r="G135" s="2"/>
      <c r="H135" s="2"/>
      <c r="I135" s="2" t="s">
        <v>343</v>
      </c>
      <c r="J135" s="2"/>
      <c r="K135" s="2"/>
      <c r="L135" s="2"/>
      <c r="M135" s="2"/>
      <c r="N135" s="2"/>
      <c r="O135" s="2"/>
      <c r="P135" s="2"/>
      <c r="Q135" s="2"/>
      <c r="R135" s="2"/>
    </row>
    <row r="136" spans="1:18" x14ac:dyDescent="0.25">
      <c r="A136" s="2"/>
      <c r="B136" s="2"/>
      <c r="C136" s="2"/>
      <c r="D136" s="2" t="s">
        <v>344</v>
      </c>
      <c r="E136" s="2"/>
      <c r="F136" s="2"/>
      <c r="G136" s="2"/>
      <c r="H136" s="2"/>
      <c r="I136" s="2" t="s">
        <v>325</v>
      </c>
      <c r="J136" s="2"/>
      <c r="K136" s="2"/>
      <c r="L136" s="2"/>
      <c r="M136" s="2"/>
      <c r="N136" s="2"/>
      <c r="O136" s="2"/>
      <c r="P136" s="2"/>
      <c r="Q136" s="2"/>
      <c r="R136" s="2"/>
    </row>
    <row r="137" spans="1:18" x14ac:dyDescent="0.25">
      <c r="A137" s="2"/>
      <c r="B137" s="2"/>
      <c r="C137" s="2"/>
      <c r="D137" s="2" t="s">
        <v>345</v>
      </c>
      <c r="E137" s="2"/>
      <c r="F137" s="2"/>
      <c r="G137" s="2"/>
      <c r="H137" s="2"/>
      <c r="I137" s="2" t="s">
        <v>346</v>
      </c>
      <c r="J137" s="2"/>
      <c r="K137" s="2"/>
      <c r="L137" s="2"/>
      <c r="M137" s="2"/>
      <c r="N137" s="2"/>
      <c r="O137" s="2"/>
      <c r="P137" s="2"/>
      <c r="Q137" s="2"/>
      <c r="R137" s="2"/>
    </row>
    <row r="138" spans="1:18" x14ac:dyDescent="0.25">
      <c r="A138" s="2"/>
      <c r="B138" s="2"/>
      <c r="C138" s="2"/>
      <c r="D138" s="2" t="s">
        <v>347</v>
      </c>
      <c r="E138" s="2"/>
      <c r="F138" s="2"/>
      <c r="G138" s="2"/>
      <c r="H138" s="2"/>
      <c r="I138" s="2" t="s">
        <v>348</v>
      </c>
      <c r="J138" s="2"/>
      <c r="K138" s="2"/>
      <c r="L138" s="2"/>
      <c r="M138" s="2"/>
      <c r="N138" s="2"/>
      <c r="O138" s="2"/>
      <c r="P138" s="2"/>
      <c r="Q138" s="2"/>
      <c r="R138" s="2"/>
    </row>
    <row r="139" spans="1:18" x14ac:dyDescent="0.25">
      <c r="A139" s="2"/>
      <c r="B139" s="2"/>
      <c r="C139" s="2"/>
      <c r="D139" s="2" t="s">
        <v>349</v>
      </c>
      <c r="E139" s="2"/>
      <c r="F139" s="2"/>
      <c r="G139" s="2"/>
      <c r="H139" s="2"/>
      <c r="I139" s="2" t="s">
        <v>350</v>
      </c>
      <c r="J139" s="2"/>
      <c r="K139" s="2"/>
      <c r="L139" s="2"/>
      <c r="M139" s="2"/>
      <c r="N139" s="2"/>
      <c r="O139" s="2"/>
      <c r="P139" s="2"/>
      <c r="Q139" s="2"/>
      <c r="R139" s="2"/>
    </row>
    <row r="140" spans="1:18" x14ac:dyDescent="0.25">
      <c r="A140" s="2"/>
      <c r="B140" s="2"/>
      <c r="C140" s="2"/>
      <c r="D140" s="2" t="s">
        <v>351</v>
      </c>
      <c r="E140" s="2"/>
      <c r="F140" s="2"/>
      <c r="G140" s="2"/>
      <c r="H140" s="2"/>
      <c r="I140" s="2" t="s">
        <v>352</v>
      </c>
      <c r="J140" s="2"/>
      <c r="K140" s="2"/>
      <c r="L140" s="2"/>
      <c r="M140" s="2"/>
      <c r="N140" s="2"/>
      <c r="O140" s="2"/>
      <c r="P140" s="2"/>
      <c r="Q140" s="2"/>
      <c r="R140" s="2"/>
    </row>
    <row r="141" spans="1:18" x14ac:dyDescent="0.25">
      <c r="A141" s="2"/>
      <c r="B141" s="2"/>
      <c r="C141" s="2"/>
      <c r="D141" s="2" t="s">
        <v>353</v>
      </c>
      <c r="E141" s="2"/>
      <c r="F141" s="2"/>
      <c r="G141" s="2"/>
      <c r="H141" s="2"/>
      <c r="I141" s="2"/>
      <c r="J141" s="2"/>
      <c r="K141" s="2"/>
      <c r="L141" s="2"/>
      <c r="M141" s="2"/>
      <c r="N141" s="2"/>
      <c r="O141" s="2"/>
      <c r="P141" s="2"/>
      <c r="Q141" s="2"/>
      <c r="R141" s="2"/>
    </row>
    <row r="142" spans="1:18" x14ac:dyDescent="0.25">
      <c r="A142" s="2"/>
      <c r="B142" s="2"/>
      <c r="C142" s="2"/>
      <c r="D142" s="2" t="s">
        <v>354</v>
      </c>
      <c r="E142" s="2"/>
      <c r="F142" s="2"/>
      <c r="G142" s="2"/>
      <c r="H142" s="2"/>
      <c r="I142" s="2"/>
      <c r="J142" s="2"/>
      <c r="K142" s="2"/>
      <c r="L142" s="2"/>
      <c r="M142" s="2"/>
      <c r="N142" s="2"/>
      <c r="O142" s="2"/>
      <c r="P142" s="2"/>
      <c r="Q142" s="2"/>
      <c r="R142" s="2"/>
    </row>
    <row r="143" spans="1:18" x14ac:dyDescent="0.25">
      <c r="A143" s="2"/>
      <c r="B143" s="2"/>
      <c r="C143" s="2"/>
      <c r="D143" s="2" t="s">
        <v>355</v>
      </c>
      <c r="E143" s="2"/>
      <c r="F143" s="2"/>
      <c r="G143" s="2"/>
      <c r="H143" s="2"/>
      <c r="I143" s="2"/>
      <c r="J143" s="2"/>
      <c r="K143" s="2"/>
      <c r="L143" s="2"/>
      <c r="M143" s="2"/>
      <c r="N143" s="2"/>
      <c r="O143" s="2"/>
      <c r="P143" s="2"/>
      <c r="Q143" s="2"/>
      <c r="R143" s="2"/>
    </row>
    <row r="144" spans="1:18" x14ac:dyDescent="0.25">
      <c r="A144" s="2"/>
      <c r="B144" s="2"/>
      <c r="C144" s="2"/>
      <c r="D144" s="2"/>
      <c r="E144" s="2"/>
      <c r="F144" s="2"/>
      <c r="G144" s="2"/>
      <c r="H144" s="2"/>
      <c r="I144" s="2"/>
      <c r="J144" s="2"/>
      <c r="K144" s="2"/>
      <c r="L144" s="2"/>
      <c r="M144" s="2"/>
      <c r="N144" s="2"/>
      <c r="O144" s="2"/>
      <c r="P144" s="2"/>
      <c r="Q144" s="2"/>
      <c r="R144" s="2"/>
    </row>
    <row r="145" spans="1:18" x14ac:dyDescent="0.25">
      <c r="A145" s="3" t="s">
        <v>356</v>
      </c>
      <c r="B145" s="2"/>
      <c r="C145" s="2"/>
      <c r="D145" s="2" t="s">
        <v>357</v>
      </c>
      <c r="E145" s="2"/>
      <c r="F145" s="2"/>
      <c r="G145" s="2"/>
      <c r="H145" s="2"/>
      <c r="I145" s="2" t="s">
        <v>358</v>
      </c>
      <c r="J145" s="2"/>
      <c r="K145" s="2"/>
      <c r="L145" s="2"/>
      <c r="M145" s="2"/>
      <c r="N145" s="2" t="s">
        <v>169</v>
      </c>
      <c r="O145" s="2"/>
      <c r="P145" s="2"/>
      <c r="Q145" s="2"/>
      <c r="R145" s="2"/>
    </row>
    <row r="146" spans="1:18" x14ac:dyDescent="0.25">
      <c r="A146" s="2"/>
      <c r="B146" s="2"/>
      <c r="C146" s="2"/>
      <c r="D146" s="2" t="s">
        <v>359</v>
      </c>
      <c r="E146" s="2"/>
      <c r="F146" s="2"/>
      <c r="G146" s="2"/>
      <c r="H146" s="2"/>
      <c r="I146" s="2" t="s">
        <v>360</v>
      </c>
      <c r="J146" s="2"/>
      <c r="K146" s="2"/>
      <c r="L146" s="2"/>
      <c r="M146" s="2"/>
      <c r="N146" s="2"/>
      <c r="O146" s="2"/>
      <c r="P146" s="2"/>
      <c r="Q146" s="2"/>
      <c r="R146" s="2"/>
    </row>
    <row r="147" spans="1:18" x14ac:dyDescent="0.25">
      <c r="A147" s="2"/>
      <c r="B147" s="2"/>
      <c r="C147" s="2"/>
      <c r="D147" s="2" t="s">
        <v>361</v>
      </c>
      <c r="E147" s="2"/>
      <c r="F147" s="2"/>
      <c r="G147" s="2"/>
      <c r="H147" s="2"/>
      <c r="I147" s="2" t="s">
        <v>362</v>
      </c>
      <c r="J147" s="2"/>
      <c r="K147" s="2"/>
      <c r="L147" s="2"/>
      <c r="M147" s="2"/>
      <c r="N147" s="2"/>
      <c r="O147" s="2"/>
      <c r="P147" s="2"/>
      <c r="Q147" s="2"/>
      <c r="R147" s="2"/>
    </row>
    <row r="148" spans="1:18" x14ac:dyDescent="0.25">
      <c r="A148" s="2"/>
      <c r="B148" s="2"/>
      <c r="C148" s="2"/>
      <c r="D148" s="2" t="s">
        <v>363</v>
      </c>
      <c r="E148" s="2"/>
      <c r="F148" s="2"/>
      <c r="G148" s="2"/>
      <c r="H148" s="2"/>
      <c r="I148" s="2" t="s">
        <v>364</v>
      </c>
      <c r="J148" s="2"/>
      <c r="K148" s="2"/>
      <c r="L148" s="2"/>
      <c r="M148" s="2"/>
      <c r="N148" s="2"/>
      <c r="O148" s="2"/>
      <c r="P148" s="2"/>
      <c r="Q148" s="2"/>
      <c r="R148" s="2"/>
    </row>
    <row r="149" spans="1:18" x14ac:dyDescent="0.25">
      <c r="A149" s="2"/>
      <c r="B149" s="2"/>
      <c r="C149" s="2"/>
      <c r="D149" s="2" t="s">
        <v>365</v>
      </c>
      <c r="E149" s="2"/>
      <c r="F149" s="2"/>
      <c r="G149" s="2"/>
      <c r="H149" s="2"/>
      <c r="I149" s="2" t="s">
        <v>366</v>
      </c>
      <c r="J149" s="2"/>
      <c r="K149" s="2"/>
      <c r="L149" s="2"/>
      <c r="M149" s="2"/>
      <c r="N149" s="2"/>
      <c r="O149" s="2"/>
      <c r="P149" s="2"/>
      <c r="Q149" s="2"/>
      <c r="R149" s="2"/>
    </row>
    <row r="150" spans="1:18" x14ac:dyDescent="0.25">
      <c r="A150" s="2"/>
      <c r="B150" s="2"/>
      <c r="C150" s="2"/>
      <c r="D150" s="2" t="s">
        <v>367</v>
      </c>
      <c r="E150" s="2"/>
      <c r="F150" s="2"/>
      <c r="G150" s="2"/>
      <c r="H150" s="2"/>
      <c r="I150" s="2" t="s">
        <v>368</v>
      </c>
      <c r="J150" s="2"/>
      <c r="K150" s="2"/>
      <c r="L150" s="2"/>
      <c r="M150" s="2"/>
      <c r="N150" s="2"/>
      <c r="O150" s="2"/>
      <c r="P150" s="2"/>
      <c r="Q150" s="2"/>
      <c r="R150" s="2"/>
    </row>
    <row r="151" spans="1:18" x14ac:dyDescent="0.25">
      <c r="A151" s="2"/>
      <c r="B151" s="2"/>
      <c r="C151" s="2"/>
      <c r="D151" s="2" t="s">
        <v>369</v>
      </c>
      <c r="E151" s="2"/>
      <c r="F151" s="2"/>
      <c r="G151" s="2"/>
      <c r="H151" s="2"/>
      <c r="I151" s="2" t="s">
        <v>370</v>
      </c>
      <c r="J151" s="2"/>
      <c r="K151" s="2"/>
      <c r="L151" s="2"/>
      <c r="M151" s="2"/>
      <c r="N151" s="2"/>
      <c r="O151" s="2"/>
      <c r="P151" s="2"/>
      <c r="Q151" s="2"/>
      <c r="R151" s="2"/>
    </row>
    <row r="152" spans="1:18" x14ac:dyDescent="0.25">
      <c r="A152" s="2"/>
      <c r="B152" s="2"/>
      <c r="C152" s="2"/>
      <c r="D152" s="2" t="s">
        <v>371</v>
      </c>
      <c r="E152" s="2"/>
      <c r="F152" s="2"/>
      <c r="G152" s="2"/>
      <c r="H152" s="2"/>
      <c r="I152" s="52" t="s">
        <v>372</v>
      </c>
      <c r="J152" s="2"/>
      <c r="K152" s="2"/>
      <c r="L152" s="2"/>
      <c r="M152" s="2"/>
      <c r="N152" s="2"/>
      <c r="O152" s="2"/>
      <c r="P152" s="2"/>
      <c r="Q152" s="2"/>
      <c r="R152" s="2"/>
    </row>
    <row r="153" spans="1:18" x14ac:dyDescent="0.25">
      <c r="A153" s="2"/>
      <c r="B153" s="2"/>
      <c r="C153" s="2"/>
      <c r="D153" s="2" t="s">
        <v>373</v>
      </c>
      <c r="E153" s="2"/>
      <c r="F153" s="2"/>
      <c r="G153" s="2"/>
      <c r="H153" s="2"/>
      <c r="I153" s="2" t="s">
        <v>374</v>
      </c>
      <c r="J153" s="2"/>
      <c r="K153" s="2"/>
      <c r="L153" s="2"/>
      <c r="M153" s="2"/>
      <c r="N153" s="2"/>
      <c r="O153" s="2"/>
      <c r="P153" s="2"/>
      <c r="Q153" s="2"/>
      <c r="R153" s="2"/>
    </row>
    <row r="154" spans="1:18" x14ac:dyDescent="0.25">
      <c r="A154" s="2"/>
      <c r="B154" s="2"/>
      <c r="C154" s="2"/>
      <c r="D154" s="2" t="s">
        <v>375</v>
      </c>
      <c r="E154" s="2"/>
      <c r="F154" s="2"/>
      <c r="G154" s="2"/>
      <c r="H154" s="2"/>
      <c r="I154" s="2" t="s">
        <v>376</v>
      </c>
      <c r="J154" s="2"/>
      <c r="K154" s="2"/>
      <c r="L154" s="2"/>
      <c r="M154" s="2"/>
      <c r="N154" s="2"/>
      <c r="O154" s="2"/>
      <c r="P154" s="2"/>
      <c r="Q154" s="2"/>
      <c r="R154" s="2"/>
    </row>
    <row r="155" spans="1:18" x14ac:dyDescent="0.25">
      <c r="A155" s="2"/>
      <c r="B155" s="2"/>
      <c r="C155" s="2"/>
      <c r="D155" s="2" t="s">
        <v>377</v>
      </c>
      <c r="E155" s="2"/>
      <c r="F155" s="2"/>
      <c r="G155" s="2"/>
      <c r="H155" s="2"/>
      <c r="I155" s="2" t="s">
        <v>378</v>
      </c>
      <c r="J155" s="2"/>
      <c r="K155" s="2"/>
      <c r="L155" s="2"/>
      <c r="M155" s="2"/>
      <c r="N155" s="2"/>
      <c r="O155" s="2"/>
      <c r="P155" s="2"/>
      <c r="Q155" s="2"/>
      <c r="R155" s="2"/>
    </row>
    <row r="156" spans="1:18" x14ac:dyDescent="0.25">
      <c r="A156" s="2"/>
      <c r="B156" s="2"/>
      <c r="C156" s="2"/>
      <c r="D156" s="2" t="s">
        <v>379</v>
      </c>
      <c r="E156" s="2"/>
      <c r="F156" s="2"/>
      <c r="G156" s="2"/>
      <c r="H156" s="2"/>
      <c r="I156" s="2" t="s">
        <v>380</v>
      </c>
      <c r="J156" s="2"/>
      <c r="K156" s="2"/>
      <c r="L156" s="2"/>
      <c r="M156" s="2"/>
      <c r="N156" s="2"/>
      <c r="O156" s="2"/>
      <c r="P156" s="2"/>
      <c r="Q156" s="2"/>
      <c r="R156" s="2"/>
    </row>
    <row r="157" spans="1:18" x14ac:dyDescent="0.25">
      <c r="A157" s="2"/>
      <c r="B157" s="2"/>
      <c r="C157" s="2"/>
      <c r="D157" s="2" t="s">
        <v>381</v>
      </c>
      <c r="E157" s="2"/>
      <c r="F157" s="2"/>
      <c r="G157" s="2"/>
      <c r="H157" s="2"/>
      <c r="I157" s="2" t="s">
        <v>382</v>
      </c>
      <c r="J157" s="2"/>
      <c r="K157" s="2"/>
      <c r="L157" s="2"/>
      <c r="M157" s="2"/>
      <c r="N157" s="2"/>
      <c r="O157" s="2"/>
      <c r="P157" s="2"/>
      <c r="Q157" s="2"/>
      <c r="R157" s="2"/>
    </row>
    <row r="158" spans="1:18" x14ac:dyDescent="0.25">
      <c r="A158" s="2"/>
      <c r="B158" s="2"/>
      <c r="C158" s="2"/>
      <c r="D158" s="2" t="s">
        <v>383</v>
      </c>
      <c r="E158" s="2"/>
      <c r="F158" s="2"/>
      <c r="G158" s="2"/>
      <c r="H158" s="2"/>
      <c r="I158" s="2" t="s">
        <v>384</v>
      </c>
      <c r="J158" s="2"/>
      <c r="K158" s="2"/>
      <c r="L158" s="2"/>
      <c r="M158" s="2"/>
      <c r="N158" s="2"/>
      <c r="O158" s="2"/>
      <c r="P158" s="2"/>
      <c r="Q158" s="2"/>
      <c r="R158" s="2"/>
    </row>
    <row r="159" spans="1:18" x14ac:dyDescent="0.25">
      <c r="A159" s="2"/>
      <c r="B159" s="2"/>
      <c r="C159" s="2"/>
      <c r="D159" s="2" t="s">
        <v>385</v>
      </c>
      <c r="E159" s="2"/>
      <c r="F159" s="2"/>
      <c r="G159" s="2"/>
      <c r="H159" s="2"/>
      <c r="I159" s="2" t="s">
        <v>386</v>
      </c>
      <c r="J159" s="2"/>
      <c r="K159" s="2"/>
      <c r="L159" s="2"/>
      <c r="M159" s="2"/>
      <c r="N159" s="2"/>
      <c r="O159" s="2"/>
      <c r="P159" s="2"/>
      <c r="Q159" s="2"/>
      <c r="R159" s="2"/>
    </row>
    <row r="160" spans="1:18" x14ac:dyDescent="0.25">
      <c r="A160" s="2"/>
      <c r="B160" s="2"/>
      <c r="C160" s="2"/>
      <c r="D160" s="3" t="s">
        <v>387</v>
      </c>
      <c r="E160" s="2"/>
      <c r="F160" s="2"/>
      <c r="G160" s="2"/>
      <c r="H160" s="2"/>
      <c r="I160" s="2" t="s">
        <v>388</v>
      </c>
      <c r="J160" s="2"/>
      <c r="K160" s="2"/>
      <c r="L160" s="2"/>
      <c r="M160" s="2"/>
      <c r="N160" s="2"/>
      <c r="O160" s="2"/>
      <c r="P160" s="2"/>
      <c r="Q160" s="2"/>
      <c r="R160" s="2"/>
    </row>
    <row r="161" spans="1:18" x14ac:dyDescent="0.25">
      <c r="A161" s="2"/>
      <c r="B161" s="2"/>
      <c r="C161" s="2"/>
      <c r="D161" s="2"/>
      <c r="E161" s="2"/>
      <c r="F161" s="2"/>
      <c r="G161" s="2"/>
      <c r="H161" s="2"/>
      <c r="I161" s="2"/>
      <c r="J161" s="2"/>
      <c r="K161" s="2"/>
      <c r="L161" s="2"/>
      <c r="M161" s="2"/>
      <c r="N161" s="2"/>
      <c r="O161" s="2"/>
      <c r="P161" s="2"/>
      <c r="Q161" s="2"/>
      <c r="R161" s="2"/>
    </row>
    <row r="162" spans="1:18" x14ac:dyDescent="0.25">
      <c r="A162" s="2" t="s">
        <v>389</v>
      </c>
      <c r="B162" s="2"/>
      <c r="C162" s="2"/>
      <c r="D162" s="2" t="s">
        <v>390</v>
      </c>
      <c r="E162" s="2"/>
      <c r="F162" s="2"/>
      <c r="G162" s="2"/>
      <c r="H162" s="2"/>
      <c r="I162" s="2" t="s">
        <v>169</v>
      </c>
      <c r="J162" s="2"/>
      <c r="K162" s="2"/>
      <c r="L162" s="2"/>
      <c r="M162" s="2"/>
      <c r="N162" s="3" t="s">
        <v>166</v>
      </c>
      <c r="O162" s="2"/>
      <c r="P162" s="2"/>
      <c r="Q162" s="2"/>
      <c r="R162" s="2"/>
    </row>
    <row r="163" spans="1:18" x14ac:dyDescent="0.25">
      <c r="A163" s="2" t="s">
        <v>391</v>
      </c>
      <c r="B163" s="2"/>
      <c r="C163" s="2"/>
      <c r="D163" s="2" t="s">
        <v>392</v>
      </c>
      <c r="E163" s="2"/>
      <c r="F163" s="2"/>
      <c r="G163" s="2"/>
      <c r="H163" s="2"/>
      <c r="I163" s="2"/>
      <c r="J163" s="2"/>
      <c r="K163" s="2"/>
      <c r="L163" s="2"/>
      <c r="M163" s="2"/>
      <c r="N163" s="3" t="s">
        <v>205</v>
      </c>
      <c r="O163" s="2"/>
      <c r="P163" s="2"/>
      <c r="Q163" s="2"/>
      <c r="R163" s="2"/>
    </row>
    <row r="164" spans="1:18" x14ac:dyDescent="0.25">
      <c r="A164" s="2" t="s">
        <v>393</v>
      </c>
      <c r="B164" s="2"/>
      <c r="C164" s="2"/>
      <c r="D164" s="2" t="s">
        <v>394</v>
      </c>
      <c r="E164" s="2"/>
      <c r="F164" s="2"/>
      <c r="G164" s="2"/>
      <c r="H164" s="2"/>
      <c r="I164" s="2"/>
      <c r="J164" s="2"/>
      <c r="K164" s="2"/>
      <c r="L164" s="2"/>
      <c r="M164" s="2"/>
      <c r="N164" s="3" t="s">
        <v>224</v>
      </c>
      <c r="O164" s="2"/>
      <c r="P164" s="2"/>
      <c r="Q164" s="2"/>
      <c r="R164" s="2"/>
    </row>
    <row r="165" spans="1:18" x14ac:dyDescent="0.25">
      <c r="A165" s="2" t="s">
        <v>1447</v>
      </c>
      <c r="B165" s="2"/>
      <c r="C165" s="2"/>
      <c r="D165" s="2" t="s">
        <v>395</v>
      </c>
      <c r="E165" s="2"/>
      <c r="F165" s="2"/>
      <c r="G165" s="2"/>
      <c r="H165" s="2"/>
      <c r="I165" s="2"/>
      <c r="J165" s="2"/>
      <c r="K165" s="2"/>
      <c r="L165" s="2"/>
      <c r="M165" s="2"/>
      <c r="N165" s="3" t="s">
        <v>237</v>
      </c>
      <c r="O165" s="2"/>
      <c r="P165" s="2"/>
      <c r="Q165" s="2"/>
      <c r="R165" s="2"/>
    </row>
    <row r="166" spans="1:18" x14ac:dyDescent="0.25">
      <c r="A166" s="2" t="s">
        <v>1446</v>
      </c>
      <c r="B166" s="2"/>
      <c r="C166" s="2"/>
      <c r="D166" s="2" t="s">
        <v>396</v>
      </c>
      <c r="E166" s="2"/>
      <c r="F166" s="2"/>
      <c r="G166" s="2"/>
      <c r="H166" s="2"/>
      <c r="I166" s="2"/>
      <c r="J166" s="2"/>
      <c r="K166" s="2"/>
      <c r="L166" s="2"/>
      <c r="M166" s="2"/>
      <c r="N166" s="3" t="s">
        <v>1449</v>
      </c>
      <c r="O166" s="2"/>
      <c r="P166" s="2"/>
      <c r="Q166" s="2"/>
      <c r="R166" s="2"/>
    </row>
    <row r="167" spans="1:18" x14ac:dyDescent="0.25">
      <c r="A167" s="50" t="s">
        <v>1448</v>
      </c>
      <c r="B167" s="2"/>
      <c r="C167" s="2"/>
      <c r="D167" s="2"/>
      <c r="E167" s="2"/>
      <c r="F167" s="2"/>
      <c r="G167" s="2"/>
      <c r="H167" s="2"/>
      <c r="I167" s="2"/>
      <c r="J167" s="2"/>
      <c r="K167" s="2"/>
      <c r="L167" s="2"/>
      <c r="M167" s="2"/>
      <c r="N167" s="51" t="s">
        <v>1450</v>
      </c>
      <c r="O167" s="2"/>
      <c r="P167" s="2"/>
      <c r="Q167" s="2"/>
      <c r="R167" s="2"/>
    </row>
    <row r="168" spans="1:18" x14ac:dyDescent="0.25">
      <c r="A168" s="2" t="s">
        <v>397</v>
      </c>
      <c r="B168" s="2"/>
      <c r="C168" s="2"/>
      <c r="D168" s="2"/>
      <c r="E168" s="2"/>
      <c r="F168" s="2"/>
      <c r="G168" s="2"/>
      <c r="H168" s="2"/>
      <c r="I168" s="2"/>
      <c r="J168" s="2"/>
      <c r="K168" s="2"/>
      <c r="L168" s="2"/>
      <c r="M168" s="2"/>
      <c r="N168" s="2" t="s">
        <v>1451</v>
      </c>
      <c r="O168" s="2"/>
      <c r="P168" s="2"/>
      <c r="Q168" s="2"/>
      <c r="R168" s="2"/>
    </row>
    <row r="169" spans="1:18" x14ac:dyDescent="0.25">
      <c r="A169" s="51" t="s">
        <v>356</v>
      </c>
      <c r="B169" s="2"/>
      <c r="C169" s="2"/>
      <c r="D169" s="2"/>
      <c r="E169" s="2"/>
      <c r="F169" s="2"/>
      <c r="G169" s="2"/>
      <c r="H169" s="2"/>
      <c r="I169" s="2"/>
      <c r="J169" s="2"/>
      <c r="K169" s="2"/>
      <c r="L169" s="2"/>
      <c r="M169" s="2"/>
      <c r="N169" s="3" t="s">
        <v>210</v>
      </c>
      <c r="O169" s="2"/>
      <c r="P169" s="2"/>
      <c r="Q169" s="2"/>
      <c r="R169" s="2"/>
    </row>
    <row r="170" spans="1:18" x14ac:dyDescent="0.25">
      <c r="A170" s="50" t="s">
        <v>398</v>
      </c>
      <c r="B170" s="2"/>
      <c r="C170" s="2"/>
      <c r="D170" s="2"/>
      <c r="E170" s="2"/>
      <c r="F170" s="2"/>
      <c r="G170" s="2"/>
      <c r="H170" s="2"/>
      <c r="I170" s="2"/>
      <c r="J170" s="2"/>
      <c r="K170" s="2"/>
      <c r="L170" s="2"/>
      <c r="M170" s="2"/>
      <c r="N170" s="3" t="s">
        <v>339</v>
      </c>
      <c r="O170" s="2"/>
      <c r="P170" s="2"/>
      <c r="Q170" s="2"/>
      <c r="R170" s="2"/>
    </row>
    <row r="171" spans="1:18" x14ac:dyDescent="0.25">
      <c r="A171" s="2" t="s">
        <v>399</v>
      </c>
      <c r="B171" s="2"/>
      <c r="C171" s="2"/>
      <c r="D171" s="2"/>
      <c r="E171" s="2"/>
      <c r="F171" s="2"/>
      <c r="G171" s="2"/>
      <c r="H171" s="2"/>
      <c r="I171" s="2"/>
      <c r="J171" s="2"/>
      <c r="K171" s="2"/>
      <c r="L171" s="2"/>
      <c r="M171" s="2"/>
      <c r="N171" s="3" t="s">
        <v>356</v>
      </c>
      <c r="O171" s="2"/>
      <c r="P171" s="2"/>
      <c r="Q171" s="2"/>
      <c r="R171" s="2"/>
    </row>
    <row r="172" spans="1:18" x14ac:dyDescent="0.25">
      <c r="A172" s="2" t="s">
        <v>400</v>
      </c>
      <c r="B172" s="2"/>
      <c r="C172" s="2"/>
      <c r="D172" s="2"/>
      <c r="E172" s="2"/>
      <c r="F172" s="2"/>
      <c r="G172" s="2"/>
      <c r="H172" s="2"/>
      <c r="I172" s="2"/>
      <c r="J172" s="2"/>
      <c r="K172" s="2"/>
      <c r="L172" s="2"/>
      <c r="M172" s="2"/>
      <c r="N172" s="3"/>
      <c r="O172" s="2"/>
      <c r="P172" s="2"/>
      <c r="Q172" s="2"/>
      <c r="R172" s="2"/>
    </row>
    <row r="173" spans="1:18" x14ac:dyDescent="0.25">
      <c r="B173" s="2"/>
      <c r="C173" s="2"/>
      <c r="D173" s="2"/>
      <c r="E173" s="2"/>
      <c r="F173" s="2"/>
      <c r="G173" s="2"/>
      <c r="H173" s="2"/>
      <c r="I173" s="2"/>
      <c r="J173" s="2"/>
      <c r="K173" s="2"/>
      <c r="L173" s="2"/>
      <c r="M173" s="2"/>
      <c r="N173" s="3"/>
      <c r="O173" s="2"/>
      <c r="P173" s="2"/>
      <c r="Q173" s="2"/>
      <c r="R173" s="2"/>
    </row>
    <row r="174" spans="1:18" x14ac:dyDescent="0.25">
      <c r="B174" s="2"/>
      <c r="C174" s="2"/>
      <c r="D174" s="2"/>
      <c r="E174" s="2"/>
      <c r="F174" s="2"/>
      <c r="G174" s="2"/>
      <c r="H174" s="2"/>
      <c r="I174" s="2"/>
      <c r="J174" s="2"/>
      <c r="K174" s="2"/>
      <c r="L174" s="2"/>
      <c r="M174" s="2"/>
      <c r="N174" s="3"/>
      <c r="O174" s="2"/>
      <c r="P174" s="2"/>
      <c r="Q174" s="2"/>
      <c r="R174" s="2"/>
    </row>
  </sheetData>
  <hyperlinks>
    <hyperlink ref="D74" r:id="rId1" xr:uid="{5C465ACF-005C-4C3F-897B-ED5B9BCC235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D3953-6010-4799-8411-0C3A7B4F4E26}">
  <dimension ref="A1:O52"/>
  <sheetViews>
    <sheetView workbookViewId="0"/>
  </sheetViews>
  <sheetFormatPr defaultRowHeight="15" x14ac:dyDescent="0.25"/>
  <sheetData>
    <row r="1" spans="1:15" ht="15.75" x14ac:dyDescent="0.25">
      <c r="A1" s="48" t="s">
        <v>1435</v>
      </c>
      <c r="B1" s="2"/>
      <c r="C1" s="2"/>
      <c r="D1" s="2"/>
      <c r="E1" s="2"/>
      <c r="F1" s="2"/>
      <c r="G1" s="2"/>
      <c r="H1" s="2"/>
      <c r="I1" s="2"/>
      <c r="J1" s="2"/>
      <c r="K1" s="2"/>
      <c r="L1" s="2"/>
      <c r="M1" s="2"/>
      <c r="N1" s="2"/>
      <c r="O1" s="2"/>
    </row>
    <row r="2" spans="1:15" x14ac:dyDescent="0.25">
      <c r="A2" s="3" t="s">
        <v>402</v>
      </c>
      <c r="B2" s="2"/>
      <c r="C2" s="2"/>
      <c r="D2" s="2"/>
      <c r="E2" s="2"/>
      <c r="F2" s="2"/>
      <c r="G2" s="2"/>
      <c r="H2" s="2"/>
      <c r="I2" s="2"/>
      <c r="J2" s="2"/>
      <c r="K2" s="2"/>
      <c r="L2" s="2"/>
      <c r="M2" s="2"/>
      <c r="N2" s="2"/>
      <c r="O2" s="2"/>
    </row>
    <row r="3" spans="1:15" x14ac:dyDescent="0.25">
      <c r="A3" s="3" t="s">
        <v>403</v>
      </c>
      <c r="B3" s="2"/>
      <c r="C3" s="2"/>
      <c r="D3" s="2"/>
      <c r="E3" s="2"/>
      <c r="F3" s="2"/>
      <c r="G3" s="2"/>
      <c r="H3" s="2"/>
      <c r="I3" s="2"/>
      <c r="J3" s="2"/>
      <c r="K3" s="2"/>
      <c r="L3" s="2"/>
      <c r="M3" s="2"/>
      <c r="N3" s="2"/>
      <c r="O3" s="2"/>
    </row>
    <row r="4" spans="1:15" x14ac:dyDescent="0.25">
      <c r="A4" s="3" t="s">
        <v>404</v>
      </c>
      <c r="B4" s="2"/>
      <c r="C4" s="2"/>
      <c r="D4" s="2"/>
      <c r="E4" s="2"/>
      <c r="F4" s="2"/>
      <c r="G4" s="2"/>
      <c r="H4" s="2"/>
      <c r="I4" s="2"/>
      <c r="J4" s="2"/>
      <c r="K4" s="2"/>
      <c r="L4" s="2"/>
      <c r="M4" s="2"/>
      <c r="N4" s="2"/>
      <c r="O4" s="2"/>
    </row>
    <row r="5" spans="1:15" x14ac:dyDescent="0.25">
      <c r="A5" s="2"/>
      <c r="B5" s="2"/>
      <c r="C5" s="2"/>
      <c r="D5" s="2"/>
      <c r="E5" s="2"/>
      <c r="F5" s="2"/>
      <c r="G5" s="2"/>
      <c r="H5" s="2"/>
      <c r="I5" s="2"/>
      <c r="J5" s="2"/>
      <c r="K5" s="2"/>
      <c r="L5" s="2"/>
      <c r="M5" s="2"/>
      <c r="N5" s="2"/>
      <c r="O5" s="2"/>
    </row>
    <row r="6" spans="1:15" x14ac:dyDescent="0.25">
      <c r="A6" s="49" t="s">
        <v>405</v>
      </c>
      <c r="B6" s="2"/>
      <c r="C6" s="2"/>
      <c r="D6" s="2"/>
      <c r="E6" s="2" t="s">
        <v>1436</v>
      </c>
      <c r="F6" s="2"/>
      <c r="G6" s="2"/>
      <c r="H6" s="2"/>
      <c r="I6" s="2"/>
      <c r="J6" s="2"/>
      <c r="K6" s="2"/>
      <c r="L6" s="2"/>
      <c r="M6" s="2"/>
      <c r="N6" s="2"/>
      <c r="O6" s="2"/>
    </row>
    <row r="7" spans="1:15" x14ac:dyDescent="0.25">
      <c r="A7" s="49"/>
      <c r="B7" s="2"/>
      <c r="C7" s="2"/>
      <c r="D7" s="2"/>
      <c r="E7" s="2"/>
      <c r="F7" s="2"/>
      <c r="G7" s="2"/>
      <c r="H7" s="2"/>
      <c r="I7" s="2"/>
      <c r="J7" s="2"/>
      <c r="K7" s="2"/>
      <c r="L7" s="2"/>
      <c r="M7" s="2"/>
      <c r="N7" s="2"/>
      <c r="O7" s="2"/>
    </row>
    <row r="8" spans="1:15" x14ac:dyDescent="0.25">
      <c r="A8" s="2" t="s">
        <v>406</v>
      </c>
      <c r="B8" s="2"/>
      <c r="C8" s="2" t="s">
        <v>407</v>
      </c>
      <c r="D8" s="2"/>
      <c r="E8" s="2" t="s">
        <v>408</v>
      </c>
      <c r="F8" s="2"/>
      <c r="G8" s="2"/>
      <c r="H8" s="2"/>
      <c r="I8" s="2"/>
      <c r="J8" s="2" t="s">
        <v>409</v>
      </c>
      <c r="K8" s="2"/>
      <c r="L8" s="2"/>
      <c r="M8" s="2"/>
      <c r="N8" s="2"/>
      <c r="O8" s="2"/>
    </row>
    <row r="9" spans="1:15" x14ac:dyDescent="0.25">
      <c r="A9" s="2"/>
      <c r="B9" s="2"/>
      <c r="C9" s="2" t="s">
        <v>410</v>
      </c>
      <c r="D9" s="2"/>
      <c r="E9" s="2"/>
      <c r="F9" s="2"/>
      <c r="G9" s="2"/>
      <c r="H9" s="2"/>
      <c r="I9" s="2"/>
      <c r="J9" s="2" t="s">
        <v>1437</v>
      </c>
      <c r="K9" s="2"/>
      <c r="L9" s="2"/>
      <c r="M9" s="2"/>
      <c r="N9" s="2"/>
      <c r="O9" s="2"/>
    </row>
    <row r="10" spans="1:15" x14ac:dyDescent="0.25">
      <c r="A10" s="2"/>
      <c r="B10" s="2"/>
      <c r="C10" s="2"/>
      <c r="D10" s="2"/>
      <c r="E10" s="2"/>
      <c r="F10" s="2"/>
      <c r="G10" s="2"/>
      <c r="H10" s="2"/>
      <c r="I10" s="2"/>
      <c r="J10" s="2"/>
      <c r="K10" s="2"/>
      <c r="L10" s="2"/>
      <c r="M10" s="2"/>
      <c r="N10" s="2"/>
      <c r="O10" s="2"/>
    </row>
    <row r="11" spans="1:15" x14ac:dyDescent="0.25">
      <c r="A11" s="2" t="s">
        <v>411</v>
      </c>
      <c r="B11" s="2"/>
      <c r="C11" s="2" t="s">
        <v>407</v>
      </c>
      <c r="D11" s="2"/>
      <c r="E11" s="2" t="s">
        <v>412</v>
      </c>
      <c r="F11" s="2"/>
      <c r="G11" s="2"/>
      <c r="H11" s="2"/>
      <c r="I11" s="2"/>
      <c r="J11" s="2" t="s">
        <v>413</v>
      </c>
      <c r="K11" s="2"/>
      <c r="L11" s="2"/>
      <c r="M11" s="2"/>
      <c r="N11" s="2"/>
      <c r="O11" s="2"/>
    </row>
    <row r="12" spans="1:15" x14ac:dyDescent="0.25">
      <c r="A12" s="2"/>
      <c r="B12" s="2"/>
      <c r="C12" s="2" t="s">
        <v>410</v>
      </c>
      <c r="D12" s="2"/>
      <c r="E12" s="2"/>
      <c r="F12" s="2"/>
      <c r="G12" s="2"/>
      <c r="H12" s="2"/>
      <c r="I12" s="2"/>
      <c r="J12" s="2" t="s">
        <v>1437</v>
      </c>
      <c r="K12" s="2"/>
      <c r="L12" s="2"/>
      <c r="M12" s="2"/>
      <c r="N12" s="2"/>
      <c r="O12" s="2"/>
    </row>
    <row r="13" spans="1:15" x14ac:dyDescent="0.25">
      <c r="A13" s="2"/>
      <c r="B13" s="2"/>
      <c r="C13" s="2"/>
      <c r="D13" s="2"/>
      <c r="E13" s="2"/>
      <c r="F13" s="2"/>
      <c r="G13" s="2"/>
      <c r="H13" s="2"/>
      <c r="I13" s="2"/>
      <c r="J13" s="2"/>
      <c r="K13" s="2"/>
      <c r="L13" s="2"/>
      <c r="M13" s="2"/>
      <c r="N13" s="2"/>
      <c r="O13" s="2"/>
    </row>
    <row r="14" spans="1:15" x14ac:dyDescent="0.25">
      <c r="A14" s="2" t="s">
        <v>414</v>
      </c>
      <c r="B14" s="2"/>
      <c r="C14" s="2" t="s">
        <v>407</v>
      </c>
      <c r="D14" s="2"/>
      <c r="E14" s="2" t="s">
        <v>415</v>
      </c>
      <c r="F14" s="2"/>
      <c r="G14" s="2"/>
      <c r="H14" s="2"/>
      <c r="I14" s="2"/>
      <c r="J14" s="2" t="s">
        <v>416</v>
      </c>
      <c r="K14" s="2"/>
      <c r="L14" s="2"/>
      <c r="M14" s="2"/>
      <c r="N14" s="2"/>
      <c r="O14" s="2"/>
    </row>
    <row r="15" spans="1:15" x14ac:dyDescent="0.25">
      <c r="A15" s="2" t="s">
        <v>417</v>
      </c>
      <c r="B15" s="2"/>
      <c r="C15" s="2" t="s">
        <v>410</v>
      </c>
      <c r="D15" s="2"/>
      <c r="E15" s="2" t="s">
        <v>418</v>
      </c>
      <c r="F15" s="2"/>
      <c r="G15" s="2"/>
      <c r="H15" s="2"/>
      <c r="I15" s="2"/>
      <c r="J15" s="2" t="s">
        <v>1437</v>
      </c>
      <c r="K15" s="2"/>
      <c r="L15" s="5"/>
      <c r="M15" s="2"/>
      <c r="N15" s="2"/>
      <c r="O15" s="2"/>
    </row>
    <row r="16" spans="1:15" x14ac:dyDescent="0.25">
      <c r="A16" s="2" t="s">
        <v>419</v>
      </c>
      <c r="B16" s="2"/>
      <c r="C16" s="2" t="s">
        <v>420</v>
      </c>
      <c r="D16" s="2"/>
      <c r="E16" s="2" t="s">
        <v>421</v>
      </c>
      <c r="F16" s="2"/>
      <c r="G16" s="2"/>
      <c r="H16" s="2"/>
      <c r="I16" s="2"/>
      <c r="J16" s="2" t="s">
        <v>422</v>
      </c>
      <c r="K16" s="2"/>
      <c r="L16" s="2"/>
      <c r="M16" s="2"/>
      <c r="N16" s="2"/>
      <c r="O16" s="2"/>
    </row>
    <row r="17" spans="1:15" x14ac:dyDescent="0.25">
      <c r="A17" s="2"/>
      <c r="B17" s="2"/>
      <c r="C17" s="2"/>
      <c r="D17" s="2"/>
      <c r="E17" s="2"/>
      <c r="F17" s="2"/>
      <c r="G17" s="2"/>
      <c r="H17" s="2"/>
      <c r="I17" s="2"/>
      <c r="J17" s="2"/>
      <c r="K17" s="2"/>
      <c r="L17" s="2"/>
      <c r="M17" s="2"/>
      <c r="N17" s="2"/>
      <c r="O17" s="2"/>
    </row>
    <row r="18" spans="1:15" x14ac:dyDescent="0.25">
      <c r="A18" s="2" t="s">
        <v>423</v>
      </c>
      <c r="B18" s="2"/>
      <c r="C18" s="2" t="s">
        <v>407</v>
      </c>
      <c r="D18" s="2"/>
      <c r="E18" s="2" t="s">
        <v>415</v>
      </c>
      <c r="F18" s="2"/>
      <c r="G18" s="2"/>
      <c r="H18" s="2"/>
      <c r="I18" s="2"/>
      <c r="J18" s="2" t="s">
        <v>424</v>
      </c>
      <c r="K18" s="2"/>
      <c r="L18" s="2"/>
      <c r="M18" s="2"/>
      <c r="N18" s="2"/>
      <c r="O18" s="2"/>
    </row>
    <row r="19" spans="1:15" x14ac:dyDescent="0.25">
      <c r="A19" s="2" t="s">
        <v>417</v>
      </c>
      <c r="B19" s="2"/>
      <c r="C19" s="2" t="s">
        <v>410</v>
      </c>
      <c r="D19" s="2"/>
      <c r="E19" s="2" t="s">
        <v>425</v>
      </c>
      <c r="F19" s="2"/>
      <c r="G19" s="2"/>
      <c r="H19" s="2"/>
      <c r="I19" s="2"/>
      <c r="J19" s="2" t="s">
        <v>1437</v>
      </c>
      <c r="K19" s="2"/>
      <c r="L19" s="2"/>
      <c r="M19" s="2"/>
      <c r="N19" s="2"/>
      <c r="O19" s="2"/>
    </row>
    <row r="20" spans="1:15" x14ac:dyDescent="0.25">
      <c r="A20" s="2" t="s">
        <v>419</v>
      </c>
      <c r="B20" s="2"/>
      <c r="C20" s="2" t="s">
        <v>420</v>
      </c>
      <c r="D20" s="2"/>
      <c r="E20" s="2" t="s">
        <v>421</v>
      </c>
      <c r="F20" s="2"/>
      <c r="G20" s="2"/>
      <c r="H20" s="2"/>
      <c r="I20" s="2"/>
      <c r="J20" s="2" t="s">
        <v>426</v>
      </c>
      <c r="K20" s="2"/>
      <c r="L20" s="2"/>
      <c r="M20" s="2"/>
      <c r="N20" s="2"/>
      <c r="O20" s="2"/>
    </row>
    <row r="21" spans="1:15" x14ac:dyDescent="0.25">
      <c r="A21" s="2"/>
      <c r="B21" s="2"/>
      <c r="C21" s="2"/>
      <c r="D21" s="2"/>
      <c r="E21" s="2"/>
      <c r="F21" s="2"/>
      <c r="G21" s="2"/>
      <c r="H21" s="2"/>
      <c r="I21" s="2"/>
      <c r="J21" s="2"/>
      <c r="K21" s="2"/>
      <c r="L21" s="2"/>
      <c r="M21" s="2"/>
      <c r="N21" s="2"/>
      <c r="O21" s="2"/>
    </row>
    <row r="22" spans="1:15" x14ac:dyDescent="0.25">
      <c r="A22" s="2" t="s">
        <v>427</v>
      </c>
      <c r="B22" s="2"/>
      <c r="C22" s="2" t="s">
        <v>407</v>
      </c>
      <c r="D22" s="2"/>
      <c r="E22" s="2" t="s">
        <v>412</v>
      </c>
      <c r="F22" s="2"/>
      <c r="G22" s="2"/>
      <c r="H22" s="2"/>
      <c r="I22" s="2"/>
      <c r="J22" s="2" t="s">
        <v>413</v>
      </c>
      <c r="K22" s="2"/>
      <c r="L22" s="2"/>
      <c r="M22" s="2"/>
      <c r="N22" s="2"/>
      <c r="O22" s="2"/>
    </row>
    <row r="23" spans="1:15" x14ac:dyDescent="0.25">
      <c r="A23" s="2" t="s">
        <v>428</v>
      </c>
      <c r="B23" s="2"/>
      <c r="C23" s="2" t="s">
        <v>410</v>
      </c>
      <c r="D23" s="2"/>
      <c r="E23" s="2" t="s">
        <v>429</v>
      </c>
      <c r="F23" s="2"/>
      <c r="G23" s="2"/>
      <c r="H23" s="2"/>
      <c r="I23" s="2"/>
      <c r="J23" s="2" t="s">
        <v>1437</v>
      </c>
      <c r="K23" s="2"/>
      <c r="L23" s="2"/>
      <c r="M23" s="2"/>
      <c r="N23" s="2"/>
      <c r="O23" s="2"/>
    </row>
    <row r="24" spans="1:15" x14ac:dyDescent="0.25">
      <c r="A24" s="2"/>
      <c r="B24" s="2"/>
      <c r="C24" s="2"/>
      <c r="D24" s="2"/>
      <c r="E24" s="2" t="s">
        <v>430</v>
      </c>
      <c r="F24" s="2"/>
      <c r="G24" s="2"/>
      <c r="H24" s="2"/>
      <c r="I24" s="2"/>
      <c r="J24" s="2"/>
      <c r="K24" s="2"/>
      <c r="L24" s="2"/>
      <c r="M24" s="2"/>
      <c r="N24" s="2"/>
      <c r="O24" s="2"/>
    </row>
    <row r="25" spans="1:15" x14ac:dyDescent="0.25">
      <c r="A25" s="2"/>
      <c r="B25" s="2"/>
      <c r="C25" s="2"/>
      <c r="D25" s="2"/>
      <c r="E25" s="2" t="s">
        <v>431</v>
      </c>
      <c r="F25" s="2"/>
      <c r="G25" s="2"/>
      <c r="H25" s="2"/>
      <c r="I25" s="2"/>
      <c r="J25" s="2"/>
      <c r="K25" s="2"/>
      <c r="L25" s="2"/>
      <c r="M25" s="2"/>
      <c r="N25" s="2"/>
      <c r="O25" s="2"/>
    </row>
    <row r="26" spans="1:15" x14ac:dyDescent="0.25">
      <c r="A26" s="2"/>
      <c r="B26" s="2"/>
      <c r="C26" s="2"/>
      <c r="D26" s="2"/>
      <c r="E26" s="2"/>
      <c r="F26" s="2"/>
      <c r="G26" s="2"/>
      <c r="H26" s="2"/>
      <c r="I26" s="2"/>
      <c r="J26" s="2"/>
      <c r="K26" s="2"/>
      <c r="L26" s="2"/>
      <c r="M26" s="2"/>
      <c r="N26" s="2"/>
      <c r="O26" s="2"/>
    </row>
    <row r="27" spans="1:15" x14ac:dyDescent="0.25">
      <c r="A27" s="2" t="s">
        <v>432</v>
      </c>
      <c r="B27" s="2"/>
      <c r="C27" s="2" t="s">
        <v>407</v>
      </c>
      <c r="D27" s="2"/>
      <c r="E27" s="2" t="s">
        <v>412</v>
      </c>
      <c r="F27" s="2"/>
      <c r="G27" s="2"/>
      <c r="H27" s="2"/>
      <c r="I27" s="2"/>
      <c r="J27" s="2" t="s">
        <v>413</v>
      </c>
      <c r="K27" s="2"/>
      <c r="L27" s="2"/>
      <c r="M27" s="2"/>
      <c r="N27" s="2"/>
      <c r="O27" s="2"/>
    </row>
    <row r="28" spans="1:15" x14ac:dyDescent="0.25">
      <c r="A28" s="2" t="s">
        <v>433</v>
      </c>
      <c r="B28" s="2"/>
      <c r="C28" s="2" t="s">
        <v>410</v>
      </c>
      <c r="D28" s="2"/>
      <c r="E28" s="2" t="s">
        <v>434</v>
      </c>
      <c r="F28" s="2"/>
      <c r="G28" s="2"/>
      <c r="H28" s="2"/>
      <c r="I28" s="2"/>
      <c r="J28" s="2" t="s">
        <v>1437</v>
      </c>
      <c r="K28" s="2"/>
      <c r="L28" s="2"/>
      <c r="M28" s="2"/>
      <c r="N28" s="2"/>
      <c r="O28" s="2"/>
    </row>
    <row r="29" spans="1:15" x14ac:dyDescent="0.25">
      <c r="A29" s="2" t="s">
        <v>435</v>
      </c>
      <c r="B29" s="2"/>
      <c r="C29" s="2" t="s">
        <v>420</v>
      </c>
      <c r="D29" s="2"/>
      <c r="E29" s="2" t="s">
        <v>436</v>
      </c>
      <c r="F29" s="2"/>
      <c r="G29" s="2"/>
      <c r="H29" s="2"/>
      <c r="I29" s="2"/>
      <c r="J29" s="2" t="s">
        <v>437</v>
      </c>
      <c r="K29" s="4" t="s">
        <v>438</v>
      </c>
      <c r="L29" s="2"/>
      <c r="M29" s="2"/>
      <c r="N29" s="2" t="s">
        <v>1437</v>
      </c>
      <c r="O29" s="2"/>
    </row>
    <row r="30" spans="1:15" x14ac:dyDescent="0.25">
      <c r="A30" s="2"/>
      <c r="B30" s="2"/>
      <c r="C30" s="2"/>
      <c r="D30" s="2"/>
      <c r="E30" s="2"/>
      <c r="F30" s="2"/>
      <c r="G30" s="2"/>
      <c r="H30" s="2"/>
      <c r="I30" s="2"/>
      <c r="J30" s="2"/>
      <c r="K30" s="2"/>
      <c r="L30" s="2"/>
      <c r="M30" s="2"/>
      <c r="N30" s="2"/>
      <c r="O30" s="2"/>
    </row>
    <row r="31" spans="1:15" x14ac:dyDescent="0.25">
      <c r="A31" s="2" t="s">
        <v>439</v>
      </c>
      <c r="B31" s="2"/>
      <c r="C31" s="2" t="s">
        <v>407</v>
      </c>
      <c r="D31" s="2"/>
      <c r="E31" s="2" t="s">
        <v>412</v>
      </c>
      <c r="F31" s="2"/>
      <c r="G31" s="2"/>
      <c r="H31" s="2"/>
      <c r="I31" s="2"/>
      <c r="J31" s="2" t="s">
        <v>413</v>
      </c>
      <c r="K31" s="2"/>
      <c r="L31" s="2"/>
      <c r="M31" s="2"/>
      <c r="N31" s="2"/>
      <c r="O31" s="2"/>
    </row>
    <row r="32" spans="1:15" x14ac:dyDescent="0.25">
      <c r="A32" s="2" t="s">
        <v>440</v>
      </c>
      <c r="B32" s="2"/>
      <c r="C32" s="2" t="s">
        <v>410</v>
      </c>
      <c r="D32" s="2"/>
      <c r="E32" s="2" t="s">
        <v>441</v>
      </c>
      <c r="F32" s="2"/>
      <c r="G32" s="2"/>
      <c r="H32" s="2"/>
      <c r="I32" s="2"/>
      <c r="J32" s="2" t="s">
        <v>1437</v>
      </c>
      <c r="K32" s="2"/>
      <c r="L32" s="2"/>
      <c r="M32" s="2"/>
      <c r="N32" s="2"/>
      <c r="O32" s="2"/>
    </row>
    <row r="33" spans="1:15" x14ac:dyDescent="0.25">
      <c r="A33" s="2" t="s">
        <v>442</v>
      </c>
      <c r="B33" s="2"/>
      <c r="C33" s="2" t="s">
        <v>420</v>
      </c>
      <c r="D33" s="2"/>
      <c r="E33" s="2" t="s">
        <v>443</v>
      </c>
      <c r="F33" s="2"/>
      <c r="G33" s="2"/>
      <c r="H33" s="2"/>
      <c r="I33" s="2"/>
      <c r="J33" s="2" t="s">
        <v>1438</v>
      </c>
      <c r="K33" s="2"/>
      <c r="L33" s="2"/>
      <c r="M33" s="2"/>
      <c r="N33" s="2"/>
      <c r="O33" s="2"/>
    </row>
    <row r="34" spans="1:15" x14ac:dyDescent="0.25">
      <c r="A34" s="2"/>
      <c r="B34" s="2"/>
      <c r="C34" s="2"/>
      <c r="D34" s="2"/>
      <c r="E34" s="2"/>
      <c r="F34" s="2"/>
      <c r="G34" s="2"/>
      <c r="H34" s="2"/>
      <c r="I34" s="2"/>
      <c r="J34" s="2"/>
      <c r="K34" s="2"/>
      <c r="L34" s="2"/>
      <c r="M34" s="2"/>
      <c r="N34" s="2"/>
      <c r="O34" s="2"/>
    </row>
    <row r="35" spans="1:15" x14ac:dyDescent="0.25">
      <c r="A35" s="2" t="s">
        <v>444</v>
      </c>
      <c r="B35" s="2"/>
      <c r="C35" s="2" t="s">
        <v>407</v>
      </c>
      <c r="D35" s="2"/>
      <c r="E35" s="2" t="s">
        <v>412</v>
      </c>
      <c r="F35" s="2"/>
      <c r="G35" s="2"/>
      <c r="H35" s="2"/>
      <c r="I35" s="2"/>
      <c r="J35" s="2" t="s">
        <v>413</v>
      </c>
      <c r="K35" s="2"/>
      <c r="L35" s="2"/>
      <c r="M35" s="2"/>
      <c r="N35" s="2"/>
      <c r="O35" s="2"/>
    </row>
    <row r="36" spans="1:15" x14ac:dyDescent="0.25">
      <c r="A36" s="2" t="s">
        <v>445</v>
      </c>
      <c r="B36" s="2"/>
      <c r="C36" s="2" t="s">
        <v>410</v>
      </c>
      <c r="D36" s="2"/>
      <c r="E36" s="2" t="s">
        <v>446</v>
      </c>
      <c r="F36" s="2"/>
      <c r="G36" s="2"/>
      <c r="H36" s="2"/>
      <c r="I36" s="2"/>
      <c r="J36" s="2" t="s">
        <v>1437</v>
      </c>
      <c r="K36" s="2"/>
      <c r="L36" s="2"/>
      <c r="M36" s="2"/>
      <c r="N36" s="2"/>
      <c r="O36" s="2"/>
    </row>
    <row r="37" spans="1:15" x14ac:dyDescent="0.25">
      <c r="A37" s="2"/>
      <c r="B37" s="2"/>
      <c r="C37" s="2"/>
      <c r="D37" s="2"/>
      <c r="E37" s="2" t="s">
        <v>447</v>
      </c>
      <c r="F37" s="2"/>
      <c r="G37" s="2"/>
      <c r="H37" s="2"/>
      <c r="I37" s="2"/>
      <c r="J37" s="2"/>
      <c r="K37" s="2"/>
      <c r="L37" s="2"/>
      <c r="M37" s="2"/>
      <c r="N37" s="2"/>
      <c r="O37" s="2"/>
    </row>
    <row r="38" spans="1:15" x14ac:dyDescent="0.25">
      <c r="A38" s="2"/>
      <c r="B38" s="2"/>
      <c r="C38" s="2" t="s">
        <v>420</v>
      </c>
      <c r="D38" s="2"/>
      <c r="E38" s="2" t="s">
        <v>1439</v>
      </c>
      <c r="F38" s="2"/>
      <c r="G38" s="2"/>
      <c r="H38" s="2"/>
      <c r="I38" s="2"/>
      <c r="J38" s="2" t="s">
        <v>1440</v>
      </c>
      <c r="K38" s="2"/>
      <c r="L38" s="2"/>
      <c r="M38" s="2"/>
      <c r="N38" s="2"/>
      <c r="O38" s="2"/>
    </row>
    <row r="39" spans="1:15" x14ac:dyDescent="0.25">
      <c r="A39" s="2"/>
      <c r="B39" s="2"/>
      <c r="C39" s="2"/>
      <c r="D39" s="2"/>
      <c r="E39" s="2"/>
      <c r="F39" s="2"/>
      <c r="G39" s="2"/>
      <c r="H39" s="2"/>
      <c r="I39" s="2"/>
      <c r="J39" s="2"/>
      <c r="K39" s="2"/>
      <c r="L39" s="2"/>
      <c r="M39" s="2"/>
      <c r="N39" s="2"/>
      <c r="O39" s="2"/>
    </row>
    <row r="40" spans="1:15" x14ac:dyDescent="0.25">
      <c r="A40" s="2" t="s">
        <v>448</v>
      </c>
      <c r="B40" s="2"/>
      <c r="C40" s="2" t="s">
        <v>407</v>
      </c>
      <c r="D40" s="2"/>
      <c r="E40" s="2" t="s">
        <v>412</v>
      </c>
      <c r="F40" s="2"/>
      <c r="G40" s="2"/>
      <c r="H40" s="2"/>
      <c r="I40" s="2"/>
      <c r="J40" s="2" t="s">
        <v>413</v>
      </c>
      <c r="K40" s="2"/>
      <c r="L40" s="2"/>
      <c r="M40" s="2"/>
      <c r="N40" s="2"/>
      <c r="O40" s="2"/>
    </row>
    <row r="41" spans="1:15" x14ac:dyDescent="0.25">
      <c r="A41" s="2" t="s">
        <v>449</v>
      </c>
      <c r="B41" s="2"/>
      <c r="C41" s="2" t="s">
        <v>410</v>
      </c>
      <c r="D41" s="2"/>
      <c r="E41" s="2" t="s">
        <v>450</v>
      </c>
      <c r="F41" s="2"/>
      <c r="G41" s="2"/>
      <c r="H41" s="2"/>
      <c r="I41" s="2"/>
      <c r="J41" s="2" t="s">
        <v>1437</v>
      </c>
      <c r="K41" s="2"/>
      <c r="L41" s="2"/>
      <c r="M41" s="2"/>
      <c r="N41" s="2"/>
      <c r="O41" s="2"/>
    </row>
    <row r="42" spans="1:15" x14ac:dyDescent="0.25">
      <c r="A42" s="2" t="s">
        <v>451</v>
      </c>
      <c r="B42" s="2"/>
      <c r="C42" s="2" t="s">
        <v>420</v>
      </c>
      <c r="D42" s="2"/>
      <c r="E42" s="2" t="s">
        <v>452</v>
      </c>
      <c r="F42" s="2"/>
      <c r="G42" s="2"/>
      <c r="H42" s="2"/>
      <c r="I42" s="2"/>
      <c r="J42" s="2" t="s">
        <v>1437</v>
      </c>
      <c r="K42" s="2"/>
      <c r="L42" s="2"/>
      <c r="M42" s="2"/>
      <c r="N42" s="2"/>
      <c r="O42" s="2"/>
    </row>
    <row r="43" spans="1:15" x14ac:dyDescent="0.25">
      <c r="A43" s="2"/>
      <c r="B43" s="2"/>
      <c r="C43" s="2"/>
      <c r="D43" s="2"/>
      <c r="E43" s="2"/>
      <c r="F43" s="2"/>
      <c r="G43" s="2"/>
      <c r="H43" s="2"/>
      <c r="I43" s="2"/>
      <c r="J43" s="2"/>
      <c r="K43" s="2"/>
      <c r="L43" s="2"/>
      <c r="M43" s="2"/>
      <c r="N43" s="2"/>
      <c r="O43" s="2"/>
    </row>
    <row r="44" spans="1:15" x14ac:dyDescent="0.25">
      <c r="A44" s="2" t="s">
        <v>453</v>
      </c>
      <c r="B44" s="2"/>
      <c r="C44" s="2" t="s">
        <v>407</v>
      </c>
      <c r="D44" s="2"/>
      <c r="E44" s="2" t="s">
        <v>412</v>
      </c>
      <c r="F44" s="2"/>
      <c r="G44" s="2"/>
      <c r="H44" s="2"/>
      <c r="I44" s="2"/>
      <c r="J44" s="2" t="s">
        <v>413</v>
      </c>
      <c r="K44" s="2"/>
      <c r="L44" s="2"/>
      <c r="M44" s="2"/>
      <c r="N44" s="2"/>
      <c r="O44" s="2"/>
    </row>
    <row r="45" spans="1:15" x14ac:dyDescent="0.25">
      <c r="A45" s="2" t="s">
        <v>433</v>
      </c>
      <c r="B45" s="2"/>
      <c r="C45" s="2" t="s">
        <v>410</v>
      </c>
      <c r="D45" s="2"/>
      <c r="E45" s="2" t="s">
        <v>454</v>
      </c>
      <c r="F45" s="2"/>
      <c r="G45" s="2"/>
      <c r="H45" s="2"/>
      <c r="I45" s="2"/>
      <c r="J45" s="2" t="s">
        <v>1437</v>
      </c>
      <c r="K45" s="2"/>
      <c r="L45" s="2"/>
      <c r="M45" s="2"/>
      <c r="N45" s="2"/>
      <c r="O45" s="2"/>
    </row>
    <row r="46" spans="1:15" x14ac:dyDescent="0.25">
      <c r="A46" s="2" t="s">
        <v>455</v>
      </c>
      <c r="B46" s="2"/>
      <c r="C46" s="2" t="s">
        <v>420</v>
      </c>
      <c r="D46" s="2"/>
      <c r="E46" s="2" t="s">
        <v>456</v>
      </c>
      <c r="F46" s="2"/>
      <c r="G46" s="2"/>
      <c r="H46" s="2"/>
      <c r="I46" s="2"/>
      <c r="J46" s="2" t="s">
        <v>457</v>
      </c>
      <c r="K46" s="2"/>
      <c r="L46" s="2"/>
      <c r="M46" s="2"/>
      <c r="N46" s="2"/>
      <c r="O46" s="2"/>
    </row>
    <row r="47" spans="1:15" x14ac:dyDescent="0.25">
      <c r="A47" s="2"/>
      <c r="B47" s="2"/>
      <c r="C47" s="2"/>
      <c r="D47" s="2"/>
      <c r="E47" s="2"/>
      <c r="F47" s="2"/>
      <c r="G47" s="2"/>
      <c r="H47" s="2"/>
      <c r="I47" s="2"/>
      <c r="J47" s="2"/>
      <c r="K47" s="2"/>
      <c r="L47" s="2"/>
      <c r="M47" s="2"/>
      <c r="N47" s="2"/>
      <c r="O47" s="2"/>
    </row>
    <row r="48" spans="1:15" x14ac:dyDescent="0.25">
      <c r="A48" s="2" t="s">
        <v>458</v>
      </c>
      <c r="B48" s="2"/>
      <c r="C48" s="2" t="s">
        <v>407</v>
      </c>
      <c r="D48" s="2"/>
      <c r="E48" s="2" t="s">
        <v>412</v>
      </c>
      <c r="F48" s="2"/>
      <c r="G48" s="2"/>
      <c r="H48" s="2"/>
      <c r="I48" s="2"/>
      <c r="J48" s="2" t="s">
        <v>413</v>
      </c>
      <c r="K48" s="2"/>
      <c r="L48" s="2"/>
      <c r="M48" s="2"/>
      <c r="N48" s="2"/>
      <c r="O48" s="2"/>
    </row>
    <row r="49" spans="1:15" x14ac:dyDescent="0.25">
      <c r="A49" s="2" t="s">
        <v>459</v>
      </c>
      <c r="B49" s="2"/>
      <c r="C49" s="2" t="s">
        <v>410</v>
      </c>
      <c r="D49" s="2"/>
      <c r="E49" s="2" t="s">
        <v>450</v>
      </c>
      <c r="F49" s="2"/>
      <c r="G49" s="2"/>
      <c r="H49" s="2"/>
      <c r="I49" s="2"/>
      <c r="J49" s="2" t="s">
        <v>1437</v>
      </c>
      <c r="K49" s="2"/>
      <c r="L49" s="2"/>
      <c r="M49" s="2"/>
      <c r="N49" s="2"/>
      <c r="O49" s="2"/>
    </row>
    <row r="50" spans="1:15" x14ac:dyDescent="0.25">
      <c r="A50" s="2"/>
      <c r="B50" s="2"/>
      <c r="C50" s="2"/>
      <c r="D50" s="2"/>
      <c r="E50" s="2"/>
      <c r="F50" s="2"/>
      <c r="G50" s="2"/>
      <c r="H50" s="2"/>
      <c r="I50" s="2"/>
      <c r="J50" s="2"/>
      <c r="K50" s="2"/>
      <c r="L50" s="2"/>
      <c r="M50" s="2"/>
      <c r="N50" s="2"/>
      <c r="O50" s="2"/>
    </row>
    <row r="51" spans="1:15" x14ac:dyDescent="0.25">
      <c r="A51" s="2" t="s">
        <v>460</v>
      </c>
      <c r="B51" s="2"/>
      <c r="C51" s="2"/>
      <c r="D51" s="2"/>
      <c r="E51" s="2" t="s">
        <v>461</v>
      </c>
      <c r="F51" s="2"/>
      <c r="G51" s="2"/>
      <c r="H51" s="2"/>
      <c r="I51" s="2"/>
      <c r="J51" s="2" t="s">
        <v>463</v>
      </c>
      <c r="K51" s="2"/>
      <c r="L51" s="2"/>
      <c r="M51" s="2"/>
      <c r="N51" s="2"/>
      <c r="O51" s="2"/>
    </row>
    <row r="52" spans="1:15" x14ac:dyDescent="0.25">
      <c r="A52" s="2" t="s">
        <v>462</v>
      </c>
      <c r="B52" s="2"/>
      <c r="C52" s="2"/>
      <c r="D52" s="2"/>
      <c r="E52" s="2"/>
      <c r="F52" s="2"/>
      <c r="G52" s="2"/>
      <c r="H52" s="2"/>
      <c r="I52" s="2"/>
      <c r="J52" s="2"/>
      <c r="K52" s="2"/>
      <c r="L52" s="2"/>
      <c r="M52" s="2"/>
      <c r="N52" s="2"/>
      <c r="O52" s="2"/>
    </row>
  </sheetData>
  <hyperlinks>
    <hyperlink ref="K29" r:id="rId1" xr:uid="{8F76E4D9-0E15-4075-9CF8-2A6A31B0E40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F5BF-4145-4C00-A196-24C92630683C}">
  <dimension ref="A1:AI491"/>
  <sheetViews>
    <sheetView workbookViewId="0">
      <pane xSplit="1" ySplit="13" topLeftCell="N14" activePane="bottomRight" state="frozen"/>
      <selection pane="topRight" activeCell="B1" sqref="B1"/>
      <selection pane="bottomLeft" activeCell="A14" sqref="A14"/>
      <selection pane="bottomRight"/>
    </sheetView>
  </sheetViews>
  <sheetFormatPr defaultColWidth="9.140625" defaultRowHeight="15" x14ac:dyDescent="0.25"/>
  <cols>
    <col min="1" max="1" width="30.7109375" style="71" customWidth="1"/>
    <col min="2" max="12" width="9.140625" style="71"/>
    <col min="13" max="35" width="10.140625" style="71" bestFit="1" customWidth="1"/>
    <col min="36" max="16384" width="9.140625" style="71"/>
  </cols>
  <sheetData>
    <row r="1" spans="1:35" x14ac:dyDescent="0.25">
      <c r="A1" s="9" t="s">
        <v>0</v>
      </c>
    </row>
    <row r="2" spans="1:35" x14ac:dyDescent="0.25">
      <c r="A2" s="11" t="s">
        <v>1</v>
      </c>
      <c r="B2" s="86" t="s">
        <v>19</v>
      </c>
      <c r="I2" s="11" t="s">
        <v>20</v>
      </c>
      <c r="J2" s="11"/>
      <c r="K2" s="86" t="s">
        <v>21</v>
      </c>
      <c r="R2" s="11"/>
      <c r="S2" s="11"/>
      <c r="T2" s="11"/>
      <c r="U2" s="11"/>
    </row>
    <row r="3" spans="1:35" x14ac:dyDescent="0.25">
      <c r="A3" s="11" t="s">
        <v>2</v>
      </c>
      <c r="B3" s="87" t="s">
        <v>22</v>
      </c>
      <c r="F3" s="88"/>
      <c r="G3" s="10"/>
      <c r="I3" s="71" t="s">
        <v>23</v>
      </c>
      <c r="J3" s="11"/>
      <c r="K3" s="11"/>
      <c r="L3" s="11"/>
      <c r="M3" s="11"/>
      <c r="N3" s="11"/>
      <c r="O3" s="11"/>
      <c r="P3" s="11"/>
      <c r="Q3" s="11"/>
      <c r="R3" s="11"/>
      <c r="S3" s="11"/>
      <c r="T3" s="11"/>
      <c r="U3" s="11"/>
    </row>
    <row r="4" spans="1:35" x14ac:dyDescent="0.25">
      <c r="A4" s="9" t="s">
        <v>3</v>
      </c>
      <c r="B4" s="13" t="s">
        <v>24</v>
      </c>
      <c r="C4" s="13" t="s">
        <v>25</v>
      </c>
      <c r="D4" s="13" t="s">
        <v>26</v>
      </c>
      <c r="E4" s="13" t="s">
        <v>27</v>
      </c>
      <c r="F4" s="13" t="s">
        <v>28</v>
      </c>
      <c r="G4" s="13" t="s">
        <v>29</v>
      </c>
      <c r="H4" s="13" t="s">
        <v>30</v>
      </c>
      <c r="I4" s="13" t="s">
        <v>31</v>
      </c>
      <c r="J4" s="13" t="s">
        <v>32</v>
      </c>
      <c r="K4" s="13" t="s">
        <v>33</v>
      </c>
      <c r="L4" s="13" t="s">
        <v>34</v>
      </c>
      <c r="M4" s="13" t="s">
        <v>35</v>
      </c>
      <c r="N4" s="13" t="s">
        <v>36</v>
      </c>
      <c r="O4" s="13" t="s">
        <v>37</v>
      </c>
      <c r="P4" s="13" t="s">
        <v>38</v>
      </c>
      <c r="Q4" s="13" t="s">
        <v>39</v>
      </c>
      <c r="R4" s="13" t="s">
        <v>40</v>
      </c>
      <c r="S4" s="13" t="s">
        <v>41</v>
      </c>
      <c r="T4" s="13" t="s">
        <v>42</v>
      </c>
      <c r="U4" s="13" t="s">
        <v>43</v>
      </c>
      <c r="V4" s="13" t="s">
        <v>44</v>
      </c>
      <c r="W4" s="13" t="s">
        <v>45</v>
      </c>
      <c r="X4" s="13" t="s">
        <v>46</v>
      </c>
      <c r="Y4" s="13" t="s">
        <v>47</v>
      </c>
      <c r="Z4" s="13" t="s">
        <v>48</v>
      </c>
      <c r="AA4" s="13" t="s">
        <v>49</v>
      </c>
      <c r="AB4" s="13" t="s">
        <v>50</v>
      </c>
      <c r="AC4" s="13" t="s">
        <v>51</v>
      </c>
      <c r="AD4" s="13" t="s">
        <v>52</v>
      </c>
      <c r="AE4" s="13" t="s">
        <v>53</v>
      </c>
      <c r="AF4" s="13" t="s">
        <v>54</v>
      </c>
      <c r="AG4" s="13" t="s">
        <v>55</v>
      </c>
      <c r="AH4" s="13" t="s">
        <v>56</v>
      </c>
      <c r="AI4" s="13" t="s">
        <v>57</v>
      </c>
    </row>
    <row r="5" spans="1:35" x14ac:dyDescent="0.25">
      <c r="A5" s="11"/>
      <c r="B5" s="9">
        <v>2006</v>
      </c>
      <c r="C5" s="9">
        <v>2007</v>
      </c>
      <c r="D5" s="9">
        <v>2008</v>
      </c>
      <c r="E5" s="9">
        <v>2009</v>
      </c>
      <c r="F5" s="9">
        <v>2010</v>
      </c>
      <c r="G5" s="9">
        <v>2011</v>
      </c>
      <c r="H5" s="9">
        <v>2012</v>
      </c>
      <c r="I5" s="9">
        <v>2013</v>
      </c>
      <c r="J5" s="9">
        <v>2014</v>
      </c>
      <c r="K5" s="9">
        <v>2015</v>
      </c>
      <c r="L5" s="9">
        <v>2016</v>
      </c>
      <c r="M5" s="9">
        <v>2017</v>
      </c>
      <c r="N5" s="9">
        <v>2018</v>
      </c>
      <c r="O5" s="9">
        <v>2019</v>
      </c>
      <c r="P5" s="9">
        <v>2020</v>
      </c>
      <c r="Q5" s="9">
        <v>2021</v>
      </c>
      <c r="R5" s="9">
        <v>2022</v>
      </c>
      <c r="S5" s="9">
        <v>2023</v>
      </c>
      <c r="T5" s="9">
        <v>2024</v>
      </c>
      <c r="U5" s="9">
        <v>2025</v>
      </c>
      <c r="V5" s="9">
        <v>2026</v>
      </c>
      <c r="W5" s="9">
        <v>2027</v>
      </c>
      <c r="X5" s="9">
        <v>2028</v>
      </c>
      <c r="Y5" s="9">
        <v>2029</v>
      </c>
      <c r="Z5" s="9">
        <v>2030</v>
      </c>
      <c r="AA5" s="9">
        <v>2031</v>
      </c>
      <c r="AB5" s="9">
        <v>2032</v>
      </c>
      <c r="AC5" s="9">
        <v>2033</v>
      </c>
      <c r="AD5" s="9">
        <v>2034</v>
      </c>
      <c r="AE5" s="9">
        <v>2035</v>
      </c>
      <c r="AF5" s="9">
        <v>2036</v>
      </c>
      <c r="AG5" s="9">
        <v>2037</v>
      </c>
      <c r="AH5" s="9">
        <v>2038</v>
      </c>
      <c r="AI5" s="9">
        <v>2039</v>
      </c>
    </row>
    <row r="6" spans="1:35" x14ac:dyDescent="0.25">
      <c r="A6" s="9" t="s">
        <v>4</v>
      </c>
      <c r="B6" s="7">
        <f>SUM(B$15:B$110,B$115:B$210)/1000000</f>
        <v>4.1846300000000003</v>
      </c>
      <c r="C6" s="7">
        <f>SUM(C$15:C$110,C$115:C$210)/1000000</f>
        <v>4.2238600000000002</v>
      </c>
      <c r="D6" s="7">
        <f t="shared" ref="D6:AI6" si="0">SUM(D$15:D$110,D$115:D$210)/1000000</f>
        <v>4.2597500000000004</v>
      </c>
      <c r="E6" s="7">
        <f t="shared" si="0"/>
        <v>4.3026</v>
      </c>
      <c r="F6" s="7">
        <f t="shared" si="0"/>
        <v>4.3506499999999999</v>
      </c>
      <c r="G6" s="7">
        <f t="shared" si="0"/>
        <v>4.3839699999999997</v>
      </c>
      <c r="H6" s="7">
        <f t="shared" si="0"/>
        <v>4.4079800000000002</v>
      </c>
      <c r="I6" s="7">
        <f t="shared" si="0"/>
        <v>4.4420999999999999</v>
      </c>
      <c r="J6" s="7">
        <f t="shared" si="0"/>
        <v>4.5164499999999999</v>
      </c>
      <c r="K6" s="7">
        <f t="shared" si="0"/>
        <v>4.6093700000000002</v>
      </c>
      <c r="L6" s="7">
        <f t="shared" si="0"/>
        <v>4.7141299999999999</v>
      </c>
      <c r="M6" s="83">
        <f t="shared" si="0"/>
        <v>4.8135599999999998</v>
      </c>
      <c r="N6" s="83">
        <f t="shared" si="0"/>
        <v>4.9006100000000004</v>
      </c>
      <c r="O6" s="83">
        <f t="shared" si="0"/>
        <v>4.9791699999999999</v>
      </c>
      <c r="P6" s="83">
        <f t="shared" si="0"/>
        <v>5.0902000000000003</v>
      </c>
      <c r="Q6" s="83">
        <f t="shared" si="0"/>
        <v>5.1112900000000003</v>
      </c>
      <c r="R6" s="83">
        <f t="shared" si="0"/>
        <v>5.1279199999999996</v>
      </c>
      <c r="S6" s="83">
        <f t="shared" si="0"/>
        <v>5.1494900000000001</v>
      </c>
      <c r="T6" s="83">
        <f t="shared" si="0"/>
        <v>5.1793100000000001</v>
      </c>
      <c r="U6" s="83">
        <f t="shared" si="0"/>
        <v>5.21732</v>
      </c>
      <c r="V6" s="83">
        <f t="shared" si="0"/>
        <v>5.2637999999999998</v>
      </c>
      <c r="W6" s="83">
        <f t="shared" si="0"/>
        <v>5.3093000000000004</v>
      </c>
      <c r="X6" s="83">
        <f t="shared" si="0"/>
        <v>5.3540999999999999</v>
      </c>
      <c r="Y6" s="83">
        <f t="shared" si="0"/>
        <v>5.3980199999999998</v>
      </c>
      <c r="Z6" s="83">
        <f t="shared" si="0"/>
        <v>5.4410600000000002</v>
      </c>
      <c r="AA6" s="83">
        <f t="shared" si="0"/>
        <v>5.4831300000000001</v>
      </c>
      <c r="AB6" s="83">
        <f t="shared" si="0"/>
        <v>5.5241699999999998</v>
      </c>
      <c r="AC6" s="83">
        <f t="shared" si="0"/>
        <v>5.5644299999999998</v>
      </c>
      <c r="AD6" s="83">
        <f t="shared" si="0"/>
        <v>5.6036900000000003</v>
      </c>
      <c r="AE6" s="83">
        <f t="shared" si="0"/>
        <v>5.6421700000000001</v>
      </c>
      <c r="AF6" s="83">
        <f t="shared" si="0"/>
        <v>5.6797599999999999</v>
      </c>
      <c r="AG6" s="83">
        <f t="shared" si="0"/>
        <v>5.7166399999999999</v>
      </c>
      <c r="AH6" s="83">
        <f t="shared" si="0"/>
        <v>5.7528300000000003</v>
      </c>
      <c r="AI6" s="83">
        <f t="shared" si="0"/>
        <v>5.7883500000000003</v>
      </c>
    </row>
    <row r="7" spans="1:35" x14ac:dyDescent="0.25">
      <c r="A7" s="10" t="s">
        <v>5</v>
      </c>
      <c r="C7" s="8">
        <f>C$6/B$6-1</f>
        <v>9.3747834336608271E-3</v>
      </c>
      <c r="D7" s="8">
        <f t="shared" ref="D7:S7" si="1">D$6/C$6-1</f>
        <v>8.4969672290275966E-3</v>
      </c>
      <c r="E7" s="8">
        <f t="shared" si="1"/>
        <v>1.0059275779094934E-2</v>
      </c>
      <c r="F7" s="8">
        <f t="shared" si="1"/>
        <v>1.1167666062380954E-2</v>
      </c>
      <c r="G7" s="8">
        <f t="shared" si="1"/>
        <v>7.6586257225932375E-3</v>
      </c>
      <c r="H7" s="8">
        <f t="shared" si="1"/>
        <v>5.4767710545464698E-3</v>
      </c>
      <c r="I7" s="8">
        <f t="shared" si="1"/>
        <v>7.7405069895961631E-3</v>
      </c>
      <c r="J7" s="8">
        <f t="shared" si="1"/>
        <v>1.6737579072960918E-2</v>
      </c>
      <c r="K7" s="8">
        <f t="shared" si="1"/>
        <v>2.0573680656267745E-2</v>
      </c>
      <c r="L7" s="8">
        <f t="shared" si="1"/>
        <v>2.2727617874026107E-2</v>
      </c>
      <c r="M7" s="18">
        <f t="shared" si="1"/>
        <v>2.1091908793350989E-2</v>
      </c>
      <c r="N7" s="18">
        <f t="shared" si="1"/>
        <v>1.8084328438827013E-2</v>
      </c>
      <c r="O7" s="18">
        <f t="shared" si="1"/>
        <v>1.6030657407955173E-2</v>
      </c>
      <c r="P7" s="18">
        <f t="shared" si="1"/>
        <v>2.2298897205759172E-2</v>
      </c>
      <c r="Q7" s="18">
        <f t="shared" si="1"/>
        <v>4.1432556677536425E-3</v>
      </c>
      <c r="R7" s="18">
        <f t="shared" si="1"/>
        <v>3.2535817768115649E-3</v>
      </c>
      <c r="S7" s="18">
        <f t="shared" si="1"/>
        <v>4.2063838749435423E-3</v>
      </c>
      <c r="T7" s="18">
        <f t="shared" ref="T7:AI7" si="2">T$6/S$6-1</f>
        <v>5.7908647264097723E-3</v>
      </c>
      <c r="U7" s="18">
        <f t="shared" si="2"/>
        <v>7.3388154020515017E-3</v>
      </c>
      <c r="V7" s="18">
        <f t="shared" si="2"/>
        <v>8.9087884201084488E-3</v>
      </c>
      <c r="W7" s="18">
        <f t="shared" si="2"/>
        <v>8.6439454386566528E-3</v>
      </c>
      <c r="X7" s="18">
        <f t="shared" si="2"/>
        <v>8.4380238449512923E-3</v>
      </c>
      <c r="Y7" s="18">
        <f t="shared" si="2"/>
        <v>8.2030593377038219E-3</v>
      </c>
      <c r="Z7" s="18">
        <f t="shared" si="2"/>
        <v>7.9732939114713908E-3</v>
      </c>
      <c r="AA7" s="18">
        <f t="shared" si="2"/>
        <v>7.7319492892928832E-3</v>
      </c>
      <c r="AB7" s="18">
        <f t="shared" si="2"/>
        <v>7.484776031208451E-3</v>
      </c>
      <c r="AC7" s="18">
        <f t="shared" si="2"/>
        <v>7.2879726728178884E-3</v>
      </c>
      <c r="AD7" s="18">
        <f t="shared" si="2"/>
        <v>7.0555294971812454E-3</v>
      </c>
      <c r="AE7" s="18">
        <f t="shared" si="2"/>
        <v>6.8669037723356752E-3</v>
      </c>
      <c r="AF7" s="18">
        <f t="shared" si="2"/>
        <v>6.6623302736357193E-3</v>
      </c>
      <c r="AG7" s="18">
        <f t="shared" si="2"/>
        <v>6.4932321083990274E-3</v>
      </c>
      <c r="AH7" s="18">
        <f t="shared" si="2"/>
        <v>6.3306417755886191E-3</v>
      </c>
      <c r="AI7" s="18">
        <f t="shared" si="2"/>
        <v>6.1743524491424395E-3</v>
      </c>
    </row>
    <row r="8" spans="1:35" x14ac:dyDescent="0.25">
      <c r="A8" s="9" t="s">
        <v>6</v>
      </c>
      <c r="B8" s="7">
        <f>SUM(B$30:B$110,B$130:B$210)/1000000</f>
        <v>3.2963200000000001</v>
      </c>
      <c r="C8" s="7">
        <f>SUM(C$30:C$110,C$130:C$210)/1000000</f>
        <v>3.33256</v>
      </c>
      <c r="D8" s="7">
        <f t="shared" ref="D8:AI8" si="3">SUM(D$30:D$110,D$130:D$210)/1000000</f>
        <v>3.3642400000000001</v>
      </c>
      <c r="E8" s="7">
        <f t="shared" si="3"/>
        <v>3.40144</v>
      </c>
      <c r="F8" s="7">
        <f t="shared" si="3"/>
        <v>3.44251</v>
      </c>
      <c r="G8" s="7">
        <f t="shared" si="3"/>
        <v>3.4732599999999998</v>
      </c>
      <c r="H8" s="7">
        <f t="shared" si="3"/>
        <v>3.49817</v>
      </c>
      <c r="I8" s="7">
        <f t="shared" si="3"/>
        <v>3.5333100000000002</v>
      </c>
      <c r="J8" s="7">
        <f t="shared" si="3"/>
        <v>3.6047400000000001</v>
      </c>
      <c r="K8" s="7">
        <f t="shared" si="3"/>
        <v>3.6932200000000002</v>
      </c>
      <c r="L8" s="7">
        <f t="shared" si="3"/>
        <v>3.7895099999999999</v>
      </c>
      <c r="M8" s="83">
        <f t="shared" si="3"/>
        <v>3.8767299999999998</v>
      </c>
      <c r="N8" s="83">
        <f t="shared" si="3"/>
        <v>3.9541400000000002</v>
      </c>
      <c r="O8" s="83">
        <f t="shared" si="3"/>
        <v>4.0231599999999998</v>
      </c>
      <c r="P8" s="83">
        <f t="shared" si="3"/>
        <v>4.12378</v>
      </c>
      <c r="Q8" s="83">
        <f t="shared" si="3"/>
        <v>4.14337</v>
      </c>
      <c r="R8" s="83">
        <f t="shared" si="3"/>
        <v>4.1627000000000001</v>
      </c>
      <c r="S8" s="83">
        <f t="shared" si="3"/>
        <v>4.1937800000000003</v>
      </c>
      <c r="T8" s="83">
        <f t="shared" si="3"/>
        <v>4.2316500000000001</v>
      </c>
      <c r="U8" s="83">
        <f t="shared" si="3"/>
        <v>4.2772800000000002</v>
      </c>
      <c r="V8" s="83">
        <f t="shared" si="3"/>
        <v>4.3290800000000003</v>
      </c>
      <c r="W8" s="83">
        <f t="shared" si="3"/>
        <v>4.3795599999999997</v>
      </c>
      <c r="X8" s="83">
        <f t="shared" si="3"/>
        <v>4.4289699999999996</v>
      </c>
      <c r="Y8" s="83">
        <f t="shared" si="3"/>
        <v>4.4760200000000001</v>
      </c>
      <c r="Z8" s="83">
        <f t="shared" si="3"/>
        <v>4.5220599999999997</v>
      </c>
      <c r="AA8" s="83">
        <f t="shared" si="3"/>
        <v>4.5666500000000001</v>
      </c>
      <c r="AB8" s="83">
        <f t="shared" si="3"/>
        <v>4.61022</v>
      </c>
      <c r="AC8" s="83">
        <f t="shared" si="3"/>
        <v>4.6515399999999998</v>
      </c>
      <c r="AD8" s="83">
        <f t="shared" si="3"/>
        <v>4.6914499999999997</v>
      </c>
      <c r="AE8" s="83">
        <f t="shared" si="3"/>
        <v>4.7296899999999997</v>
      </c>
      <c r="AF8" s="83">
        <f t="shared" si="3"/>
        <v>4.7680999999999996</v>
      </c>
      <c r="AG8" s="83">
        <f t="shared" si="3"/>
        <v>4.8059799999999999</v>
      </c>
      <c r="AH8" s="83">
        <f t="shared" si="3"/>
        <v>4.8414400000000004</v>
      </c>
      <c r="AI8" s="83">
        <f t="shared" si="3"/>
        <v>4.8759899999999998</v>
      </c>
    </row>
    <row r="9" spans="1:35" x14ac:dyDescent="0.25">
      <c r="A9" s="10" t="str">
        <f>$A$7</f>
        <v>Annual growth (%)</v>
      </c>
      <c r="C9" s="8">
        <f>C$8/B$8-1</f>
        <v>1.0994078244830563E-2</v>
      </c>
      <c r="D9" s="8">
        <f t="shared" ref="D9:S9" si="4">D$8/C$8-1</f>
        <v>9.5062054396619633E-3</v>
      </c>
      <c r="E9" s="8">
        <f t="shared" si="4"/>
        <v>1.105747509095667E-2</v>
      </c>
      <c r="F9" s="8">
        <f t="shared" si="4"/>
        <v>1.2074297944399959E-2</v>
      </c>
      <c r="G9" s="8">
        <f t="shared" si="4"/>
        <v>8.9324359261120367E-3</v>
      </c>
      <c r="H9" s="8">
        <f t="shared" si="4"/>
        <v>7.1719364516333872E-3</v>
      </c>
      <c r="I9" s="8">
        <f t="shared" si="4"/>
        <v>1.0045252231881241E-2</v>
      </c>
      <c r="J9" s="8">
        <f t="shared" si="4"/>
        <v>2.0216171238866654E-2</v>
      </c>
      <c r="K9" s="8">
        <f t="shared" si="4"/>
        <v>2.4545459589318641E-2</v>
      </c>
      <c r="L9" s="8">
        <f t="shared" si="4"/>
        <v>2.6072099685369388E-2</v>
      </c>
      <c r="M9" s="18">
        <f t="shared" si="4"/>
        <v>2.301616831727582E-2</v>
      </c>
      <c r="N9" s="18">
        <f t="shared" si="4"/>
        <v>1.9967859510463759E-2</v>
      </c>
      <c r="O9" s="18">
        <f t="shared" si="4"/>
        <v>1.7455122985023275E-2</v>
      </c>
      <c r="P9" s="18">
        <f t="shared" si="4"/>
        <v>2.5010190994144033E-2</v>
      </c>
      <c r="Q9" s="18">
        <f t="shared" si="4"/>
        <v>4.7504959042432571E-3</v>
      </c>
      <c r="R9" s="18">
        <f t="shared" si="4"/>
        <v>4.6652845389139053E-3</v>
      </c>
      <c r="S9" s="18">
        <f t="shared" si="4"/>
        <v>7.4663079251446884E-3</v>
      </c>
      <c r="T9" s="18">
        <f t="shared" ref="T9:AI9" si="5">T$8/S$8-1</f>
        <v>9.0300397254980957E-3</v>
      </c>
      <c r="U9" s="18">
        <f t="shared" si="5"/>
        <v>1.078302789691965E-2</v>
      </c>
      <c r="V9" s="18">
        <f t="shared" si="5"/>
        <v>1.2110500130924295E-2</v>
      </c>
      <c r="W9" s="18">
        <f t="shared" si="5"/>
        <v>1.1660676171380446E-2</v>
      </c>
      <c r="X9" s="18">
        <f t="shared" si="5"/>
        <v>1.128195526491238E-2</v>
      </c>
      <c r="Y9" s="18">
        <f t="shared" si="5"/>
        <v>1.0623237457016099E-2</v>
      </c>
      <c r="Z9" s="18">
        <f t="shared" si="5"/>
        <v>1.0285923655390272E-2</v>
      </c>
      <c r="AA9" s="18">
        <f t="shared" si="5"/>
        <v>9.8605502801820677E-3</v>
      </c>
      <c r="AB9" s="18">
        <f t="shared" si="5"/>
        <v>9.540910733250918E-3</v>
      </c>
      <c r="AC9" s="18">
        <f t="shared" si="5"/>
        <v>8.9626959234048176E-3</v>
      </c>
      <c r="AD9" s="18">
        <f t="shared" si="5"/>
        <v>8.5799541657172185E-3</v>
      </c>
      <c r="AE9" s="18">
        <f t="shared" si="5"/>
        <v>8.1509980922742642E-3</v>
      </c>
      <c r="AF9" s="18">
        <f t="shared" si="5"/>
        <v>8.1210396453044176E-3</v>
      </c>
      <c r="AG9" s="18">
        <f t="shared" si="5"/>
        <v>7.944464252008121E-3</v>
      </c>
      <c r="AH9" s="18">
        <f t="shared" si="5"/>
        <v>7.3783078581268757E-3</v>
      </c>
      <c r="AI9" s="18">
        <f t="shared" si="5"/>
        <v>7.1363065534220116E-3</v>
      </c>
    </row>
    <row r="10" spans="1:35" x14ac:dyDescent="0.25">
      <c r="A10" s="9" t="s">
        <v>7</v>
      </c>
      <c r="M10" s="11"/>
      <c r="N10" s="11"/>
      <c r="O10" s="11"/>
      <c r="P10" s="83">
        <f>SUM(P$215:P$280,P$285:P$350)/1000000</f>
        <v>2.9020674181946293</v>
      </c>
      <c r="Q10" s="83">
        <f>SUM(Q$215:Q$280,Q$285:Q$350)/1000000</f>
        <v>2.9029668407796883</v>
      </c>
      <c r="R10" s="83">
        <f t="shared" ref="R10:AI10" si="6">SUM(R$215:R$280,R$285:R$350)/1000000</f>
        <v>2.9017003308195459</v>
      </c>
      <c r="S10" s="83">
        <f t="shared" si="6"/>
        <v>2.9111410473377686</v>
      </c>
      <c r="T10" s="83">
        <f t="shared" si="6"/>
        <v>2.9291456734124046</v>
      </c>
      <c r="U10" s="83">
        <f t="shared" si="6"/>
        <v>2.9526589262196494</v>
      </c>
      <c r="V10" s="83">
        <f t="shared" si="6"/>
        <v>2.9815520367590156</v>
      </c>
      <c r="W10" s="83">
        <f t="shared" si="6"/>
        <v>3.0097680625860002</v>
      </c>
      <c r="X10" s="83">
        <f t="shared" si="6"/>
        <v>3.0374774066473642</v>
      </c>
      <c r="Y10" s="83">
        <f t="shared" si="6"/>
        <v>3.0643428403373494</v>
      </c>
      <c r="Z10" s="83">
        <f t="shared" si="6"/>
        <v>3.0904265868378</v>
      </c>
      <c r="AA10" s="83">
        <f t="shared" si="6"/>
        <v>3.1156662297414237</v>
      </c>
      <c r="AB10" s="83">
        <f t="shared" si="6"/>
        <v>3.1400196479694222</v>
      </c>
      <c r="AC10" s="83">
        <f t="shared" si="6"/>
        <v>3.163433563160035</v>
      </c>
      <c r="AD10" s="83">
        <f t="shared" si="6"/>
        <v>3.1856313548832138</v>
      </c>
      <c r="AE10" s="83">
        <f t="shared" si="6"/>
        <v>3.2067564395624131</v>
      </c>
      <c r="AF10" s="83">
        <f t="shared" si="6"/>
        <v>3.2270803691601317</v>
      </c>
      <c r="AG10" s="83">
        <f t="shared" si="6"/>
        <v>3.2469384249189264</v>
      </c>
      <c r="AH10" s="83">
        <f t="shared" si="6"/>
        <v>3.2664075483125066</v>
      </c>
      <c r="AI10" s="83">
        <f t="shared" si="6"/>
        <v>3.2857496218820228</v>
      </c>
    </row>
    <row r="11" spans="1:35" x14ac:dyDescent="0.25">
      <c r="A11" s="10" t="str">
        <f>$A$7</f>
        <v>Annual growth (%)</v>
      </c>
      <c r="M11" s="11"/>
      <c r="N11" s="11"/>
      <c r="O11" s="11"/>
      <c r="P11" s="11"/>
      <c r="Q11" s="18">
        <f>Q$10/P$10-1</f>
        <v>3.099247727396115E-4</v>
      </c>
      <c r="R11" s="18">
        <f t="shared" ref="R11:AI11" si="7">R$10/Q$10-1</f>
        <v>-4.3628123557970522E-4</v>
      </c>
      <c r="S11" s="18">
        <f t="shared" si="7"/>
        <v>3.2535118867895729E-3</v>
      </c>
      <c r="T11" s="18">
        <f t="shared" si="7"/>
        <v>6.1847316161822707E-3</v>
      </c>
      <c r="U11" s="18">
        <f t="shared" si="7"/>
        <v>8.0273415626517242E-3</v>
      </c>
      <c r="V11" s="18">
        <f t="shared" si="7"/>
        <v>9.7854548260873919E-3</v>
      </c>
      <c r="W11" s="18">
        <f t="shared" si="7"/>
        <v>9.4635362653794353E-3</v>
      </c>
      <c r="X11" s="18">
        <f t="shared" si="7"/>
        <v>9.206471556999718E-3</v>
      </c>
      <c r="Y11" s="18">
        <f t="shared" si="7"/>
        <v>8.8446530108146071E-3</v>
      </c>
      <c r="Z11" s="18">
        <f t="shared" si="7"/>
        <v>8.5120196595167563E-3</v>
      </c>
      <c r="AA11" s="18">
        <f t="shared" si="7"/>
        <v>8.1670417317531996E-3</v>
      </c>
      <c r="AB11" s="18">
        <f t="shared" si="7"/>
        <v>7.8164400267033418E-3</v>
      </c>
      <c r="AC11" s="18">
        <f t="shared" si="7"/>
        <v>7.456614230345382E-3</v>
      </c>
      <c r="AD11" s="18">
        <f t="shared" si="7"/>
        <v>7.0169931752905867E-3</v>
      </c>
      <c r="AE11" s="18">
        <f t="shared" si="7"/>
        <v>6.6313651285534458E-3</v>
      </c>
      <c r="AF11" s="18">
        <f t="shared" si="7"/>
        <v>6.3378463505920912E-3</v>
      </c>
      <c r="AG11" s="18">
        <f t="shared" si="7"/>
        <v>6.1535671527024327E-3</v>
      </c>
      <c r="AH11" s="18">
        <f t="shared" si="7"/>
        <v>5.9961480156700553E-3</v>
      </c>
      <c r="AI11" s="18">
        <f t="shared" si="7"/>
        <v>5.9215126353442393E-3</v>
      </c>
    </row>
    <row r="12" spans="1:35" x14ac:dyDescent="0.25">
      <c r="A12" s="9" t="s">
        <v>8</v>
      </c>
      <c r="M12" s="11"/>
      <c r="N12" s="11"/>
      <c r="O12" s="11"/>
      <c r="P12" s="18">
        <f>P$10/P$8</f>
        <v>0.70373963164733067</v>
      </c>
      <c r="Q12" s="18">
        <f>Q$10/Q$8</f>
        <v>0.70062940089340031</v>
      </c>
      <c r="R12" s="18">
        <f t="shared" ref="R12:AI12" si="8">R$10/R$8</f>
        <v>0.69707169164713911</v>
      </c>
      <c r="S12" s="18">
        <f t="shared" si="8"/>
        <v>0.69415683401078943</v>
      </c>
      <c r="T12" s="18">
        <f t="shared" si="8"/>
        <v>0.69219941947287811</v>
      </c>
      <c r="U12" s="18">
        <f t="shared" si="8"/>
        <v>0.69031228402621514</v>
      </c>
      <c r="V12" s="18">
        <f t="shared" si="8"/>
        <v>0.68872648155243499</v>
      </c>
      <c r="W12" s="18">
        <f t="shared" si="8"/>
        <v>0.68723069499812772</v>
      </c>
      <c r="X12" s="18">
        <f t="shared" si="8"/>
        <v>0.68582027122499467</v>
      </c>
      <c r="Y12" s="18">
        <f t="shared" si="8"/>
        <v>0.68461330385863983</v>
      </c>
      <c r="Z12" s="18">
        <f t="shared" si="8"/>
        <v>0.68341123002299842</v>
      </c>
      <c r="AA12" s="18">
        <f t="shared" si="8"/>
        <v>0.68226516806442872</v>
      </c>
      <c r="AB12" s="18">
        <f t="shared" si="8"/>
        <v>0.68109974100355775</v>
      </c>
      <c r="AC12" s="18">
        <f t="shared" si="8"/>
        <v>0.68008306134313268</v>
      </c>
      <c r="AD12" s="18">
        <f t="shared" si="8"/>
        <v>0.67902916046919692</v>
      </c>
      <c r="AE12" s="18">
        <f t="shared" si="8"/>
        <v>0.67800562818332988</v>
      </c>
      <c r="AF12" s="18">
        <f t="shared" si="8"/>
        <v>0.6768063524590785</v>
      </c>
      <c r="AG12" s="18">
        <f t="shared" si="8"/>
        <v>0.67560381543804315</v>
      </c>
      <c r="AH12" s="18">
        <f t="shared" si="8"/>
        <v>0.67467686232040602</v>
      </c>
      <c r="AI12" s="18">
        <f t="shared" si="8"/>
        <v>0.67386307639720811</v>
      </c>
    </row>
    <row r="13" spans="1:35" x14ac:dyDescent="0.25">
      <c r="A13" s="9" t="s">
        <v>925</v>
      </c>
      <c r="M13" s="11"/>
      <c r="N13" s="11"/>
      <c r="O13" s="11"/>
      <c r="P13" s="11"/>
      <c r="Q13" s="11"/>
      <c r="R13" s="11"/>
      <c r="S13" s="11"/>
      <c r="T13" s="11"/>
      <c r="U13" s="11"/>
      <c r="V13" s="11"/>
      <c r="W13" s="11"/>
      <c r="X13" s="11"/>
      <c r="Y13" s="11"/>
      <c r="Z13" s="11"/>
      <c r="AA13" s="11"/>
      <c r="AB13" s="11"/>
      <c r="AC13" s="11"/>
      <c r="AD13" s="11"/>
      <c r="AE13" s="11"/>
      <c r="AF13" s="11"/>
      <c r="AG13" s="11"/>
      <c r="AH13" s="11"/>
      <c r="AI13" s="11"/>
    </row>
    <row r="14" spans="1:35" x14ac:dyDescent="0.25">
      <c r="A14" s="9" t="s">
        <v>9</v>
      </c>
      <c r="M14" s="11"/>
      <c r="N14" s="11"/>
      <c r="O14" s="11"/>
      <c r="P14" s="11"/>
      <c r="Q14" s="11"/>
      <c r="R14" s="11"/>
      <c r="S14" s="11"/>
      <c r="T14" s="11"/>
      <c r="U14" s="11"/>
      <c r="V14" s="11"/>
      <c r="W14" s="11"/>
      <c r="X14" s="11"/>
      <c r="Y14" s="11"/>
      <c r="Z14" s="11"/>
      <c r="AA14" s="11"/>
      <c r="AB14" s="11"/>
      <c r="AC14" s="11"/>
      <c r="AD14" s="11"/>
      <c r="AE14" s="11"/>
      <c r="AF14" s="11"/>
      <c r="AG14" s="11"/>
      <c r="AH14" s="11"/>
      <c r="AI14" s="11"/>
    </row>
    <row r="15" spans="1:35" x14ac:dyDescent="0.25">
      <c r="A15" s="11">
        <v>0</v>
      </c>
      <c r="B15" s="29">
        <v>28910</v>
      </c>
      <c r="C15" s="29">
        <v>30230</v>
      </c>
      <c r="D15" s="29">
        <v>31360</v>
      </c>
      <c r="E15" s="29">
        <v>30830</v>
      </c>
      <c r="F15" s="29">
        <v>31510</v>
      </c>
      <c r="G15" s="29">
        <v>30670</v>
      </c>
      <c r="H15" s="29">
        <v>29880</v>
      </c>
      <c r="I15" s="29">
        <v>29370</v>
      </c>
      <c r="J15" s="29">
        <v>28390</v>
      </c>
      <c r="K15" s="29">
        <v>28520</v>
      </c>
      <c r="L15" s="29">
        <v>28790</v>
      </c>
      <c r="M15" s="46">
        <v>29450</v>
      </c>
      <c r="N15" s="46">
        <v>29000</v>
      </c>
      <c r="O15" s="46">
        <v>28900</v>
      </c>
      <c r="P15" s="46">
        <v>29110</v>
      </c>
      <c r="Q15" s="46">
        <v>29630</v>
      </c>
      <c r="R15" s="46">
        <v>30120</v>
      </c>
      <c r="S15" s="46">
        <v>28840</v>
      </c>
      <c r="T15" s="46">
        <v>28760</v>
      </c>
      <c r="U15" s="46">
        <v>28710</v>
      </c>
      <c r="V15" s="46">
        <v>28720</v>
      </c>
      <c r="W15" s="46">
        <v>28710</v>
      </c>
      <c r="X15" s="46">
        <v>28690</v>
      </c>
      <c r="Y15" s="46">
        <v>28660</v>
      </c>
      <c r="Z15" s="46">
        <v>28630</v>
      </c>
      <c r="AA15" s="46">
        <v>28600</v>
      </c>
      <c r="AB15" s="46">
        <v>28590</v>
      </c>
      <c r="AC15" s="46">
        <v>28590</v>
      </c>
      <c r="AD15" s="46">
        <v>28620</v>
      </c>
      <c r="AE15" s="46">
        <v>28680</v>
      </c>
      <c r="AF15" s="46">
        <v>28770</v>
      </c>
      <c r="AG15" s="46">
        <v>28880</v>
      </c>
      <c r="AH15" s="46">
        <v>29010</v>
      </c>
      <c r="AI15" s="46">
        <v>29150</v>
      </c>
    </row>
    <row r="16" spans="1:35" x14ac:dyDescent="0.25">
      <c r="A16" s="11">
        <v>1</v>
      </c>
      <c r="B16" s="29">
        <v>27990</v>
      </c>
      <c r="C16" s="29">
        <v>28850</v>
      </c>
      <c r="D16" s="29">
        <v>30110</v>
      </c>
      <c r="E16" s="29">
        <v>31260</v>
      </c>
      <c r="F16" s="29">
        <v>30820</v>
      </c>
      <c r="G16" s="29">
        <v>31460</v>
      </c>
      <c r="H16" s="29">
        <v>30640</v>
      </c>
      <c r="I16" s="29">
        <v>29950</v>
      </c>
      <c r="J16" s="29">
        <v>29510</v>
      </c>
      <c r="K16" s="29">
        <v>28670</v>
      </c>
      <c r="L16" s="29">
        <v>28900</v>
      </c>
      <c r="M16" s="46">
        <v>29040</v>
      </c>
      <c r="N16" s="46">
        <v>29620</v>
      </c>
      <c r="O16" s="46">
        <v>29150</v>
      </c>
      <c r="P16" s="46">
        <v>29070</v>
      </c>
      <c r="Q16" s="46">
        <v>29240</v>
      </c>
      <c r="R16" s="46">
        <v>29590</v>
      </c>
      <c r="S16" s="46">
        <v>29970</v>
      </c>
      <c r="T16" s="46">
        <v>28750</v>
      </c>
      <c r="U16" s="46">
        <v>28730</v>
      </c>
      <c r="V16" s="46">
        <v>28740</v>
      </c>
      <c r="W16" s="46">
        <v>28750</v>
      </c>
      <c r="X16" s="46">
        <v>28740</v>
      </c>
      <c r="Y16" s="46">
        <v>28720</v>
      </c>
      <c r="Z16" s="46">
        <v>28690</v>
      </c>
      <c r="AA16" s="46">
        <v>28660</v>
      </c>
      <c r="AB16" s="46">
        <v>28630</v>
      </c>
      <c r="AC16" s="46">
        <v>28620</v>
      </c>
      <c r="AD16" s="46">
        <v>28630</v>
      </c>
      <c r="AE16" s="46">
        <v>28660</v>
      </c>
      <c r="AF16" s="46">
        <v>28720</v>
      </c>
      <c r="AG16" s="46">
        <v>28800</v>
      </c>
      <c r="AH16" s="46">
        <v>28910</v>
      </c>
      <c r="AI16" s="46">
        <v>29040</v>
      </c>
    </row>
    <row r="17" spans="1:35" x14ac:dyDescent="0.25">
      <c r="A17" s="11">
        <v>2</v>
      </c>
      <c r="B17" s="29">
        <v>28180</v>
      </c>
      <c r="C17" s="29">
        <v>28100</v>
      </c>
      <c r="D17" s="29">
        <v>28870</v>
      </c>
      <c r="E17" s="29">
        <v>30220</v>
      </c>
      <c r="F17" s="29">
        <v>31340</v>
      </c>
      <c r="G17" s="29">
        <v>30770</v>
      </c>
      <c r="H17" s="29">
        <v>31310</v>
      </c>
      <c r="I17" s="29">
        <v>30580</v>
      </c>
      <c r="J17" s="29">
        <v>30150</v>
      </c>
      <c r="K17" s="29">
        <v>29890</v>
      </c>
      <c r="L17" s="29">
        <v>29060</v>
      </c>
      <c r="M17" s="46">
        <v>29470</v>
      </c>
      <c r="N17" s="46">
        <v>29470</v>
      </c>
      <c r="O17" s="46">
        <v>30030</v>
      </c>
      <c r="P17" s="46">
        <v>29620</v>
      </c>
      <c r="Q17" s="46">
        <v>29250</v>
      </c>
      <c r="R17" s="46">
        <v>29360</v>
      </c>
      <c r="S17" s="46">
        <v>29520</v>
      </c>
      <c r="T17" s="46">
        <v>29960</v>
      </c>
      <c r="U17" s="46">
        <v>28810</v>
      </c>
      <c r="V17" s="46">
        <v>28860</v>
      </c>
      <c r="W17" s="46">
        <v>28870</v>
      </c>
      <c r="X17" s="46">
        <v>28880</v>
      </c>
      <c r="Y17" s="46">
        <v>28870</v>
      </c>
      <c r="Z17" s="46">
        <v>28850</v>
      </c>
      <c r="AA17" s="46">
        <v>28820</v>
      </c>
      <c r="AB17" s="46">
        <v>28790</v>
      </c>
      <c r="AC17" s="46">
        <v>28760</v>
      </c>
      <c r="AD17" s="46">
        <v>28750</v>
      </c>
      <c r="AE17" s="46">
        <v>28760</v>
      </c>
      <c r="AF17" s="46">
        <v>28790</v>
      </c>
      <c r="AG17" s="46">
        <v>28850</v>
      </c>
      <c r="AH17" s="46">
        <v>28930</v>
      </c>
      <c r="AI17" s="46">
        <v>29050</v>
      </c>
    </row>
    <row r="18" spans="1:35" x14ac:dyDescent="0.25">
      <c r="A18" s="11">
        <v>3</v>
      </c>
      <c r="B18" s="29">
        <v>27310</v>
      </c>
      <c r="C18" s="29">
        <v>28260</v>
      </c>
      <c r="D18" s="29">
        <v>28090</v>
      </c>
      <c r="E18" s="29">
        <v>28910</v>
      </c>
      <c r="F18" s="29">
        <v>30280</v>
      </c>
      <c r="G18" s="29">
        <v>31290</v>
      </c>
      <c r="H18" s="29">
        <v>30670</v>
      </c>
      <c r="I18" s="29">
        <v>31320</v>
      </c>
      <c r="J18" s="29">
        <v>30730</v>
      </c>
      <c r="K18" s="29">
        <v>30430</v>
      </c>
      <c r="L18" s="29">
        <v>30460</v>
      </c>
      <c r="M18" s="46">
        <v>29610</v>
      </c>
      <c r="N18" s="46">
        <v>30030</v>
      </c>
      <c r="O18" s="46">
        <v>29970</v>
      </c>
      <c r="P18" s="46">
        <v>30590</v>
      </c>
      <c r="Q18" s="46">
        <v>29810</v>
      </c>
      <c r="R18" s="46">
        <v>29460</v>
      </c>
      <c r="S18" s="46">
        <v>29300</v>
      </c>
      <c r="T18" s="46">
        <v>29530</v>
      </c>
      <c r="U18" s="46">
        <v>30040</v>
      </c>
      <c r="V18" s="46">
        <v>28960</v>
      </c>
      <c r="W18" s="46">
        <v>29000</v>
      </c>
      <c r="X18" s="46">
        <v>29020</v>
      </c>
      <c r="Y18" s="46">
        <v>29020</v>
      </c>
      <c r="Z18" s="46">
        <v>29020</v>
      </c>
      <c r="AA18" s="46">
        <v>29000</v>
      </c>
      <c r="AB18" s="46">
        <v>28970</v>
      </c>
      <c r="AC18" s="46">
        <v>28940</v>
      </c>
      <c r="AD18" s="46">
        <v>28910</v>
      </c>
      <c r="AE18" s="46">
        <v>28900</v>
      </c>
      <c r="AF18" s="46">
        <v>28900</v>
      </c>
      <c r="AG18" s="46">
        <v>28930</v>
      </c>
      <c r="AH18" s="46">
        <v>28990</v>
      </c>
      <c r="AI18" s="46">
        <v>29080</v>
      </c>
    </row>
    <row r="19" spans="1:35" x14ac:dyDescent="0.25">
      <c r="A19" s="11">
        <v>4</v>
      </c>
      <c r="B19" s="29">
        <v>27400</v>
      </c>
      <c r="C19" s="29">
        <v>27460</v>
      </c>
      <c r="D19" s="29">
        <v>28310</v>
      </c>
      <c r="E19" s="29">
        <v>28190</v>
      </c>
      <c r="F19" s="29">
        <v>29030</v>
      </c>
      <c r="G19" s="29">
        <v>30250</v>
      </c>
      <c r="H19" s="29">
        <v>31140</v>
      </c>
      <c r="I19" s="29">
        <v>30550</v>
      </c>
      <c r="J19" s="29">
        <v>31460</v>
      </c>
      <c r="K19" s="29">
        <v>31040</v>
      </c>
      <c r="L19" s="29">
        <v>30880</v>
      </c>
      <c r="M19" s="46">
        <v>30980</v>
      </c>
      <c r="N19" s="46">
        <v>30100</v>
      </c>
      <c r="O19" s="46">
        <v>30520</v>
      </c>
      <c r="P19" s="46">
        <v>30510</v>
      </c>
      <c r="Q19" s="46">
        <v>30770</v>
      </c>
      <c r="R19" s="46">
        <v>29970</v>
      </c>
      <c r="S19" s="46">
        <v>29420</v>
      </c>
      <c r="T19" s="46">
        <v>29330</v>
      </c>
      <c r="U19" s="46">
        <v>29630</v>
      </c>
      <c r="V19" s="46">
        <v>30200</v>
      </c>
      <c r="W19" s="46">
        <v>29120</v>
      </c>
      <c r="X19" s="46">
        <v>29170</v>
      </c>
      <c r="Y19" s="46">
        <v>29180</v>
      </c>
      <c r="Z19" s="46">
        <v>29190</v>
      </c>
      <c r="AA19" s="46">
        <v>29190</v>
      </c>
      <c r="AB19" s="46">
        <v>29170</v>
      </c>
      <c r="AC19" s="46">
        <v>29140</v>
      </c>
      <c r="AD19" s="46">
        <v>29100</v>
      </c>
      <c r="AE19" s="46">
        <v>29080</v>
      </c>
      <c r="AF19" s="46">
        <v>29070</v>
      </c>
      <c r="AG19" s="46">
        <v>29070</v>
      </c>
      <c r="AH19" s="46">
        <v>29100</v>
      </c>
      <c r="AI19" s="46">
        <v>29160</v>
      </c>
    </row>
    <row r="20" spans="1:35" x14ac:dyDescent="0.25">
      <c r="A20" s="11">
        <v>5</v>
      </c>
      <c r="B20" s="29">
        <v>28370</v>
      </c>
      <c r="C20" s="29">
        <v>27650</v>
      </c>
      <c r="D20" s="29">
        <v>27610</v>
      </c>
      <c r="E20" s="29">
        <v>28410</v>
      </c>
      <c r="F20" s="29">
        <v>28320</v>
      </c>
      <c r="G20" s="29">
        <v>29050</v>
      </c>
      <c r="H20" s="29">
        <v>30120</v>
      </c>
      <c r="I20" s="29">
        <v>31090</v>
      </c>
      <c r="J20" s="29">
        <v>30700</v>
      </c>
      <c r="K20" s="29">
        <v>31720</v>
      </c>
      <c r="L20" s="29">
        <v>31400</v>
      </c>
      <c r="M20" s="46">
        <v>31390</v>
      </c>
      <c r="N20" s="46">
        <v>31470</v>
      </c>
      <c r="O20" s="46">
        <v>30580</v>
      </c>
      <c r="P20" s="46">
        <v>31010</v>
      </c>
      <c r="Q20" s="46">
        <v>30630</v>
      </c>
      <c r="R20" s="46">
        <v>30900</v>
      </c>
      <c r="S20" s="46">
        <v>29930</v>
      </c>
      <c r="T20" s="46">
        <v>29450</v>
      </c>
      <c r="U20" s="46">
        <v>29420</v>
      </c>
      <c r="V20" s="46">
        <v>29780</v>
      </c>
      <c r="W20" s="46">
        <v>30360</v>
      </c>
      <c r="X20" s="46">
        <v>29280</v>
      </c>
      <c r="Y20" s="46">
        <v>29320</v>
      </c>
      <c r="Z20" s="46">
        <v>29340</v>
      </c>
      <c r="AA20" s="46">
        <v>29340</v>
      </c>
      <c r="AB20" s="46">
        <v>29340</v>
      </c>
      <c r="AC20" s="46">
        <v>29320</v>
      </c>
      <c r="AD20" s="46">
        <v>29290</v>
      </c>
      <c r="AE20" s="46">
        <v>29260</v>
      </c>
      <c r="AF20" s="46">
        <v>29230</v>
      </c>
      <c r="AG20" s="46">
        <v>29220</v>
      </c>
      <c r="AH20" s="46">
        <v>29220</v>
      </c>
      <c r="AI20" s="46">
        <v>29260</v>
      </c>
    </row>
    <row r="21" spans="1:35" x14ac:dyDescent="0.25">
      <c r="A21" s="11">
        <v>6</v>
      </c>
      <c r="B21" s="29">
        <v>28910</v>
      </c>
      <c r="C21" s="29">
        <v>28620</v>
      </c>
      <c r="D21" s="29">
        <v>27860</v>
      </c>
      <c r="E21" s="29">
        <v>27770</v>
      </c>
      <c r="F21" s="29">
        <v>28550</v>
      </c>
      <c r="G21" s="29">
        <v>28290</v>
      </c>
      <c r="H21" s="29">
        <v>28900</v>
      </c>
      <c r="I21" s="29">
        <v>30050</v>
      </c>
      <c r="J21" s="29">
        <v>31180</v>
      </c>
      <c r="K21" s="29">
        <v>30870</v>
      </c>
      <c r="L21" s="29">
        <v>31990</v>
      </c>
      <c r="M21" s="46">
        <v>31750</v>
      </c>
      <c r="N21" s="46">
        <v>31830</v>
      </c>
      <c r="O21" s="46">
        <v>31890</v>
      </c>
      <c r="P21" s="46">
        <v>31070</v>
      </c>
      <c r="Q21" s="46">
        <v>31120</v>
      </c>
      <c r="R21" s="46">
        <v>30740</v>
      </c>
      <c r="S21" s="46">
        <v>30860</v>
      </c>
      <c r="T21" s="46">
        <v>29940</v>
      </c>
      <c r="U21" s="46">
        <v>29520</v>
      </c>
      <c r="V21" s="46">
        <v>29560</v>
      </c>
      <c r="W21" s="46">
        <v>29920</v>
      </c>
      <c r="X21" s="46">
        <v>30500</v>
      </c>
      <c r="Y21" s="46">
        <v>29410</v>
      </c>
      <c r="Z21" s="46">
        <v>29460</v>
      </c>
      <c r="AA21" s="46">
        <v>29480</v>
      </c>
      <c r="AB21" s="46">
        <v>29480</v>
      </c>
      <c r="AC21" s="46">
        <v>29480</v>
      </c>
      <c r="AD21" s="46">
        <v>29460</v>
      </c>
      <c r="AE21" s="46">
        <v>29430</v>
      </c>
      <c r="AF21" s="46">
        <v>29400</v>
      </c>
      <c r="AG21" s="46">
        <v>29370</v>
      </c>
      <c r="AH21" s="46">
        <v>29360</v>
      </c>
      <c r="AI21" s="46">
        <v>29360</v>
      </c>
    </row>
    <row r="22" spans="1:35" x14ac:dyDescent="0.25">
      <c r="A22" s="11">
        <v>7</v>
      </c>
      <c r="B22" s="29">
        <v>27980</v>
      </c>
      <c r="C22" s="29">
        <v>29160</v>
      </c>
      <c r="D22" s="29">
        <v>28760</v>
      </c>
      <c r="E22" s="29">
        <v>27990</v>
      </c>
      <c r="F22" s="29">
        <v>27850</v>
      </c>
      <c r="G22" s="29">
        <v>28600</v>
      </c>
      <c r="H22" s="29">
        <v>28200</v>
      </c>
      <c r="I22" s="29">
        <v>28790</v>
      </c>
      <c r="J22" s="29">
        <v>30150</v>
      </c>
      <c r="K22" s="29">
        <v>31310</v>
      </c>
      <c r="L22" s="29">
        <v>31080</v>
      </c>
      <c r="M22" s="46">
        <v>32270</v>
      </c>
      <c r="N22" s="46">
        <v>32050</v>
      </c>
      <c r="O22" s="46">
        <v>32180</v>
      </c>
      <c r="P22" s="46">
        <v>32360</v>
      </c>
      <c r="Q22" s="46">
        <v>31200</v>
      </c>
      <c r="R22" s="46">
        <v>31210</v>
      </c>
      <c r="S22" s="46">
        <v>30700</v>
      </c>
      <c r="T22" s="46">
        <v>30870</v>
      </c>
      <c r="U22" s="46">
        <v>30020</v>
      </c>
      <c r="V22" s="46">
        <v>29660</v>
      </c>
      <c r="W22" s="46">
        <v>29690</v>
      </c>
      <c r="X22" s="46">
        <v>30050</v>
      </c>
      <c r="Y22" s="46">
        <v>30630</v>
      </c>
      <c r="Z22" s="46">
        <v>29550</v>
      </c>
      <c r="AA22" s="46">
        <v>29590</v>
      </c>
      <c r="AB22" s="46">
        <v>29610</v>
      </c>
      <c r="AC22" s="46">
        <v>29610</v>
      </c>
      <c r="AD22" s="46">
        <v>29610</v>
      </c>
      <c r="AE22" s="46">
        <v>29590</v>
      </c>
      <c r="AF22" s="46">
        <v>29560</v>
      </c>
      <c r="AG22" s="46">
        <v>29530</v>
      </c>
      <c r="AH22" s="46">
        <v>29500</v>
      </c>
      <c r="AI22" s="46">
        <v>29490</v>
      </c>
    </row>
    <row r="23" spans="1:35" x14ac:dyDescent="0.25">
      <c r="A23" s="11">
        <v>8</v>
      </c>
      <c r="B23" s="29">
        <v>28620</v>
      </c>
      <c r="C23" s="29">
        <v>28230</v>
      </c>
      <c r="D23" s="29">
        <v>29340</v>
      </c>
      <c r="E23" s="29">
        <v>28950</v>
      </c>
      <c r="F23" s="29">
        <v>28120</v>
      </c>
      <c r="G23" s="29">
        <v>27910</v>
      </c>
      <c r="H23" s="29">
        <v>28490</v>
      </c>
      <c r="I23" s="29">
        <v>28140</v>
      </c>
      <c r="J23" s="29">
        <v>28910</v>
      </c>
      <c r="K23" s="29">
        <v>30320</v>
      </c>
      <c r="L23" s="29">
        <v>31560</v>
      </c>
      <c r="M23" s="46">
        <v>31380</v>
      </c>
      <c r="N23" s="46">
        <v>32500</v>
      </c>
      <c r="O23" s="46">
        <v>32460</v>
      </c>
      <c r="P23" s="46">
        <v>32640</v>
      </c>
      <c r="Q23" s="46">
        <v>32500</v>
      </c>
      <c r="R23" s="46">
        <v>31300</v>
      </c>
      <c r="S23" s="46">
        <v>31170</v>
      </c>
      <c r="T23" s="46">
        <v>30710</v>
      </c>
      <c r="U23" s="46">
        <v>30940</v>
      </c>
      <c r="V23" s="46">
        <v>30140</v>
      </c>
      <c r="W23" s="46">
        <v>29780</v>
      </c>
      <c r="X23" s="46">
        <v>29810</v>
      </c>
      <c r="Y23" s="46">
        <v>30170</v>
      </c>
      <c r="Z23" s="46">
        <v>30750</v>
      </c>
      <c r="AA23" s="46">
        <v>29670</v>
      </c>
      <c r="AB23" s="46">
        <v>29710</v>
      </c>
      <c r="AC23" s="46">
        <v>29730</v>
      </c>
      <c r="AD23" s="46">
        <v>29730</v>
      </c>
      <c r="AE23" s="46">
        <v>29730</v>
      </c>
      <c r="AF23" s="46">
        <v>29710</v>
      </c>
      <c r="AG23" s="46">
        <v>29680</v>
      </c>
      <c r="AH23" s="46">
        <v>29650</v>
      </c>
      <c r="AI23" s="46">
        <v>29620</v>
      </c>
    </row>
    <row r="24" spans="1:35" x14ac:dyDescent="0.25">
      <c r="A24" s="11">
        <v>9</v>
      </c>
      <c r="B24" s="29">
        <v>28770</v>
      </c>
      <c r="C24" s="29">
        <v>28910</v>
      </c>
      <c r="D24" s="29">
        <v>28390</v>
      </c>
      <c r="E24" s="29">
        <v>29550</v>
      </c>
      <c r="F24" s="29">
        <v>29150</v>
      </c>
      <c r="G24" s="29">
        <v>28210</v>
      </c>
      <c r="H24" s="29">
        <v>27850</v>
      </c>
      <c r="I24" s="29">
        <v>28430</v>
      </c>
      <c r="J24" s="29">
        <v>28290</v>
      </c>
      <c r="K24" s="29">
        <v>29120</v>
      </c>
      <c r="L24" s="29">
        <v>30590</v>
      </c>
      <c r="M24" s="46">
        <v>31900</v>
      </c>
      <c r="N24" s="46">
        <v>31640</v>
      </c>
      <c r="O24" s="46">
        <v>32810</v>
      </c>
      <c r="P24" s="46">
        <v>32910</v>
      </c>
      <c r="Q24" s="46">
        <v>32750</v>
      </c>
      <c r="R24" s="46">
        <v>32580</v>
      </c>
      <c r="S24" s="46">
        <v>31260</v>
      </c>
      <c r="T24" s="46">
        <v>31180</v>
      </c>
      <c r="U24" s="46">
        <v>30770</v>
      </c>
      <c r="V24" s="46">
        <v>31050</v>
      </c>
      <c r="W24" s="46">
        <v>30250</v>
      </c>
      <c r="X24" s="46">
        <v>29890</v>
      </c>
      <c r="Y24" s="46">
        <v>29920</v>
      </c>
      <c r="Z24" s="46">
        <v>30280</v>
      </c>
      <c r="AA24" s="46">
        <v>30860</v>
      </c>
      <c r="AB24" s="46">
        <v>29780</v>
      </c>
      <c r="AC24" s="46">
        <v>29820</v>
      </c>
      <c r="AD24" s="46">
        <v>29840</v>
      </c>
      <c r="AE24" s="46">
        <v>29840</v>
      </c>
      <c r="AF24" s="46">
        <v>29840</v>
      </c>
      <c r="AG24" s="46">
        <v>29820</v>
      </c>
      <c r="AH24" s="46">
        <v>29790</v>
      </c>
      <c r="AI24" s="46">
        <v>29760</v>
      </c>
    </row>
    <row r="25" spans="1:35" x14ac:dyDescent="0.25">
      <c r="A25" s="11">
        <v>10</v>
      </c>
      <c r="B25" s="29">
        <v>29250</v>
      </c>
      <c r="C25" s="29">
        <v>28990</v>
      </c>
      <c r="D25" s="29">
        <v>29090</v>
      </c>
      <c r="E25" s="29">
        <v>28550</v>
      </c>
      <c r="F25" s="29">
        <v>29770</v>
      </c>
      <c r="G25" s="29">
        <v>29310</v>
      </c>
      <c r="H25" s="29">
        <v>28210</v>
      </c>
      <c r="I25" s="29">
        <v>27900</v>
      </c>
      <c r="J25" s="29">
        <v>28540</v>
      </c>
      <c r="K25" s="29">
        <v>28530</v>
      </c>
      <c r="L25" s="29">
        <v>29430</v>
      </c>
      <c r="M25" s="46">
        <v>30950</v>
      </c>
      <c r="N25" s="46">
        <v>32130</v>
      </c>
      <c r="O25" s="46">
        <v>31940</v>
      </c>
      <c r="P25" s="46">
        <v>33210</v>
      </c>
      <c r="Q25" s="46">
        <v>33010</v>
      </c>
      <c r="R25" s="46">
        <v>32800</v>
      </c>
      <c r="S25" s="46">
        <v>32560</v>
      </c>
      <c r="T25" s="46">
        <v>31280</v>
      </c>
      <c r="U25" s="46">
        <v>31250</v>
      </c>
      <c r="V25" s="46">
        <v>30890</v>
      </c>
      <c r="W25" s="46">
        <v>31170</v>
      </c>
      <c r="X25" s="46">
        <v>30370</v>
      </c>
      <c r="Y25" s="46">
        <v>30010</v>
      </c>
      <c r="Z25" s="46">
        <v>30040</v>
      </c>
      <c r="AA25" s="46">
        <v>30400</v>
      </c>
      <c r="AB25" s="46">
        <v>30980</v>
      </c>
      <c r="AC25" s="46">
        <v>29900</v>
      </c>
      <c r="AD25" s="46">
        <v>29940</v>
      </c>
      <c r="AE25" s="46">
        <v>29960</v>
      </c>
      <c r="AF25" s="46">
        <v>29960</v>
      </c>
      <c r="AG25" s="46">
        <v>29960</v>
      </c>
      <c r="AH25" s="46">
        <v>29940</v>
      </c>
      <c r="AI25" s="46">
        <v>29910</v>
      </c>
    </row>
    <row r="26" spans="1:35" x14ac:dyDescent="0.25">
      <c r="A26" s="11">
        <v>11</v>
      </c>
      <c r="B26" s="29">
        <v>29970</v>
      </c>
      <c r="C26" s="29">
        <v>29430</v>
      </c>
      <c r="D26" s="29">
        <v>29180</v>
      </c>
      <c r="E26" s="29">
        <v>29270</v>
      </c>
      <c r="F26" s="29">
        <v>28700</v>
      </c>
      <c r="G26" s="29">
        <v>29880</v>
      </c>
      <c r="H26" s="29">
        <v>29380</v>
      </c>
      <c r="I26" s="29">
        <v>28280</v>
      </c>
      <c r="J26" s="29">
        <v>28040</v>
      </c>
      <c r="K26" s="29">
        <v>28740</v>
      </c>
      <c r="L26" s="29">
        <v>28830</v>
      </c>
      <c r="M26" s="46">
        <v>29750</v>
      </c>
      <c r="N26" s="46">
        <v>31280</v>
      </c>
      <c r="O26" s="46">
        <v>32470</v>
      </c>
      <c r="P26" s="46">
        <v>32400</v>
      </c>
      <c r="Q26" s="46">
        <v>33340</v>
      </c>
      <c r="R26" s="46">
        <v>33060</v>
      </c>
      <c r="S26" s="46">
        <v>32780</v>
      </c>
      <c r="T26" s="46">
        <v>32580</v>
      </c>
      <c r="U26" s="46">
        <v>31350</v>
      </c>
      <c r="V26" s="46">
        <v>31370</v>
      </c>
      <c r="W26" s="46">
        <v>31010</v>
      </c>
      <c r="X26" s="46">
        <v>31290</v>
      </c>
      <c r="Y26" s="46">
        <v>30490</v>
      </c>
      <c r="Z26" s="46">
        <v>30130</v>
      </c>
      <c r="AA26" s="46">
        <v>30160</v>
      </c>
      <c r="AB26" s="46">
        <v>30520</v>
      </c>
      <c r="AC26" s="46">
        <v>31100</v>
      </c>
      <c r="AD26" s="46">
        <v>30020</v>
      </c>
      <c r="AE26" s="46">
        <v>30060</v>
      </c>
      <c r="AF26" s="46">
        <v>30080</v>
      </c>
      <c r="AG26" s="46">
        <v>30080</v>
      </c>
      <c r="AH26" s="46">
        <v>30080</v>
      </c>
      <c r="AI26" s="46">
        <v>30060</v>
      </c>
    </row>
    <row r="27" spans="1:35" x14ac:dyDescent="0.25">
      <c r="A27" s="11">
        <v>12</v>
      </c>
      <c r="B27" s="29">
        <v>29990</v>
      </c>
      <c r="C27" s="29">
        <v>30090</v>
      </c>
      <c r="D27" s="29">
        <v>29510</v>
      </c>
      <c r="E27" s="29">
        <v>29370</v>
      </c>
      <c r="F27" s="29">
        <v>29520</v>
      </c>
      <c r="G27" s="29">
        <v>28870</v>
      </c>
      <c r="H27" s="29">
        <v>29910</v>
      </c>
      <c r="I27" s="29">
        <v>29480</v>
      </c>
      <c r="J27" s="29">
        <v>28500</v>
      </c>
      <c r="K27" s="29">
        <v>28330</v>
      </c>
      <c r="L27" s="29">
        <v>29080</v>
      </c>
      <c r="M27" s="46">
        <v>29200</v>
      </c>
      <c r="N27" s="46">
        <v>30080</v>
      </c>
      <c r="O27" s="46">
        <v>31580</v>
      </c>
      <c r="P27" s="46">
        <v>32870</v>
      </c>
      <c r="Q27" s="46">
        <v>32500</v>
      </c>
      <c r="R27" s="46">
        <v>33380</v>
      </c>
      <c r="S27" s="46">
        <v>33040</v>
      </c>
      <c r="T27" s="46">
        <v>32810</v>
      </c>
      <c r="U27" s="46">
        <v>32660</v>
      </c>
      <c r="V27" s="46">
        <v>31470</v>
      </c>
      <c r="W27" s="46">
        <v>31490</v>
      </c>
      <c r="X27" s="46">
        <v>31130</v>
      </c>
      <c r="Y27" s="46">
        <v>31410</v>
      </c>
      <c r="Z27" s="46">
        <v>30610</v>
      </c>
      <c r="AA27" s="46">
        <v>30250</v>
      </c>
      <c r="AB27" s="46">
        <v>30290</v>
      </c>
      <c r="AC27" s="46">
        <v>30650</v>
      </c>
      <c r="AD27" s="46">
        <v>31220</v>
      </c>
      <c r="AE27" s="46">
        <v>30140</v>
      </c>
      <c r="AF27" s="46">
        <v>30190</v>
      </c>
      <c r="AG27" s="46">
        <v>30200</v>
      </c>
      <c r="AH27" s="46">
        <v>30210</v>
      </c>
      <c r="AI27" s="46">
        <v>30210</v>
      </c>
    </row>
    <row r="28" spans="1:35" x14ac:dyDescent="0.25">
      <c r="A28" s="11">
        <v>13</v>
      </c>
      <c r="B28" s="29">
        <v>30750</v>
      </c>
      <c r="C28" s="29">
        <v>30090</v>
      </c>
      <c r="D28" s="29">
        <v>30120</v>
      </c>
      <c r="E28" s="29">
        <v>29630</v>
      </c>
      <c r="F28" s="29">
        <v>29590</v>
      </c>
      <c r="G28" s="29">
        <v>29630</v>
      </c>
      <c r="H28" s="29">
        <v>28910</v>
      </c>
      <c r="I28" s="29">
        <v>29930</v>
      </c>
      <c r="J28" s="29">
        <v>29630</v>
      </c>
      <c r="K28" s="29">
        <v>28800</v>
      </c>
      <c r="L28" s="29">
        <v>28640</v>
      </c>
      <c r="M28" s="46">
        <v>29400</v>
      </c>
      <c r="N28" s="46">
        <v>29590</v>
      </c>
      <c r="O28" s="46">
        <v>30430</v>
      </c>
      <c r="P28" s="46">
        <v>31970</v>
      </c>
      <c r="Q28" s="46">
        <v>32980</v>
      </c>
      <c r="R28" s="46">
        <v>32540</v>
      </c>
      <c r="S28" s="46">
        <v>33400</v>
      </c>
      <c r="T28" s="46">
        <v>33110</v>
      </c>
      <c r="U28" s="46">
        <v>32920</v>
      </c>
      <c r="V28" s="46">
        <v>32820</v>
      </c>
      <c r="W28" s="46">
        <v>31640</v>
      </c>
      <c r="X28" s="46">
        <v>31650</v>
      </c>
      <c r="Y28" s="46">
        <v>31290</v>
      </c>
      <c r="Z28" s="46">
        <v>31570</v>
      </c>
      <c r="AA28" s="46">
        <v>30770</v>
      </c>
      <c r="AB28" s="46">
        <v>30410</v>
      </c>
      <c r="AC28" s="46">
        <v>30450</v>
      </c>
      <c r="AD28" s="46">
        <v>30810</v>
      </c>
      <c r="AE28" s="46">
        <v>31380</v>
      </c>
      <c r="AF28" s="46">
        <v>30310</v>
      </c>
      <c r="AG28" s="46">
        <v>30350</v>
      </c>
      <c r="AH28" s="46">
        <v>30370</v>
      </c>
      <c r="AI28" s="46">
        <v>30370</v>
      </c>
    </row>
    <row r="29" spans="1:35" x14ac:dyDescent="0.25">
      <c r="A29" s="11">
        <v>14</v>
      </c>
      <c r="B29" s="29">
        <v>30960</v>
      </c>
      <c r="C29" s="29">
        <v>30780</v>
      </c>
      <c r="D29" s="29">
        <v>30110</v>
      </c>
      <c r="E29" s="29">
        <v>30170</v>
      </c>
      <c r="F29" s="29">
        <v>29830</v>
      </c>
      <c r="G29" s="29">
        <v>29790</v>
      </c>
      <c r="H29" s="29">
        <v>29700</v>
      </c>
      <c r="I29" s="29">
        <v>29000</v>
      </c>
      <c r="J29" s="29">
        <v>30030</v>
      </c>
      <c r="K29" s="29">
        <v>29920</v>
      </c>
      <c r="L29" s="29">
        <v>29200</v>
      </c>
      <c r="M29" s="46">
        <v>29100</v>
      </c>
      <c r="N29" s="46">
        <v>29750</v>
      </c>
      <c r="O29" s="46">
        <v>29930</v>
      </c>
      <c r="P29" s="46">
        <v>30790</v>
      </c>
      <c r="Q29" s="46">
        <v>32040</v>
      </c>
      <c r="R29" s="46">
        <v>33000</v>
      </c>
      <c r="S29" s="46">
        <v>32580</v>
      </c>
      <c r="T29" s="46">
        <v>33480</v>
      </c>
      <c r="U29" s="46">
        <v>33240</v>
      </c>
      <c r="V29" s="46">
        <v>33110</v>
      </c>
      <c r="W29" s="46">
        <v>33010</v>
      </c>
      <c r="X29" s="46">
        <v>31830</v>
      </c>
      <c r="Y29" s="46">
        <v>31840</v>
      </c>
      <c r="Z29" s="46">
        <v>31480</v>
      </c>
      <c r="AA29" s="46">
        <v>31760</v>
      </c>
      <c r="AB29" s="46">
        <v>30960</v>
      </c>
      <c r="AC29" s="46">
        <v>30600</v>
      </c>
      <c r="AD29" s="46">
        <v>30640</v>
      </c>
      <c r="AE29" s="46">
        <v>31000</v>
      </c>
      <c r="AF29" s="46">
        <v>31580</v>
      </c>
      <c r="AG29" s="46">
        <v>30500</v>
      </c>
      <c r="AH29" s="46">
        <v>30540</v>
      </c>
      <c r="AI29" s="46">
        <v>30560</v>
      </c>
    </row>
    <row r="30" spans="1:35" x14ac:dyDescent="0.25">
      <c r="A30" s="11">
        <v>15</v>
      </c>
      <c r="B30" s="29">
        <v>32030</v>
      </c>
      <c r="C30" s="29">
        <v>31100</v>
      </c>
      <c r="D30" s="29">
        <v>30870</v>
      </c>
      <c r="E30" s="29">
        <v>30230</v>
      </c>
      <c r="F30" s="29">
        <v>30410</v>
      </c>
      <c r="G30" s="29">
        <v>29940</v>
      </c>
      <c r="H30" s="29">
        <v>30020</v>
      </c>
      <c r="I30" s="29">
        <v>29930</v>
      </c>
      <c r="J30" s="29">
        <v>29310</v>
      </c>
      <c r="K30" s="29">
        <v>30390</v>
      </c>
      <c r="L30" s="29">
        <v>30490</v>
      </c>
      <c r="M30" s="46">
        <v>29850</v>
      </c>
      <c r="N30" s="46">
        <v>29620</v>
      </c>
      <c r="O30" s="46">
        <v>30210</v>
      </c>
      <c r="P30" s="46">
        <v>30420</v>
      </c>
      <c r="Q30" s="46">
        <v>30890</v>
      </c>
      <c r="R30" s="46">
        <v>32140</v>
      </c>
      <c r="S30" s="46">
        <v>33130</v>
      </c>
      <c r="T30" s="46">
        <v>32750</v>
      </c>
      <c r="U30" s="46">
        <v>33710</v>
      </c>
      <c r="V30" s="46">
        <v>33510</v>
      </c>
      <c r="W30" s="46">
        <v>33380</v>
      </c>
      <c r="X30" s="46">
        <v>33270</v>
      </c>
      <c r="Y30" s="46">
        <v>32090</v>
      </c>
      <c r="Z30" s="46">
        <v>32110</v>
      </c>
      <c r="AA30" s="46">
        <v>31750</v>
      </c>
      <c r="AB30" s="46">
        <v>32030</v>
      </c>
      <c r="AC30" s="46">
        <v>31230</v>
      </c>
      <c r="AD30" s="46">
        <v>30870</v>
      </c>
      <c r="AE30" s="46">
        <v>30910</v>
      </c>
      <c r="AF30" s="46">
        <v>31270</v>
      </c>
      <c r="AG30" s="46">
        <v>31840</v>
      </c>
      <c r="AH30" s="46">
        <v>30770</v>
      </c>
      <c r="AI30" s="46">
        <v>30810</v>
      </c>
    </row>
    <row r="31" spans="1:35" x14ac:dyDescent="0.25">
      <c r="A31" s="11">
        <v>16</v>
      </c>
      <c r="B31" s="29">
        <v>31990</v>
      </c>
      <c r="C31" s="29">
        <v>32170</v>
      </c>
      <c r="D31" s="29">
        <v>31150</v>
      </c>
      <c r="E31" s="29">
        <v>31080</v>
      </c>
      <c r="F31" s="29">
        <v>30550</v>
      </c>
      <c r="G31" s="29">
        <v>30730</v>
      </c>
      <c r="H31" s="29">
        <v>30160</v>
      </c>
      <c r="I31" s="29">
        <v>30350</v>
      </c>
      <c r="J31" s="29">
        <v>30230</v>
      </c>
      <c r="K31" s="29">
        <v>29800</v>
      </c>
      <c r="L31" s="29">
        <v>30940</v>
      </c>
      <c r="M31" s="46">
        <v>31110</v>
      </c>
      <c r="N31" s="46">
        <v>30440</v>
      </c>
      <c r="O31" s="46">
        <v>30110</v>
      </c>
      <c r="P31" s="46">
        <v>30740</v>
      </c>
      <c r="Q31" s="46">
        <v>30450</v>
      </c>
      <c r="R31" s="46">
        <v>30940</v>
      </c>
      <c r="S31" s="46">
        <v>32350</v>
      </c>
      <c r="T31" s="46">
        <v>33390</v>
      </c>
      <c r="U31" s="46">
        <v>33060</v>
      </c>
      <c r="V31" s="46">
        <v>34060</v>
      </c>
      <c r="W31" s="46">
        <v>33870</v>
      </c>
      <c r="X31" s="46">
        <v>33740</v>
      </c>
      <c r="Y31" s="46">
        <v>33630</v>
      </c>
      <c r="Z31" s="46">
        <v>32450</v>
      </c>
      <c r="AA31" s="46">
        <v>32470</v>
      </c>
      <c r="AB31" s="46">
        <v>32110</v>
      </c>
      <c r="AC31" s="46">
        <v>32390</v>
      </c>
      <c r="AD31" s="46">
        <v>31590</v>
      </c>
      <c r="AE31" s="46">
        <v>31230</v>
      </c>
      <c r="AF31" s="46">
        <v>31270</v>
      </c>
      <c r="AG31" s="46">
        <v>31630</v>
      </c>
      <c r="AH31" s="46">
        <v>32200</v>
      </c>
      <c r="AI31" s="46">
        <v>31130</v>
      </c>
    </row>
    <row r="32" spans="1:35" x14ac:dyDescent="0.25">
      <c r="A32" s="11">
        <v>17</v>
      </c>
      <c r="B32" s="29">
        <v>30880</v>
      </c>
      <c r="C32" s="29">
        <v>32080</v>
      </c>
      <c r="D32" s="29">
        <v>32330</v>
      </c>
      <c r="E32" s="29">
        <v>31430</v>
      </c>
      <c r="F32" s="29">
        <v>31420</v>
      </c>
      <c r="G32" s="29">
        <v>30830</v>
      </c>
      <c r="H32" s="29">
        <v>30890</v>
      </c>
      <c r="I32" s="29">
        <v>30440</v>
      </c>
      <c r="J32" s="29">
        <v>30680</v>
      </c>
      <c r="K32" s="29">
        <v>30680</v>
      </c>
      <c r="L32" s="29">
        <v>30340</v>
      </c>
      <c r="M32" s="46">
        <v>31460</v>
      </c>
      <c r="N32" s="46">
        <v>31530</v>
      </c>
      <c r="O32" s="46">
        <v>30840</v>
      </c>
      <c r="P32" s="46">
        <v>30470</v>
      </c>
      <c r="Q32" s="46">
        <v>30690</v>
      </c>
      <c r="R32" s="46">
        <v>30490</v>
      </c>
      <c r="S32" s="46">
        <v>31070</v>
      </c>
      <c r="T32" s="46">
        <v>32530</v>
      </c>
      <c r="U32" s="46">
        <v>33620</v>
      </c>
      <c r="V32" s="46">
        <v>33350</v>
      </c>
      <c r="W32" s="46">
        <v>34350</v>
      </c>
      <c r="X32" s="46">
        <v>34150</v>
      </c>
      <c r="Y32" s="46">
        <v>34020</v>
      </c>
      <c r="Z32" s="46">
        <v>33920</v>
      </c>
      <c r="AA32" s="46">
        <v>32740</v>
      </c>
      <c r="AB32" s="46">
        <v>32750</v>
      </c>
      <c r="AC32" s="46">
        <v>32400</v>
      </c>
      <c r="AD32" s="46">
        <v>32670</v>
      </c>
      <c r="AE32" s="46">
        <v>31880</v>
      </c>
      <c r="AF32" s="46">
        <v>31520</v>
      </c>
      <c r="AG32" s="46">
        <v>31550</v>
      </c>
      <c r="AH32" s="46">
        <v>31910</v>
      </c>
      <c r="AI32" s="46">
        <v>32490</v>
      </c>
    </row>
    <row r="33" spans="1:35" x14ac:dyDescent="0.25">
      <c r="A33" s="11">
        <v>18</v>
      </c>
      <c r="B33" s="29">
        <v>30180</v>
      </c>
      <c r="C33" s="29">
        <v>30570</v>
      </c>
      <c r="D33" s="29">
        <v>31740</v>
      </c>
      <c r="E33" s="29">
        <v>32180</v>
      </c>
      <c r="F33" s="29">
        <v>31390</v>
      </c>
      <c r="G33" s="29">
        <v>31250</v>
      </c>
      <c r="H33" s="29">
        <v>30590</v>
      </c>
      <c r="I33" s="29">
        <v>30770</v>
      </c>
      <c r="J33" s="29">
        <v>30640</v>
      </c>
      <c r="K33" s="29">
        <v>30950</v>
      </c>
      <c r="L33" s="29">
        <v>30960</v>
      </c>
      <c r="M33" s="46">
        <v>30710</v>
      </c>
      <c r="N33" s="46">
        <v>31660</v>
      </c>
      <c r="O33" s="46">
        <v>31720</v>
      </c>
      <c r="P33" s="46">
        <v>31110</v>
      </c>
      <c r="Q33" s="46">
        <v>30270</v>
      </c>
      <c r="R33" s="46">
        <v>30610</v>
      </c>
      <c r="S33" s="46">
        <v>30480</v>
      </c>
      <c r="T33" s="46">
        <v>31110</v>
      </c>
      <c r="U33" s="46">
        <v>32610</v>
      </c>
      <c r="V33" s="46">
        <v>33750</v>
      </c>
      <c r="W33" s="46">
        <v>33470</v>
      </c>
      <c r="X33" s="46">
        <v>34470</v>
      </c>
      <c r="Y33" s="46">
        <v>34280</v>
      </c>
      <c r="Z33" s="46">
        <v>34140</v>
      </c>
      <c r="AA33" s="46">
        <v>34040</v>
      </c>
      <c r="AB33" s="46">
        <v>32860</v>
      </c>
      <c r="AC33" s="46">
        <v>32880</v>
      </c>
      <c r="AD33" s="46">
        <v>32520</v>
      </c>
      <c r="AE33" s="46">
        <v>32800</v>
      </c>
      <c r="AF33" s="46">
        <v>32000</v>
      </c>
      <c r="AG33" s="46">
        <v>31640</v>
      </c>
      <c r="AH33" s="46">
        <v>31680</v>
      </c>
      <c r="AI33" s="46">
        <v>32040</v>
      </c>
    </row>
    <row r="34" spans="1:35" x14ac:dyDescent="0.25">
      <c r="A34" s="11">
        <v>19</v>
      </c>
      <c r="B34" s="29">
        <v>29070</v>
      </c>
      <c r="C34" s="29">
        <v>30050</v>
      </c>
      <c r="D34" s="29">
        <v>30440</v>
      </c>
      <c r="E34" s="29">
        <v>31800</v>
      </c>
      <c r="F34" s="29">
        <v>32490</v>
      </c>
      <c r="G34" s="29">
        <v>31470</v>
      </c>
      <c r="H34" s="29">
        <v>31340</v>
      </c>
      <c r="I34" s="29">
        <v>30840</v>
      </c>
      <c r="J34" s="29">
        <v>31180</v>
      </c>
      <c r="K34" s="29">
        <v>31190</v>
      </c>
      <c r="L34" s="29">
        <v>31530</v>
      </c>
      <c r="M34" s="46">
        <v>31390</v>
      </c>
      <c r="N34" s="46">
        <v>31000</v>
      </c>
      <c r="O34" s="46">
        <v>31980</v>
      </c>
      <c r="P34" s="46">
        <v>32010</v>
      </c>
      <c r="Q34" s="46">
        <v>30860</v>
      </c>
      <c r="R34" s="46">
        <v>30200</v>
      </c>
      <c r="S34" s="46">
        <v>30630</v>
      </c>
      <c r="T34" s="46">
        <v>30560</v>
      </c>
      <c r="U34" s="46">
        <v>31250</v>
      </c>
      <c r="V34" s="46">
        <v>32810</v>
      </c>
      <c r="W34" s="46">
        <v>33950</v>
      </c>
      <c r="X34" s="46">
        <v>33670</v>
      </c>
      <c r="Y34" s="46">
        <v>34670</v>
      </c>
      <c r="Z34" s="46">
        <v>34480</v>
      </c>
      <c r="AA34" s="46">
        <v>34350</v>
      </c>
      <c r="AB34" s="46">
        <v>34240</v>
      </c>
      <c r="AC34" s="46">
        <v>33070</v>
      </c>
      <c r="AD34" s="46">
        <v>33080</v>
      </c>
      <c r="AE34" s="46">
        <v>32730</v>
      </c>
      <c r="AF34" s="46">
        <v>33000</v>
      </c>
      <c r="AG34" s="46">
        <v>32210</v>
      </c>
      <c r="AH34" s="46">
        <v>31850</v>
      </c>
      <c r="AI34" s="46">
        <v>31880</v>
      </c>
    </row>
    <row r="35" spans="1:35" x14ac:dyDescent="0.25">
      <c r="A35" s="11">
        <v>20</v>
      </c>
      <c r="B35" s="29">
        <v>29720</v>
      </c>
      <c r="C35" s="29">
        <v>29030</v>
      </c>
      <c r="D35" s="29">
        <v>30070</v>
      </c>
      <c r="E35" s="29">
        <v>30550</v>
      </c>
      <c r="F35" s="29">
        <v>32200</v>
      </c>
      <c r="G35" s="29">
        <v>32780</v>
      </c>
      <c r="H35" s="29">
        <v>31580</v>
      </c>
      <c r="I35" s="29">
        <v>31590</v>
      </c>
      <c r="J35" s="29">
        <v>31230</v>
      </c>
      <c r="K35" s="29">
        <v>31650</v>
      </c>
      <c r="L35" s="29">
        <v>31800</v>
      </c>
      <c r="M35" s="46">
        <v>31820</v>
      </c>
      <c r="N35" s="46">
        <v>31850</v>
      </c>
      <c r="O35" s="46">
        <v>31220</v>
      </c>
      <c r="P35" s="46">
        <v>32340</v>
      </c>
      <c r="Q35" s="46">
        <v>31730</v>
      </c>
      <c r="R35" s="46">
        <v>30760</v>
      </c>
      <c r="S35" s="46">
        <v>30130</v>
      </c>
      <c r="T35" s="46">
        <v>30640</v>
      </c>
      <c r="U35" s="46">
        <v>30650</v>
      </c>
      <c r="V35" s="46">
        <v>31420</v>
      </c>
      <c r="W35" s="46">
        <v>32980</v>
      </c>
      <c r="X35" s="46">
        <v>34120</v>
      </c>
      <c r="Y35" s="46">
        <v>33840</v>
      </c>
      <c r="Z35" s="46">
        <v>34840</v>
      </c>
      <c r="AA35" s="46">
        <v>34650</v>
      </c>
      <c r="AB35" s="46">
        <v>34520</v>
      </c>
      <c r="AC35" s="46">
        <v>34410</v>
      </c>
      <c r="AD35" s="46">
        <v>33240</v>
      </c>
      <c r="AE35" s="46">
        <v>33250</v>
      </c>
      <c r="AF35" s="46">
        <v>32900</v>
      </c>
      <c r="AG35" s="46">
        <v>33180</v>
      </c>
      <c r="AH35" s="46">
        <v>32380</v>
      </c>
      <c r="AI35" s="46">
        <v>32020</v>
      </c>
    </row>
    <row r="36" spans="1:35" x14ac:dyDescent="0.25">
      <c r="A36" s="11">
        <v>21</v>
      </c>
      <c r="B36" s="29">
        <v>29650</v>
      </c>
      <c r="C36" s="29">
        <v>29360</v>
      </c>
      <c r="D36" s="29">
        <v>28760</v>
      </c>
      <c r="E36" s="29">
        <v>29990</v>
      </c>
      <c r="F36" s="29">
        <v>30640</v>
      </c>
      <c r="G36" s="29">
        <v>32110</v>
      </c>
      <c r="H36" s="29">
        <v>32450</v>
      </c>
      <c r="I36" s="29">
        <v>31430</v>
      </c>
      <c r="J36" s="29">
        <v>31840</v>
      </c>
      <c r="K36" s="29">
        <v>31570</v>
      </c>
      <c r="L36" s="29">
        <v>32260</v>
      </c>
      <c r="M36" s="46">
        <v>32190</v>
      </c>
      <c r="N36" s="46">
        <v>32100</v>
      </c>
      <c r="O36" s="46">
        <v>32020</v>
      </c>
      <c r="P36" s="46">
        <v>31680</v>
      </c>
      <c r="Q36" s="46">
        <v>32090</v>
      </c>
      <c r="R36" s="46">
        <v>31650</v>
      </c>
      <c r="S36" s="46">
        <v>30490</v>
      </c>
      <c r="T36" s="46">
        <v>29960</v>
      </c>
      <c r="U36" s="46">
        <v>30560</v>
      </c>
      <c r="V36" s="46">
        <v>30680</v>
      </c>
      <c r="W36" s="46">
        <v>31440</v>
      </c>
      <c r="X36" s="46">
        <v>33000</v>
      </c>
      <c r="Y36" s="46">
        <v>34140</v>
      </c>
      <c r="Z36" s="46">
        <v>33860</v>
      </c>
      <c r="AA36" s="46">
        <v>34860</v>
      </c>
      <c r="AB36" s="46">
        <v>34670</v>
      </c>
      <c r="AC36" s="46">
        <v>34540</v>
      </c>
      <c r="AD36" s="46">
        <v>34440</v>
      </c>
      <c r="AE36" s="46">
        <v>33260</v>
      </c>
      <c r="AF36" s="46">
        <v>33270</v>
      </c>
      <c r="AG36" s="46">
        <v>32920</v>
      </c>
      <c r="AH36" s="46">
        <v>33200</v>
      </c>
      <c r="AI36" s="46">
        <v>32400</v>
      </c>
    </row>
    <row r="37" spans="1:35" x14ac:dyDescent="0.25">
      <c r="A37" s="11">
        <v>22</v>
      </c>
      <c r="B37" s="29">
        <v>29240</v>
      </c>
      <c r="C37" s="29">
        <v>29060</v>
      </c>
      <c r="D37" s="29">
        <v>28760</v>
      </c>
      <c r="E37" s="29">
        <v>28500</v>
      </c>
      <c r="F37" s="29">
        <v>29830</v>
      </c>
      <c r="G37" s="29">
        <v>30220</v>
      </c>
      <c r="H37" s="29">
        <v>31400</v>
      </c>
      <c r="I37" s="29">
        <v>32070</v>
      </c>
      <c r="J37" s="29">
        <v>31610</v>
      </c>
      <c r="K37" s="29">
        <v>32160</v>
      </c>
      <c r="L37" s="29">
        <v>32150</v>
      </c>
      <c r="M37" s="46">
        <v>32700</v>
      </c>
      <c r="N37" s="46">
        <v>32420</v>
      </c>
      <c r="O37" s="46">
        <v>32380</v>
      </c>
      <c r="P37" s="46">
        <v>32610</v>
      </c>
      <c r="Q37" s="46">
        <v>31350</v>
      </c>
      <c r="R37" s="46">
        <v>31930</v>
      </c>
      <c r="S37" s="46">
        <v>31330</v>
      </c>
      <c r="T37" s="46">
        <v>30290</v>
      </c>
      <c r="U37" s="46">
        <v>29870</v>
      </c>
      <c r="V37" s="46">
        <v>30590</v>
      </c>
      <c r="W37" s="46">
        <v>30700</v>
      </c>
      <c r="X37" s="46">
        <v>31460</v>
      </c>
      <c r="Y37" s="46">
        <v>33020</v>
      </c>
      <c r="Z37" s="46">
        <v>34160</v>
      </c>
      <c r="AA37" s="46">
        <v>33880</v>
      </c>
      <c r="AB37" s="46">
        <v>34890</v>
      </c>
      <c r="AC37" s="46">
        <v>34690</v>
      </c>
      <c r="AD37" s="46">
        <v>34560</v>
      </c>
      <c r="AE37" s="46">
        <v>34460</v>
      </c>
      <c r="AF37" s="46">
        <v>33280</v>
      </c>
      <c r="AG37" s="46">
        <v>33300</v>
      </c>
      <c r="AH37" s="46">
        <v>32940</v>
      </c>
      <c r="AI37" s="46">
        <v>33220</v>
      </c>
    </row>
    <row r="38" spans="1:35" x14ac:dyDescent="0.25">
      <c r="A38" s="11">
        <v>23</v>
      </c>
      <c r="B38" s="29">
        <v>28880</v>
      </c>
      <c r="C38" s="29">
        <v>28650</v>
      </c>
      <c r="D38" s="29">
        <v>28520</v>
      </c>
      <c r="E38" s="29">
        <v>28380</v>
      </c>
      <c r="F38" s="29">
        <v>28400</v>
      </c>
      <c r="G38" s="29">
        <v>29440</v>
      </c>
      <c r="H38" s="29">
        <v>29730</v>
      </c>
      <c r="I38" s="29">
        <v>31030</v>
      </c>
      <c r="J38" s="29">
        <v>32380</v>
      </c>
      <c r="K38" s="29">
        <v>32550</v>
      </c>
      <c r="L38" s="29">
        <v>33150</v>
      </c>
      <c r="M38" s="46">
        <v>32990</v>
      </c>
      <c r="N38" s="46">
        <v>33250</v>
      </c>
      <c r="O38" s="46">
        <v>32940</v>
      </c>
      <c r="P38" s="46">
        <v>33250</v>
      </c>
      <c r="Q38" s="46">
        <v>32220</v>
      </c>
      <c r="R38" s="46">
        <v>31150</v>
      </c>
      <c r="S38" s="46">
        <v>31600</v>
      </c>
      <c r="T38" s="46">
        <v>31140</v>
      </c>
      <c r="U38" s="46">
        <v>30230</v>
      </c>
      <c r="V38" s="46">
        <v>29950</v>
      </c>
      <c r="W38" s="46">
        <v>30670</v>
      </c>
      <c r="X38" s="46">
        <v>30780</v>
      </c>
      <c r="Y38" s="46">
        <v>31540</v>
      </c>
      <c r="Z38" s="46">
        <v>33110</v>
      </c>
      <c r="AA38" s="46">
        <v>34240</v>
      </c>
      <c r="AB38" s="46">
        <v>33970</v>
      </c>
      <c r="AC38" s="46">
        <v>34970</v>
      </c>
      <c r="AD38" s="46">
        <v>34770</v>
      </c>
      <c r="AE38" s="46">
        <v>34640</v>
      </c>
      <c r="AF38" s="46">
        <v>34540</v>
      </c>
      <c r="AG38" s="46">
        <v>33360</v>
      </c>
      <c r="AH38" s="46">
        <v>33380</v>
      </c>
      <c r="AI38" s="46">
        <v>33020</v>
      </c>
    </row>
    <row r="39" spans="1:35" x14ac:dyDescent="0.25">
      <c r="A39" s="11">
        <v>24</v>
      </c>
      <c r="B39" s="29">
        <v>27860</v>
      </c>
      <c r="C39" s="29">
        <v>28440</v>
      </c>
      <c r="D39" s="29">
        <v>28250</v>
      </c>
      <c r="E39" s="29">
        <v>28310</v>
      </c>
      <c r="F39" s="29">
        <v>28250</v>
      </c>
      <c r="G39" s="29">
        <v>28180</v>
      </c>
      <c r="H39" s="29">
        <v>29140</v>
      </c>
      <c r="I39" s="29">
        <v>29620</v>
      </c>
      <c r="J39" s="29">
        <v>31650</v>
      </c>
      <c r="K39" s="29">
        <v>33350</v>
      </c>
      <c r="L39" s="29">
        <v>33860</v>
      </c>
      <c r="M39" s="46">
        <v>34130</v>
      </c>
      <c r="N39" s="46">
        <v>33660</v>
      </c>
      <c r="O39" s="46">
        <v>33680</v>
      </c>
      <c r="P39" s="46">
        <v>34070</v>
      </c>
      <c r="Q39" s="46">
        <v>32860</v>
      </c>
      <c r="R39" s="46">
        <v>31960</v>
      </c>
      <c r="S39" s="46">
        <v>30940</v>
      </c>
      <c r="T39" s="46">
        <v>31550</v>
      </c>
      <c r="U39" s="46">
        <v>31240</v>
      </c>
      <c r="V39" s="46">
        <v>30490</v>
      </c>
      <c r="W39" s="46">
        <v>30200</v>
      </c>
      <c r="X39" s="46">
        <v>30920</v>
      </c>
      <c r="Y39" s="46">
        <v>31030</v>
      </c>
      <c r="Z39" s="46">
        <v>31800</v>
      </c>
      <c r="AA39" s="46">
        <v>33360</v>
      </c>
      <c r="AB39" s="46">
        <v>34490</v>
      </c>
      <c r="AC39" s="46">
        <v>34220</v>
      </c>
      <c r="AD39" s="46">
        <v>35220</v>
      </c>
      <c r="AE39" s="46">
        <v>35030</v>
      </c>
      <c r="AF39" s="46">
        <v>34890</v>
      </c>
      <c r="AG39" s="46">
        <v>34790</v>
      </c>
      <c r="AH39" s="46">
        <v>33620</v>
      </c>
      <c r="AI39" s="46">
        <v>33630</v>
      </c>
    </row>
    <row r="40" spans="1:35" x14ac:dyDescent="0.25">
      <c r="A40" s="11">
        <v>25</v>
      </c>
      <c r="B40" s="29">
        <v>27140</v>
      </c>
      <c r="C40" s="29">
        <v>27660</v>
      </c>
      <c r="D40" s="29">
        <v>28050</v>
      </c>
      <c r="E40" s="29">
        <v>28170</v>
      </c>
      <c r="F40" s="29">
        <v>28260</v>
      </c>
      <c r="G40" s="29">
        <v>28120</v>
      </c>
      <c r="H40" s="29">
        <v>28030</v>
      </c>
      <c r="I40" s="29">
        <v>29240</v>
      </c>
      <c r="J40" s="29">
        <v>30410</v>
      </c>
      <c r="K40" s="29">
        <v>32720</v>
      </c>
      <c r="L40" s="29">
        <v>34770</v>
      </c>
      <c r="M40" s="46">
        <v>35010</v>
      </c>
      <c r="N40" s="46">
        <v>34980</v>
      </c>
      <c r="O40" s="46">
        <v>34340</v>
      </c>
      <c r="P40" s="46">
        <v>35060</v>
      </c>
      <c r="Q40" s="46">
        <v>33660</v>
      </c>
      <c r="R40" s="46">
        <v>32570</v>
      </c>
      <c r="S40" s="46">
        <v>31920</v>
      </c>
      <c r="T40" s="46">
        <v>31060</v>
      </c>
      <c r="U40" s="46">
        <v>31820</v>
      </c>
      <c r="V40" s="46">
        <v>31670</v>
      </c>
      <c r="W40" s="46">
        <v>30920</v>
      </c>
      <c r="X40" s="46">
        <v>30630</v>
      </c>
      <c r="Y40" s="46">
        <v>31350</v>
      </c>
      <c r="Z40" s="46">
        <v>31460</v>
      </c>
      <c r="AA40" s="46">
        <v>32230</v>
      </c>
      <c r="AB40" s="46">
        <v>33790</v>
      </c>
      <c r="AC40" s="46">
        <v>34920</v>
      </c>
      <c r="AD40" s="46">
        <v>34650</v>
      </c>
      <c r="AE40" s="46">
        <v>35650</v>
      </c>
      <c r="AF40" s="46">
        <v>35460</v>
      </c>
      <c r="AG40" s="46">
        <v>35320</v>
      </c>
      <c r="AH40" s="46">
        <v>35220</v>
      </c>
      <c r="AI40" s="46">
        <v>34050</v>
      </c>
    </row>
    <row r="41" spans="1:35" x14ac:dyDescent="0.25">
      <c r="A41" s="11">
        <v>26</v>
      </c>
      <c r="B41" s="29">
        <v>26810</v>
      </c>
      <c r="C41" s="29">
        <v>27200</v>
      </c>
      <c r="D41" s="29">
        <v>27510</v>
      </c>
      <c r="E41" s="29">
        <v>28030</v>
      </c>
      <c r="F41" s="29">
        <v>28290</v>
      </c>
      <c r="G41" s="29">
        <v>28060</v>
      </c>
      <c r="H41" s="29">
        <v>27980</v>
      </c>
      <c r="I41" s="29">
        <v>28240</v>
      </c>
      <c r="J41" s="29">
        <v>30290</v>
      </c>
      <c r="K41" s="29">
        <v>31610</v>
      </c>
      <c r="L41" s="29">
        <v>34330</v>
      </c>
      <c r="M41" s="46">
        <v>36180</v>
      </c>
      <c r="N41" s="46">
        <v>36260</v>
      </c>
      <c r="O41" s="46">
        <v>35930</v>
      </c>
      <c r="P41" s="46">
        <v>35920</v>
      </c>
      <c r="Q41" s="46">
        <v>34700</v>
      </c>
      <c r="R41" s="46">
        <v>33360</v>
      </c>
      <c r="S41" s="46">
        <v>32660</v>
      </c>
      <c r="T41" s="46">
        <v>32160</v>
      </c>
      <c r="U41" s="46">
        <v>31460</v>
      </c>
      <c r="V41" s="46">
        <v>32380</v>
      </c>
      <c r="W41" s="46">
        <v>32230</v>
      </c>
      <c r="X41" s="46">
        <v>31470</v>
      </c>
      <c r="Y41" s="46">
        <v>31190</v>
      </c>
      <c r="Z41" s="46">
        <v>31910</v>
      </c>
      <c r="AA41" s="46">
        <v>32020</v>
      </c>
      <c r="AB41" s="46">
        <v>32790</v>
      </c>
      <c r="AC41" s="46">
        <v>34350</v>
      </c>
      <c r="AD41" s="46">
        <v>35480</v>
      </c>
      <c r="AE41" s="46">
        <v>35210</v>
      </c>
      <c r="AF41" s="46">
        <v>36210</v>
      </c>
      <c r="AG41" s="46">
        <v>36020</v>
      </c>
      <c r="AH41" s="46">
        <v>35880</v>
      </c>
      <c r="AI41" s="46">
        <v>35780</v>
      </c>
    </row>
    <row r="42" spans="1:35" x14ac:dyDescent="0.25">
      <c r="A42" s="11">
        <v>27</v>
      </c>
      <c r="B42" s="29">
        <v>26790</v>
      </c>
      <c r="C42" s="29">
        <v>26970</v>
      </c>
      <c r="D42" s="29">
        <v>27250</v>
      </c>
      <c r="E42" s="29">
        <v>27710</v>
      </c>
      <c r="F42" s="29">
        <v>28270</v>
      </c>
      <c r="G42" s="29">
        <v>28130</v>
      </c>
      <c r="H42" s="29">
        <v>28050</v>
      </c>
      <c r="I42" s="29">
        <v>28080</v>
      </c>
      <c r="J42" s="29">
        <v>29200</v>
      </c>
      <c r="K42" s="29">
        <v>31710</v>
      </c>
      <c r="L42" s="29">
        <v>33250</v>
      </c>
      <c r="M42" s="46">
        <v>35750</v>
      </c>
      <c r="N42" s="46">
        <v>37440</v>
      </c>
      <c r="O42" s="46">
        <v>37230</v>
      </c>
      <c r="P42" s="46">
        <v>37760</v>
      </c>
      <c r="Q42" s="46">
        <v>35670</v>
      </c>
      <c r="R42" s="46">
        <v>34440</v>
      </c>
      <c r="S42" s="46">
        <v>33570</v>
      </c>
      <c r="T42" s="46">
        <v>33020</v>
      </c>
      <c r="U42" s="46">
        <v>32680</v>
      </c>
      <c r="V42" s="46">
        <v>32130</v>
      </c>
      <c r="W42" s="46">
        <v>33040</v>
      </c>
      <c r="X42" s="46">
        <v>32890</v>
      </c>
      <c r="Y42" s="46">
        <v>32140</v>
      </c>
      <c r="Z42" s="46">
        <v>31860</v>
      </c>
      <c r="AA42" s="46">
        <v>32580</v>
      </c>
      <c r="AB42" s="46">
        <v>32690</v>
      </c>
      <c r="AC42" s="46">
        <v>33450</v>
      </c>
      <c r="AD42" s="46">
        <v>35010</v>
      </c>
      <c r="AE42" s="46">
        <v>36150</v>
      </c>
      <c r="AF42" s="46">
        <v>35870</v>
      </c>
      <c r="AG42" s="46">
        <v>36870</v>
      </c>
      <c r="AH42" s="46">
        <v>36680</v>
      </c>
      <c r="AI42" s="46">
        <v>36550</v>
      </c>
    </row>
    <row r="43" spans="1:35" x14ac:dyDescent="0.25">
      <c r="A43" s="11">
        <v>28</v>
      </c>
      <c r="B43" s="29">
        <v>26050</v>
      </c>
      <c r="C43" s="29">
        <v>27100</v>
      </c>
      <c r="D43" s="29">
        <v>27180</v>
      </c>
      <c r="E43" s="29">
        <v>27540</v>
      </c>
      <c r="F43" s="29">
        <v>27920</v>
      </c>
      <c r="G43" s="29">
        <v>28350</v>
      </c>
      <c r="H43" s="29">
        <v>28130</v>
      </c>
      <c r="I43" s="29">
        <v>28290</v>
      </c>
      <c r="J43" s="29">
        <v>28990</v>
      </c>
      <c r="K43" s="29">
        <v>30500</v>
      </c>
      <c r="L43" s="29">
        <v>33430</v>
      </c>
      <c r="M43" s="46">
        <v>34890</v>
      </c>
      <c r="N43" s="46">
        <v>37090</v>
      </c>
      <c r="O43" s="46">
        <v>38150</v>
      </c>
      <c r="P43" s="46">
        <v>39010</v>
      </c>
      <c r="Q43" s="46">
        <v>37440</v>
      </c>
      <c r="R43" s="46">
        <v>35370</v>
      </c>
      <c r="S43" s="46">
        <v>34700</v>
      </c>
      <c r="T43" s="46">
        <v>33970</v>
      </c>
      <c r="U43" s="46">
        <v>33570</v>
      </c>
      <c r="V43" s="46">
        <v>33370</v>
      </c>
      <c r="W43" s="46">
        <v>32820</v>
      </c>
      <c r="X43" s="46">
        <v>33740</v>
      </c>
      <c r="Y43" s="46">
        <v>33590</v>
      </c>
      <c r="Z43" s="46">
        <v>32830</v>
      </c>
      <c r="AA43" s="46">
        <v>32550</v>
      </c>
      <c r="AB43" s="46">
        <v>33270</v>
      </c>
      <c r="AC43" s="46">
        <v>33380</v>
      </c>
      <c r="AD43" s="46">
        <v>34150</v>
      </c>
      <c r="AE43" s="46">
        <v>35710</v>
      </c>
      <c r="AF43" s="46">
        <v>36840</v>
      </c>
      <c r="AG43" s="46">
        <v>36560</v>
      </c>
      <c r="AH43" s="46">
        <v>37570</v>
      </c>
      <c r="AI43" s="46">
        <v>37370</v>
      </c>
    </row>
    <row r="44" spans="1:35" x14ac:dyDescent="0.25">
      <c r="A44" s="11">
        <v>29</v>
      </c>
      <c r="B44" s="29">
        <v>26810</v>
      </c>
      <c r="C44" s="29">
        <v>26550</v>
      </c>
      <c r="D44" s="29">
        <v>27440</v>
      </c>
      <c r="E44" s="29">
        <v>27550</v>
      </c>
      <c r="F44" s="29">
        <v>27810</v>
      </c>
      <c r="G44" s="29">
        <v>28140</v>
      </c>
      <c r="H44" s="29">
        <v>28370</v>
      </c>
      <c r="I44" s="29">
        <v>28300</v>
      </c>
      <c r="J44" s="29">
        <v>29250</v>
      </c>
      <c r="K44" s="29">
        <v>30240</v>
      </c>
      <c r="L44" s="29">
        <v>32000</v>
      </c>
      <c r="M44" s="46">
        <v>34950</v>
      </c>
      <c r="N44" s="46">
        <v>36090</v>
      </c>
      <c r="O44" s="46">
        <v>38200</v>
      </c>
      <c r="P44" s="46">
        <v>39860</v>
      </c>
      <c r="Q44" s="46">
        <v>38820</v>
      </c>
      <c r="R44" s="46">
        <v>37130</v>
      </c>
      <c r="S44" s="46">
        <v>35660</v>
      </c>
      <c r="T44" s="46">
        <v>35130</v>
      </c>
      <c r="U44" s="46">
        <v>34530</v>
      </c>
      <c r="V44" s="46">
        <v>34260</v>
      </c>
      <c r="W44" s="46">
        <v>34060</v>
      </c>
      <c r="X44" s="46">
        <v>33510</v>
      </c>
      <c r="Y44" s="46">
        <v>34420</v>
      </c>
      <c r="Z44" s="46">
        <v>34280</v>
      </c>
      <c r="AA44" s="46">
        <v>33520</v>
      </c>
      <c r="AB44" s="46">
        <v>33240</v>
      </c>
      <c r="AC44" s="46">
        <v>33960</v>
      </c>
      <c r="AD44" s="46">
        <v>34070</v>
      </c>
      <c r="AE44" s="46">
        <v>34840</v>
      </c>
      <c r="AF44" s="46">
        <v>36390</v>
      </c>
      <c r="AG44" s="46">
        <v>37530</v>
      </c>
      <c r="AH44" s="46">
        <v>37250</v>
      </c>
      <c r="AI44" s="46">
        <v>38260</v>
      </c>
    </row>
    <row r="45" spans="1:35" x14ac:dyDescent="0.25">
      <c r="A45" s="11">
        <v>30</v>
      </c>
      <c r="B45" s="29">
        <v>27080</v>
      </c>
      <c r="C45" s="29">
        <v>27260</v>
      </c>
      <c r="D45" s="29">
        <v>26940</v>
      </c>
      <c r="E45" s="29">
        <v>27910</v>
      </c>
      <c r="F45" s="29">
        <v>28010</v>
      </c>
      <c r="G45" s="29">
        <v>27920</v>
      </c>
      <c r="H45" s="29">
        <v>28260</v>
      </c>
      <c r="I45" s="29">
        <v>28630</v>
      </c>
      <c r="J45" s="29">
        <v>29160</v>
      </c>
      <c r="K45" s="29">
        <v>30360</v>
      </c>
      <c r="L45" s="29">
        <v>31640</v>
      </c>
      <c r="M45" s="46">
        <v>33300</v>
      </c>
      <c r="N45" s="46">
        <v>36170</v>
      </c>
      <c r="O45" s="46">
        <v>37050</v>
      </c>
      <c r="P45" s="46">
        <v>39610</v>
      </c>
      <c r="Q45" s="46">
        <v>39760</v>
      </c>
      <c r="R45" s="46">
        <v>38600</v>
      </c>
      <c r="S45" s="46">
        <v>37420</v>
      </c>
      <c r="T45" s="46">
        <v>36070</v>
      </c>
      <c r="U45" s="46">
        <v>35660</v>
      </c>
      <c r="V45" s="46">
        <v>35190</v>
      </c>
      <c r="W45" s="46">
        <v>34920</v>
      </c>
      <c r="X45" s="46">
        <v>34720</v>
      </c>
      <c r="Y45" s="46">
        <v>34170</v>
      </c>
      <c r="Z45" s="46">
        <v>35080</v>
      </c>
      <c r="AA45" s="46">
        <v>34940</v>
      </c>
      <c r="AB45" s="46">
        <v>34180</v>
      </c>
      <c r="AC45" s="46">
        <v>33900</v>
      </c>
      <c r="AD45" s="46">
        <v>34620</v>
      </c>
      <c r="AE45" s="46">
        <v>34730</v>
      </c>
      <c r="AF45" s="46">
        <v>35500</v>
      </c>
      <c r="AG45" s="46">
        <v>37060</v>
      </c>
      <c r="AH45" s="46">
        <v>38190</v>
      </c>
      <c r="AI45" s="46">
        <v>37920</v>
      </c>
    </row>
    <row r="46" spans="1:35" x14ac:dyDescent="0.25">
      <c r="A46" s="11">
        <v>31</v>
      </c>
      <c r="B46" s="29">
        <v>28670</v>
      </c>
      <c r="C46" s="29">
        <v>27610</v>
      </c>
      <c r="D46" s="29">
        <v>27590</v>
      </c>
      <c r="E46" s="29">
        <v>27380</v>
      </c>
      <c r="F46" s="29">
        <v>28230</v>
      </c>
      <c r="G46" s="29">
        <v>28200</v>
      </c>
      <c r="H46" s="29">
        <v>28030</v>
      </c>
      <c r="I46" s="29">
        <v>28510</v>
      </c>
      <c r="J46" s="29">
        <v>29310</v>
      </c>
      <c r="K46" s="29">
        <v>30210</v>
      </c>
      <c r="L46" s="29">
        <v>31760</v>
      </c>
      <c r="M46" s="46">
        <v>32830</v>
      </c>
      <c r="N46" s="46">
        <v>34380</v>
      </c>
      <c r="O46" s="46">
        <v>37090</v>
      </c>
      <c r="P46" s="46">
        <v>38280</v>
      </c>
      <c r="Q46" s="46">
        <v>39600</v>
      </c>
      <c r="R46" s="46">
        <v>39570</v>
      </c>
      <c r="S46" s="46">
        <v>38870</v>
      </c>
      <c r="T46" s="46">
        <v>37800</v>
      </c>
      <c r="U46" s="46">
        <v>36550</v>
      </c>
      <c r="V46" s="46">
        <v>36250</v>
      </c>
      <c r="W46" s="46">
        <v>35780</v>
      </c>
      <c r="X46" s="46">
        <v>35510</v>
      </c>
      <c r="Y46" s="46">
        <v>35310</v>
      </c>
      <c r="Z46" s="46">
        <v>34760</v>
      </c>
      <c r="AA46" s="46">
        <v>35670</v>
      </c>
      <c r="AB46" s="46">
        <v>35520</v>
      </c>
      <c r="AC46" s="46">
        <v>34770</v>
      </c>
      <c r="AD46" s="46">
        <v>34490</v>
      </c>
      <c r="AE46" s="46">
        <v>35210</v>
      </c>
      <c r="AF46" s="46">
        <v>35320</v>
      </c>
      <c r="AG46" s="46">
        <v>36090</v>
      </c>
      <c r="AH46" s="46">
        <v>37640</v>
      </c>
      <c r="AI46" s="46">
        <v>38780</v>
      </c>
    </row>
    <row r="47" spans="1:35" x14ac:dyDescent="0.25">
      <c r="A47" s="11">
        <v>32</v>
      </c>
      <c r="B47" s="29">
        <v>29960</v>
      </c>
      <c r="C47" s="29">
        <v>28990</v>
      </c>
      <c r="D47" s="29">
        <v>27810</v>
      </c>
      <c r="E47" s="29">
        <v>27780</v>
      </c>
      <c r="F47" s="29">
        <v>27520</v>
      </c>
      <c r="G47" s="29">
        <v>28300</v>
      </c>
      <c r="H47" s="29">
        <v>28140</v>
      </c>
      <c r="I47" s="29">
        <v>28010</v>
      </c>
      <c r="J47" s="29">
        <v>29000</v>
      </c>
      <c r="K47" s="29">
        <v>30000</v>
      </c>
      <c r="L47" s="29">
        <v>31270</v>
      </c>
      <c r="M47" s="46">
        <v>32790</v>
      </c>
      <c r="N47" s="46">
        <v>33890</v>
      </c>
      <c r="O47" s="46">
        <v>35110</v>
      </c>
      <c r="P47" s="46">
        <v>38180</v>
      </c>
      <c r="Q47" s="46">
        <v>38340</v>
      </c>
      <c r="R47" s="46">
        <v>39400</v>
      </c>
      <c r="S47" s="46">
        <v>39790</v>
      </c>
      <c r="T47" s="46">
        <v>39190</v>
      </c>
      <c r="U47" s="46">
        <v>38210</v>
      </c>
      <c r="V47" s="46">
        <v>37060</v>
      </c>
      <c r="W47" s="46">
        <v>36760</v>
      </c>
      <c r="X47" s="46">
        <v>36290</v>
      </c>
      <c r="Y47" s="46">
        <v>36020</v>
      </c>
      <c r="Z47" s="46">
        <v>35820</v>
      </c>
      <c r="AA47" s="46">
        <v>35270</v>
      </c>
      <c r="AB47" s="46">
        <v>36180</v>
      </c>
      <c r="AC47" s="46">
        <v>36030</v>
      </c>
      <c r="AD47" s="46">
        <v>35280</v>
      </c>
      <c r="AE47" s="46">
        <v>35000</v>
      </c>
      <c r="AF47" s="46">
        <v>35720</v>
      </c>
      <c r="AG47" s="46">
        <v>35830</v>
      </c>
      <c r="AH47" s="46">
        <v>36600</v>
      </c>
      <c r="AI47" s="46">
        <v>38150</v>
      </c>
    </row>
    <row r="48" spans="1:35" x14ac:dyDescent="0.25">
      <c r="A48" s="11">
        <v>33</v>
      </c>
      <c r="B48" s="29">
        <v>31240</v>
      </c>
      <c r="C48" s="29">
        <v>30280</v>
      </c>
      <c r="D48" s="29">
        <v>29200</v>
      </c>
      <c r="E48" s="29">
        <v>27960</v>
      </c>
      <c r="F48" s="29">
        <v>27980</v>
      </c>
      <c r="G48" s="29">
        <v>27550</v>
      </c>
      <c r="H48" s="29">
        <v>28290</v>
      </c>
      <c r="I48" s="29">
        <v>28140</v>
      </c>
      <c r="J48" s="29">
        <v>28580</v>
      </c>
      <c r="K48" s="29">
        <v>29740</v>
      </c>
      <c r="L48" s="29">
        <v>30900</v>
      </c>
      <c r="M48" s="46">
        <v>32230</v>
      </c>
      <c r="N48" s="46">
        <v>33520</v>
      </c>
      <c r="O48" s="46">
        <v>34480</v>
      </c>
      <c r="P48" s="46">
        <v>35940</v>
      </c>
      <c r="Q48" s="46">
        <v>38240</v>
      </c>
      <c r="R48" s="46">
        <v>38200</v>
      </c>
      <c r="S48" s="46">
        <v>39580</v>
      </c>
      <c r="T48" s="46">
        <v>40050</v>
      </c>
      <c r="U48" s="46">
        <v>39530</v>
      </c>
      <c r="V48" s="46">
        <v>38630</v>
      </c>
      <c r="W48" s="46">
        <v>37480</v>
      </c>
      <c r="X48" s="46">
        <v>37180</v>
      </c>
      <c r="Y48" s="46">
        <v>36700</v>
      </c>
      <c r="Z48" s="46">
        <v>36430</v>
      </c>
      <c r="AA48" s="46">
        <v>36230</v>
      </c>
      <c r="AB48" s="46">
        <v>35690</v>
      </c>
      <c r="AC48" s="46">
        <v>36600</v>
      </c>
      <c r="AD48" s="46">
        <v>36450</v>
      </c>
      <c r="AE48" s="46">
        <v>35700</v>
      </c>
      <c r="AF48" s="46">
        <v>35420</v>
      </c>
      <c r="AG48" s="46">
        <v>36140</v>
      </c>
      <c r="AH48" s="46">
        <v>36250</v>
      </c>
      <c r="AI48" s="46">
        <v>37010</v>
      </c>
    </row>
    <row r="49" spans="1:35" x14ac:dyDescent="0.25">
      <c r="A49" s="11">
        <v>34</v>
      </c>
      <c r="B49" s="29">
        <v>32740</v>
      </c>
      <c r="C49" s="29">
        <v>31520</v>
      </c>
      <c r="D49" s="29">
        <v>30510</v>
      </c>
      <c r="E49" s="29">
        <v>29420</v>
      </c>
      <c r="F49" s="29">
        <v>28160</v>
      </c>
      <c r="G49" s="29">
        <v>28030</v>
      </c>
      <c r="H49" s="29">
        <v>27560</v>
      </c>
      <c r="I49" s="29">
        <v>28290</v>
      </c>
      <c r="J49" s="29">
        <v>28590</v>
      </c>
      <c r="K49" s="29">
        <v>29240</v>
      </c>
      <c r="L49" s="29">
        <v>30520</v>
      </c>
      <c r="M49" s="46">
        <v>31720</v>
      </c>
      <c r="N49" s="46">
        <v>33060</v>
      </c>
      <c r="O49" s="46">
        <v>34150</v>
      </c>
      <c r="P49" s="46">
        <v>35280</v>
      </c>
      <c r="Q49" s="46">
        <v>36030</v>
      </c>
      <c r="R49" s="46">
        <v>38140</v>
      </c>
      <c r="S49" s="46">
        <v>38330</v>
      </c>
      <c r="T49" s="46">
        <v>39790</v>
      </c>
      <c r="U49" s="46">
        <v>40340</v>
      </c>
      <c r="V49" s="46">
        <v>39890</v>
      </c>
      <c r="W49" s="46">
        <v>38990</v>
      </c>
      <c r="X49" s="46">
        <v>37840</v>
      </c>
      <c r="Y49" s="46">
        <v>37540</v>
      </c>
      <c r="Z49" s="46">
        <v>37060</v>
      </c>
      <c r="AA49" s="46">
        <v>36800</v>
      </c>
      <c r="AB49" s="46">
        <v>36600</v>
      </c>
      <c r="AC49" s="46">
        <v>36050</v>
      </c>
      <c r="AD49" s="46">
        <v>36960</v>
      </c>
      <c r="AE49" s="46">
        <v>36820</v>
      </c>
      <c r="AF49" s="46">
        <v>36060</v>
      </c>
      <c r="AG49" s="46">
        <v>35790</v>
      </c>
      <c r="AH49" s="46">
        <v>36500</v>
      </c>
      <c r="AI49" s="46">
        <v>36610</v>
      </c>
    </row>
    <row r="50" spans="1:35" x14ac:dyDescent="0.25">
      <c r="A50" s="11">
        <v>35</v>
      </c>
      <c r="B50" s="29">
        <v>33360</v>
      </c>
      <c r="C50" s="29">
        <v>33040</v>
      </c>
      <c r="D50" s="29">
        <v>31710</v>
      </c>
      <c r="E50" s="29">
        <v>30800</v>
      </c>
      <c r="F50" s="29">
        <v>29620</v>
      </c>
      <c r="G50" s="29">
        <v>28240</v>
      </c>
      <c r="H50" s="29">
        <v>28000</v>
      </c>
      <c r="I50" s="29">
        <v>27630</v>
      </c>
      <c r="J50" s="29">
        <v>28690</v>
      </c>
      <c r="K50" s="29">
        <v>29080</v>
      </c>
      <c r="L50" s="29">
        <v>29850</v>
      </c>
      <c r="M50" s="46">
        <v>31280</v>
      </c>
      <c r="N50" s="46">
        <v>32510</v>
      </c>
      <c r="O50" s="46">
        <v>33680</v>
      </c>
      <c r="P50" s="46">
        <v>34970</v>
      </c>
      <c r="Q50" s="46">
        <v>35340</v>
      </c>
      <c r="R50" s="46">
        <v>35970</v>
      </c>
      <c r="S50" s="46">
        <v>38230</v>
      </c>
      <c r="T50" s="46">
        <v>38500</v>
      </c>
      <c r="U50" s="46">
        <v>40030</v>
      </c>
      <c r="V50" s="46">
        <v>40650</v>
      </c>
      <c r="W50" s="46">
        <v>40200</v>
      </c>
      <c r="X50" s="46">
        <v>39300</v>
      </c>
      <c r="Y50" s="46">
        <v>38160</v>
      </c>
      <c r="Z50" s="46">
        <v>37860</v>
      </c>
      <c r="AA50" s="46">
        <v>37380</v>
      </c>
      <c r="AB50" s="46">
        <v>37110</v>
      </c>
      <c r="AC50" s="46">
        <v>36920</v>
      </c>
      <c r="AD50" s="46">
        <v>36370</v>
      </c>
      <c r="AE50" s="46">
        <v>37280</v>
      </c>
      <c r="AF50" s="46">
        <v>37130</v>
      </c>
      <c r="AG50" s="46">
        <v>36380</v>
      </c>
      <c r="AH50" s="46">
        <v>36100</v>
      </c>
      <c r="AI50" s="46">
        <v>36820</v>
      </c>
    </row>
    <row r="51" spans="1:35" x14ac:dyDescent="0.25">
      <c r="A51" s="11">
        <v>36</v>
      </c>
      <c r="B51" s="29">
        <v>32520</v>
      </c>
      <c r="C51" s="29">
        <v>33680</v>
      </c>
      <c r="D51" s="29">
        <v>33230</v>
      </c>
      <c r="E51" s="29">
        <v>31930</v>
      </c>
      <c r="F51" s="29">
        <v>30980</v>
      </c>
      <c r="G51" s="29">
        <v>29690</v>
      </c>
      <c r="H51" s="29">
        <v>28210</v>
      </c>
      <c r="I51" s="29">
        <v>28060</v>
      </c>
      <c r="J51" s="29">
        <v>27970</v>
      </c>
      <c r="K51" s="29">
        <v>29170</v>
      </c>
      <c r="L51" s="29">
        <v>29740</v>
      </c>
      <c r="M51" s="46">
        <v>30510</v>
      </c>
      <c r="N51" s="46">
        <v>31930</v>
      </c>
      <c r="O51" s="46">
        <v>33130</v>
      </c>
      <c r="P51" s="46">
        <v>34400</v>
      </c>
      <c r="Q51" s="46">
        <v>35040</v>
      </c>
      <c r="R51" s="46">
        <v>35260</v>
      </c>
      <c r="S51" s="46">
        <v>36040</v>
      </c>
      <c r="T51" s="46">
        <v>38370</v>
      </c>
      <c r="U51" s="46">
        <v>38710</v>
      </c>
      <c r="V51" s="46">
        <v>40310</v>
      </c>
      <c r="W51" s="46">
        <v>40930</v>
      </c>
      <c r="X51" s="46">
        <v>40480</v>
      </c>
      <c r="Y51" s="46">
        <v>39580</v>
      </c>
      <c r="Z51" s="46">
        <v>38440</v>
      </c>
      <c r="AA51" s="46">
        <v>38140</v>
      </c>
      <c r="AB51" s="46">
        <v>37660</v>
      </c>
      <c r="AC51" s="46">
        <v>37390</v>
      </c>
      <c r="AD51" s="46">
        <v>37200</v>
      </c>
      <c r="AE51" s="46">
        <v>36650</v>
      </c>
      <c r="AF51" s="46">
        <v>37560</v>
      </c>
      <c r="AG51" s="46">
        <v>37420</v>
      </c>
      <c r="AH51" s="46">
        <v>36670</v>
      </c>
      <c r="AI51" s="46">
        <v>36390</v>
      </c>
    </row>
    <row r="52" spans="1:35" x14ac:dyDescent="0.25">
      <c r="A52" s="11">
        <v>37</v>
      </c>
      <c r="B52" s="29">
        <v>32870</v>
      </c>
      <c r="C52" s="29">
        <v>32750</v>
      </c>
      <c r="D52" s="29">
        <v>33850</v>
      </c>
      <c r="E52" s="29">
        <v>33430</v>
      </c>
      <c r="F52" s="29">
        <v>32100</v>
      </c>
      <c r="G52" s="29">
        <v>30990</v>
      </c>
      <c r="H52" s="29">
        <v>29700</v>
      </c>
      <c r="I52" s="29">
        <v>28300</v>
      </c>
      <c r="J52" s="29">
        <v>28390</v>
      </c>
      <c r="K52" s="29">
        <v>28340</v>
      </c>
      <c r="L52" s="29">
        <v>29740</v>
      </c>
      <c r="M52" s="46">
        <v>30380</v>
      </c>
      <c r="N52" s="46">
        <v>31080</v>
      </c>
      <c r="O52" s="46">
        <v>32550</v>
      </c>
      <c r="P52" s="46">
        <v>33840</v>
      </c>
      <c r="Q52" s="46">
        <v>34440</v>
      </c>
      <c r="R52" s="46">
        <v>34990</v>
      </c>
      <c r="S52" s="46">
        <v>35310</v>
      </c>
      <c r="T52" s="46">
        <v>36160</v>
      </c>
      <c r="U52" s="46">
        <v>38550</v>
      </c>
      <c r="V52" s="46">
        <v>38960</v>
      </c>
      <c r="W52" s="46">
        <v>40560</v>
      </c>
      <c r="X52" s="46">
        <v>41180</v>
      </c>
      <c r="Y52" s="46">
        <v>40730</v>
      </c>
      <c r="Z52" s="46">
        <v>39830</v>
      </c>
      <c r="AA52" s="46">
        <v>38690</v>
      </c>
      <c r="AB52" s="46">
        <v>38390</v>
      </c>
      <c r="AC52" s="46">
        <v>37920</v>
      </c>
      <c r="AD52" s="46">
        <v>37650</v>
      </c>
      <c r="AE52" s="46">
        <v>37450</v>
      </c>
      <c r="AF52" s="46">
        <v>36910</v>
      </c>
      <c r="AG52" s="46">
        <v>37820</v>
      </c>
      <c r="AH52" s="46">
        <v>37670</v>
      </c>
      <c r="AI52" s="46">
        <v>36920</v>
      </c>
    </row>
    <row r="53" spans="1:35" x14ac:dyDescent="0.25">
      <c r="A53" s="11">
        <v>38</v>
      </c>
      <c r="B53" s="29">
        <v>32450</v>
      </c>
      <c r="C53" s="29">
        <v>33080</v>
      </c>
      <c r="D53" s="29">
        <v>32830</v>
      </c>
      <c r="E53" s="29">
        <v>34000</v>
      </c>
      <c r="F53" s="29">
        <v>33580</v>
      </c>
      <c r="G53" s="29">
        <v>32190</v>
      </c>
      <c r="H53" s="29">
        <v>30960</v>
      </c>
      <c r="I53" s="29">
        <v>29790</v>
      </c>
      <c r="J53" s="29">
        <v>28530</v>
      </c>
      <c r="K53" s="29">
        <v>28830</v>
      </c>
      <c r="L53" s="29">
        <v>28910</v>
      </c>
      <c r="M53" s="46">
        <v>30270</v>
      </c>
      <c r="N53" s="46">
        <v>30910</v>
      </c>
      <c r="O53" s="46">
        <v>31660</v>
      </c>
      <c r="P53" s="46">
        <v>33200</v>
      </c>
      <c r="Q53" s="46">
        <v>33930</v>
      </c>
      <c r="R53" s="46">
        <v>34380</v>
      </c>
      <c r="S53" s="46">
        <v>35020</v>
      </c>
      <c r="T53" s="46">
        <v>35390</v>
      </c>
      <c r="U53" s="46">
        <v>36310</v>
      </c>
      <c r="V53" s="46">
        <v>38770</v>
      </c>
      <c r="W53" s="46">
        <v>39180</v>
      </c>
      <c r="X53" s="46">
        <v>40770</v>
      </c>
      <c r="Y53" s="46">
        <v>41390</v>
      </c>
      <c r="Z53" s="46">
        <v>40950</v>
      </c>
      <c r="AA53" s="46">
        <v>40050</v>
      </c>
      <c r="AB53" s="46">
        <v>38900</v>
      </c>
      <c r="AC53" s="46">
        <v>38600</v>
      </c>
      <c r="AD53" s="46">
        <v>38130</v>
      </c>
      <c r="AE53" s="46">
        <v>37860</v>
      </c>
      <c r="AF53" s="46">
        <v>37670</v>
      </c>
      <c r="AG53" s="46">
        <v>37120</v>
      </c>
      <c r="AH53" s="46">
        <v>38030</v>
      </c>
      <c r="AI53" s="46">
        <v>37890</v>
      </c>
    </row>
    <row r="54" spans="1:35" x14ac:dyDescent="0.25">
      <c r="A54" s="11">
        <v>39</v>
      </c>
      <c r="B54" s="29">
        <v>32220</v>
      </c>
      <c r="C54" s="29">
        <v>32560</v>
      </c>
      <c r="D54" s="29">
        <v>33200</v>
      </c>
      <c r="E54" s="29">
        <v>32960</v>
      </c>
      <c r="F54" s="29">
        <v>34140</v>
      </c>
      <c r="G54" s="29">
        <v>33600</v>
      </c>
      <c r="H54" s="29">
        <v>32280</v>
      </c>
      <c r="I54" s="29">
        <v>31070</v>
      </c>
      <c r="J54" s="29">
        <v>30010</v>
      </c>
      <c r="K54" s="29">
        <v>28830</v>
      </c>
      <c r="L54" s="29">
        <v>29270</v>
      </c>
      <c r="M54" s="46">
        <v>29420</v>
      </c>
      <c r="N54" s="46">
        <v>30700</v>
      </c>
      <c r="O54" s="46">
        <v>31400</v>
      </c>
      <c r="P54" s="46">
        <v>32260</v>
      </c>
      <c r="Q54" s="46">
        <v>33300</v>
      </c>
      <c r="R54" s="46">
        <v>33860</v>
      </c>
      <c r="S54" s="46">
        <v>34380</v>
      </c>
      <c r="T54" s="46">
        <v>35080</v>
      </c>
      <c r="U54" s="46">
        <v>35510</v>
      </c>
      <c r="V54" s="46">
        <v>36490</v>
      </c>
      <c r="W54" s="46">
        <v>38950</v>
      </c>
      <c r="X54" s="46">
        <v>39360</v>
      </c>
      <c r="Y54" s="46">
        <v>40960</v>
      </c>
      <c r="Z54" s="46">
        <v>41580</v>
      </c>
      <c r="AA54" s="46">
        <v>41130</v>
      </c>
      <c r="AB54" s="46">
        <v>40230</v>
      </c>
      <c r="AC54" s="46">
        <v>39090</v>
      </c>
      <c r="AD54" s="46">
        <v>38790</v>
      </c>
      <c r="AE54" s="46">
        <v>38320</v>
      </c>
      <c r="AF54" s="46">
        <v>38050</v>
      </c>
      <c r="AG54" s="46">
        <v>37860</v>
      </c>
      <c r="AH54" s="46">
        <v>37310</v>
      </c>
      <c r="AI54" s="46">
        <v>38220</v>
      </c>
    </row>
    <row r="55" spans="1:35" x14ac:dyDescent="0.25">
      <c r="A55" s="11">
        <v>40</v>
      </c>
      <c r="B55" s="29">
        <v>32020</v>
      </c>
      <c r="C55" s="29">
        <v>32380</v>
      </c>
      <c r="D55" s="29">
        <v>32680</v>
      </c>
      <c r="E55" s="29">
        <v>33300</v>
      </c>
      <c r="F55" s="29">
        <v>33100</v>
      </c>
      <c r="G55" s="29">
        <v>34190</v>
      </c>
      <c r="H55" s="29">
        <v>33550</v>
      </c>
      <c r="I55" s="29">
        <v>32360</v>
      </c>
      <c r="J55" s="29">
        <v>31360</v>
      </c>
      <c r="K55" s="29">
        <v>30330</v>
      </c>
      <c r="L55" s="29">
        <v>29240</v>
      </c>
      <c r="M55" s="46">
        <v>29740</v>
      </c>
      <c r="N55" s="46">
        <v>29870</v>
      </c>
      <c r="O55" s="46">
        <v>31150</v>
      </c>
      <c r="P55" s="46">
        <v>31970</v>
      </c>
      <c r="Q55" s="46">
        <v>32380</v>
      </c>
      <c r="R55" s="46">
        <v>33220</v>
      </c>
      <c r="S55" s="46">
        <v>33850</v>
      </c>
      <c r="T55" s="46">
        <v>34430</v>
      </c>
      <c r="U55" s="46">
        <v>35180</v>
      </c>
      <c r="V55" s="46">
        <v>35670</v>
      </c>
      <c r="W55" s="46">
        <v>36650</v>
      </c>
      <c r="X55" s="46">
        <v>39110</v>
      </c>
      <c r="Y55" s="46">
        <v>39520</v>
      </c>
      <c r="Z55" s="46">
        <v>41110</v>
      </c>
      <c r="AA55" s="46">
        <v>41730</v>
      </c>
      <c r="AB55" s="46">
        <v>41280</v>
      </c>
      <c r="AC55" s="46">
        <v>40390</v>
      </c>
      <c r="AD55" s="46">
        <v>39240</v>
      </c>
      <c r="AE55" s="46">
        <v>38950</v>
      </c>
      <c r="AF55" s="46">
        <v>38480</v>
      </c>
      <c r="AG55" s="46">
        <v>38210</v>
      </c>
      <c r="AH55" s="46">
        <v>38010</v>
      </c>
      <c r="AI55" s="46">
        <v>37470</v>
      </c>
    </row>
    <row r="56" spans="1:35" x14ac:dyDescent="0.25">
      <c r="A56" s="11">
        <v>41</v>
      </c>
      <c r="B56" s="29">
        <v>32420</v>
      </c>
      <c r="C56" s="29">
        <v>32110</v>
      </c>
      <c r="D56" s="29">
        <v>32440</v>
      </c>
      <c r="E56" s="29">
        <v>32740</v>
      </c>
      <c r="F56" s="29">
        <v>33370</v>
      </c>
      <c r="G56" s="29">
        <v>33100</v>
      </c>
      <c r="H56" s="29">
        <v>34190</v>
      </c>
      <c r="I56" s="29">
        <v>33550</v>
      </c>
      <c r="J56" s="29">
        <v>32480</v>
      </c>
      <c r="K56" s="29">
        <v>31700</v>
      </c>
      <c r="L56" s="29">
        <v>30750</v>
      </c>
      <c r="M56" s="46">
        <v>29630</v>
      </c>
      <c r="N56" s="46">
        <v>30090</v>
      </c>
      <c r="O56" s="46">
        <v>30260</v>
      </c>
      <c r="P56" s="46">
        <v>31650</v>
      </c>
      <c r="Q56" s="46">
        <v>32040</v>
      </c>
      <c r="R56" s="46">
        <v>32300</v>
      </c>
      <c r="S56" s="46">
        <v>33190</v>
      </c>
      <c r="T56" s="46">
        <v>33870</v>
      </c>
      <c r="U56" s="46">
        <v>34500</v>
      </c>
      <c r="V56" s="46">
        <v>35300</v>
      </c>
      <c r="W56" s="46">
        <v>35800</v>
      </c>
      <c r="X56" s="46">
        <v>36770</v>
      </c>
      <c r="Y56" s="46">
        <v>39230</v>
      </c>
      <c r="Z56" s="46">
        <v>39640</v>
      </c>
      <c r="AA56" s="46">
        <v>41230</v>
      </c>
      <c r="AB56" s="46">
        <v>41850</v>
      </c>
      <c r="AC56" s="46">
        <v>41410</v>
      </c>
      <c r="AD56" s="46">
        <v>40510</v>
      </c>
      <c r="AE56" s="46">
        <v>39370</v>
      </c>
      <c r="AF56" s="46">
        <v>39070</v>
      </c>
      <c r="AG56" s="46">
        <v>38600</v>
      </c>
      <c r="AH56" s="46">
        <v>38340</v>
      </c>
      <c r="AI56" s="46">
        <v>38140</v>
      </c>
    </row>
    <row r="57" spans="1:35" x14ac:dyDescent="0.25">
      <c r="A57" s="11">
        <v>42</v>
      </c>
      <c r="B57" s="29">
        <v>33510</v>
      </c>
      <c r="C57" s="29">
        <v>32510</v>
      </c>
      <c r="D57" s="29">
        <v>32160</v>
      </c>
      <c r="E57" s="29">
        <v>32460</v>
      </c>
      <c r="F57" s="29">
        <v>32800</v>
      </c>
      <c r="G57" s="29">
        <v>33360</v>
      </c>
      <c r="H57" s="29">
        <v>33050</v>
      </c>
      <c r="I57" s="29">
        <v>34240</v>
      </c>
      <c r="J57" s="29">
        <v>33770</v>
      </c>
      <c r="K57" s="29">
        <v>32710</v>
      </c>
      <c r="L57" s="29">
        <v>32070</v>
      </c>
      <c r="M57" s="46">
        <v>31110</v>
      </c>
      <c r="N57" s="46">
        <v>29920</v>
      </c>
      <c r="O57" s="46">
        <v>30410</v>
      </c>
      <c r="P57" s="46">
        <v>30680</v>
      </c>
      <c r="Q57" s="46">
        <v>31680</v>
      </c>
      <c r="R57" s="46">
        <v>31930</v>
      </c>
      <c r="S57" s="46">
        <v>32240</v>
      </c>
      <c r="T57" s="46">
        <v>33190</v>
      </c>
      <c r="U57" s="46">
        <v>33910</v>
      </c>
      <c r="V57" s="46">
        <v>34590</v>
      </c>
      <c r="W57" s="46">
        <v>35400</v>
      </c>
      <c r="X57" s="46">
        <v>35890</v>
      </c>
      <c r="Y57" s="46">
        <v>36860</v>
      </c>
      <c r="Z57" s="46">
        <v>39320</v>
      </c>
      <c r="AA57" s="46">
        <v>39730</v>
      </c>
      <c r="AB57" s="46">
        <v>41320</v>
      </c>
      <c r="AC57" s="46">
        <v>41940</v>
      </c>
      <c r="AD57" s="46">
        <v>41500</v>
      </c>
      <c r="AE57" s="46">
        <v>40600</v>
      </c>
      <c r="AF57" s="46">
        <v>39460</v>
      </c>
      <c r="AG57" s="46">
        <v>39170</v>
      </c>
      <c r="AH57" s="46">
        <v>38700</v>
      </c>
      <c r="AI57" s="46">
        <v>38430</v>
      </c>
    </row>
    <row r="58" spans="1:35" x14ac:dyDescent="0.25">
      <c r="A58" s="11">
        <v>43</v>
      </c>
      <c r="B58" s="29">
        <v>34420</v>
      </c>
      <c r="C58" s="29">
        <v>33610</v>
      </c>
      <c r="D58" s="29">
        <v>32450</v>
      </c>
      <c r="E58" s="29">
        <v>32140</v>
      </c>
      <c r="F58" s="29">
        <v>32540</v>
      </c>
      <c r="G58" s="29">
        <v>32750</v>
      </c>
      <c r="H58" s="29">
        <v>33270</v>
      </c>
      <c r="I58" s="29">
        <v>33070</v>
      </c>
      <c r="J58" s="29">
        <v>34380</v>
      </c>
      <c r="K58" s="29">
        <v>34030</v>
      </c>
      <c r="L58" s="29">
        <v>32950</v>
      </c>
      <c r="M58" s="46">
        <v>32390</v>
      </c>
      <c r="N58" s="46">
        <v>31330</v>
      </c>
      <c r="O58" s="46">
        <v>30230</v>
      </c>
      <c r="P58" s="46">
        <v>30780</v>
      </c>
      <c r="Q58" s="46">
        <v>30780</v>
      </c>
      <c r="R58" s="46">
        <v>31620</v>
      </c>
      <c r="S58" s="46">
        <v>31860</v>
      </c>
      <c r="T58" s="46">
        <v>32220</v>
      </c>
      <c r="U58" s="46">
        <v>33210</v>
      </c>
      <c r="V58" s="46">
        <v>33980</v>
      </c>
      <c r="W58" s="46">
        <v>34660</v>
      </c>
      <c r="X58" s="46">
        <v>35460</v>
      </c>
      <c r="Y58" s="46">
        <v>35960</v>
      </c>
      <c r="Z58" s="46">
        <v>36930</v>
      </c>
      <c r="AA58" s="46">
        <v>39390</v>
      </c>
      <c r="AB58" s="46">
        <v>39800</v>
      </c>
      <c r="AC58" s="46">
        <v>41390</v>
      </c>
      <c r="AD58" s="46">
        <v>42010</v>
      </c>
      <c r="AE58" s="46">
        <v>41570</v>
      </c>
      <c r="AF58" s="46">
        <v>40670</v>
      </c>
      <c r="AG58" s="46">
        <v>39530</v>
      </c>
      <c r="AH58" s="46">
        <v>39240</v>
      </c>
      <c r="AI58" s="46">
        <v>38770</v>
      </c>
    </row>
    <row r="59" spans="1:35" x14ac:dyDescent="0.25">
      <c r="A59" s="11">
        <v>44</v>
      </c>
      <c r="B59" s="29">
        <v>34170</v>
      </c>
      <c r="C59" s="29">
        <v>34490</v>
      </c>
      <c r="D59" s="29">
        <v>33560</v>
      </c>
      <c r="E59" s="29">
        <v>32440</v>
      </c>
      <c r="F59" s="29">
        <v>32160</v>
      </c>
      <c r="G59" s="29">
        <v>32530</v>
      </c>
      <c r="H59" s="29">
        <v>32680</v>
      </c>
      <c r="I59" s="29">
        <v>33180</v>
      </c>
      <c r="J59" s="29">
        <v>33230</v>
      </c>
      <c r="K59" s="29">
        <v>34610</v>
      </c>
      <c r="L59" s="29">
        <v>34330</v>
      </c>
      <c r="M59" s="46">
        <v>33220</v>
      </c>
      <c r="N59" s="46">
        <v>32670</v>
      </c>
      <c r="O59" s="46">
        <v>31570</v>
      </c>
      <c r="P59" s="46">
        <v>30560</v>
      </c>
      <c r="Q59" s="46">
        <v>30830</v>
      </c>
      <c r="R59" s="46">
        <v>30710</v>
      </c>
      <c r="S59" s="46">
        <v>31520</v>
      </c>
      <c r="T59" s="46">
        <v>31810</v>
      </c>
      <c r="U59" s="46">
        <v>32210</v>
      </c>
      <c r="V59" s="46">
        <v>33250</v>
      </c>
      <c r="W59" s="46">
        <v>34020</v>
      </c>
      <c r="X59" s="46">
        <v>34700</v>
      </c>
      <c r="Y59" s="46">
        <v>35500</v>
      </c>
      <c r="Z59" s="46">
        <v>36000</v>
      </c>
      <c r="AA59" s="46">
        <v>36970</v>
      </c>
      <c r="AB59" s="46">
        <v>39420</v>
      </c>
      <c r="AC59" s="46">
        <v>39830</v>
      </c>
      <c r="AD59" s="46">
        <v>41420</v>
      </c>
      <c r="AE59" s="46">
        <v>42040</v>
      </c>
      <c r="AF59" s="46">
        <v>41600</v>
      </c>
      <c r="AG59" s="46">
        <v>40710</v>
      </c>
      <c r="AH59" s="46">
        <v>39570</v>
      </c>
      <c r="AI59" s="46">
        <v>39280</v>
      </c>
    </row>
    <row r="60" spans="1:35" x14ac:dyDescent="0.25">
      <c r="A60" s="11">
        <v>45</v>
      </c>
      <c r="B60" s="29">
        <v>33510</v>
      </c>
      <c r="C60" s="29">
        <v>34170</v>
      </c>
      <c r="D60" s="29">
        <v>34370</v>
      </c>
      <c r="E60" s="29">
        <v>33510</v>
      </c>
      <c r="F60" s="29">
        <v>32390</v>
      </c>
      <c r="G60" s="29">
        <v>32090</v>
      </c>
      <c r="H60" s="29">
        <v>32440</v>
      </c>
      <c r="I60" s="29">
        <v>32650</v>
      </c>
      <c r="J60" s="29">
        <v>33280</v>
      </c>
      <c r="K60" s="29">
        <v>33410</v>
      </c>
      <c r="L60" s="29">
        <v>34850</v>
      </c>
      <c r="M60" s="46">
        <v>34620</v>
      </c>
      <c r="N60" s="46">
        <v>33450</v>
      </c>
      <c r="O60" s="46">
        <v>32870</v>
      </c>
      <c r="P60" s="46">
        <v>31890</v>
      </c>
      <c r="Q60" s="46">
        <v>30550</v>
      </c>
      <c r="R60" s="46">
        <v>30770</v>
      </c>
      <c r="S60" s="46">
        <v>30590</v>
      </c>
      <c r="T60" s="46">
        <v>31450</v>
      </c>
      <c r="U60" s="46">
        <v>31780</v>
      </c>
      <c r="V60" s="46">
        <v>32220</v>
      </c>
      <c r="W60" s="46">
        <v>33260</v>
      </c>
      <c r="X60" s="46">
        <v>34030</v>
      </c>
      <c r="Y60" s="46">
        <v>34710</v>
      </c>
      <c r="Z60" s="46">
        <v>35510</v>
      </c>
      <c r="AA60" s="46">
        <v>36000</v>
      </c>
      <c r="AB60" s="46">
        <v>36980</v>
      </c>
      <c r="AC60" s="46">
        <v>39430</v>
      </c>
      <c r="AD60" s="46">
        <v>39840</v>
      </c>
      <c r="AE60" s="46">
        <v>41430</v>
      </c>
      <c r="AF60" s="46">
        <v>42050</v>
      </c>
      <c r="AG60" s="46">
        <v>41610</v>
      </c>
      <c r="AH60" s="46">
        <v>40720</v>
      </c>
      <c r="AI60" s="46">
        <v>39580</v>
      </c>
    </row>
    <row r="61" spans="1:35" x14ac:dyDescent="0.25">
      <c r="A61" s="11">
        <v>46</v>
      </c>
      <c r="B61" s="29">
        <v>31920</v>
      </c>
      <c r="C61" s="29">
        <v>33480</v>
      </c>
      <c r="D61" s="29">
        <v>34110</v>
      </c>
      <c r="E61" s="29">
        <v>34280</v>
      </c>
      <c r="F61" s="29">
        <v>33480</v>
      </c>
      <c r="G61" s="29">
        <v>32280</v>
      </c>
      <c r="H61" s="29">
        <v>31920</v>
      </c>
      <c r="I61" s="29">
        <v>32390</v>
      </c>
      <c r="J61" s="29">
        <v>32750</v>
      </c>
      <c r="K61" s="29">
        <v>33380</v>
      </c>
      <c r="L61" s="29">
        <v>33560</v>
      </c>
      <c r="M61" s="46">
        <v>35030</v>
      </c>
      <c r="N61" s="46">
        <v>34820</v>
      </c>
      <c r="O61" s="46">
        <v>33590</v>
      </c>
      <c r="P61" s="46">
        <v>33140</v>
      </c>
      <c r="Q61" s="46">
        <v>31910</v>
      </c>
      <c r="R61" s="46">
        <v>30470</v>
      </c>
      <c r="S61" s="46">
        <v>30620</v>
      </c>
      <c r="T61" s="46">
        <v>30490</v>
      </c>
      <c r="U61" s="46">
        <v>31390</v>
      </c>
      <c r="V61" s="46">
        <v>31760</v>
      </c>
      <c r="W61" s="46">
        <v>32200</v>
      </c>
      <c r="X61" s="46">
        <v>33240</v>
      </c>
      <c r="Y61" s="46">
        <v>34010</v>
      </c>
      <c r="Z61" s="46">
        <v>34690</v>
      </c>
      <c r="AA61" s="46">
        <v>35490</v>
      </c>
      <c r="AB61" s="46">
        <v>35980</v>
      </c>
      <c r="AC61" s="46">
        <v>36960</v>
      </c>
      <c r="AD61" s="46">
        <v>39400</v>
      </c>
      <c r="AE61" s="46">
        <v>39820</v>
      </c>
      <c r="AF61" s="46">
        <v>41410</v>
      </c>
      <c r="AG61" s="46">
        <v>42030</v>
      </c>
      <c r="AH61" s="46">
        <v>41580</v>
      </c>
      <c r="AI61" s="46">
        <v>40700</v>
      </c>
    </row>
    <row r="62" spans="1:35" x14ac:dyDescent="0.25">
      <c r="A62" s="11">
        <v>47</v>
      </c>
      <c r="B62" s="29">
        <v>31370</v>
      </c>
      <c r="C62" s="29">
        <v>31900</v>
      </c>
      <c r="D62" s="29">
        <v>33410</v>
      </c>
      <c r="E62" s="29">
        <v>34030</v>
      </c>
      <c r="F62" s="29">
        <v>34240</v>
      </c>
      <c r="G62" s="29">
        <v>33400</v>
      </c>
      <c r="H62" s="29">
        <v>32110</v>
      </c>
      <c r="I62" s="29">
        <v>31790</v>
      </c>
      <c r="J62" s="29">
        <v>32370</v>
      </c>
      <c r="K62" s="29">
        <v>32860</v>
      </c>
      <c r="L62" s="29">
        <v>33560</v>
      </c>
      <c r="M62" s="46">
        <v>33690</v>
      </c>
      <c r="N62" s="46">
        <v>35110</v>
      </c>
      <c r="O62" s="46">
        <v>34910</v>
      </c>
      <c r="P62" s="46">
        <v>33840</v>
      </c>
      <c r="Q62" s="46">
        <v>33150</v>
      </c>
      <c r="R62" s="46">
        <v>31830</v>
      </c>
      <c r="S62" s="46">
        <v>30310</v>
      </c>
      <c r="T62" s="46">
        <v>30500</v>
      </c>
      <c r="U62" s="46">
        <v>30410</v>
      </c>
      <c r="V62" s="46">
        <v>31340</v>
      </c>
      <c r="W62" s="46">
        <v>31710</v>
      </c>
      <c r="X62" s="46">
        <v>32150</v>
      </c>
      <c r="Y62" s="46">
        <v>33190</v>
      </c>
      <c r="Z62" s="46">
        <v>33960</v>
      </c>
      <c r="AA62" s="46">
        <v>34640</v>
      </c>
      <c r="AB62" s="46">
        <v>35440</v>
      </c>
      <c r="AC62" s="46">
        <v>35940</v>
      </c>
      <c r="AD62" s="46">
        <v>36910</v>
      </c>
      <c r="AE62" s="46">
        <v>39350</v>
      </c>
      <c r="AF62" s="46">
        <v>39770</v>
      </c>
      <c r="AG62" s="46">
        <v>41350</v>
      </c>
      <c r="AH62" s="46">
        <v>41970</v>
      </c>
      <c r="AI62" s="46">
        <v>41530</v>
      </c>
    </row>
    <row r="63" spans="1:35" x14ac:dyDescent="0.25">
      <c r="A63" s="11">
        <v>48</v>
      </c>
      <c r="B63" s="29">
        <v>29970</v>
      </c>
      <c r="C63" s="29">
        <v>31320</v>
      </c>
      <c r="D63" s="29">
        <v>31780</v>
      </c>
      <c r="E63" s="29">
        <v>33320</v>
      </c>
      <c r="F63" s="29">
        <v>33960</v>
      </c>
      <c r="G63" s="29">
        <v>34130</v>
      </c>
      <c r="H63" s="29">
        <v>33190</v>
      </c>
      <c r="I63" s="29">
        <v>31970</v>
      </c>
      <c r="J63" s="29">
        <v>31760</v>
      </c>
      <c r="K63" s="29">
        <v>32450</v>
      </c>
      <c r="L63" s="29">
        <v>33030</v>
      </c>
      <c r="M63" s="46">
        <v>33730</v>
      </c>
      <c r="N63" s="46">
        <v>33740</v>
      </c>
      <c r="O63" s="46">
        <v>35270</v>
      </c>
      <c r="P63" s="46">
        <v>35060</v>
      </c>
      <c r="Q63" s="46">
        <v>33850</v>
      </c>
      <c r="R63" s="46">
        <v>33050</v>
      </c>
      <c r="S63" s="46">
        <v>31650</v>
      </c>
      <c r="T63" s="46">
        <v>30160</v>
      </c>
      <c r="U63" s="46">
        <v>30390</v>
      </c>
      <c r="V63" s="46">
        <v>30340</v>
      </c>
      <c r="W63" s="46">
        <v>31270</v>
      </c>
      <c r="X63" s="46">
        <v>31640</v>
      </c>
      <c r="Y63" s="46">
        <v>32080</v>
      </c>
      <c r="Z63" s="46">
        <v>33120</v>
      </c>
      <c r="AA63" s="46">
        <v>33890</v>
      </c>
      <c r="AB63" s="46">
        <v>34570</v>
      </c>
      <c r="AC63" s="46">
        <v>35370</v>
      </c>
      <c r="AD63" s="46">
        <v>35870</v>
      </c>
      <c r="AE63" s="46">
        <v>36840</v>
      </c>
      <c r="AF63" s="46">
        <v>39280</v>
      </c>
      <c r="AG63" s="46">
        <v>39690</v>
      </c>
      <c r="AH63" s="46">
        <v>41280</v>
      </c>
      <c r="AI63" s="46">
        <v>41900</v>
      </c>
    </row>
    <row r="64" spans="1:35" x14ac:dyDescent="0.25">
      <c r="A64" s="11">
        <v>49</v>
      </c>
      <c r="B64" s="29">
        <v>29280</v>
      </c>
      <c r="C64" s="29">
        <v>29840</v>
      </c>
      <c r="D64" s="29">
        <v>31230</v>
      </c>
      <c r="E64" s="29">
        <v>31700</v>
      </c>
      <c r="F64" s="29">
        <v>33260</v>
      </c>
      <c r="G64" s="29">
        <v>33830</v>
      </c>
      <c r="H64" s="29">
        <v>33930</v>
      </c>
      <c r="I64" s="29">
        <v>33100</v>
      </c>
      <c r="J64" s="29">
        <v>32010</v>
      </c>
      <c r="K64" s="29">
        <v>31800</v>
      </c>
      <c r="L64" s="29">
        <v>32510</v>
      </c>
      <c r="M64" s="46">
        <v>33180</v>
      </c>
      <c r="N64" s="46">
        <v>33830</v>
      </c>
      <c r="O64" s="46">
        <v>33770</v>
      </c>
      <c r="P64" s="46">
        <v>35450</v>
      </c>
      <c r="Q64" s="46">
        <v>35050</v>
      </c>
      <c r="R64" s="46">
        <v>33740</v>
      </c>
      <c r="S64" s="46">
        <v>32860</v>
      </c>
      <c r="T64" s="46">
        <v>31500</v>
      </c>
      <c r="U64" s="46">
        <v>30050</v>
      </c>
      <c r="V64" s="46">
        <v>30310</v>
      </c>
      <c r="W64" s="46">
        <v>30260</v>
      </c>
      <c r="X64" s="46">
        <v>31190</v>
      </c>
      <c r="Y64" s="46">
        <v>31560</v>
      </c>
      <c r="Z64" s="46">
        <v>32010</v>
      </c>
      <c r="AA64" s="46">
        <v>33040</v>
      </c>
      <c r="AB64" s="46">
        <v>33810</v>
      </c>
      <c r="AC64" s="46">
        <v>34490</v>
      </c>
      <c r="AD64" s="46">
        <v>35290</v>
      </c>
      <c r="AE64" s="46">
        <v>35790</v>
      </c>
      <c r="AF64" s="46">
        <v>36760</v>
      </c>
      <c r="AG64" s="46">
        <v>39200</v>
      </c>
      <c r="AH64" s="46">
        <v>39610</v>
      </c>
      <c r="AI64" s="46">
        <v>41200</v>
      </c>
    </row>
    <row r="65" spans="1:35" x14ac:dyDescent="0.25">
      <c r="A65" s="11">
        <v>50</v>
      </c>
      <c r="B65" s="29">
        <v>28580</v>
      </c>
      <c r="C65" s="29">
        <v>29200</v>
      </c>
      <c r="D65" s="29">
        <v>29730</v>
      </c>
      <c r="E65" s="29">
        <v>31150</v>
      </c>
      <c r="F65" s="29">
        <v>31650</v>
      </c>
      <c r="G65" s="29">
        <v>33090</v>
      </c>
      <c r="H65" s="29">
        <v>33640</v>
      </c>
      <c r="I65" s="29">
        <v>33790</v>
      </c>
      <c r="J65" s="29">
        <v>33120</v>
      </c>
      <c r="K65" s="29">
        <v>32140</v>
      </c>
      <c r="L65" s="29">
        <v>31890</v>
      </c>
      <c r="M65" s="46">
        <v>32560</v>
      </c>
      <c r="N65" s="46">
        <v>33230</v>
      </c>
      <c r="O65" s="46">
        <v>33920</v>
      </c>
      <c r="P65" s="46">
        <v>33960</v>
      </c>
      <c r="Q65" s="46">
        <v>35450</v>
      </c>
      <c r="R65" s="46">
        <v>34940</v>
      </c>
      <c r="S65" s="46">
        <v>33540</v>
      </c>
      <c r="T65" s="46">
        <v>32700</v>
      </c>
      <c r="U65" s="46">
        <v>31370</v>
      </c>
      <c r="V65" s="46">
        <v>29960</v>
      </c>
      <c r="W65" s="46">
        <v>30220</v>
      </c>
      <c r="X65" s="46">
        <v>30170</v>
      </c>
      <c r="Y65" s="46">
        <v>31110</v>
      </c>
      <c r="Z65" s="46">
        <v>31480</v>
      </c>
      <c r="AA65" s="46">
        <v>31920</v>
      </c>
      <c r="AB65" s="46">
        <v>32950</v>
      </c>
      <c r="AC65" s="46">
        <v>33720</v>
      </c>
      <c r="AD65" s="46">
        <v>34400</v>
      </c>
      <c r="AE65" s="46">
        <v>35200</v>
      </c>
      <c r="AF65" s="46">
        <v>35700</v>
      </c>
      <c r="AG65" s="46">
        <v>36670</v>
      </c>
      <c r="AH65" s="46">
        <v>39100</v>
      </c>
      <c r="AI65" s="46">
        <v>39520</v>
      </c>
    </row>
    <row r="66" spans="1:35" x14ac:dyDescent="0.25">
      <c r="A66" s="11">
        <v>51</v>
      </c>
      <c r="B66" s="29">
        <v>27550</v>
      </c>
      <c r="C66" s="29">
        <v>28490</v>
      </c>
      <c r="D66" s="29">
        <v>29090</v>
      </c>
      <c r="E66" s="29">
        <v>29610</v>
      </c>
      <c r="F66" s="29">
        <v>31090</v>
      </c>
      <c r="G66" s="29">
        <v>31520</v>
      </c>
      <c r="H66" s="29">
        <v>32950</v>
      </c>
      <c r="I66" s="29">
        <v>33500</v>
      </c>
      <c r="J66" s="29">
        <v>33770</v>
      </c>
      <c r="K66" s="29">
        <v>33210</v>
      </c>
      <c r="L66" s="29">
        <v>32330</v>
      </c>
      <c r="M66" s="46">
        <v>31980</v>
      </c>
      <c r="N66" s="46">
        <v>32580</v>
      </c>
      <c r="O66" s="46">
        <v>33250</v>
      </c>
      <c r="P66" s="46">
        <v>34130</v>
      </c>
      <c r="Q66" s="46">
        <v>33880</v>
      </c>
      <c r="R66" s="46">
        <v>35340</v>
      </c>
      <c r="S66" s="46">
        <v>34750</v>
      </c>
      <c r="T66" s="46">
        <v>33390</v>
      </c>
      <c r="U66" s="46">
        <v>32570</v>
      </c>
      <c r="V66" s="46">
        <v>31280</v>
      </c>
      <c r="W66" s="46">
        <v>29870</v>
      </c>
      <c r="X66" s="46">
        <v>30130</v>
      </c>
      <c r="Y66" s="46">
        <v>30080</v>
      </c>
      <c r="Z66" s="46">
        <v>31020</v>
      </c>
      <c r="AA66" s="46">
        <v>31390</v>
      </c>
      <c r="AB66" s="46">
        <v>31830</v>
      </c>
      <c r="AC66" s="46">
        <v>32860</v>
      </c>
      <c r="AD66" s="46">
        <v>33630</v>
      </c>
      <c r="AE66" s="46">
        <v>34310</v>
      </c>
      <c r="AF66" s="46">
        <v>35110</v>
      </c>
      <c r="AG66" s="46">
        <v>35610</v>
      </c>
      <c r="AH66" s="46">
        <v>36580</v>
      </c>
      <c r="AI66" s="46">
        <v>39010</v>
      </c>
    </row>
    <row r="67" spans="1:35" x14ac:dyDescent="0.25">
      <c r="A67" s="11">
        <v>52</v>
      </c>
      <c r="B67" s="29">
        <v>26780</v>
      </c>
      <c r="C67" s="29">
        <v>27430</v>
      </c>
      <c r="D67" s="29">
        <v>28360</v>
      </c>
      <c r="E67" s="29">
        <v>28970</v>
      </c>
      <c r="F67" s="29">
        <v>29570</v>
      </c>
      <c r="G67" s="29">
        <v>30970</v>
      </c>
      <c r="H67" s="29">
        <v>31340</v>
      </c>
      <c r="I67" s="29">
        <v>32770</v>
      </c>
      <c r="J67" s="29">
        <v>33490</v>
      </c>
      <c r="K67" s="29">
        <v>33830</v>
      </c>
      <c r="L67" s="29">
        <v>33280</v>
      </c>
      <c r="M67" s="46">
        <v>32430</v>
      </c>
      <c r="N67" s="46">
        <v>32030</v>
      </c>
      <c r="O67" s="46">
        <v>32540</v>
      </c>
      <c r="P67" s="46">
        <v>33490</v>
      </c>
      <c r="Q67" s="46">
        <v>34070</v>
      </c>
      <c r="R67" s="46">
        <v>33760</v>
      </c>
      <c r="S67" s="46">
        <v>35160</v>
      </c>
      <c r="T67" s="46">
        <v>34600</v>
      </c>
      <c r="U67" s="46">
        <v>33270</v>
      </c>
      <c r="V67" s="46">
        <v>32480</v>
      </c>
      <c r="W67" s="46">
        <v>31190</v>
      </c>
      <c r="X67" s="46">
        <v>29790</v>
      </c>
      <c r="Y67" s="46">
        <v>30050</v>
      </c>
      <c r="Z67" s="46">
        <v>30000</v>
      </c>
      <c r="AA67" s="46">
        <v>30940</v>
      </c>
      <c r="AB67" s="46">
        <v>31310</v>
      </c>
      <c r="AC67" s="46">
        <v>31750</v>
      </c>
      <c r="AD67" s="46">
        <v>32780</v>
      </c>
      <c r="AE67" s="46">
        <v>33550</v>
      </c>
      <c r="AF67" s="46">
        <v>34230</v>
      </c>
      <c r="AG67" s="46">
        <v>35030</v>
      </c>
      <c r="AH67" s="46">
        <v>35530</v>
      </c>
      <c r="AI67" s="46">
        <v>36500</v>
      </c>
    </row>
    <row r="68" spans="1:35" x14ac:dyDescent="0.25">
      <c r="A68" s="11">
        <v>53</v>
      </c>
      <c r="B68" s="29">
        <v>25610</v>
      </c>
      <c r="C68" s="29">
        <v>26710</v>
      </c>
      <c r="D68" s="29">
        <v>27350</v>
      </c>
      <c r="E68" s="29">
        <v>28270</v>
      </c>
      <c r="F68" s="29">
        <v>28970</v>
      </c>
      <c r="G68" s="29">
        <v>29410</v>
      </c>
      <c r="H68" s="29">
        <v>30830</v>
      </c>
      <c r="I68" s="29">
        <v>31240</v>
      </c>
      <c r="J68" s="29">
        <v>32740</v>
      </c>
      <c r="K68" s="29">
        <v>33520</v>
      </c>
      <c r="L68" s="29">
        <v>33960</v>
      </c>
      <c r="M68" s="46">
        <v>33370</v>
      </c>
      <c r="N68" s="46">
        <v>32560</v>
      </c>
      <c r="O68" s="46">
        <v>32050</v>
      </c>
      <c r="P68" s="46">
        <v>32740</v>
      </c>
      <c r="Q68" s="46">
        <v>33340</v>
      </c>
      <c r="R68" s="46">
        <v>33900</v>
      </c>
      <c r="S68" s="46">
        <v>33610</v>
      </c>
      <c r="T68" s="46">
        <v>35030</v>
      </c>
      <c r="U68" s="46">
        <v>34490</v>
      </c>
      <c r="V68" s="46">
        <v>33190</v>
      </c>
      <c r="W68" s="46">
        <v>32400</v>
      </c>
      <c r="X68" s="46">
        <v>31120</v>
      </c>
      <c r="Y68" s="46">
        <v>29720</v>
      </c>
      <c r="Z68" s="46">
        <v>29980</v>
      </c>
      <c r="AA68" s="46">
        <v>29940</v>
      </c>
      <c r="AB68" s="46">
        <v>30870</v>
      </c>
      <c r="AC68" s="46">
        <v>31240</v>
      </c>
      <c r="AD68" s="46">
        <v>31680</v>
      </c>
      <c r="AE68" s="46">
        <v>32710</v>
      </c>
      <c r="AF68" s="46">
        <v>33480</v>
      </c>
      <c r="AG68" s="46">
        <v>34160</v>
      </c>
      <c r="AH68" s="46">
        <v>34960</v>
      </c>
      <c r="AI68" s="46">
        <v>35460</v>
      </c>
    </row>
    <row r="69" spans="1:35" x14ac:dyDescent="0.25">
      <c r="A69" s="11">
        <v>54</v>
      </c>
      <c r="B69" s="29">
        <v>25210</v>
      </c>
      <c r="C69" s="29">
        <v>25540</v>
      </c>
      <c r="D69" s="29">
        <v>26610</v>
      </c>
      <c r="E69" s="29">
        <v>27230</v>
      </c>
      <c r="F69" s="29">
        <v>28220</v>
      </c>
      <c r="G69" s="29">
        <v>28900</v>
      </c>
      <c r="H69" s="29">
        <v>29320</v>
      </c>
      <c r="I69" s="29">
        <v>30700</v>
      </c>
      <c r="J69" s="29">
        <v>31200</v>
      </c>
      <c r="K69" s="29">
        <v>32760</v>
      </c>
      <c r="L69" s="29">
        <v>33550</v>
      </c>
      <c r="M69" s="46">
        <v>34060</v>
      </c>
      <c r="N69" s="46">
        <v>33430</v>
      </c>
      <c r="O69" s="46">
        <v>32510</v>
      </c>
      <c r="P69" s="46">
        <v>32270</v>
      </c>
      <c r="Q69" s="46">
        <v>32650</v>
      </c>
      <c r="R69" s="46">
        <v>33190</v>
      </c>
      <c r="S69" s="46">
        <v>33760</v>
      </c>
      <c r="T69" s="46">
        <v>33490</v>
      </c>
      <c r="U69" s="46">
        <v>34930</v>
      </c>
      <c r="V69" s="46">
        <v>34420</v>
      </c>
      <c r="W69" s="46">
        <v>33120</v>
      </c>
      <c r="X69" s="46">
        <v>32340</v>
      </c>
      <c r="Y69" s="46">
        <v>31060</v>
      </c>
      <c r="Z69" s="46">
        <v>29670</v>
      </c>
      <c r="AA69" s="46">
        <v>29930</v>
      </c>
      <c r="AB69" s="46">
        <v>29880</v>
      </c>
      <c r="AC69" s="46">
        <v>30820</v>
      </c>
      <c r="AD69" s="46">
        <v>31190</v>
      </c>
      <c r="AE69" s="46">
        <v>31630</v>
      </c>
      <c r="AF69" s="46">
        <v>32660</v>
      </c>
      <c r="AG69" s="46">
        <v>33430</v>
      </c>
      <c r="AH69" s="46">
        <v>34110</v>
      </c>
      <c r="AI69" s="46">
        <v>34910</v>
      </c>
    </row>
    <row r="70" spans="1:35" x14ac:dyDescent="0.25">
      <c r="A70" s="11">
        <v>55</v>
      </c>
      <c r="B70" s="29">
        <v>24770</v>
      </c>
      <c r="C70" s="29">
        <v>25110</v>
      </c>
      <c r="D70" s="29">
        <v>25500</v>
      </c>
      <c r="E70" s="29">
        <v>26580</v>
      </c>
      <c r="F70" s="29">
        <v>27210</v>
      </c>
      <c r="G70" s="29">
        <v>28110</v>
      </c>
      <c r="H70" s="29">
        <v>28840</v>
      </c>
      <c r="I70" s="29">
        <v>29230</v>
      </c>
      <c r="J70" s="29">
        <v>30670</v>
      </c>
      <c r="K70" s="29">
        <v>31220</v>
      </c>
      <c r="L70" s="29">
        <v>32800</v>
      </c>
      <c r="M70" s="46">
        <v>33570</v>
      </c>
      <c r="N70" s="46">
        <v>34120</v>
      </c>
      <c r="O70" s="46">
        <v>33430</v>
      </c>
      <c r="P70" s="46">
        <v>32800</v>
      </c>
      <c r="Q70" s="46">
        <v>32090</v>
      </c>
      <c r="R70" s="46">
        <v>32500</v>
      </c>
      <c r="S70" s="46">
        <v>33080</v>
      </c>
      <c r="T70" s="46">
        <v>33670</v>
      </c>
      <c r="U70" s="46">
        <v>33420</v>
      </c>
      <c r="V70" s="46">
        <v>34880</v>
      </c>
      <c r="W70" s="46">
        <v>34370</v>
      </c>
      <c r="X70" s="46">
        <v>33070</v>
      </c>
      <c r="Y70" s="46">
        <v>32290</v>
      </c>
      <c r="Z70" s="46">
        <v>31020</v>
      </c>
      <c r="AA70" s="46">
        <v>29630</v>
      </c>
      <c r="AB70" s="46">
        <v>29890</v>
      </c>
      <c r="AC70" s="46">
        <v>29850</v>
      </c>
      <c r="AD70" s="46">
        <v>30780</v>
      </c>
      <c r="AE70" s="46">
        <v>31150</v>
      </c>
      <c r="AF70" s="46">
        <v>31590</v>
      </c>
      <c r="AG70" s="46">
        <v>32620</v>
      </c>
      <c r="AH70" s="46">
        <v>33390</v>
      </c>
      <c r="AI70" s="46">
        <v>34070</v>
      </c>
    </row>
    <row r="71" spans="1:35" x14ac:dyDescent="0.25">
      <c r="A71" s="11">
        <v>56</v>
      </c>
      <c r="B71" s="29">
        <v>24930</v>
      </c>
      <c r="C71" s="29">
        <v>24730</v>
      </c>
      <c r="D71" s="29">
        <v>25040</v>
      </c>
      <c r="E71" s="29">
        <v>25500</v>
      </c>
      <c r="F71" s="29">
        <v>26570</v>
      </c>
      <c r="G71" s="29">
        <v>27160</v>
      </c>
      <c r="H71" s="29">
        <v>28040</v>
      </c>
      <c r="I71" s="29">
        <v>28790</v>
      </c>
      <c r="J71" s="29">
        <v>29280</v>
      </c>
      <c r="K71" s="29">
        <v>30710</v>
      </c>
      <c r="L71" s="29">
        <v>31300</v>
      </c>
      <c r="M71" s="46">
        <v>32860</v>
      </c>
      <c r="N71" s="46">
        <v>33590</v>
      </c>
      <c r="O71" s="46">
        <v>34120</v>
      </c>
      <c r="P71" s="46">
        <v>33680</v>
      </c>
      <c r="Q71" s="46">
        <v>32640</v>
      </c>
      <c r="R71" s="46">
        <v>31940</v>
      </c>
      <c r="S71" s="46">
        <v>32400</v>
      </c>
      <c r="T71" s="46">
        <v>33000</v>
      </c>
      <c r="U71" s="46">
        <v>33600</v>
      </c>
      <c r="V71" s="46">
        <v>33380</v>
      </c>
      <c r="W71" s="46">
        <v>34830</v>
      </c>
      <c r="X71" s="46">
        <v>34330</v>
      </c>
      <c r="Y71" s="46">
        <v>33030</v>
      </c>
      <c r="Z71" s="46">
        <v>32260</v>
      </c>
      <c r="AA71" s="46">
        <v>30990</v>
      </c>
      <c r="AB71" s="46">
        <v>29600</v>
      </c>
      <c r="AC71" s="46">
        <v>29870</v>
      </c>
      <c r="AD71" s="46">
        <v>29830</v>
      </c>
      <c r="AE71" s="46">
        <v>30760</v>
      </c>
      <c r="AF71" s="46">
        <v>31130</v>
      </c>
      <c r="AG71" s="46">
        <v>31570</v>
      </c>
      <c r="AH71" s="46">
        <v>32600</v>
      </c>
      <c r="AI71" s="46">
        <v>33370</v>
      </c>
    </row>
    <row r="72" spans="1:35" x14ac:dyDescent="0.25">
      <c r="A72" s="11">
        <v>57</v>
      </c>
      <c r="B72" s="29">
        <v>24090</v>
      </c>
      <c r="C72" s="29">
        <v>24850</v>
      </c>
      <c r="D72" s="29">
        <v>24680</v>
      </c>
      <c r="E72" s="29">
        <v>25000</v>
      </c>
      <c r="F72" s="29">
        <v>25510</v>
      </c>
      <c r="G72" s="29">
        <v>26540</v>
      </c>
      <c r="H72" s="29">
        <v>27140</v>
      </c>
      <c r="I72" s="29">
        <v>27970</v>
      </c>
      <c r="J72" s="29">
        <v>28700</v>
      </c>
      <c r="K72" s="29">
        <v>29360</v>
      </c>
      <c r="L72" s="29">
        <v>30770</v>
      </c>
      <c r="M72" s="46">
        <v>31310</v>
      </c>
      <c r="N72" s="46">
        <v>32830</v>
      </c>
      <c r="O72" s="46">
        <v>33610</v>
      </c>
      <c r="P72" s="46">
        <v>34450</v>
      </c>
      <c r="Q72" s="46">
        <v>33490</v>
      </c>
      <c r="R72" s="46">
        <v>32450</v>
      </c>
      <c r="S72" s="46">
        <v>31850</v>
      </c>
      <c r="T72" s="46">
        <v>32330</v>
      </c>
      <c r="U72" s="46">
        <v>32940</v>
      </c>
      <c r="V72" s="46">
        <v>33570</v>
      </c>
      <c r="W72" s="46">
        <v>33340</v>
      </c>
      <c r="X72" s="46">
        <v>34800</v>
      </c>
      <c r="Y72" s="46">
        <v>34290</v>
      </c>
      <c r="Z72" s="46">
        <v>33010</v>
      </c>
      <c r="AA72" s="46">
        <v>32240</v>
      </c>
      <c r="AB72" s="46">
        <v>30970</v>
      </c>
      <c r="AC72" s="46">
        <v>29590</v>
      </c>
      <c r="AD72" s="46">
        <v>29860</v>
      </c>
      <c r="AE72" s="46">
        <v>29820</v>
      </c>
      <c r="AF72" s="46">
        <v>30750</v>
      </c>
      <c r="AG72" s="46">
        <v>31120</v>
      </c>
      <c r="AH72" s="46">
        <v>31560</v>
      </c>
      <c r="AI72" s="46">
        <v>32590</v>
      </c>
    </row>
    <row r="73" spans="1:35" x14ac:dyDescent="0.25">
      <c r="A73" s="11">
        <v>58</v>
      </c>
      <c r="B73" s="29">
        <v>24480</v>
      </c>
      <c r="C73" s="29">
        <v>24050</v>
      </c>
      <c r="D73" s="29">
        <v>24700</v>
      </c>
      <c r="E73" s="29">
        <v>24570</v>
      </c>
      <c r="F73" s="29">
        <v>25000</v>
      </c>
      <c r="G73" s="29">
        <v>25480</v>
      </c>
      <c r="H73" s="29">
        <v>26530</v>
      </c>
      <c r="I73" s="29">
        <v>27100</v>
      </c>
      <c r="J73" s="29">
        <v>27920</v>
      </c>
      <c r="K73" s="29">
        <v>28670</v>
      </c>
      <c r="L73" s="29">
        <v>29450</v>
      </c>
      <c r="M73" s="46">
        <v>30810</v>
      </c>
      <c r="N73" s="46">
        <v>31290</v>
      </c>
      <c r="O73" s="46">
        <v>32800</v>
      </c>
      <c r="P73" s="46">
        <v>33900</v>
      </c>
      <c r="Q73" s="46">
        <v>34210</v>
      </c>
      <c r="R73" s="46">
        <v>33280</v>
      </c>
      <c r="S73" s="46">
        <v>32360</v>
      </c>
      <c r="T73" s="46">
        <v>31780</v>
      </c>
      <c r="U73" s="46">
        <v>32290</v>
      </c>
      <c r="V73" s="46">
        <v>32920</v>
      </c>
      <c r="W73" s="46">
        <v>33550</v>
      </c>
      <c r="X73" s="46">
        <v>33320</v>
      </c>
      <c r="Y73" s="46">
        <v>34770</v>
      </c>
      <c r="Z73" s="46">
        <v>34270</v>
      </c>
      <c r="AA73" s="46">
        <v>32990</v>
      </c>
      <c r="AB73" s="46">
        <v>32230</v>
      </c>
      <c r="AC73" s="46">
        <v>30970</v>
      </c>
      <c r="AD73" s="46">
        <v>29590</v>
      </c>
      <c r="AE73" s="46">
        <v>29860</v>
      </c>
      <c r="AF73" s="46">
        <v>29820</v>
      </c>
      <c r="AG73" s="46">
        <v>30750</v>
      </c>
      <c r="AH73" s="46">
        <v>31120</v>
      </c>
      <c r="AI73" s="46">
        <v>31570</v>
      </c>
    </row>
    <row r="74" spans="1:35" x14ac:dyDescent="0.25">
      <c r="A74" s="11">
        <v>59</v>
      </c>
      <c r="B74" s="29">
        <v>24660</v>
      </c>
      <c r="C74" s="29">
        <v>24450</v>
      </c>
      <c r="D74" s="29">
        <v>23980</v>
      </c>
      <c r="E74" s="29">
        <v>24630</v>
      </c>
      <c r="F74" s="29">
        <v>24500</v>
      </c>
      <c r="G74" s="29">
        <v>24970</v>
      </c>
      <c r="H74" s="29">
        <v>25480</v>
      </c>
      <c r="I74" s="29">
        <v>26490</v>
      </c>
      <c r="J74" s="29">
        <v>27060</v>
      </c>
      <c r="K74" s="29">
        <v>27920</v>
      </c>
      <c r="L74" s="29">
        <v>28700</v>
      </c>
      <c r="M74" s="46">
        <v>29560</v>
      </c>
      <c r="N74" s="46">
        <v>30780</v>
      </c>
      <c r="O74" s="46">
        <v>31310</v>
      </c>
      <c r="P74" s="46">
        <v>33070</v>
      </c>
      <c r="Q74" s="46">
        <v>33670</v>
      </c>
      <c r="R74" s="46">
        <v>33990</v>
      </c>
      <c r="S74" s="46">
        <v>33200</v>
      </c>
      <c r="T74" s="46">
        <v>32300</v>
      </c>
      <c r="U74" s="46">
        <v>31750</v>
      </c>
      <c r="V74" s="46">
        <v>32270</v>
      </c>
      <c r="W74" s="46">
        <v>32900</v>
      </c>
      <c r="X74" s="46">
        <v>33530</v>
      </c>
      <c r="Y74" s="46">
        <v>33310</v>
      </c>
      <c r="Z74" s="46">
        <v>34760</v>
      </c>
      <c r="AA74" s="46">
        <v>34260</v>
      </c>
      <c r="AB74" s="46">
        <v>32990</v>
      </c>
      <c r="AC74" s="46">
        <v>32230</v>
      </c>
      <c r="AD74" s="46">
        <v>30970</v>
      </c>
      <c r="AE74" s="46">
        <v>29610</v>
      </c>
      <c r="AF74" s="46">
        <v>29870</v>
      </c>
      <c r="AG74" s="46">
        <v>29830</v>
      </c>
      <c r="AH74" s="46">
        <v>30760</v>
      </c>
      <c r="AI74" s="46">
        <v>31140</v>
      </c>
    </row>
    <row r="75" spans="1:35" x14ac:dyDescent="0.25">
      <c r="A75" s="11">
        <v>60</v>
      </c>
      <c r="B75" s="29">
        <v>20800</v>
      </c>
      <c r="C75" s="29">
        <v>24570</v>
      </c>
      <c r="D75" s="29">
        <v>24410</v>
      </c>
      <c r="E75" s="29">
        <v>23930</v>
      </c>
      <c r="F75" s="29">
        <v>24560</v>
      </c>
      <c r="G75" s="29">
        <v>24490</v>
      </c>
      <c r="H75" s="29">
        <v>24980</v>
      </c>
      <c r="I75" s="29">
        <v>25490</v>
      </c>
      <c r="J75" s="29">
        <v>26470</v>
      </c>
      <c r="K75" s="29">
        <v>27100</v>
      </c>
      <c r="L75" s="29">
        <v>27930</v>
      </c>
      <c r="M75" s="46">
        <v>28670</v>
      </c>
      <c r="N75" s="46">
        <v>29560</v>
      </c>
      <c r="O75" s="46">
        <v>30770</v>
      </c>
      <c r="P75" s="46">
        <v>31640</v>
      </c>
      <c r="Q75" s="46">
        <v>32830</v>
      </c>
      <c r="R75" s="46">
        <v>33490</v>
      </c>
      <c r="S75" s="46">
        <v>33900</v>
      </c>
      <c r="T75" s="46">
        <v>33130</v>
      </c>
      <c r="U75" s="46">
        <v>32260</v>
      </c>
      <c r="V75" s="46">
        <v>31730</v>
      </c>
      <c r="W75" s="46">
        <v>32250</v>
      </c>
      <c r="X75" s="46">
        <v>32880</v>
      </c>
      <c r="Y75" s="46">
        <v>33510</v>
      </c>
      <c r="Z75" s="46">
        <v>33290</v>
      </c>
      <c r="AA75" s="46">
        <v>34740</v>
      </c>
      <c r="AB75" s="46">
        <v>34250</v>
      </c>
      <c r="AC75" s="46">
        <v>32980</v>
      </c>
      <c r="AD75" s="46">
        <v>32220</v>
      </c>
      <c r="AE75" s="46">
        <v>30970</v>
      </c>
      <c r="AF75" s="46">
        <v>29610</v>
      </c>
      <c r="AG75" s="46">
        <v>29880</v>
      </c>
      <c r="AH75" s="46">
        <v>29850</v>
      </c>
      <c r="AI75" s="46">
        <v>30770</v>
      </c>
    </row>
    <row r="76" spans="1:35" x14ac:dyDescent="0.25">
      <c r="A76" s="11">
        <v>61</v>
      </c>
      <c r="B76" s="29">
        <v>19700</v>
      </c>
      <c r="C76" s="29">
        <v>20750</v>
      </c>
      <c r="D76" s="29">
        <v>24470</v>
      </c>
      <c r="E76" s="29">
        <v>24340</v>
      </c>
      <c r="F76" s="29">
        <v>23890</v>
      </c>
      <c r="G76" s="29">
        <v>24540</v>
      </c>
      <c r="H76" s="29">
        <v>24440</v>
      </c>
      <c r="I76" s="29">
        <v>24970</v>
      </c>
      <c r="J76" s="29">
        <v>25470</v>
      </c>
      <c r="K76" s="29">
        <v>26430</v>
      </c>
      <c r="L76" s="29">
        <v>27220</v>
      </c>
      <c r="M76" s="46">
        <v>27870</v>
      </c>
      <c r="N76" s="46">
        <v>28610</v>
      </c>
      <c r="O76" s="46">
        <v>29600</v>
      </c>
      <c r="P76" s="46">
        <v>31070</v>
      </c>
      <c r="Q76" s="46">
        <v>31320</v>
      </c>
      <c r="R76" s="46">
        <v>32610</v>
      </c>
      <c r="S76" s="46">
        <v>33400</v>
      </c>
      <c r="T76" s="46">
        <v>33820</v>
      </c>
      <c r="U76" s="46">
        <v>33080</v>
      </c>
      <c r="V76" s="46">
        <v>32230</v>
      </c>
      <c r="W76" s="46">
        <v>31710</v>
      </c>
      <c r="X76" s="46">
        <v>32230</v>
      </c>
      <c r="Y76" s="46">
        <v>32860</v>
      </c>
      <c r="Z76" s="46">
        <v>33490</v>
      </c>
      <c r="AA76" s="46">
        <v>33280</v>
      </c>
      <c r="AB76" s="46">
        <v>34720</v>
      </c>
      <c r="AC76" s="46">
        <v>34240</v>
      </c>
      <c r="AD76" s="46">
        <v>32970</v>
      </c>
      <c r="AE76" s="46">
        <v>32220</v>
      </c>
      <c r="AF76" s="46">
        <v>30980</v>
      </c>
      <c r="AG76" s="46">
        <v>29630</v>
      </c>
      <c r="AH76" s="46">
        <v>29900</v>
      </c>
      <c r="AI76" s="46">
        <v>29860</v>
      </c>
    </row>
    <row r="77" spans="1:35" x14ac:dyDescent="0.25">
      <c r="A77" s="11">
        <v>62</v>
      </c>
      <c r="B77" s="29">
        <v>18680</v>
      </c>
      <c r="C77" s="29">
        <v>19610</v>
      </c>
      <c r="D77" s="29">
        <v>20680</v>
      </c>
      <c r="E77" s="29">
        <v>24370</v>
      </c>
      <c r="F77" s="29">
        <v>24280</v>
      </c>
      <c r="G77" s="29">
        <v>23840</v>
      </c>
      <c r="H77" s="29">
        <v>24510</v>
      </c>
      <c r="I77" s="29">
        <v>24380</v>
      </c>
      <c r="J77" s="29">
        <v>24920</v>
      </c>
      <c r="K77" s="29">
        <v>25430</v>
      </c>
      <c r="L77" s="29">
        <v>26400</v>
      </c>
      <c r="M77" s="46">
        <v>27180</v>
      </c>
      <c r="N77" s="46">
        <v>27820</v>
      </c>
      <c r="O77" s="46">
        <v>28640</v>
      </c>
      <c r="P77" s="46">
        <v>29930</v>
      </c>
      <c r="Q77" s="46">
        <v>30850</v>
      </c>
      <c r="R77" s="46">
        <v>31070</v>
      </c>
      <c r="S77" s="46">
        <v>32510</v>
      </c>
      <c r="T77" s="46">
        <v>33320</v>
      </c>
      <c r="U77" s="46">
        <v>33760</v>
      </c>
      <c r="V77" s="46">
        <v>33040</v>
      </c>
      <c r="W77" s="46">
        <v>32200</v>
      </c>
      <c r="X77" s="46">
        <v>31680</v>
      </c>
      <c r="Y77" s="46">
        <v>32210</v>
      </c>
      <c r="Z77" s="46">
        <v>32840</v>
      </c>
      <c r="AA77" s="46">
        <v>33470</v>
      </c>
      <c r="AB77" s="46">
        <v>33260</v>
      </c>
      <c r="AC77" s="46">
        <v>34700</v>
      </c>
      <c r="AD77" s="46">
        <v>34220</v>
      </c>
      <c r="AE77" s="46">
        <v>32960</v>
      </c>
      <c r="AF77" s="46">
        <v>32220</v>
      </c>
      <c r="AG77" s="46">
        <v>30980</v>
      </c>
      <c r="AH77" s="46">
        <v>29630</v>
      </c>
      <c r="AI77" s="46">
        <v>29910</v>
      </c>
    </row>
    <row r="78" spans="1:35" x14ac:dyDescent="0.25">
      <c r="A78" s="11">
        <v>63</v>
      </c>
      <c r="B78" s="29">
        <v>16840</v>
      </c>
      <c r="C78" s="29">
        <v>18600</v>
      </c>
      <c r="D78" s="29">
        <v>19540</v>
      </c>
      <c r="E78" s="29">
        <v>20580</v>
      </c>
      <c r="F78" s="29">
        <v>24270</v>
      </c>
      <c r="G78" s="29">
        <v>24200</v>
      </c>
      <c r="H78" s="29">
        <v>23820</v>
      </c>
      <c r="I78" s="29">
        <v>24470</v>
      </c>
      <c r="J78" s="29">
        <v>24270</v>
      </c>
      <c r="K78" s="29">
        <v>24920</v>
      </c>
      <c r="L78" s="29">
        <v>25420</v>
      </c>
      <c r="M78" s="46">
        <v>26370</v>
      </c>
      <c r="N78" s="46">
        <v>27120</v>
      </c>
      <c r="O78" s="46">
        <v>27860</v>
      </c>
      <c r="P78" s="46">
        <v>28950</v>
      </c>
      <c r="Q78" s="46">
        <v>29640</v>
      </c>
      <c r="R78" s="46">
        <v>30610</v>
      </c>
      <c r="S78" s="46">
        <v>30970</v>
      </c>
      <c r="T78" s="46">
        <v>32420</v>
      </c>
      <c r="U78" s="46">
        <v>33240</v>
      </c>
      <c r="V78" s="46">
        <v>33700</v>
      </c>
      <c r="W78" s="46">
        <v>32990</v>
      </c>
      <c r="X78" s="46">
        <v>32160</v>
      </c>
      <c r="Y78" s="46">
        <v>31640</v>
      </c>
      <c r="Z78" s="46">
        <v>32170</v>
      </c>
      <c r="AA78" s="46">
        <v>32800</v>
      </c>
      <c r="AB78" s="46">
        <v>33430</v>
      </c>
      <c r="AC78" s="46">
        <v>33220</v>
      </c>
      <c r="AD78" s="46">
        <v>34660</v>
      </c>
      <c r="AE78" s="46">
        <v>34180</v>
      </c>
      <c r="AF78" s="46">
        <v>32940</v>
      </c>
      <c r="AG78" s="46">
        <v>32200</v>
      </c>
      <c r="AH78" s="46">
        <v>30970</v>
      </c>
      <c r="AI78" s="46">
        <v>29630</v>
      </c>
    </row>
    <row r="79" spans="1:35" x14ac:dyDescent="0.25">
      <c r="A79" s="11">
        <v>64</v>
      </c>
      <c r="B79" s="29">
        <v>18730</v>
      </c>
      <c r="C79" s="29">
        <v>16750</v>
      </c>
      <c r="D79" s="29">
        <v>18530</v>
      </c>
      <c r="E79" s="29">
        <v>19490</v>
      </c>
      <c r="F79" s="29">
        <v>20520</v>
      </c>
      <c r="G79" s="29">
        <v>24170</v>
      </c>
      <c r="H79" s="29">
        <v>24150</v>
      </c>
      <c r="I79" s="29">
        <v>23800</v>
      </c>
      <c r="J79" s="29">
        <v>24370</v>
      </c>
      <c r="K79" s="29">
        <v>24140</v>
      </c>
      <c r="L79" s="29">
        <v>24830</v>
      </c>
      <c r="M79" s="46">
        <v>25400</v>
      </c>
      <c r="N79" s="46">
        <v>26240</v>
      </c>
      <c r="O79" s="46">
        <v>27110</v>
      </c>
      <c r="P79" s="46">
        <v>28200</v>
      </c>
      <c r="Q79" s="46">
        <v>28710</v>
      </c>
      <c r="R79" s="46">
        <v>29380</v>
      </c>
      <c r="S79" s="46">
        <v>30490</v>
      </c>
      <c r="T79" s="46">
        <v>30860</v>
      </c>
      <c r="U79" s="46">
        <v>32320</v>
      </c>
      <c r="V79" s="46">
        <v>33150</v>
      </c>
      <c r="W79" s="46">
        <v>33620</v>
      </c>
      <c r="X79" s="46">
        <v>32910</v>
      </c>
      <c r="Y79" s="46">
        <v>32090</v>
      </c>
      <c r="Z79" s="46">
        <v>31580</v>
      </c>
      <c r="AA79" s="46">
        <v>32100</v>
      </c>
      <c r="AB79" s="46">
        <v>32740</v>
      </c>
      <c r="AC79" s="46">
        <v>33370</v>
      </c>
      <c r="AD79" s="46">
        <v>33160</v>
      </c>
      <c r="AE79" s="46">
        <v>34600</v>
      </c>
      <c r="AF79" s="46">
        <v>34130</v>
      </c>
      <c r="AG79" s="46">
        <v>32890</v>
      </c>
      <c r="AH79" s="46">
        <v>32150</v>
      </c>
      <c r="AI79" s="46">
        <v>30930</v>
      </c>
    </row>
    <row r="80" spans="1:35" x14ac:dyDescent="0.25">
      <c r="A80" s="11">
        <v>65</v>
      </c>
      <c r="B80" s="29">
        <v>18400</v>
      </c>
      <c r="C80" s="29">
        <v>18630</v>
      </c>
      <c r="D80" s="29">
        <v>16670</v>
      </c>
      <c r="E80" s="29">
        <v>18440</v>
      </c>
      <c r="F80" s="29">
        <v>19440</v>
      </c>
      <c r="G80" s="29">
        <v>20450</v>
      </c>
      <c r="H80" s="29">
        <v>24040</v>
      </c>
      <c r="I80" s="29">
        <v>24050</v>
      </c>
      <c r="J80" s="29">
        <v>23620</v>
      </c>
      <c r="K80" s="29">
        <v>24270</v>
      </c>
      <c r="L80" s="29">
        <v>24050</v>
      </c>
      <c r="M80" s="46">
        <v>24720</v>
      </c>
      <c r="N80" s="46">
        <v>25300</v>
      </c>
      <c r="O80" s="46">
        <v>26160</v>
      </c>
      <c r="P80" s="46">
        <v>27390</v>
      </c>
      <c r="Q80" s="46">
        <v>27920</v>
      </c>
      <c r="R80" s="46">
        <v>28450</v>
      </c>
      <c r="S80" s="46">
        <v>29240</v>
      </c>
      <c r="T80" s="46">
        <v>30360</v>
      </c>
      <c r="U80" s="46">
        <v>30740</v>
      </c>
      <c r="V80" s="46">
        <v>32210</v>
      </c>
      <c r="W80" s="46">
        <v>33050</v>
      </c>
      <c r="X80" s="46">
        <v>33510</v>
      </c>
      <c r="Y80" s="46">
        <v>32810</v>
      </c>
      <c r="Z80" s="46">
        <v>32000</v>
      </c>
      <c r="AA80" s="46">
        <v>31500</v>
      </c>
      <c r="AB80" s="46">
        <v>32030</v>
      </c>
      <c r="AC80" s="46">
        <v>32660</v>
      </c>
      <c r="AD80" s="46">
        <v>33290</v>
      </c>
      <c r="AE80" s="46">
        <v>33090</v>
      </c>
      <c r="AF80" s="46">
        <v>34520</v>
      </c>
      <c r="AG80" s="46">
        <v>34050</v>
      </c>
      <c r="AH80" s="46">
        <v>32830</v>
      </c>
      <c r="AI80" s="46">
        <v>32100</v>
      </c>
    </row>
    <row r="81" spans="1:35" x14ac:dyDescent="0.25">
      <c r="A81" s="11">
        <v>66</v>
      </c>
      <c r="B81" s="29">
        <v>16900</v>
      </c>
      <c r="C81" s="29">
        <v>18240</v>
      </c>
      <c r="D81" s="29">
        <v>18470</v>
      </c>
      <c r="E81" s="29">
        <v>16570</v>
      </c>
      <c r="F81" s="29">
        <v>18340</v>
      </c>
      <c r="G81" s="29">
        <v>19330</v>
      </c>
      <c r="H81" s="29">
        <v>20350</v>
      </c>
      <c r="I81" s="29">
        <v>23940</v>
      </c>
      <c r="J81" s="29">
        <v>23910</v>
      </c>
      <c r="K81" s="29">
        <v>23450</v>
      </c>
      <c r="L81" s="29">
        <v>24090</v>
      </c>
      <c r="M81" s="46">
        <v>23950</v>
      </c>
      <c r="N81" s="46">
        <v>24570</v>
      </c>
      <c r="O81" s="46">
        <v>25190</v>
      </c>
      <c r="P81" s="46">
        <v>26400</v>
      </c>
      <c r="Q81" s="46">
        <v>27110</v>
      </c>
      <c r="R81" s="46">
        <v>27630</v>
      </c>
      <c r="S81" s="46">
        <v>28290</v>
      </c>
      <c r="T81" s="46">
        <v>29090</v>
      </c>
      <c r="U81" s="46">
        <v>30220</v>
      </c>
      <c r="V81" s="46">
        <v>30620</v>
      </c>
      <c r="W81" s="46">
        <v>32090</v>
      </c>
      <c r="X81" s="46">
        <v>32920</v>
      </c>
      <c r="Y81" s="46">
        <v>33390</v>
      </c>
      <c r="Z81" s="46">
        <v>32700</v>
      </c>
      <c r="AA81" s="46">
        <v>31890</v>
      </c>
      <c r="AB81" s="46">
        <v>31390</v>
      </c>
      <c r="AC81" s="46">
        <v>31920</v>
      </c>
      <c r="AD81" s="46">
        <v>32560</v>
      </c>
      <c r="AE81" s="46">
        <v>33190</v>
      </c>
      <c r="AF81" s="46">
        <v>32990</v>
      </c>
      <c r="AG81" s="46">
        <v>34420</v>
      </c>
      <c r="AH81" s="46">
        <v>33960</v>
      </c>
      <c r="AI81" s="46">
        <v>32740</v>
      </c>
    </row>
    <row r="82" spans="1:35" x14ac:dyDescent="0.25">
      <c r="A82" s="11">
        <v>67</v>
      </c>
      <c r="B82" s="29">
        <v>15620</v>
      </c>
      <c r="C82" s="29">
        <v>16740</v>
      </c>
      <c r="D82" s="29">
        <v>18050</v>
      </c>
      <c r="E82" s="29">
        <v>18370</v>
      </c>
      <c r="F82" s="29">
        <v>16430</v>
      </c>
      <c r="G82" s="29">
        <v>18210</v>
      </c>
      <c r="H82" s="29">
        <v>19190</v>
      </c>
      <c r="I82" s="29">
        <v>20190</v>
      </c>
      <c r="J82" s="29">
        <v>23730</v>
      </c>
      <c r="K82" s="29">
        <v>23720</v>
      </c>
      <c r="L82" s="29">
        <v>23280</v>
      </c>
      <c r="M82" s="46">
        <v>23910</v>
      </c>
      <c r="N82" s="46">
        <v>23710</v>
      </c>
      <c r="O82" s="46">
        <v>24460</v>
      </c>
      <c r="P82" s="46">
        <v>25350</v>
      </c>
      <c r="Q82" s="46">
        <v>26010</v>
      </c>
      <c r="R82" s="46">
        <v>26770</v>
      </c>
      <c r="S82" s="46">
        <v>27460</v>
      </c>
      <c r="T82" s="46">
        <v>28120</v>
      </c>
      <c r="U82" s="46">
        <v>28940</v>
      </c>
      <c r="V82" s="46">
        <v>30070</v>
      </c>
      <c r="W82" s="46">
        <v>30470</v>
      </c>
      <c r="X82" s="46">
        <v>31930</v>
      </c>
      <c r="Y82" s="46">
        <v>32770</v>
      </c>
      <c r="Z82" s="46">
        <v>33230</v>
      </c>
      <c r="AA82" s="46">
        <v>32550</v>
      </c>
      <c r="AB82" s="46">
        <v>31750</v>
      </c>
      <c r="AC82" s="46">
        <v>31270</v>
      </c>
      <c r="AD82" s="46">
        <v>31790</v>
      </c>
      <c r="AE82" s="46">
        <v>32430</v>
      </c>
      <c r="AF82" s="46">
        <v>33060</v>
      </c>
      <c r="AG82" s="46">
        <v>32870</v>
      </c>
      <c r="AH82" s="46">
        <v>34290</v>
      </c>
      <c r="AI82" s="46">
        <v>33840</v>
      </c>
    </row>
    <row r="83" spans="1:35" x14ac:dyDescent="0.25">
      <c r="A83" s="11">
        <v>68</v>
      </c>
      <c r="B83" s="29">
        <v>14760</v>
      </c>
      <c r="C83" s="29">
        <v>15410</v>
      </c>
      <c r="D83" s="29">
        <v>16570</v>
      </c>
      <c r="E83" s="29">
        <v>17860</v>
      </c>
      <c r="F83" s="29">
        <v>18190</v>
      </c>
      <c r="G83" s="29">
        <v>16290</v>
      </c>
      <c r="H83" s="29">
        <v>18050</v>
      </c>
      <c r="I83" s="29">
        <v>19110</v>
      </c>
      <c r="J83" s="29">
        <v>20010</v>
      </c>
      <c r="K83" s="29">
        <v>23460</v>
      </c>
      <c r="L83" s="29">
        <v>23510</v>
      </c>
      <c r="M83" s="46">
        <v>23070</v>
      </c>
      <c r="N83" s="46">
        <v>23680</v>
      </c>
      <c r="O83" s="46">
        <v>23560</v>
      </c>
      <c r="P83" s="46">
        <v>24560</v>
      </c>
      <c r="Q83" s="46">
        <v>25020</v>
      </c>
      <c r="R83" s="46">
        <v>25700</v>
      </c>
      <c r="S83" s="46">
        <v>26570</v>
      </c>
      <c r="T83" s="46">
        <v>27270</v>
      </c>
      <c r="U83" s="46">
        <v>27940</v>
      </c>
      <c r="V83" s="46">
        <v>28760</v>
      </c>
      <c r="W83" s="46">
        <v>29900</v>
      </c>
      <c r="X83" s="46">
        <v>30300</v>
      </c>
      <c r="Y83" s="46">
        <v>31750</v>
      </c>
      <c r="Z83" s="46">
        <v>32580</v>
      </c>
      <c r="AA83" s="46">
        <v>33050</v>
      </c>
      <c r="AB83" s="46">
        <v>32380</v>
      </c>
      <c r="AC83" s="46">
        <v>31590</v>
      </c>
      <c r="AD83" s="46">
        <v>31110</v>
      </c>
      <c r="AE83" s="46">
        <v>31640</v>
      </c>
      <c r="AF83" s="46">
        <v>32270</v>
      </c>
      <c r="AG83" s="46">
        <v>32900</v>
      </c>
      <c r="AH83" s="46">
        <v>32720</v>
      </c>
      <c r="AI83" s="46">
        <v>34140</v>
      </c>
    </row>
    <row r="84" spans="1:35" x14ac:dyDescent="0.25">
      <c r="A84" s="11">
        <v>69</v>
      </c>
      <c r="B84" s="29">
        <v>14230</v>
      </c>
      <c r="C84" s="29">
        <v>14600</v>
      </c>
      <c r="D84" s="29">
        <v>15220</v>
      </c>
      <c r="E84" s="29">
        <v>16380</v>
      </c>
      <c r="F84" s="29">
        <v>17680</v>
      </c>
      <c r="G84" s="29">
        <v>18000</v>
      </c>
      <c r="H84" s="29">
        <v>16110</v>
      </c>
      <c r="I84" s="29">
        <v>17900</v>
      </c>
      <c r="J84" s="29">
        <v>18880</v>
      </c>
      <c r="K84" s="29">
        <v>19780</v>
      </c>
      <c r="L84" s="29">
        <v>23170</v>
      </c>
      <c r="M84" s="46">
        <v>23270</v>
      </c>
      <c r="N84" s="46">
        <v>22740</v>
      </c>
      <c r="O84" s="46">
        <v>23490</v>
      </c>
      <c r="P84" s="46">
        <v>23610</v>
      </c>
      <c r="Q84" s="46">
        <v>24260</v>
      </c>
      <c r="R84" s="46">
        <v>24710</v>
      </c>
      <c r="S84" s="46">
        <v>25480</v>
      </c>
      <c r="T84" s="46">
        <v>26360</v>
      </c>
      <c r="U84" s="46">
        <v>27060</v>
      </c>
      <c r="V84" s="46">
        <v>27750</v>
      </c>
      <c r="W84" s="46">
        <v>28570</v>
      </c>
      <c r="X84" s="46">
        <v>29690</v>
      </c>
      <c r="Y84" s="46">
        <v>30100</v>
      </c>
      <c r="Z84" s="46">
        <v>31540</v>
      </c>
      <c r="AA84" s="46">
        <v>32370</v>
      </c>
      <c r="AB84" s="46">
        <v>32850</v>
      </c>
      <c r="AC84" s="46">
        <v>32180</v>
      </c>
      <c r="AD84" s="46">
        <v>31410</v>
      </c>
      <c r="AE84" s="46">
        <v>30930</v>
      </c>
      <c r="AF84" s="46">
        <v>31460</v>
      </c>
      <c r="AG84" s="46">
        <v>32100</v>
      </c>
      <c r="AH84" s="46">
        <v>32730</v>
      </c>
      <c r="AI84" s="46">
        <v>32550</v>
      </c>
    </row>
    <row r="85" spans="1:35" x14ac:dyDescent="0.25">
      <c r="A85" s="11">
        <v>70</v>
      </c>
      <c r="B85" s="29">
        <v>13460</v>
      </c>
      <c r="C85" s="29">
        <v>13990</v>
      </c>
      <c r="D85" s="29">
        <v>14400</v>
      </c>
      <c r="E85" s="29">
        <v>15000</v>
      </c>
      <c r="F85" s="29">
        <v>16170</v>
      </c>
      <c r="G85" s="29">
        <v>17450</v>
      </c>
      <c r="H85" s="29">
        <v>17790</v>
      </c>
      <c r="I85" s="29">
        <v>15930</v>
      </c>
      <c r="J85" s="29">
        <v>17690</v>
      </c>
      <c r="K85" s="29">
        <v>18640</v>
      </c>
      <c r="L85" s="29">
        <v>19550</v>
      </c>
      <c r="M85" s="46">
        <v>22870</v>
      </c>
      <c r="N85" s="46">
        <v>22970</v>
      </c>
      <c r="O85" s="46">
        <v>22540</v>
      </c>
      <c r="P85" s="46">
        <v>23470</v>
      </c>
      <c r="Q85" s="46">
        <v>23290</v>
      </c>
      <c r="R85" s="46">
        <v>23940</v>
      </c>
      <c r="S85" s="46">
        <v>24480</v>
      </c>
      <c r="T85" s="46">
        <v>25260</v>
      </c>
      <c r="U85" s="46">
        <v>26130</v>
      </c>
      <c r="V85" s="46">
        <v>26850</v>
      </c>
      <c r="W85" s="46">
        <v>27530</v>
      </c>
      <c r="X85" s="46">
        <v>28340</v>
      </c>
      <c r="Y85" s="46">
        <v>29470</v>
      </c>
      <c r="Z85" s="46">
        <v>29870</v>
      </c>
      <c r="AA85" s="46">
        <v>31310</v>
      </c>
      <c r="AB85" s="46">
        <v>32140</v>
      </c>
      <c r="AC85" s="46">
        <v>32620</v>
      </c>
      <c r="AD85" s="46">
        <v>31960</v>
      </c>
      <c r="AE85" s="46">
        <v>31200</v>
      </c>
      <c r="AF85" s="46">
        <v>30730</v>
      </c>
      <c r="AG85" s="46">
        <v>31260</v>
      </c>
      <c r="AH85" s="46">
        <v>31900</v>
      </c>
      <c r="AI85" s="46">
        <v>32530</v>
      </c>
    </row>
    <row r="86" spans="1:35" x14ac:dyDescent="0.25">
      <c r="A86" s="11">
        <v>71</v>
      </c>
      <c r="B86" s="29">
        <v>12650</v>
      </c>
      <c r="C86" s="29">
        <v>13250</v>
      </c>
      <c r="D86" s="29">
        <v>13770</v>
      </c>
      <c r="E86" s="29">
        <v>14190</v>
      </c>
      <c r="F86" s="29">
        <v>14780</v>
      </c>
      <c r="G86" s="29">
        <v>15900</v>
      </c>
      <c r="H86" s="29">
        <v>17210</v>
      </c>
      <c r="I86" s="29">
        <v>17570</v>
      </c>
      <c r="J86" s="29">
        <v>15700</v>
      </c>
      <c r="K86" s="29">
        <v>17460</v>
      </c>
      <c r="L86" s="29">
        <v>18370</v>
      </c>
      <c r="M86" s="46">
        <v>19290</v>
      </c>
      <c r="N86" s="46">
        <v>22520</v>
      </c>
      <c r="O86" s="46">
        <v>22750</v>
      </c>
      <c r="P86" s="46">
        <v>22510</v>
      </c>
      <c r="Q86" s="46">
        <v>23130</v>
      </c>
      <c r="R86" s="46">
        <v>22960</v>
      </c>
      <c r="S86" s="46">
        <v>23680</v>
      </c>
      <c r="T86" s="46">
        <v>24220</v>
      </c>
      <c r="U86" s="46">
        <v>25010</v>
      </c>
      <c r="V86" s="46">
        <v>25890</v>
      </c>
      <c r="W86" s="46">
        <v>26600</v>
      </c>
      <c r="X86" s="46">
        <v>27280</v>
      </c>
      <c r="Y86" s="46">
        <v>28100</v>
      </c>
      <c r="Z86" s="46">
        <v>29210</v>
      </c>
      <c r="AA86" s="46">
        <v>29620</v>
      </c>
      <c r="AB86" s="46">
        <v>31050</v>
      </c>
      <c r="AC86" s="46">
        <v>31880</v>
      </c>
      <c r="AD86" s="46">
        <v>32360</v>
      </c>
      <c r="AE86" s="46">
        <v>31720</v>
      </c>
      <c r="AF86" s="46">
        <v>30960</v>
      </c>
      <c r="AG86" s="46">
        <v>30510</v>
      </c>
      <c r="AH86" s="46">
        <v>31040</v>
      </c>
      <c r="AI86" s="46">
        <v>31670</v>
      </c>
    </row>
    <row r="87" spans="1:35" x14ac:dyDescent="0.25">
      <c r="A87" s="11">
        <v>72</v>
      </c>
      <c r="B87" s="29">
        <v>12410</v>
      </c>
      <c r="C87" s="29">
        <v>12440</v>
      </c>
      <c r="D87" s="29">
        <v>13040</v>
      </c>
      <c r="E87" s="29">
        <v>13540</v>
      </c>
      <c r="F87" s="29">
        <v>14000</v>
      </c>
      <c r="G87" s="29">
        <v>14570</v>
      </c>
      <c r="H87" s="29">
        <v>15680</v>
      </c>
      <c r="I87" s="29">
        <v>16960</v>
      </c>
      <c r="J87" s="29">
        <v>17320</v>
      </c>
      <c r="K87" s="29">
        <v>15460</v>
      </c>
      <c r="L87" s="29">
        <v>17180</v>
      </c>
      <c r="M87" s="46">
        <v>18070</v>
      </c>
      <c r="N87" s="46">
        <v>18980</v>
      </c>
      <c r="O87" s="46">
        <v>22260</v>
      </c>
      <c r="P87" s="46">
        <v>22690</v>
      </c>
      <c r="Q87" s="46">
        <v>22140</v>
      </c>
      <c r="R87" s="46">
        <v>22760</v>
      </c>
      <c r="S87" s="46">
        <v>22680</v>
      </c>
      <c r="T87" s="46">
        <v>23410</v>
      </c>
      <c r="U87" s="46">
        <v>23960</v>
      </c>
      <c r="V87" s="46">
        <v>24740</v>
      </c>
      <c r="W87" s="46">
        <v>25620</v>
      </c>
      <c r="X87" s="46">
        <v>26330</v>
      </c>
      <c r="Y87" s="46">
        <v>27010</v>
      </c>
      <c r="Z87" s="46">
        <v>27820</v>
      </c>
      <c r="AA87" s="46">
        <v>28930</v>
      </c>
      <c r="AB87" s="46">
        <v>29340</v>
      </c>
      <c r="AC87" s="46">
        <v>30770</v>
      </c>
      <c r="AD87" s="46">
        <v>31600</v>
      </c>
      <c r="AE87" s="46">
        <v>32070</v>
      </c>
      <c r="AF87" s="46">
        <v>31440</v>
      </c>
      <c r="AG87" s="46">
        <v>30700</v>
      </c>
      <c r="AH87" s="46">
        <v>30250</v>
      </c>
      <c r="AI87" s="46">
        <v>30790</v>
      </c>
    </row>
    <row r="88" spans="1:35" x14ac:dyDescent="0.25">
      <c r="A88" s="11">
        <v>73</v>
      </c>
      <c r="B88" s="29">
        <v>12300</v>
      </c>
      <c r="C88" s="29">
        <v>12150</v>
      </c>
      <c r="D88" s="29">
        <v>12180</v>
      </c>
      <c r="E88" s="29">
        <v>12780</v>
      </c>
      <c r="F88" s="29">
        <v>13280</v>
      </c>
      <c r="G88" s="29">
        <v>13760</v>
      </c>
      <c r="H88" s="29">
        <v>14350</v>
      </c>
      <c r="I88" s="29">
        <v>15490</v>
      </c>
      <c r="J88" s="29">
        <v>16700</v>
      </c>
      <c r="K88" s="29">
        <v>17050</v>
      </c>
      <c r="L88" s="29">
        <v>15210</v>
      </c>
      <c r="M88" s="46">
        <v>16840</v>
      </c>
      <c r="N88" s="46">
        <v>17720</v>
      </c>
      <c r="O88" s="46">
        <v>18690</v>
      </c>
      <c r="P88" s="46">
        <v>22130</v>
      </c>
      <c r="Q88" s="46">
        <v>22320</v>
      </c>
      <c r="R88" s="46">
        <v>21780</v>
      </c>
      <c r="S88" s="46">
        <v>22450</v>
      </c>
      <c r="T88" s="46">
        <v>22390</v>
      </c>
      <c r="U88" s="46">
        <v>23120</v>
      </c>
      <c r="V88" s="46">
        <v>23670</v>
      </c>
      <c r="W88" s="46">
        <v>24460</v>
      </c>
      <c r="X88" s="46">
        <v>25330</v>
      </c>
      <c r="Y88" s="46">
        <v>26030</v>
      </c>
      <c r="Z88" s="46">
        <v>26710</v>
      </c>
      <c r="AA88" s="46">
        <v>27520</v>
      </c>
      <c r="AB88" s="46">
        <v>28630</v>
      </c>
      <c r="AC88" s="46">
        <v>29040</v>
      </c>
      <c r="AD88" s="46">
        <v>30450</v>
      </c>
      <c r="AE88" s="46">
        <v>31280</v>
      </c>
      <c r="AF88" s="46">
        <v>31760</v>
      </c>
      <c r="AG88" s="46">
        <v>31140</v>
      </c>
      <c r="AH88" s="46">
        <v>30410</v>
      </c>
      <c r="AI88" s="46">
        <v>29970</v>
      </c>
    </row>
    <row r="89" spans="1:35" x14ac:dyDescent="0.25">
      <c r="A89" s="11">
        <v>74</v>
      </c>
      <c r="B89" s="29">
        <v>11960</v>
      </c>
      <c r="C89" s="29">
        <v>12030</v>
      </c>
      <c r="D89" s="29">
        <v>11880</v>
      </c>
      <c r="E89" s="29">
        <v>11930</v>
      </c>
      <c r="F89" s="29">
        <v>12500</v>
      </c>
      <c r="G89" s="29">
        <v>13050</v>
      </c>
      <c r="H89" s="29">
        <v>13510</v>
      </c>
      <c r="I89" s="29">
        <v>14060</v>
      </c>
      <c r="J89" s="29">
        <v>15230</v>
      </c>
      <c r="K89" s="29">
        <v>16370</v>
      </c>
      <c r="L89" s="29">
        <v>16740</v>
      </c>
      <c r="M89" s="46">
        <v>14900</v>
      </c>
      <c r="N89" s="46">
        <v>16490</v>
      </c>
      <c r="O89" s="46">
        <v>17420</v>
      </c>
      <c r="P89" s="46">
        <v>18580</v>
      </c>
      <c r="Q89" s="46">
        <v>21770</v>
      </c>
      <c r="R89" s="46">
        <v>21970</v>
      </c>
      <c r="S89" s="46">
        <v>21450</v>
      </c>
      <c r="T89" s="46">
        <v>22120</v>
      </c>
      <c r="U89" s="46">
        <v>22070</v>
      </c>
      <c r="V89" s="46">
        <v>22810</v>
      </c>
      <c r="W89" s="46">
        <v>23360</v>
      </c>
      <c r="X89" s="46">
        <v>24140</v>
      </c>
      <c r="Y89" s="46">
        <v>25010</v>
      </c>
      <c r="Z89" s="46">
        <v>25710</v>
      </c>
      <c r="AA89" s="46">
        <v>26380</v>
      </c>
      <c r="AB89" s="46">
        <v>27190</v>
      </c>
      <c r="AC89" s="46">
        <v>28290</v>
      </c>
      <c r="AD89" s="46">
        <v>28700</v>
      </c>
      <c r="AE89" s="46">
        <v>30110</v>
      </c>
      <c r="AF89" s="46">
        <v>30930</v>
      </c>
      <c r="AG89" s="46">
        <v>31410</v>
      </c>
      <c r="AH89" s="46">
        <v>30800</v>
      </c>
      <c r="AI89" s="46">
        <v>30090</v>
      </c>
    </row>
    <row r="90" spans="1:35" x14ac:dyDescent="0.25">
      <c r="A90" s="11">
        <v>75</v>
      </c>
      <c r="B90" s="29">
        <v>12130</v>
      </c>
      <c r="C90" s="29">
        <v>11650</v>
      </c>
      <c r="D90" s="29">
        <v>11720</v>
      </c>
      <c r="E90" s="29">
        <v>11580</v>
      </c>
      <c r="F90" s="29">
        <v>11660</v>
      </c>
      <c r="G90" s="29">
        <v>12210</v>
      </c>
      <c r="H90" s="29">
        <v>12750</v>
      </c>
      <c r="I90" s="29">
        <v>13220</v>
      </c>
      <c r="J90" s="29">
        <v>13800</v>
      </c>
      <c r="K90" s="29">
        <v>14950</v>
      </c>
      <c r="L90" s="29">
        <v>16050</v>
      </c>
      <c r="M90" s="46">
        <v>16380</v>
      </c>
      <c r="N90" s="46">
        <v>14540</v>
      </c>
      <c r="O90" s="46">
        <v>16200</v>
      </c>
      <c r="P90" s="46">
        <v>17240</v>
      </c>
      <c r="Q90" s="46">
        <v>18230</v>
      </c>
      <c r="R90" s="46">
        <v>21320</v>
      </c>
      <c r="S90" s="46">
        <v>21600</v>
      </c>
      <c r="T90" s="46">
        <v>21100</v>
      </c>
      <c r="U90" s="46">
        <v>21770</v>
      </c>
      <c r="V90" s="46">
        <v>21740</v>
      </c>
      <c r="W90" s="46">
        <v>22470</v>
      </c>
      <c r="X90" s="46">
        <v>23020</v>
      </c>
      <c r="Y90" s="46">
        <v>23790</v>
      </c>
      <c r="Z90" s="46">
        <v>24650</v>
      </c>
      <c r="AA90" s="46">
        <v>25350</v>
      </c>
      <c r="AB90" s="46">
        <v>26020</v>
      </c>
      <c r="AC90" s="46">
        <v>26820</v>
      </c>
      <c r="AD90" s="46">
        <v>27920</v>
      </c>
      <c r="AE90" s="46">
        <v>28330</v>
      </c>
      <c r="AF90" s="46">
        <v>29730</v>
      </c>
      <c r="AG90" s="46">
        <v>30540</v>
      </c>
      <c r="AH90" s="46">
        <v>31020</v>
      </c>
      <c r="AI90" s="46">
        <v>30440</v>
      </c>
    </row>
    <row r="91" spans="1:35" x14ac:dyDescent="0.25">
      <c r="A91" s="11">
        <v>76</v>
      </c>
      <c r="B91" s="29">
        <v>11810</v>
      </c>
      <c r="C91" s="29">
        <v>11810</v>
      </c>
      <c r="D91" s="29">
        <v>11370</v>
      </c>
      <c r="E91" s="29">
        <v>11450</v>
      </c>
      <c r="F91" s="29">
        <v>11320</v>
      </c>
      <c r="G91" s="29">
        <v>11380</v>
      </c>
      <c r="H91" s="29">
        <v>11880</v>
      </c>
      <c r="I91" s="29">
        <v>12470</v>
      </c>
      <c r="J91" s="29">
        <v>12930</v>
      </c>
      <c r="K91" s="29">
        <v>13500</v>
      </c>
      <c r="L91" s="29">
        <v>14640</v>
      </c>
      <c r="M91" s="46">
        <v>15680</v>
      </c>
      <c r="N91" s="46">
        <v>16020</v>
      </c>
      <c r="O91" s="46">
        <v>14240</v>
      </c>
      <c r="P91" s="46">
        <v>15990</v>
      </c>
      <c r="Q91" s="46">
        <v>16870</v>
      </c>
      <c r="R91" s="46">
        <v>17850</v>
      </c>
      <c r="S91" s="46">
        <v>20910</v>
      </c>
      <c r="T91" s="46">
        <v>21200</v>
      </c>
      <c r="U91" s="46">
        <v>20720</v>
      </c>
      <c r="V91" s="46">
        <v>21400</v>
      </c>
      <c r="W91" s="46">
        <v>21370</v>
      </c>
      <c r="X91" s="46">
        <v>22090</v>
      </c>
      <c r="Y91" s="46">
        <v>22640</v>
      </c>
      <c r="Z91" s="46">
        <v>23410</v>
      </c>
      <c r="AA91" s="46">
        <v>24260</v>
      </c>
      <c r="AB91" s="46">
        <v>24960</v>
      </c>
      <c r="AC91" s="46">
        <v>25630</v>
      </c>
      <c r="AD91" s="46">
        <v>26430</v>
      </c>
      <c r="AE91" s="46">
        <v>27510</v>
      </c>
      <c r="AF91" s="46">
        <v>27930</v>
      </c>
      <c r="AG91" s="46">
        <v>29310</v>
      </c>
      <c r="AH91" s="46">
        <v>30120</v>
      </c>
      <c r="AI91" s="46">
        <v>30600</v>
      </c>
    </row>
    <row r="92" spans="1:35" x14ac:dyDescent="0.25">
      <c r="A92" s="11">
        <v>77</v>
      </c>
      <c r="B92" s="29">
        <v>11080</v>
      </c>
      <c r="C92" s="29">
        <v>11460</v>
      </c>
      <c r="D92" s="29">
        <v>11470</v>
      </c>
      <c r="E92" s="29">
        <v>11050</v>
      </c>
      <c r="F92" s="29">
        <v>11120</v>
      </c>
      <c r="G92" s="29">
        <v>11050</v>
      </c>
      <c r="H92" s="29">
        <v>11070</v>
      </c>
      <c r="I92" s="29">
        <v>11540</v>
      </c>
      <c r="J92" s="29">
        <v>12120</v>
      </c>
      <c r="K92" s="29">
        <v>12620</v>
      </c>
      <c r="L92" s="29">
        <v>13180</v>
      </c>
      <c r="M92" s="46">
        <v>14290</v>
      </c>
      <c r="N92" s="46">
        <v>15250</v>
      </c>
      <c r="O92" s="46">
        <v>15670</v>
      </c>
      <c r="P92" s="46">
        <v>14040</v>
      </c>
      <c r="Q92" s="46">
        <v>15650</v>
      </c>
      <c r="R92" s="46">
        <v>16450</v>
      </c>
      <c r="S92" s="46">
        <v>17470</v>
      </c>
      <c r="T92" s="46">
        <v>20480</v>
      </c>
      <c r="U92" s="46">
        <v>20780</v>
      </c>
      <c r="V92" s="46">
        <v>20320</v>
      </c>
      <c r="W92" s="46">
        <v>20990</v>
      </c>
      <c r="X92" s="46">
        <v>20970</v>
      </c>
      <c r="Y92" s="46">
        <v>21690</v>
      </c>
      <c r="Z92" s="46">
        <v>22230</v>
      </c>
      <c r="AA92" s="46">
        <v>22990</v>
      </c>
      <c r="AB92" s="46">
        <v>23840</v>
      </c>
      <c r="AC92" s="46">
        <v>24530</v>
      </c>
      <c r="AD92" s="46">
        <v>25200</v>
      </c>
      <c r="AE92" s="46">
        <v>25990</v>
      </c>
      <c r="AF92" s="46">
        <v>27060</v>
      </c>
      <c r="AG92" s="46">
        <v>27480</v>
      </c>
      <c r="AH92" s="46">
        <v>28840</v>
      </c>
      <c r="AI92" s="46">
        <v>29660</v>
      </c>
    </row>
    <row r="93" spans="1:35" x14ac:dyDescent="0.25">
      <c r="A93" s="11">
        <v>78</v>
      </c>
      <c r="B93" s="29">
        <v>10800</v>
      </c>
      <c r="C93" s="29">
        <v>10740</v>
      </c>
      <c r="D93" s="29">
        <v>11110</v>
      </c>
      <c r="E93" s="29">
        <v>11130</v>
      </c>
      <c r="F93" s="29">
        <v>10710</v>
      </c>
      <c r="G93" s="29">
        <v>10800</v>
      </c>
      <c r="H93" s="29">
        <v>10750</v>
      </c>
      <c r="I93" s="29">
        <v>10730</v>
      </c>
      <c r="J93" s="29">
        <v>11180</v>
      </c>
      <c r="K93" s="29">
        <v>11750</v>
      </c>
      <c r="L93" s="29">
        <v>12220</v>
      </c>
      <c r="M93" s="46">
        <v>12840</v>
      </c>
      <c r="N93" s="46">
        <v>13860</v>
      </c>
      <c r="O93" s="46">
        <v>14880</v>
      </c>
      <c r="P93" s="46">
        <v>15370</v>
      </c>
      <c r="Q93" s="46">
        <v>13690</v>
      </c>
      <c r="R93" s="46">
        <v>15220</v>
      </c>
      <c r="S93" s="46">
        <v>16060</v>
      </c>
      <c r="T93" s="46">
        <v>17060</v>
      </c>
      <c r="U93" s="46">
        <v>20010</v>
      </c>
      <c r="V93" s="46">
        <v>20320</v>
      </c>
      <c r="W93" s="46">
        <v>19880</v>
      </c>
      <c r="X93" s="46">
        <v>20540</v>
      </c>
      <c r="Y93" s="46">
        <v>20530</v>
      </c>
      <c r="Z93" s="46">
        <v>21240</v>
      </c>
      <c r="AA93" s="46">
        <v>21780</v>
      </c>
      <c r="AB93" s="46">
        <v>22530</v>
      </c>
      <c r="AC93" s="46">
        <v>23370</v>
      </c>
      <c r="AD93" s="46">
        <v>24060</v>
      </c>
      <c r="AE93" s="46">
        <v>24720</v>
      </c>
      <c r="AF93" s="46">
        <v>25500</v>
      </c>
      <c r="AG93" s="46">
        <v>26560</v>
      </c>
      <c r="AH93" s="46">
        <v>26980</v>
      </c>
      <c r="AI93" s="46">
        <v>28330</v>
      </c>
    </row>
    <row r="94" spans="1:35" x14ac:dyDescent="0.25">
      <c r="A94" s="11">
        <v>79</v>
      </c>
      <c r="B94" s="29">
        <v>10220</v>
      </c>
      <c r="C94" s="29">
        <v>10390</v>
      </c>
      <c r="D94" s="29">
        <v>10360</v>
      </c>
      <c r="E94" s="29">
        <v>10710</v>
      </c>
      <c r="F94" s="29">
        <v>10800</v>
      </c>
      <c r="G94" s="29">
        <v>10360</v>
      </c>
      <c r="H94" s="29">
        <v>10460</v>
      </c>
      <c r="I94" s="29">
        <v>10380</v>
      </c>
      <c r="J94" s="29">
        <v>10380</v>
      </c>
      <c r="K94" s="29">
        <v>10830</v>
      </c>
      <c r="L94" s="29">
        <v>11340</v>
      </c>
      <c r="M94" s="46">
        <v>11830</v>
      </c>
      <c r="N94" s="46">
        <v>12410</v>
      </c>
      <c r="O94" s="46">
        <v>13440</v>
      </c>
      <c r="P94" s="46">
        <v>14550</v>
      </c>
      <c r="Q94" s="46">
        <v>14950</v>
      </c>
      <c r="R94" s="46">
        <v>13290</v>
      </c>
      <c r="S94" s="46">
        <v>14800</v>
      </c>
      <c r="T94" s="46">
        <v>15630</v>
      </c>
      <c r="U94" s="46">
        <v>16620</v>
      </c>
      <c r="V94" s="46">
        <v>19510</v>
      </c>
      <c r="W94" s="46">
        <v>19810</v>
      </c>
      <c r="X94" s="46">
        <v>19390</v>
      </c>
      <c r="Y94" s="46">
        <v>20050</v>
      </c>
      <c r="Z94" s="46">
        <v>20040</v>
      </c>
      <c r="AA94" s="46">
        <v>20740</v>
      </c>
      <c r="AB94" s="46">
        <v>21280</v>
      </c>
      <c r="AC94" s="46">
        <v>22020</v>
      </c>
      <c r="AD94" s="46">
        <v>22850</v>
      </c>
      <c r="AE94" s="46">
        <v>23530</v>
      </c>
      <c r="AF94" s="46">
        <v>24190</v>
      </c>
      <c r="AG94" s="46">
        <v>24960</v>
      </c>
      <c r="AH94" s="46">
        <v>26010</v>
      </c>
      <c r="AI94" s="46">
        <v>26430</v>
      </c>
    </row>
    <row r="95" spans="1:35" x14ac:dyDescent="0.25">
      <c r="A95" s="11">
        <v>80</v>
      </c>
      <c r="B95" s="29">
        <v>9890</v>
      </c>
      <c r="C95" s="29">
        <v>9830</v>
      </c>
      <c r="D95" s="29">
        <v>9990</v>
      </c>
      <c r="E95" s="29">
        <v>9950</v>
      </c>
      <c r="F95" s="29">
        <v>10300</v>
      </c>
      <c r="G95" s="29">
        <v>10410</v>
      </c>
      <c r="H95" s="29">
        <v>9930</v>
      </c>
      <c r="I95" s="29">
        <v>10090</v>
      </c>
      <c r="J95" s="29">
        <v>10000</v>
      </c>
      <c r="K95" s="29">
        <v>10010</v>
      </c>
      <c r="L95" s="29">
        <v>10420</v>
      </c>
      <c r="M95" s="46">
        <v>10940</v>
      </c>
      <c r="N95" s="46">
        <v>11400</v>
      </c>
      <c r="O95" s="46">
        <v>12010</v>
      </c>
      <c r="P95" s="46">
        <v>13050</v>
      </c>
      <c r="Q95" s="46">
        <v>14120</v>
      </c>
      <c r="R95" s="46">
        <v>14490</v>
      </c>
      <c r="S95" s="46">
        <v>12880</v>
      </c>
      <c r="T95" s="46">
        <v>14350</v>
      </c>
      <c r="U95" s="46">
        <v>15160</v>
      </c>
      <c r="V95" s="46">
        <v>16140</v>
      </c>
      <c r="W95" s="46">
        <v>18950</v>
      </c>
      <c r="X95" s="46">
        <v>19260</v>
      </c>
      <c r="Y95" s="46">
        <v>18850</v>
      </c>
      <c r="Z95" s="46">
        <v>19500</v>
      </c>
      <c r="AA95" s="46">
        <v>19500</v>
      </c>
      <c r="AB95" s="46">
        <v>20190</v>
      </c>
      <c r="AC95" s="46">
        <v>20720</v>
      </c>
      <c r="AD95" s="46">
        <v>21460</v>
      </c>
      <c r="AE95" s="46">
        <v>22280</v>
      </c>
      <c r="AF95" s="46">
        <v>22950</v>
      </c>
      <c r="AG95" s="46">
        <v>23590</v>
      </c>
      <c r="AH95" s="46">
        <v>24360</v>
      </c>
      <c r="AI95" s="46">
        <v>25390</v>
      </c>
    </row>
    <row r="96" spans="1:35" x14ac:dyDescent="0.25">
      <c r="A96" s="11">
        <v>81</v>
      </c>
      <c r="B96" s="29">
        <v>9610</v>
      </c>
      <c r="C96" s="29">
        <v>9450</v>
      </c>
      <c r="D96" s="29">
        <v>9380</v>
      </c>
      <c r="E96" s="29">
        <v>9540</v>
      </c>
      <c r="F96" s="29">
        <v>9510</v>
      </c>
      <c r="G96" s="29">
        <v>9820</v>
      </c>
      <c r="H96" s="29">
        <v>9960</v>
      </c>
      <c r="I96" s="29">
        <v>9520</v>
      </c>
      <c r="J96" s="29">
        <v>9660</v>
      </c>
      <c r="K96" s="29">
        <v>9590</v>
      </c>
      <c r="L96" s="29">
        <v>9630</v>
      </c>
      <c r="M96" s="46">
        <v>9970</v>
      </c>
      <c r="N96" s="46">
        <v>10460</v>
      </c>
      <c r="O96" s="46">
        <v>10940</v>
      </c>
      <c r="P96" s="46">
        <v>11620</v>
      </c>
      <c r="Q96" s="46">
        <v>12620</v>
      </c>
      <c r="R96" s="46">
        <v>13600</v>
      </c>
      <c r="S96" s="46">
        <v>13970</v>
      </c>
      <c r="T96" s="46">
        <v>12430</v>
      </c>
      <c r="U96" s="46">
        <v>13860</v>
      </c>
      <c r="V96" s="46">
        <v>14660</v>
      </c>
      <c r="W96" s="46">
        <v>15610</v>
      </c>
      <c r="X96" s="46">
        <v>18330</v>
      </c>
      <c r="Y96" s="46">
        <v>18640</v>
      </c>
      <c r="Z96" s="46">
        <v>18260</v>
      </c>
      <c r="AA96" s="46">
        <v>18890</v>
      </c>
      <c r="AB96" s="46">
        <v>18900</v>
      </c>
      <c r="AC96" s="46">
        <v>19580</v>
      </c>
      <c r="AD96" s="46">
        <v>20110</v>
      </c>
      <c r="AE96" s="46">
        <v>20830</v>
      </c>
      <c r="AF96" s="46">
        <v>21630</v>
      </c>
      <c r="AG96" s="46">
        <v>22290</v>
      </c>
      <c r="AH96" s="46">
        <v>22930</v>
      </c>
      <c r="AI96" s="46">
        <v>23680</v>
      </c>
    </row>
    <row r="97" spans="1:35" x14ac:dyDescent="0.25">
      <c r="A97" s="11">
        <v>82</v>
      </c>
      <c r="B97" s="29">
        <v>8770</v>
      </c>
      <c r="C97" s="29">
        <v>9110</v>
      </c>
      <c r="D97" s="29">
        <v>8970</v>
      </c>
      <c r="E97" s="29">
        <v>8930</v>
      </c>
      <c r="F97" s="29">
        <v>9080</v>
      </c>
      <c r="G97" s="29">
        <v>9040</v>
      </c>
      <c r="H97" s="29">
        <v>9340</v>
      </c>
      <c r="I97" s="29">
        <v>9530</v>
      </c>
      <c r="J97" s="29">
        <v>9070</v>
      </c>
      <c r="K97" s="29">
        <v>9160</v>
      </c>
      <c r="L97" s="29">
        <v>9150</v>
      </c>
      <c r="M97" s="46">
        <v>9180</v>
      </c>
      <c r="N97" s="46">
        <v>9480</v>
      </c>
      <c r="O97" s="46">
        <v>9990</v>
      </c>
      <c r="P97" s="46">
        <v>10600</v>
      </c>
      <c r="Q97" s="46">
        <v>11120</v>
      </c>
      <c r="R97" s="46">
        <v>12100</v>
      </c>
      <c r="S97" s="46">
        <v>13050</v>
      </c>
      <c r="T97" s="46">
        <v>13410</v>
      </c>
      <c r="U97" s="46">
        <v>11940</v>
      </c>
      <c r="V97" s="46">
        <v>13330</v>
      </c>
      <c r="W97" s="46">
        <v>14100</v>
      </c>
      <c r="X97" s="46">
        <v>15020</v>
      </c>
      <c r="Y97" s="46">
        <v>17650</v>
      </c>
      <c r="Z97" s="46">
        <v>17950</v>
      </c>
      <c r="AA97" s="46">
        <v>17600</v>
      </c>
      <c r="AB97" s="46">
        <v>18220</v>
      </c>
      <c r="AC97" s="46">
        <v>18240</v>
      </c>
      <c r="AD97" s="46">
        <v>18910</v>
      </c>
      <c r="AE97" s="46">
        <v>19420</v>
      </c>
      <c r="AF97" s="46">
        <v>20130</v>
      </c>
      <c r="AG97" s="46">
        <v>20910</v>
      </c>
      <c r="AH97" s="46">
        <v>21560</v>
      </c>
      <c r="AI97" s="46">
        <v>22190</v>
      </c>
    </row>
    <row r="98" spans="1:35" x14ac:dyDescent="0.25">
      <c r="A98" s="11">
        <v>83</v>
      </c>
      <c r="B98" s="29">
        <v>8030</v>
      </c>
      <c r="C98" s="29">
        <v>8270</v>
      </c>
      <c r="D98" s="29">
        <v>8570</v>
      </c>
      <c r="E98" s="29">
        <v>8440</v>
      </c>
      <c r="F98" s="29">
        <v>8400</v>
      </c>
      <c r="G98" s="29">
        <v>8590</v>
      </c>
      <c r="H98" s="29">
        <v>8550</v>
      </c>
      <c r="I98" s="29">
        <v>8820</v>
      </c>
      <c r="J98" s="29">
        <v>9020</v>
      </c>
      <c r="K98" s="29">
        <v>8550</v>
      </c>
      <c r="L98" s="29">
        <v>8690</v>
      </c>
      <c r="M98" s="46">
        <v>8680</v>
      </c>
      <c r="N98" s="46">
        <v>8700</v>
      </c>
      <c r="O98" s="46">
        <v>9020</v>
      </c>
      <c r="P98" s="46">
        <v>9490</v>
      </c>
      <c r="Q98" s="46">
        <v>10080</v>
      </c>
      <c r="R98" s="46">
        <v>10560</v>
      </c>
      <c r="S98" s="46">
        <v>11540</v>
      </c>
      <c r="T98" s="46">
        <v>12440</v>
      </c>
      <c r="U98" s="46">
        <v>12810</v>
      </c>
      <c r="V98" s="46">
        <v>11410</v>
      </c>
      <c r="W98" s="46">
        <v>12740</v>
      </c>
      <c r="X98" s="46">
        <v>13490</v>
      </c>
      <c r="Y98" s="46">
        <v>14380</v>
      </c>
      <c r="Z98" s="46">
        <v>16900</v>
      </c>
      <c r="AA98" s="46">
        <v>17200</v>
      </c>
      <c r="AB98" s="46">
        <v>16870</v>
      </c>
      <c r="AC98" s="46">
        <v>17480</v>
      </c>
      <c r="AD98" s="46">
        <v>17510</v>
      </c>
      <c r="AE98" s="46">
        <v>18160</v>
      </c>
      <c r="AF98" s="46">
        <v>18660</v>
      </c>
      <c r="AG98" s="46">
        <v>19350</v>
      </c>
      <c r="AH98" s="46">
        <v>20110</v>
      </c>
      <c r="AI98" s="46">
        <v>20750</v>
      </c>
    </row>
    <row r="99" spans="1:35" x14ac:dyDescent="0.25">
      <c r="A99" s="11">
        <v>84</v>
      </c>
      <c r="B99" s="29">
        <v>7700</v>
      </c>
      <c r="C99" s="29">
        <v>7490</v>
      </c>
      <c r="D99" s="29">
        <v>7730</v>
      </c>
      <c r="E99" s="29">
        <v>8040</v>
      </c>
      <c r="F99" s="29">
        <v>7890</v>
      </c>
      <c r="G99" s="29">
        <v>7870</v>
      </c>
      <c r="H99" s="29">
        <v>7980</v>
      </c>
      <c r="I99" s="29">
        <v>8060</v>
      </c>
      <c r="J99" s="29">
        <v>8350</v>
      </c>
      <c r="K99" s="29">
        <v>8450</v>
      </c>
      <c r="L99" s="29">
        <v>8090</v>
      </c>
      <c r="M99" s="46">
        <v>8140</v>
      </c>
      <c r="N99" s="46">
        <v>8170</v>
      </c>
      <c r="O99" s="46">
        <v>8220</v>
      </c>
      <c r="P99" s="46">
        <v>8560</v>
      </c>
      <c r="Q99" s="46">
        <v>9010</v>
      </c>
      <c r="R99" s="46">
        <v>9550</v>
      </c>
      <c r="S99" s="46">
        <v>9990</v>
      </c>
      <c r="T99" s="46">
        <v>10920</v>
      </c>
      <c r="U99" s="46">
        <v>11790</v>
      </c>
      <c r="V99" s="46">
        <v>12150</v>
      </c>
      <c r="W99" s="46">
        <v>10830</v>
      </c>
      <c r="X99" s="46">
        <v>12100</v>
      </c>
      <c r="Y99" s="46">
        <v>12820</v>
      </c>
      <c r="Z99" s="46">
        <v>13670</v>
      </c>
      <c r="AA99" s="46">
        <v>16080</v>
      </c>
      <c r="AB99" s="46">
        <v>16380</v>
      </c>
      <c r="AC99" s="46">
        <v>16070</v>
      </c>
      <c r="AD99" s="46">
        <v>16660</v>
      </c>
      <c r="AE99" s="46">
        <v>16700</v>
      </c>
      <c r="AF99" s="46">
        <v>17330</v>
      </c>
      <c r="AG99" s="46">
        <v>17810</v>
      </c>
      <c r="AH99" s="46">
        <v>18480</v>
      </c>
      <c r="AI99" s="46">
        <v>19220</v>
      </c>
    </row>
    <row r="100" spans="1:35" x14ac:dyDescent="0.25">
      <c r="A100" s="11">
        <v>85</v>
      </c>
      <c r="B100" s="29">
        <v>6940</v>
      </c>
      <c r="C100" s="29">
        <v>7130</v>
      </c>
      <c r="D100" s="29">
        <v>6960</v>
      </c>
      <c r="E100" s="29">
        <v>7160</v>
      </c>
      <c r="F100" s="29">
        <v>7480</v>
      </c>
      <c r="G100" s="29">
        <v>7290</v>
      </c>
      <c r="H100" s="29">
        <v>7350</v>
      </c>
      <c r="I100" s="29">
        <v>7380</v>
      </c>
      <c r="J100" s="29">
        <v>7510</v>
      </c>
      <c r="K100" s="29">
        <v>7750</v>
      </c>
      <c r="L100" s="29">
        <v>7850</v>
      </c>
      <c r="M100" s="46">
        <v>7530</v>
      </c>
      <c r="N100" s="46">
        <v>7600</v>
      </c>
      <c r="O100" s="46">
        <v>7650</v>
      </c>
      <c r="P100" s="46">
        <v>7710</v>
      </c>
      <c r="Q100" s="46">
        <v>8050</v>
      </c>
      <c r="R100" s="46">
        <v>8440</v>
      </c>
      <c r="S100" s="46">
        <v>8950</v>
      </c>
      <c r="T100" s="46">
        <v>9370</v>
      </c>
      <c r="U100" s="46">
        <v>10260</v>
      </c>
      <c r="V100" s="46">
        <v>11090</v>
      </c>
      <c r="W100" s="46">
        <v>11430</v>
      </c>
      <c r="X100" s="46">
        <v>10200</v>
      </c>
      <c r="Y100" s="46">
        <v>11400</v>
      </c>
      <c r="Z100" s="46">
        <v>12090</v>
      </c>
      <c r="AA100" s="46">
        <v>12900</v>
      </c>
      <c r="AB100" s="46">
        <v>15190</v>
      </c>
      <c r="AC100" s="46">
        <v>15480</v>
      </c>
      <c r="AD100" s="46">
        <v>15200</v>
      </c>
      <c r="AE100" s="46">
        <v>15760</v>
      </c>
      <c r="AF100" s="46">
        <v>15810</v>
      </c>
      <c r="AG100" s="46">
        <v>16410</v>
      </c>
      <c r="AH100" s="46">
        <v>16880</v>
      </c>
      <c r="AI100" s="46">
        <v>17530</v>
      </c>
    </row>
    <row r="101" spans="1:35" x14ac:dyDescent="0.25">
      <c r="A101" s="11">
        <v>86</v>
      </c>
      <c r="B101" s="29">
        <v>6240</v>
      </c>
      <c r="C101" s="29">
        <v>6390</v>
      </c>
      <c r="D101" s="29">
        <v>6540</v>
      </c>
      <c r="E101" s="29">
        <v>6380</v>
      </c>
      <c r="F101" s="29">
        <v>6560</v>
      </c>
      <c r="G101" s="29">
        <v>6900</v>
      </c>
      <c r="H101" s="29">
        <v>6650</v>
      </c>
      <c r="I101" s="29">
        <v>6750</v>
      </c>
      <c r="J101" s="29">
        <v>6850</v>
      </c>
      <c r="K101" s="29">
        <v>6940</v>
      </c>
      <c r="L101" s="29">
        <v>7160</v>
      </c>
      <c r="M101" s="46">
        <v>7200</v>
      </c>
      <c r="N101" s="46">
        <v>6930</v>
      </c>
      <c r="O101" s="46">
        <v>7020</v>
      </c>
      <c r="P101" s="46">
        <v>7150</v>
      </c>
      <c r="Q101" s="46">
        <v>7200</v>
      </c>
      <c r="R101" s="46">
        <v>7510</v>
      </c>
      <c r="S101" s="46">
        <v>7840</v>
      </c>
      <c r="T101" s="46">
        <v>8320</v>
      </c>
      <c r="U101" s="46">
        <v>8720</v>
      </c>
      <c r="V101" s="46">
        <v>9560</v>
      </c>
      <c r="W101" s="46">
        <v>10340</v>
      </c>
      <c r="X101" s="46">
        <v>10670</v>
      </c>
      <c r="Y101" s="46">
        <v>9520</v>
      </c>
      <c r="Z101" s="46">
        <v>10650</v>
      </c>
      <c r="AA101" s="46">
        <v>11300</v>
      </c>
      <c r="AB101" s="46">
        <v>12060</v>
      </c>
      <c r="AC101" s="46">
        <v>14220</v>
      </c>
      <c r="AD101" s="46">
        <v>14500</v>
      </c>
      <c r="AE101" s="46">
        <v>14250</v>
      </c>
      <c r="AF101" s="46">
        <v>14780</v>
      </c>
      <c r="AG101" s="46">
        <v>14840</v>
      </c>
      <c r="AH101" s="46">
        <v>15410</v>
      </c>
      <c r="AI101" s="46">
        <v>15870</v>
      </c>
    </row>
    <row r="102" spans="1:35" x14ac:dyDescent="0.25">
      <c r="A102" s="11">
        <v>87</v>
      </c>
      <c r="B102" s="29">
        <v>4700</v>
      </c>
      <c r="C102" s="29">
        <v>5630</v>
      </c>
      <c r="D102" s="29">
        <v>5730</v>
      </c>
      <c r="E102" s="29">
        <v>5900</v>
      </c>
      <c r="F102" s="29">
        <v>5790</v>
      </c>
      <c r="G102" s="29">
        <v>5930</v>
      </c>
      <c r="H102" s="29">
        <v>6250</v>
      </c>
      <c r="I102" s="29">
        <v>6040</v>
      </c>
      <c r="J102" s="29">
        <v>6210</v>
      </c>
      <c r="K102" s="29">
        <v>6250</v>
      </c>
      <c r="L102" s="29">
        <v>6360</v>
      </c>
      <c r="M102" s="46">
        <v>6550</v>
      </c>
      <c r="N102" s="46">
        <v>6560</v>
      </c>
      <c r="O102" s="46">
        <v>6320</v>
      </c>
      <c r="P102" s="46">
        <v>6450</v>
      </c>
      <c r="Q102" s="46">
        <v>6600</v>
      </c>
      <c r="R102" s="46">
        <v>6590</v>
      </c>
      <c r="S102" s="46">
        <v>6900</v>
      </c>
      <c r="T102" s="46">
        <v>7210</v>
      </c>
      <c r="U102" s="46">
        <v>7660</v>
      </c>
      <c r="V102" s="46">
        <v>8040</v>
      </c>
      <c r="W102" s="46">
        <v>8810</v>
      </c>
      <c r="X102" s="46">
        <v>9540</v>
      </c>
      <c r="Y102" s="46">
        <v>9850</v>
      </c>
      <c r="Z102" s="46">
        <v>8790</v>
      </c>
      <c r="AA102" s="46">
        <v>9850</v>
      </c>
      <c r="AB102" s="46">
        <v>10450</v>
      </c>
      <c r="AC102" s="46">
        <v>11170</v>
      </c>
      <c r="AD102" s="46">
        <v>13180</v>
      </c>
      <c r="AE102" s="46">
        <v>13440</v>
      </c>
      <c r="AF102" s="46">
        <v>13220</v>
      </c>
      <c r="AG102" s="46">
        <v>13730</v>
      </c>
      <c r="AH102" s="46">
        <v>13790</v>
      </c>
      <c r="AI102" s="46">
        <v>14330</v>
      </c>
    </row>
    <row r="103" spans="1:35" x14ac:dyDescent="0.25">
      <c r="A103" s="11">
        <v>88</v>
      </c>
      <c r="B103" s="29">
        <v>4260</v>
      </c>
      <c r="C103" s="29">
        <v>4210</v>
      </c>
      <c r="D103" s="29">
        <v>4990</v>
      </c>
      <c r="E103" s="29">
        <v>5140</v>
      </c>
      <c r="F103" s="29">
        <v>5280</v>
      </c>
      <c r="G103" s="29">
        <v>5170</v>
      </c>
      <c r="H103" s="29">
        <v>5280</v>
      </c>
      <c r="I103" s="29">
        <v>5610</v>
      </c>
      <c r="J103" s="29">
        <v>5470</v>
      </c>
      <c r="K103" s="29">
        <v>5590</v>
      </c>
      <c r="L103" s="29">
        <v>5620</v>
      </c>
      <c r="M103" s="46">
        <v>5750</v>
      </c>
      <c r="N103" s="46">
        <v>5890</v>
      </c>
      <c r="O103" s="46">
        <v>5930</v>
      </c>
      <c r="P103" s="46">
        <v>5750</v>
      </c>
      <c r="Q103" s="46">
        <v>5860</v>
      </c>
      <c r="R103" s="46">
        <v>6010</v>
      </c>
      <c r="S103" s="46">
        <v>5970</v>
      </c>
      <c r="T103" s="46">
        <v>6260</v>
      </c>
      <c r="U103" s="46">
        <v>6550</v>
      </c>
      <c r="V103" s="46">
        <v>6970</v>
      </c>
      <c r="W103" s="46">
        <v>7320</v>
      </c>
      <c r="X103" s="46">
        <v>8030</v>
      </c>
      <c r="Y103" s="46">
        <v>8700</v>
      </c>
      <c r="Z103" s="46">
        <v>8980</v>
      </c>
      <c r="AA103" s="46">
        <v>8030</v>
      </c>
      <c r="AB103" s="46">
        <v>9000</v>
      </c>
      <c r="AC103" s="46">
        <v>9560</v>
      </c>
      <c r="AD103" s="46">
        <v>10230</v>
      </c>
      <c r="AE103" s="46">
        <v>12070</v>
      </c>
      <c r="AF103" s="46">
        <v>12320</v>
      </c>
      <c r="AG103" s="46">
        <v>12120</v>
      </c>
      <c r="AH103" s="46">
        <v>12600</v>
      </c>
      <c r="AI103" s="46">
        <v>12670</v>
      </c>
    </row>
    <row r="104" spans="1:35" x14ac:dyDescent="0.25">
      <c r="A104" s="11">
        <v>89</v>
      </c>
      <c r="B104" s="29">
        <v>3770</v>
      </c>
      <c r="C104" s="29">
        <v>3750</v>
      </c>
      <c r="D104" s="29">
        <v>3720</v>
      </c>
      <c r="E104" s="29">
        <v>4400</v>
      </c>
      <c r="F104" s="29">
        <v>4520</v>
      </c>
      <c r="G104" s="29">
        <v>4660</v>
      </c>
      <c r="H104" s="29">
        <v>4540</v>
      </c>
      <c r="I104" s="29">
        <v>4660</v>
      </c>
      <c r="J104" s="29">
        <v>5010</v>
      </c>
      <c r="K104" s="29">
        <v>4890</v>
      </c>
      <c r="L104" s="29">
        <v>4990</v>
      </c>
      <c r="M104" s="46">
        <v>4950</v>
      </c>
      <c r="N104" s="46">
        <v>5110</v>
      </c>
      <c r="O104" s="46">
        <v>5240</v>
      </c>
      <c r="P104" s="46">
        <v>5270</v>
      </c>
      <c r="Q104" s="46">
        <v>5160</v>
      </c>
      <c r="R104" s="46">
        <v>5280</v>
      </c>
      <c r="S104" s="46">
        <v>5370</v>
      </c>
      <c r="T104" s="46">
        <v>5340</v>
      </c>
      <c r="U104" s="46">
        <v>5610</v>
      </c>
      <c r="V104" s="46">
        <v>5870</v>
      </c>
      <c r="W104" s="46">
        <v>6250</v>
      </c>
      <c r="X104" s="46">
        <v>6570</v>
      </c>
      <c r="Y104" s="46">
        <v>7220</v>
      </c>
      <c r="Z104" s="46">
        <v>7820</v>
      </c>
      <c r="AA104" s="46">
        <v>8080</v>
      </c>
      <c r="AB104" s="46">
        <v>7230</v>
      </c>
      <c r="AC104" s="46">
        <v>8120</v>
      </c>
      <c r="AD104" s="46">
        <v>8630</v>
      </c>
      <c r="AE104" s="46">
        <v>9240</v>
      </c>
      <c r="AF104" s="46">
        <v>10910</v>
      </c>
      <c r="AG104" s="46">
        <v>11140</v>
      </c>
      <c r="AH104" s="46">
        <v>10970</v>
      </c>
      <c r="AI104" s="46">
        <v>11420</v>
      </c>
    </row>
    <row r="105" spans="1:35" x14ac:dyDescent="0.25">
      <c r="A105" s="11">
        <v>90</v>
      </c>
      <c r="B105" s="29">
        <v>3250</v>
      </c>
      <c r="C105" s="29">
        <v>3250</v>
      </c>
      <c r="D105" s="29">
        <v>3240</v>
      </c>
      <c r="E105" s="29">
        <v>3190</v>
      </c>
      <c r="F105" s="29">
        <v>3800</v>
      </c>
      <c r="G105" s="29">
        <v>3930</v>
      </c>
      <c r="H105" s="29">
        <v>4010</v>
      </c>
      <c r="I105" s="29">
        <v>3930</v>
      </c>
      <c r="J105" s="29">
        <v>4070</v>
      </c>
      <c r="K105" s="29">
        <v>4410</v>
      </c>
      <c r="L105" s="29">
        <v>4240</v>
      </c>
      <c r="M105" s="46">
        <v>4340</v>
      </c>
      <c r="N105" s="46">
        <v>4320</v>
      </c>
      <c r="O105" s="46">
        <v>4490</v>
      </c>
      <c r="P105" s="46">
        <v>4620</v>
      </c>
      <c r="Q105" s="46">
        <v>4640</v>
      </c>
      <c r="R105" s="46">
        <v>4550</v>
      </c>
      <c r="S105" s="46">
        <v>4640</v>
      </c>
      <c r="T105" s="46">
        <v>4730</v>
      </c>
      <c r="U105" s="46">
        <v>4710</v>
      </c>
      <c r="V105" s="46">
        <v>4950</v>
      </c>
      <c r="W105" s="46">
        <v>5190</v>
      </c>
      <c r="X105" s="46">
        <v>5530</v>
      </c>
      <c r="Y105" s="46">
        <v>5810</v>
      </c>
      <c r="Z105" s="46">
        <v>6390</v>
      </c>
      <c r="AA105" s="46">
        <v>6930</v>
      </c>
      <c r="AB105" s="46">
        <v>7170</v>
      </c>
      <c r="AC105" s="46">
        <v>6420</v>
      </c>
      <c r="AD105" s="46">
        <v>7210</v>
      </c>
      <c r="AE105" s="46">
        <v>7670</v>
      </c>
      <c r="AF105" s="46">
        <v>8210</v>
      </c>
      <c r="AG105" s="46">
        <v>9710</v>
      </c>
      <c r="AH105" s="46">
        <v>9930</v>
      </c>
      <c r="AI105" s="46">
        <v>9790</v>
      </c>
    </row>
    <row r="106" spans="1:35" x14ac:dyDescent="0.25">
      <c r="A106" s="11">
        <v>91</v>
      </c>
      <c r="B106" s="29">
        <v>2700</v>
      </c>
      <c r="C106" s="29">
        <v>2720</v>
      </c>
      <c r="D106" s="29">
        <v>2760</v>
      </c>
      <c r="E106" s="29">
        <v>2730</v>
      </c>
      <c r="F106" s="29">
        <v>2700</v>
      </c>
      <c r="G106" s="29">
        <v>3200</v>
      </c>
      <c r="H106" s="29">
        <v>3320</v>
      </c>
      <c r="I106" s="29">
        <v>3410</v>
      </c>
      <c r="J106" s="29">
        <v>3370</v>
      </c>
      <c r="K106" s="29">
        <v>3510</v>
      </c>
      <c r="L106" s="29">
        <v>3740</v>
      </c>
      <c r="M106" s="46">
        <v>3660</v>
      </c>
      <c r="N106" s="46">
        <v>3690</v>
      </c>
      <c r="O106" s="46">
        <v>3700</v>
      </c>
      <c r="P106" s="46">
        <v>3890</v>
      </c>
      <c r="Q106" s="46">
        <v>4010</v>
      </c>
      <c r="R106" s="46">
        <v>3970</v>
      </c>
      <c r="S106" s="46">
        <v>3930</v>
      </c>
      <c r="T106" s="46">
        <v>4010</v>
      </c>
      <c r="U106" s="46">
        <v>4090</v>
      </c>
      <c r="V106" s="46">
        <v>4080</v>
      </c>
      <c r="W106" s="46">
        <v>4290</v>
      </c>
      <c r="X106" s="46">
        <v>4500</v>
      </c>
      <c r="Y106" s="46">
        <v>4800</v>
      </c>
      <c r="Z106" s="46">
        <v>5050</v>
      </c>
      <c r="AA106" s="46">
        <v>5560</v>
      </c>
      <c r="AB106" s="46">
        <v>6030</v>
      </c>
      <c r="AC106" s="46">
        <v>6250</v>
      </c>
      <c r="AD106" s="46">
        <v>5600</v>
      </c>
      <c r="AE106" s="46">
        <v>6300</v>
      </c>
      <c r="AF106" s="46">
        <v>6700</v>
      </c>
      <c r="AG106" s="46">
        <v>7180</v>
      </c>
      <c r="AH106" s="46">
        <v>8500</v>
      </c>
      <c r="AI106" s="46">
        <v>8700</v>
      </c>
    </row>
    <row r="107" spans="1:35" x14ac:dyDescent="0.25">
      <c r="A107" s="11">
        <v>92</v>
      </c>
      <c r="B107" s="29">
        <v>2080</v>
      </c>
      <c r="C107" s="29">
        <v>2240</v>
      </c>
      <c r="D107" s="29">
        <v>2290</v>
      </c>
      <c r="E107" s="29">
        <v>2290</v>
      </c>
      <c r="F107" s="29">
        <v>2300</v>
      </c>
      <c r="G107" s="29">
        <v>2240</v>
      </c>
      <c r="H107" s="29">
        <v>2650</v>
      </c>
      <c r="I107" s="29">
        <v>2740</v>
      </c>
      <c r="J107" s="29">
        <v>2890</v>
      </c>
      <c r="K107" s="29">
        <v>2840</v>
      </c>
      <c r="L107" s="29">
        <v>2970</v>
      </c>
      <c r="M107" s="46">
        <v>3170</v>
      </c>
      <c r="N107" s="46">
        <v>3090</v>
      </c>
      <c r="O107" s="46">
        <v>3070</v>
      </c>
      <c r="P107" s="46">
        <v>3130</v>
      </c>
      <c r="Q107" s="46">
        <v>3340</v>
      </c>
      <c r="R107" s="46">
        <v>3390</v>
      </c>
      <c r="S107" s="46">
        <v>3360</v>
      </c>
      <c r="T107" s="46">
        <v>3330</v>
      </c>
      <c r="U107" s="46">
        <v>3410</v>
      </c>
      <c r="V107" s="46">
        <v>3480</v>
      </c>
      <c r="W107" s="46">
        <v>3470</v>
      </c>
      <c r="X107" s="46">
        <v>3660</v>
      </c>
      <c r="Y107" s="46">
        <v>3840</v>
      </c>
      <c r="Z107" s="46">
        <v>4090</v>
      </c>
      <c r="AA107" s="46">
        <v>4310</v>
      </c>
      <c r="AB107" s="46">
        <v>4750</v>
      </c>
      <c r="AC107" s="46">
        <v>5160</v>
      </c>
      <c r="AD107" s="46">
        <v>5350</v>
      </c>
      <c r="AE107" s="46">
        <v>4800</v>
      </c>
      <c r="AF107" s="46">
        <v>5400</v>
      </c>
      <c r="AG107" s="46">
        <v>5750</v>
      </c>
      <c r="AH107" s="46">
        <v>6170</v>
      </c>
      <c r="AI107" s="46">
        <v>7300</v>
      </c>
    </row>
    <row r="108" spans="1:35" x14ac:dyDescent="0.25">
      <c r="A108" s="11">
        <v>93</v>
      </c>
      <c r="B108" s="29">
        <v>1740</v>
      </c>
      <c r="C108" s="29">
        <v>1660</v>
      </c>
      <c r="D108" s="29">
        <v>1830</v>
      </c>
      <c r="E108" s="29">
        <v>1880</v>
      </c>
      <c r="F108" s="29">
        <v>1870</v>
      </c>
      <c r="G108" s="29">
        <v>1880</v>
      </c>
      <c r="H108" s="29">
        <v>1790</v>
      </c>
      <c r="I108" s="29">
        <v>2150</v>
      </c>
      <c r="J108" s="29">
        <v>2270</v>
      </c>
      <c r="K108" s="29">
        <v>2370</v>
      </c>
      <c r="L108" s="29">
        <v>2360</v>
      </c>
      <c r="M108" s="46">
        <v>2500</v>
      </c>
      <c r="N108" s="46">
        <v>2610</v>
      </c>
      <c r="O108" s="46">
        <v>2530</v>
      </c>
      <c r="P108" s="46">
        <v>2550</v>
      </c>
      <c r="Q108" s="46">
        <v>2610</v>
      </c>
      <c r="R108" s="46">
        <v>2810</v>
      </c>
      <c r="S108" s="46">
        <v>2810</v>
      </c>
      <c r="T108" s="46">
        <v>2790</v>
      </c>
      <c r="U108" s="46">
        <v>2770</v>
      </c>
      <c r="V108" s="46">
        <v>2840</v>
      </c>
      <c r="W108" s="46">
        <v>2900</v>
      </c>
      <c r="X108" s="46">
        <v>2900</v>
      </c>
      <c r="Y108" s="46">
        <v>3050</v>
      </c>
      <c r="Z108" s="46">
        <v>3200</v>
      </c>
      <c r="AA108" s="46">
        <v>3420</v>
      </c>
      <c r="AB108" s="46">
        <v>3610</v>
      </c>
      <c r="AC108" s="46">
        <v>3980</v>
      </c>
      <c r="AD108" s="46">
        <v>4330</v>
      </c>
      <c r="AE108" s="46">
        <v>4490</v>
      </c>
      <c r="AF108" s="46">
        <v>4030</v>
      </c>
      <c r="AG108" s="46">
        <v>4530</v>
      </c>
      <c r="AH108" s="46">
        <v>4830</v>
      </c>
      <c r="AI108" s="46">
        <v>5190</v>
      </c>
    </row>
    <row r="109" spans="1:35" x14ac:dyDescent="0.25">
      <c r="A109" s="11">
        <v>94</v>
      </c>
      <c r="B109" s="29">
        <v>1310</v>
      </c>
      <c r="C109" s="29">
        <v>1370</v>
      </c>
      <c r="D109" s="29">
        <v>1330</v>
      </c>
      <c r="E109" s="29">
        <v>1450</v>
      </c>
      <c r="F109" s="29">
        <v>1480</v>
      </c>
      <c r="G109" s="29">
        <v>1480</v>
      </c>
      <c r="H109" s="29">
        <v>1480</v>
      </c>
      <c r="I109" s="29">
        <v>1400</v>
      </c>
      <c r="J109" s="29">
        <v>1740</v>
      </c>
      <c r="K109" s="29">
        <v>1830</v>
      </c>
      <c r="L109" s="29">
        <v>1920</v>
      </c>
      <c r="M109" s="46">
        <v>1940</v>
      </c>
      <c r="N109" s="46">
        <v>2000</v>
      </c>
      <c r="O109" s="46">
        <v>2100</v>
      </c>
      <c r="P109" s="46">
        <v>2070</v>
      </c>
      <c r="Q109" s="46">
        <v>2110</v>
      </c>
      <c r="R109" s="46">
        <v>2100</v>
      </c>
      <c r="S109" s="46">
        <v>2280</v>
      </c>
      <c r="T109" s="46">
        <v>2280</v>
      </c>
      <c r="U109" s="46">
        <v>2270</v>
      </c>
      <c r="V109" s="46">
        <v>2260</v>
      </c>
      <c r="W109" s="46">
        <v>2310</v>
      </c>
      <c r="X109" s="46">
        <v>2370</v>
      </c>
      <c r="Y109" s="46">
        <v>2360</v>
      </c>
      <c r="Z109" s="46">
        <v>2490</v>
      </c>
      <c r="AA109" s="46">
        <v>2620</v>
      </c>
      <c r="AB109" s="46">
        <v>2800</v>
      </c>
      <c r="AC109" s="46">
        <v>2960</v>
      </c>
      <c r="AD109" s="46">
        <v>3260</v>
      </c>
      <c r="AE109" s="46">
        <v>3550</v>
      </c>
      <c r="AF109" s="46">
        <v>3680</v>
      </c>
      <c r="AG109" s="46">
        <v>3310</v>
      </c>
      <c r="AH109" s="46">
        <v>3730</v>
      </c>
      <c r="AI109" s="46">
        <v>3980</v>
      </c>
    </row>
    <row r="110" spans="1:35" x14ac:dyDescent="0.25">
      <c r="A110" s="11" t="s">
        <v>10</v>
      </c>
      <c r="B110" s="29">
        <v>2960</v>
      </c>
      <c r="C110" s="29">
        <v>3090</v>
      </c>
      <c r="D110" s="29">
        <v>3260</v>
      </c>
      <c r="E110" s="29">
        <v>3310</v>
      </c>
      <c r="F110" s="29">
        <v>3590</v>
      </c>
      <c r="G110" s="29">
        <v>3710</v>
      </c>
      <c r="H110" s="29">
        <v>3780</v>
      </c>
      <c r="I110" s="29">
        <v>3810</v>
      </c>
      <c r="J110" s="29">
        <v>3860</v>
      </c>
      <c r="K110" s="29">
        <v>4120</v>
      </c>
      <c r="L110" s="29">
        <v>4390</v>
      </c>
      <c r="M110" s="46">
        <v>4710</v>
      </c>
      <c r="N110" s="46">
        <v>4980</v>
      </c>
      <c r="O110" s="46">
        <v>5260</v>
      </c>
      <c r="P110" s="46">
        <v>5550</v>
      </c>
      <c r="Q110" s="46">
        <v>5860</v>
      </c>
      <c r="R110" s="46">
        <v>6060</v>
      </c>
      <c r="S110" s="46">
        <v>6040</v>
      </c>
      <c r="T110" s="46">
        <v>6190</v>
      </c>
      <c r="U110" s="46">
        <v>6330</v>
      </c>
      <c r="V110" s="46">
        <v>6440</v>
      </c>
      <c r="W110" s="46">
        <v>6510</v>
      </c>
      <c r="X110" s="46">
        <v>6610</v>
      </c>
      <c r="Y110" s="46">
        <v>6730</v>
      </c>
      <c r="Z110" s="46">
        <v>6820</v>
      </c>
      <c r="AA110" s="46">
        <v>6990</v>
      </c>
      <c r="AB110" s="46">
        <v>7230</v>
      </c>
      <c r="AC110" s="46">
        <v>7570</v>
      </c>
      <c r="AD110" s="46">
        <v>7960</v>
      </c>
      <c r="AE110" s="46">
        <v>8500</v>
      </c>
      <c r="AF110" s="46">
        <v>9150</v>
      </c>
      <c r="AG110" s="46">
        <v>9750</v>
      </c>
      <c r="AH110" s="46">
        <v>9910</v>
      </c>
      <c r="AI110" s="46">
        <v>10360</v>
      </c>
    </row>
    <row r="111" spans="1:35" x14ac:dyDescent="0.25">
      <c r="A111" s="9" t="s">
        <v>11</v>
      </c>
      <c r="B111" s="6">
        <f>SUM(B$15:B$110)</f>
        <v>2136250</v>
      </c>
      <c r="C111" s="6">
        <f t="shared" ref="C111:AI111" si="9">SUM(C$15:C$110)</f>
        <v>2157380</v>
      </c>
      <c r="D111" s="6">
        <f t="shared" si="9"/>
        <v>2176330</v>
      </c>
      <c r="E111" s="6">
        <f t="shared" si="9"/>
        <v>2197940</v>
      </c>
      <c r="F111" s="6">
        <f t="shared" si="9"/>
        <v>2222910</v>
      </c>
      <c r="G111" s="6">
        <f t="shared" si="9"/>
        <v>2240420</v>
      </c>
      <c r="H111" s="6">
        <f t="shared" si="9"/>
        <v>2252990</v>
      </c>
      <c r="I111" s="6">
        <f t="shared" si="9"/>
        <v>2269940</v>
      </c>
      <c r="J111" s="6">
        <f t="shared" si="9"/>
        <v>2300720</v>
      </c>
      <c r="K111" s="6">
        <f t="shared" si="9"/>
        <v>2339290</v>
      </c>
      <c r="L111" s="6">
        <f t="shared" si="9"/>
        <v>2385590</v>
      </c>
      <c r="M111" s="82">
        <f t="shared" si="9"/>
        <v>2430960</v>
      </c>
      <c r="N111" s="82">
        <f t="shared" si="9"/>
        <v>2470450</v>
      </c>
      <c r="O111" s="82">
        <f t="shared" si="9"/>
        <v>2508080</v>
      </c>
      <c r="P111" s="82">
        <f t="shared" si="9"/>
        <v>2563040</v>
      </c>
      <c r="Q111" s="82">
        <f t="shared" si="9"/>
        <v>2574300</v>
      </c>
      <c r="R111" s="82">
        <f t="shared" si="9"/>
        <v>2582980</v>
      </c>
      <c r="S111" s="82">
        <f t="shared" si="9"/>
        <v>2594770</v>
      </c>
      <c r="T111" s="82">
        <f t="shared" si="9"/>
        <v>2610310</v>
      </c>
      <c r="U111" s="82">
        <f t="shared" si="9"/>
        <v>2629620</v>
      </c>
      <c r="V111" s="82">
        <f t="shared" si="9"/>
        <v>2652840</v>
      </c>
      <c r="W111" s="82">
        <f t="shared" si="9"/>
        <v>2675610</v>
      </c>
      <c r="X111" s="82">
        <f t="shared" si="9"/>
        <v>2697950</v>
      </c>
      <c r="Y111" s="82">
        <f t="shared" si="9"/>
        <v>2719850</v>
      </c>
      <c r="Z111" s="82">
        <f t="shared" si="9"/>
        <v>2741330</v>
      </c>
      <c r="AA111" s="82">
        <f t="shared" si="9"/>
        <v>2762320</v>
      </c>
      <c r="AB111" s="82">
        <f t="shared" si="9"/>
        <v>2782830</v>
      </c>
      <c r="AC111" s="82">
        <f t="shared" si="9"/>
        <v>2802970</v>
      </c>
      <c r="AD111" s="82">
        <f t="shared" si="9"/>
        <v>2822550</v>
      </c>
      <c r="AE111" s="82">
        <f t="shared" si="9"/>
        <v>2841730</v>
      </c>
      <c r="AF111" s="82">
        <f t="shared" si="9"/>
        <v>2860370</v>
      </c>
      <c r="AG111" s="82">
        <f t="shared" si="9"/>
        <v>2878570</v>
      </c>
      <c r="AH111" s="82">
        <f t="shared" si="9"/>
        <v>2896380</v>
      </c>
      <c r="AI111" s="82">
        <f t="shared" si="9"/>
        <v>2913930</v>
      </c>
    </row>
    <row r="112" spans="1:35" x14ac:dyDescent="0.25">
      <c r="A112" s="9"/>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row>
    <row r="113" spans="1:35" x14ac:dyDescent="0.25">
      <c r="A113" s="9"/>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row>
    <row r="114" spans="1:35" x14ac:dyDescent="0.25">
      <c r="A114" s="9" t="s">
        <v>12</v>
      </c>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row>
    <row r="115" spans="1:35" x14ac:dyDescent="0.25">
      <c r="A115" s="11">
        <f>$A$15</f>
        <v>0</v>
      </c>
      <c r="B115" s="29">
        <v>30150</v>
      </c>
      <c r="C115" s="29">
        <v>31900</v>
      </c>
      <c r="D115" s="29">
        <v>33050</v>
      </c>
      <c r="E115" s="29">
        <v>33060</v>
      </c>
      <c r="F115" s="29">
        <v>33020</v>
      </c>
      <c r="G115" s="29">
        <v>32130</v>
      </c>
      <c r="H115" s="29">
        <v>31320</v>
      </c>
      <c r="I115" s="29">
        <v>30890</v>
      </c>
      <c r="J115" s="29">
        <v>30140</v>
      </c>
      <c r="K115" s="29">
        <v>30350</v>
      </c>
      <c r="L115" s="29">
        <v>30610</v>
      </c>
      <c r="M115" s="46">
        <v>30690</v>
      </c>
      <c r="N115" s="46">
        <v>30530</v>
      </c>
      <c r="O115" s="46">
        <v>30740</v>
      </c>
      <c r="P115" s="46">
        <v>30270</v>
      </c>
      <c r="Q115" s="46">
        <v>31350</v>
      </c>
      <c r="R115" s="46">
        <v>30980</v>
      </c>
      <c r="S115" s="46">
        <v>30400</v>
      </c>
      <c r="T115" s="46">
        <v>30320</v>
      </c>
      <c r="U115" s="46">
        <v>30280</v>
      </c>
      <c r="V115" s="46">
        <v>30290</v>
      </c>
      <c r="W115" s="46">
        <v>30290</v>
      </c>
      <c r="X115" s="46">
        <v>30260</v>
      </c>
      <c r="Y115" s="46">
        <v>30230</v>
      </c>
      <c r="Z115" s="46">
        <v>30200</v>
      </c>
      <c r="AA115" s="46">
        <v>30170</v>
      </c>
      <c r="AB115" s="46">
        <v>30150</v>
      </c>
      <c r="AC115" s="46">
        <v>30160</v>
      </c>
      <c r="AD115" s="46">
        <v>30190</v>
      </c>
      <c r="AE115" s="46">
        <v>30260</v>
      </c>
      <c r="AF115" s="46">
        <v>30350</v>
      </c>
      <c r="AG115" s="46">
        <v>30460</v>
      </c>
      <c r="AH115" s="46">
        <v>30600</v>
      </c>
      <c r="AI115" s="46">
        <v>30750</v>
      </c>
    </row>
    <row r="116" spans="1:35" x14ac:dyDescent="0.25">
      <c r="A116" s="11">
        <f>$A$16</f>
        <v>1</v>
      </c>
      <c r="B116" s="29">
        <v>29380</v>
      </c>
      <c r="C116" s="29">
        <v>30170</v>
      </c>
      <c r="D116" s="29">
        <v>31780</v>
      </c>
      <c r="E116" s="29">
        <v>32980</v>
      </c>
      <c r="F116" s="29">
        <v>33130</v>
      </c>
      <c r="G116" s="29">
        <v>33060</v>
      </c>
      <c r="H116" s="29">
        <v>32050</v>
      </c>
      <c r="I116" s="29">
        <v>31410</v>
      </c>
      <c r="J116" s="29">
        <v>31010</v>
      </c>
      <c r="K116" s="29">
        <v>30350</v>
      </c>
      <c r="L116" s="29">
        <v>30650</v>
      </c>
      <c r="M116" s="46">
        <v>30930</v>
      </c>
      <c r="N116" s="46">
        <v>30900</v>
      </c>
      <c r="O116" s="46">
        <v>30690</v>
      </c>
      <c r="P116" s="46">
        <v>31000</v>
      </c>
      <c r="Q116" s="46">
        <v>30380</v>
      </c>
      <c r="R116" s="46">
        <v>31200</v>
      </c>
      <c r="S116" s="46">
        <v>30810</v>
      </c>
      <c r="T116" s="46">
        <v>30290</v>
      </c>
      <c r="U116" s="46">
        <v>30260</v>
      </c>
      <c r="V116" s="46">
        <v>30270</v>
      </c>
      <c r="W116" s="46">
        <v>30290</v>
      </c>
      <c r="X116" s="46">
        <v>30280</v>
      </c>
      <c r="Y116" s="46">
        <v>30260</v>
      </c>
      <c r="Z116" s="46">
        <v>30230</v>
      </c>
      <c r="AA116" s="46">
        <v>30200</v>
      </c>
      <c r="AB116" s="46">
        <v>30170</v>
      </c>
      <c r="AC116" s="46">
        <v>30150</v>
      </c>
      <c r="AD116" s="46">
        <v>30160</v>
      </c>
      <c r="AE116" s="46">
        <v>30190</v>
      </c>
      <c r="AF116" s="46">
        <v>30260</v>
      </c>
      <c r="AG116" s="46">
        <v>30350</v>
      </c>
      <c r="AH116" s="46">
        <v>30470</v>
      </c>
      <c r="AI116" s="46">
        <v>30600</v>
      </c>
    </row>
    <row r="117" spans="1:35" x14ac:dyDescent="0.25">
      <c r="A117" s="11">
        <f>$A$17</f>
        <v>2</v>
      </c>
      <c r="B117" s="29">
        <v>29510</v>
      </c>
      <c r="C117" s="29">
        <v>29490</v>
      </c>
      <c r="D117" s="29">
        <v>30170</v>
      </c>
      <c r="E117" s="29">
        <v>31800</v>
      </c>
      <c r="F117" s="29">
        <v>33070</v>
      </c>
      <c r="G117" s="29">
        <v>33070</v>
      </c>
      <c r="H117" s="29">
        <v>32930</v>
      </c>
      <c r="I117" s="29">
        <v>31970</v>
      </c>
      <c r="J117" s="29">
        <v>31670</v>
      </c>
      <c r="K117" s="29">
        <v>31400</v>
      </c>
      <c r="L117" s="29">
        <v>30920</v>
      </c>
      <c r="M117" s="46">
        <v>31290</v>
      </c>
      <c r="N117" s="46">
        <v>31420</v>
      </c>
      <c r="O117" s="46">
        <v>31370</v>
      </c>
      <c r="P117" s="46">
        <v>31170</v>
      </c>
      <c r="Q117" s="46">
        <v>31160</v>
      </c>
      <c r="R117" s="46">
        <v>30460</v>
      </c>
      <c r="S117" s="46">
        <v>31130</v>
      </c>
      <c r="T117" s="46">
        <v>30810</v>
      </c>
      <c r="U117" s="46">
        <v>30350</v>
      </c>
      <c r="V117" s="46">
        <v>30390</v>
      </c>
      <c r="W117" s="46">
        <v>30400</v>
      </c>
      <c r="X117" s="46">
        <v>30410</v>
      </c>
      <c r="Y117" s="46">
        <v>30410</v>
      </c>
      <c r="Z117" s="46">
        <v>30390</v>
      </c>
      <c r="AA117" s="46">
        <v>30360</v>
      </c>
      <c r="AB117" s="46">
        <v>30320</v>
      </c>
      <c r="AC117" s="46">
        <v>30300</v>
      </c>
      <c r="AD117" s="46">
        <v>30280</v>
      </c>
      <c r="AE117" s="46">
        <v>30290</v>
      </c>
      <c r="AF117" s="46">
        <v>30320</v>
      </c>
      <c r="AG117" s="46">
        <v>30390</v>
      </c>
      <c r="AH117" s="46">
        <v>30480</v>
      </c>
      <c r="AI117" s="46">
        <v>30590</v>
      </c>
    </row>
    <row r="118" spans="1:35" x14ac:dyDescent="0.25">
      <c r="A118" s="11">
        <f>$A$18</f>
        <v>3</v>
      </c>
      <c r="B118" s="29">
        <v>28800</v>
      </c>
      <c r="C118" s="29">
        <v>29680</v>
      </c>
      <c r="D118" s="29">
        <v>29550</v>
      </c>
      <c r="E118" s="29">
        <v>30280</v>
      </c>
      <c r="F118" s="29">
        <v>31860</v>
      </c>
      <c r="G118" s="29">
        <v>32950</v>
      </c>
      <c r="H118" s="29">
        <v>32970</v>
      </c>
      <c r="I118" s="29">
        <v>32960</v>
      </c>
      <c r="J118" s="29">
        <v>32220</v>
      </c>
      <c r="K118" s="29">
        <v>32020</v>
      </c>
      <c r="L118" s="29">
        <v>31970</v>
      </c>
      <c r="M118" s="46">
        <v>31570</v>
      </c>
      <c r="N118" s="46">
        <v>31850</v>
      </c>
      <c r="O118" s="46">
        <v>31910</v>
      </c>
      <c r="P118" s="46">
        <v>32030</v>
      </c>
      <c r="Q118" s="46">
        <v>31380</v>
      </c>
      <c r="R118" s="46">
        <v>31360</v>
      </c>
      <c r="S118" s="46">
        <v>30400</v>
      </c>
      <c r="T118" s="46">
        <v>31140</v>
      </c>
      <c r="U118" s="46">
        <v>30880</v>
      </c>
      <c r="V118" s="46">
        <v>30490</v>
      </c>
      <c r="W118" s="46">
        <v>30520</v>
      </c>
      <c r="X118" s="46">
        <v>30540</v>
      </c>
      <c r="Y118" s="46">
        <v>30550</v>
      </c>
      <c r="Z118" s="46">
        <v>30550</v>
      </c>
      <c r="AA118" s="46">
        <v>30520</v>
      </c>
      <c r="AB118" s="46">
        <v>30490</v>
      </c>
      <c r="AC118" s="46">
        <v>30460</v>
      </c>
      <c r="AD118" s="46">
        <v>30430</v>
      </c>
      <c r="AE118" s="46">
        <v>30420</v>
      </c>
      <c r="AF118" s="46">
        <v>30430</v>
      </c>
      <c r="AG118" s="46">
        <v>30460</v>
      </c>
      <c r="AH118" s="46">
        <v>30520</v>
      </c>
      <c r="AI118" s="46">
        <v>30610</v>
      </c>
    </row>
    <row r="119" spans="1:35" x14ac:dyDescent="0.25">
      <c r="A119" s="11">
        <f>$A$19</f>
        <v>4</v>
      </c>
      <c r="B119" s="29">
        <v>28370</v>
      </c>
      <c r="C119" s="29">
        <v>28970</v>
      </c>
      <c r="D119" s="29">
        <v>29740</v>
      </c>
      <c r="E119" s="29">
        <v>29670</v>
      </c>
      <c r="F119" s="29">
        <v>30290</v>
      </c>
      <c r="G119" s="29">
        <v>31810</v>
      </c>
      <c r="H119" s="29">
        <v>32820</v>
      </c>
      <c r="I119" s="29">
        <v>32930</v>
      </c>
      <c r="J119" s="29">
        <v>33110</v>
      </c>
      <c r="K119" s="29">
        <v>32540</v>
      </c>
      <c r="L119" s="29">
        <v>32460</v>
      </c>
      <c r="M119" s="46">
        <v>32480</v>
      </c>
      <c r="N119" s="46">
        <v>32120</v>
      </c>
      <c r="O119" s="46">
        <v>32370</v>
      </c>
      <c r="P119" s="46">
        <v>32450</v>
      </c>
      <c r="Q119" s="46">
        <v>32190</v>
      </c>
      <c r="R119" s="46">
        <v>31530</v>
      </c>
      <c r="S119" s="46">
        <v>31310</v>
      </c>
      <c r="T119" s="46">
        <v>30420</v>
      </c>
      <c r="U119" s="46">
        <v>31220</v>
      </c>
      <c r="V119" s="46">
        <v>31030</v>
      </c>
      <c r="W119" s="46">
        <v>30640</v>
      </c>
      <c r="X119" s="46">
        <v>30680</v>
      </c>
      <c r="Y119" s="46">
        <v>30690</v>
      </c>
      <c r="Z119" s="46">
        <v>30700</v>
      </c>
      <c r="AA119" s="46">
        <v>30700</v>
      </c>
      <c r="AB119" s="46">
        <v>30680</v>
      </c>
      <c r="AC119" s="46">
        <v>30650</v>
      </c>
      <c r="AD119" s="46">
        <v>30610</v>
      </c>
      <c r="AE119" s="46">
        <v>30590</v>
      </c>
      <c r="AF119" s="46">
        <v>30570</v>
      </c>
      <c r="AG119" s="46">
        <v>30580</v>
      </c>
      <c r="AH119" s="46">
        <v>30610</v>
      </c>
      <c r="AI119" s="46">
        <v>30680</v>
      </c>
    </row>
    <row r="120" spans="1:35" x14ac:dyDescent="0.25">
      <c r="A120" s="11">
        <f>$A$20</f>
        <v>5</v>
      </c>
      <c r="B120" s="29">
        <v>29670</v>
      </c>
      <c r="C120" s="29">
        <v>28590</v>
      </c>
      <c r="D120" s="29">
        <v>29100</v>
      </c>
      <c r="E120" s="29">
        <v>29870</v>
      </c>
      <c r="F120" s="29">
        <v>29760</v>
      </c>
      <c r="G120" s="29">
        <v>30240</v>
      </c>
      <c r="H120" s="29">
        <v>31670</v>
      </c>
      <c r="I120" s="29">
        <v>32730</v>
      </c>
      <c r="J120" s="29">
        <v>33050</v>
      </c>
      <c r="K120" s="29">
        <v>33360</v>
      </c>
      <c r="L120" s="29">
        <v>32990</v>
      </c>
      <c r="M120" s="46">
        <v>32950</v>
      </c>
      <c r="N120" s="46">
        <v>32960</v>
      </c>
      <c r="O120" s="46">
        <v>32680</v>
      </c>
      <c r="P120" s="46">
        <v>32930</v>
      </c>
      <c r="Q120" s="46">
        <v>32640</v>
      </c>
      <c r="R120" s="46">
        <v>32290</v>
      </c>
      <c r="S120" s="46">
        <v>31480</v>
      </c>
      <c r="T120" s="46">
        <v>31320</v>
      </c>
      <c r="U120" s="46">
        <v>30490</v>
      </c>
      <c r="V120" s="46">
        <v>31370</v>
      </c>
      <c r="W120" s="46">
        <v>31180</v>
      </c>
      <c r="X120" s="46">
        <v>30790</v>
      </c>
      <c r="Y120" s="46">
        <v>30820</v>
      </c>
      <c r="Z120" s="46">
        <v>30830</v>
      </c>
      <c r="AA120" s="46">
        <v>30850</v>
      </c>
      <c r="AB120" s="46">
        <v>30840</v>
      </c>
      <c r="AC120" s="46">
        <v>30820</v>
      </c>
      <c r="AD120" s="46">
        <v>30790</v>
      </c>
      <c r="AE120" s="46">
        <v>30760</v>
      </c>
      <c r="AF120" s="46">
        <v>30730</v>
      </c>
      <c r="AG120" s="46">
        <v>30720</v>
      </c>
      <c r="AH120" s="46">
        <v>30730</v>
      </c>
      <c r="AI120" s="46">
        <v>30760</v>
      </c>
    </row>
    <row r="121" spans="1:35" x14ac:dyDescent="0.25">
      <c r="A121" s="11">
        <f>$A$21</f>
        <v>6</v>
      </c>
      <c r="B121" s="29">
        <v>30280</v>
      </c>
      <c r="C121" s="29">
        <v>29980</v>
      </c>
      <c r="D121" s="29">
        <v>28760</v>
      </c>
      <c r="E121" s="29">
        <v>29210</v>
      </c>
      <c r="F121" s="29">
        <v>29950</v>
      </c>
      <c r="G121" s="29">
        <v>29730</v>
      </c>
      <c r="H121" s="29">
        <v>30080</v>
      </c>
      <c r="I121" s="29">
        <v>31520</v>
      </c>
      <c r="J121" s="29">
        <v>32870</v>
      </c>
      <c r="K121" s="29">
        <v>33280</v>
      </c>
      <c r="L121" s="29">
        <v>33630</v>
      </c>
      <c r="M121" s="46">
        <v>33450</v>
      </c>
      <c r="N121" s="46">
        <v>33340</v>
      </c>
      <c r="O121" s="46">
        <v>33320</v>
      </c>
      <c r="P121" s="46">
        <v>33170</v>
      </c>
      <c r="Q121" s="46">
        <v>33010</v>
      </c>
      <c r="R121" s="46">
        <v>32730</v>
      </c>
      <c r="S121" s="46">
        <v>32240</v>
      </c>
      <c r="T121" s="46">
        <v>31490</v>
      </c>
      <c r="U121" s="46">
        <v>31390</v>
      </c>
      <c r="V121" s="46">
        <v>30630</v>
      </c>
      <c r="W121" s="46">
        <v>31500</v>
      </c>
      <c r="X121" s="46">
        <v>31310</v>
      </c>
      <c r="Y121" s="46">
        <v>30920</v>
      </c>
      <c r="Z121" s="46">
        <v>30960</v>
      </c>
      <c r="AA121" s="46">
        <v>30970</v>
      </c>
      <c r="AB121" s="46">
        <v>30980</v>
      </c>
      <c r="AC121" s="46">
        <v>30980</v>
      </c>
      <c r="AD121" s="46">
        <v>30960</v>
      </c>
      <c r="AE121" s="46">
        <v>30930</v>
      </c>
      <c r="AF121" s="46">
        <v>30890</v>
      </c>
      <c r="AG121" s="46">
        <v>30870</v>
      </c>
      <c r="AH121" s="46">
        <v>30860</v>
      </c>
      <c r="AI121" s="46">
        <v>30860</v>
      </c>
    </row>
    <row r="122" spans="1:35" x14ac:dyDescent="0.25">
      <c r="A122" s="11">
        <f>$A$22</f>
        <v>7</v>
      </c>
      <c r="B122" s="29">
        <v>29500</v>
      </c>
      <c r="C122" s="29">
        <v>30570</v>
      </c>
      <c r="D122" s="29">
        <v>30180</v>
      </c>
      <c r="E122" s="29">
        <v>28890</v>
      </c>
      <c r="F122" s="29">
        <v>29340</v>
      </c>
      <c r="G122" s="29">
        <v>29910</v>
      </c>
      <c r="H122" s="29">
        <v>29610</v>
      </c>
      <c r="I122" s="29">
        <v>29960</v>
      </c>
      <c r="J122" s="29">
        <v>31670</v>
      </c>
      <c r="K122" s="29">
        <v>33060</v>
      </c>
      <c r="L122" s="29">
        <v>33510</v>
      </c>
      <c r="M122" s="46">
        <v>33970</v>
      </c>
      <c r="N122" s="46">
        <v>33780</v>
      </c>
      <c r="O122" s="46">
        <v>33740</v>
      </c>
      <c r="P122" s="46">
        <v>33730</v>
      </c>
      <c r="Q122" s="46">
        <v>33330</v>
      </c>
      <c r="R122" s="46">
        <v>33070</v>
      </c>
      <c r="S122" s="46">
        <v>32680</v>
      </c>
      <c r="T122" s="46">
        <v>32250</v>
      </c>
      <c r="U122" s="46">
        <v>31570</v>
      </c>
      <c r="V122" s="46">
        <v>31540</v>
      </c>
      <c r="W122" s="46">
        <v>30770</v>
      </c>
      <c r="X122" s="46">
        <v>31650</v>
      </c>
      <c r="Y122" s="46">
        <v>31460</v>
      </c>
      <c r="Z122" s="46">
        <v>31070</v>
      </c>
      <c r="AA122" s="46">
        <v>31100</v>
      </c>
      <c r="AB122" s="46">
        <v>31110</v>
      </c>
      <c r="AC122" s="46">
        <v>31130</v>
      </c>
      <c r="AD122" s="46">
        <v>31130</v>
      </c>
      <c r="AE122" s="46">
        <v>31100</v>
      </c>
      <c r="AF122" s="46">
        <v>31070</v>
      </c>
      <c r="AG122" s="46">
        <v>31040</v>
      </c>
      <c r="AH122" s="46">
        <v>31010</v>
      </c>
      <c r="AI122" s="46">
        <v>31000</v>
      </c>
    </row>
    <row r="123" spans="1:35" x14ac:dyDescent="0.25">
      <c r="A123" s="11">
        <f>$A$23</f>
        <v>8</v>
      </c>
      <c r="B123" s="29">
        <v>29960</v>
      </c>
      <c r="C123" s="29">
        <v>29810</v>
      </c>
      <c r="D123" s="29">
        <v>30860</v>
      </c>
      <c r="E123" s="29">
        <v>30370</v>
      </c>
      <c r="F123" s="29">
        <v>29120</v>
      </c>
      <c r="G123" s="29">
        <v>29410</v>
      </c>
      <c r="H123" s="29">
        <v>29840</v>
      </c>
      <c r="I123" s="29">
        <v>29550</v>
      </c>
      <c r="J123" s="29">
        <v>30110</v>
      </c>
      <c r="K123" s="29">
        <v>31880</v>
      </c>
      <c r="L123" s="29">
        <v>33360</v>
      </c>
      <c r="M123" s="46">
        <v>33860</v>
      </c>
      <c r="N123" s="46">
        <v>34200</v>
      </c>
      <c r="O123" s="46">
        <v>34170</v>
      </c>
      <c r="P123" s="46">
        <v>34190</v>
      </c>
      <c r="Q123" s="46">
        <v>33850</v>
      </c>
      <c r="R123" s="46">
        <v>33360</v>
      </c>
      <c r="S123" s="46">
        <v>33030</v>
      </c>
      <c r="T123" s="46">
        <v>32700</v>
      </c>
      <c r="U123" s="46">
        <v>32340</v>
      </c>
      <c r="V123" s="46">
        <v>31720</v>
      </c>
      <c r="W123" s="46">
        <v>31680</v>
      </c>
      <c r="X123" s="46">
        <v>30920</v>
      </c>
      <c r="Y123" s="46">
        <v>31800</v>
      </c>
      <c r="Z123" s="46">
        <v>31610</v>
      </c>
      <c r="AA123" s="46">
        <v>31210</v>
      </c>
      <c r="AB123" s="46">
        <v>31250</v>
      </c>
      <c r="AC123" s="46">
        <v>31260</v>
      </c>
      <c r="AD123" s="46">
        <v>31280</v>
      </c>
      <c r="AE123" s="46">
        <v>31270</v>
      </c>
      <c r="AF123" s="46">
        <v>31250</v>
      </c>
      <c r="AG123" s="46">
        <v>31220</v>
      </c>
      <c r="AH123" s="46">
        <v>31190</v>
      </c>
      <c r="AI123" s="46">
        <v>31160</v>
      </c>
    </row>
    <row r="124" spans="1:35" x14ac:dyDescent="0.25">
      <c r="A124" s="11">
        <f>$A$24</f>
        <v>9</v>
      </c>
      <c r="B124" s="29">
        <v>29820</v>
      </c>
      <c r="C124" s="29">
        <v>30270</v>
      </c>
      <c r="D124" s="29">
        <v>30090</v>
      </c>
      <c r="E124" s="29">
        <v>31080</v>
      </c>
      <c r="F124" s="29">
        <v>30610</v>
      </c>
      <c r="G124" s="29">
        <v>29220</v>
      </c>
      <c r="H124" s="29">
        <v>29330</v>
      </c>
      <c r="I124" s="29">
        <v>29810</v>
      </c>
      <c r="J124" s="29">
        <v>29700</v>
      </c>
      <c r="K124" s="29">
        <v>30340</v>
      </c>
      <c r="L124" s="29">
        <v>32240</v>
      </c>
      <c r="M124" s="46">
        <v>33630</v>
      </c>
      <c r="N124" s="46">
        <v>34150</v>
      </c>
      <c r="O124" s="46">
        <v>34600</v>
      </c>
      <c r="P124" s="46">
        <v>34580</v>
      </c>
      <c r="Q124" s="46">
        <v>34290</v>
      </c>
      <c r="R124" s="46">
        <v>33940</v>
      </c>
      <c r="S124" s="46">
        <v>33330</v>
      </c>
      <c r="T124" s="46">
        <v>33070</v>
      </c>
      <c r="U124" s="46">
        <v>32800</v>
      </c>
      <c r="V124" s="46">
        <v>32500</v>
      </c>
      <c r="W124" s="46">
        <v>31880</v>
      </c>
      <c r="X124" s="46">
        <v>31850</v>
      </c>
      <c r="Y124" s="46">
        <v>31080</v>
      </c>
      <c r="Z124" s="46">
        <v>31960</v>
      </c>
      <c r="AA124" s="46">
        <v>31770</v>
      </c>
      <c r="AB124" s="46">
        <v>31380</v>
      </c>
      <c r="AC124" s="46">
        <v>31410</v>
      </c>
      <c r="AD124" s="46">
        <v>31430</v>
      </c>
      <c r="AE124" s="46">
        <v>31440</v>
      </c>
      <c r="AF124" s="46">
        <v>31440</v>
      </c>
      <c r="AG124" s="46">
        <v>31410</v>
      </c>
      <c r="AH124" s="46">
        <v>31380</v>
      </c>
      <c r="AI124" s="46">
        <v>31350</v>
      </c>
    </row>
    <row r="125" spans="1:35" x14ac:dyDescent="0.25">
      <c r="A125" s="11">
        <f>$A$25</f>
        <v>10</v>
      </c>
      <c r="B125" s="29">
        <v>31100</v>
      </c>
      <c r="C125" s="29">
        <v>30190</v>
      </c>
      <c r="D125" s="29">
        <v>30480</v>
      </c>
      <c r="E125" s="29">
        <v>30320</v>
      </c>
      <c r="F125" s="29">
        <v>31360</v>
      </c>
      <c r="G125" s="29">
        <v>30720</v>
      </c>
      <c r="H125" s="29">
        <v>29220</v>
      </c>
      <c r="I125" s="29">
        <v>29330</v>
      </c>
      <c r="J125" s="29">
        <v>29960</v>
      </c>
      <c r="K125" s="29">
        <v>29980</v>
      </c>
      <c r="L125" s="29">
        <v>30710</v>
      </c>
      <c r="M125" s="46">
        <v>32680</v>
      </c>
      <c r="N125" s="46">
        <v>33930</v>
      </c>
      <c r="O125" s="46">
        <v>34520</v>
      </c>
      <c r="P125" s="46">
        <v>35080</v>
      </c>
      <c r="Q125" s="46">
        <v>34680</v>
      </c>
      <c r="R125" s="46">
        <v>34360</v>
      </c>
      <c r="S125" s="46">
        <v>33920</v>
      </c>
      <c r="T125" s="46">
        <v>33370</v>
      </c>
      <c r="U125" s="46">
        <v>33180</v>
      </c>
      <c r="V125" s="46">
        <v>32970</v>
      </c>
      <c r="W125" s="46">
        <v>32670</v>
      </c>
      <c r="X125" s="46">
        <v>32050</v>
      </c>
      <c r="Y125" s="46">
        <v>32020</v>
      </c>
      <c r="Z125" s="46">
        <v>31250</v>
      </c>
      <c r="AA125" s="46">
        <v>32130</v>
      </c>
      <c r="AB125" s="46">
        <v>31940</v>
      </c>
      <c r="AC125" s="46">
        <v>31550</v>
      </c>
      <c r="AD125" s="46">
        <v>31580</v>
      </c>
      <c r="AE125" s="46">
        <v>31600</v>
      </c>
      <c r="AF125" s="46">
        <v>31610</v>
      </c>
      <c r="AG125" s="46">
        <v>31610</v>
      </c>
      <c r="AH125" s="46">
        <v>31580</v>
      </c>
      <c r="AI125" s="46">
        <v>31550</v>
      </c>
    </row>
    <row r="126" spans="1:35" x14ac:dyDescent="0.25">
      <c r="A126" s="11">
        <f>$A$26</f>
        <v>11</v>
      </c>
      <c r="B126" s="29">
        <v>31570</v>
      </c>
      <c r="C126" s="29">
        <v>31310</v>
      </c>
      <c r="D126" s="29">
        <v>30420</v>
      </c>
      <c r="E126" s="29">
        <v>30690</v>
      </c>
      <c r="F126" s="29">
        <v>30620</v>
      </c>
      <c r="G126" s="29">
        <v>31500</v>
      </c>
      <c r="H126" s="29">
        <v>30790</v>
      </c>
      <c r="I126" s="29">
        <v>29240</v>
      </c>
      <c r="J126" s="29">
        <v>29600</v>
      </c>
      <c r="K126" s="29">
        <v>30160</v>
      </c>
      <c r="L126" s="29">
        <v>30300</v>
      </c>
      <c r="M126" s="46">
        <v>31150</v>
      </c>
      <c r="N126" s="46">
        <v>33010</v>
      </c>
      <c r="O126" s="46">
        <v>34230</v>
      </c>
      <c r="P126" s="46">
        <v>34860</v>
      </c>
      <c r="Q126" s="46">
        <v>35190</v>
      </c>
      <c r="R126" s="46">
        <v>34780</v>
      </c>
      <c r="S126" s="46">
        <v>34350</v>
      </c>
      <c r="T126" s="46">
        <v>33970</v>
      </c>
      <c r="U126" s="46">
        <v>33480</v>
      </c>
      <c r="V126" s="46">
        <v>33350</v>
      </c>
      <c r="W126" s="46">
        <v>33140</v>
      </c>
      <c r="X126" s="46">
        <v>32840</v>
      </c>
      <c r="Y126" s="46">
        <v>32220</v>
      </c>
      <c r="Z126" s="46">
        <v>32190</v>
      </c>
      <c r="AA126" s="46">
        <v>31420</v>
      </c>
      <c r="AB126" s="46">
        <v>32300</v>
      </c>
      <c r="AC126" s="46">
        <v>32110</v>
      </c>
      <c r="AD126" s="46">
        <v>31720</v>
      </c>
      <c r="AE126" s="46">
        <v>31750</v>
      </c>
      <c r="AF126" s="46">
        <v>31770</v>
      </c>
      <c r="AG126" s="46">
        <v>31780</v>
      </c>
      <c r="AH126" s="46">
        <v>31780</v>
      </c>
      <c r="AI126" s="46">
        <v>31760</v>
      </c>
    </row>
    <row r="127" spans="1:35" x14ac:dyDescent="0.25">
      <c r="A127" s="11">
        <f>$A$27</f>
        <v>12</v>
      </c>
      <c r="B127" s="29">
        <v>31640</v>
      </c>
      <c r="C127" s="29">
        <v>31640</v>
      </c>
      <c r="D127" s="29">
        <v>31450</v>
      </c>
      <c r="E127" s="29">
        <v>30620</v>
      </c>
      <c r="F127" s="29">
        <v>30980</v>
      </c>
      <c r="G127" s="29">
        <v>30730</v>
      </c>
      <c r="H127" s="29">
        <v>31640</v>
      </c>
      <c r="I127" s="29">
        <v>30870</v>
      </c>
      <c r="J127" s="29">
        <v>29490</v>
      </c>
      <c r="K127" s="29">
        <v>29980</v>
      </c>
      <c r="L127" s="29">
        <v>30450</v>
      </c>
      <c r="M127" s="46">
        <v>30710</v>
      </c>
      <c r="N127" s="46">
        <v>31540</v>
      </c>
      <c r="O127" s="46">
        <v>33450</v>
      </c>
      <c r="P127" s="46">
        <v>34620</v>
      </c>
      <c r="Q127" s="46">
        <v>35000</v>
      </c>
      <c r="R127" s="46">
        <v>35260</v>
      </c>
      <c r="S127" s="46">
        <v>34790</v>
      </c>
      <c r="T127" s="46">
        <v>34420</v>
      </c>
      <c r="U127" s="46">
        <v>34100</v>
      </c>
      <c r="V127" s="46">
        <v>33670</v>
      </c>
      <c r="W127" s="46">
        <v>33540</v>
      </c>
      <c r="X127" s="46">
        <v>33330</v>
      </c>
      <c r="Y127" s="46">
        <v>33030</v>
      </c>
      <c r="Z127" s="46">
        <v>32410</v>
      </c>
      <c r="AA127" s="46">
        <v>32380</v>
      </c>
      <c r="AB127" s="46">
        <v>31610</v>
      </c>
      <c r="AC127" s="46">
        <v>32490</v>
      </c>
      <c r="AD127" s="46">
        <v>32300</v>
      </c>
      <c r="AE127" s="46">
        <v>31910</v>
      </c>
      <c r="AF127" s="46">
        <v>31940</v>
      </c>
      <c r="AG127" s="46">
        <v>31960</v>
      </c>
      <c r="AH127" s="46">
        <v>31970</v>
      </c>
      <c r="AI127" s="46">
        <v>31970</v>
      </c>
    </row>
    <row r="128" spans="1:35" x14ac:dyDescent="0.25">
      <c r="A128" s="11">
        <f>$A$28</f>
        <v>13</v>
      </c>
      <c r="B128" s="29">
        <v>32400</v>
      </c>
      <c r="C128" s="29">
        <v>31620</v>
      </c>
      <c r="D128" s="29">
        <v>31620</v>
      </c>
      <c r="E128" s="29">
        <v>31610</v>
      </c>
      <c r="F128" s="29">
        <v>30840</v>
      </c>
      <c r="G128" s="29">
        <v>31190</v>
      </c>
      <c r="H128" s="29">
        <v>30830</v>
      </c>
      <c r="I128" s="29">
        <v>31780</v>
      </c>
      <c r="J128" s="29">
        <v>31050</v>
      </c>
      <c r="K128" s="29">
        <v>29880</v>
      </c>
      <c r="L128" s="29">
        <v>30500</v>
      </c>
      <c r="M128" s="46">
        <v>30750</v>
      </c>
      <c r="N128" s="46">
        <v>31040</v>
      </c>
      <c r="O128" s="46">
        <v>31940</v>
      </c>
      <c r="P128" s="46">
        <v>33880</v>
      </c>
      <c r="Q128" s="46">
        <v>34760</v>
      </c>
      <c r="R128" s="46">
        <v>35100</v>
      </c>
      <c r="S128" s="46">
        <v>35310</v>
      </c>
      <c r="T128" s="46">
        <v>34890</v>
      </c>
      <c r="U128" s="46">
        <v>34590</v>
      </c>
      <c r="V128" s="46">
        <v>34320</v>
      </c>
      <c r="W128" s="46">
        <v>33890</v>
      </c>
      <c r="X128" s="46">
        <v>33760</v>
      </c>
      <c r="Y128" s="46">
        <v>33550</v>
      </c>
      <c r="Z128" s="46">
        <v>33250</v>
      </c>
      <c r="AA128" s="46">
        <v>32630</v>
      </c>
      <c r="AB128" s="46">
        <v>32600</v>
      </c>
      <c r="AC128" s="46">
        <v>31840</v>
      </c>
      <c r="AD128" s="46">
        <v>32710</v>
      </c>
      <c r="AE128" s="46">
        <v>32520</v>
      </c>
      <c r="AF128" s="46">
        <v>32130</v>
      </c>
      <c r="AG128" s="46">
        <v>32170</v>
      </c>
      <c r="AH128" s="46">
        <v>32180</v>
      </c>
      <c r="AI128" s="46">
        <v>32190</v>
      </c>
    </row>
    <row r="129" spans="1:35" x14ac:dyDescent="0.25">
      <c r="A129" s="11">
        <f>$A$29</f>
        <v>14</v>
      </c>
      <c r="B129" s="29">
        <v>32800</v>
      </c>
      <c r="C129" s="29">
        <v>32260</v>
      </c>
      <c r="D129" s="29">
        <v>31550</v>
      </c>
      <c r="E129" s="29">
        <v>31640</v>
      </c>
      <c r="F129" s="29">
        <v>31810</v>
      </c>
      <c r="G129" s="29">
        <v>31060</v>
      </c>
      <c r="H129" s="29">
        <v>31400</v>
      </c>
      <c r="I129" s="29">
        <v>30980</v>
      </c>
      <c r="J129" s="29">
        <v>31850</v>
      </c>
      <c r="K129" s="29">
        <v>31360</v>
      </c>
      <c r="L129" s="29">
        <v>30430</v>
      </c>
      <c r="M129" s="46">
        <v>31080</v>
      </c>
      <c r="N129" s="46">
        <v>31160</v>
      </c>
      <c r="O129" s="46">
        <v>31440</v>
      </c>
      <c r="P129" s="46">
        <v>32330</v>
      </c>
      <c r="Q129" s="46">
        <v>33940</v>
      </c>
      <c r="R129" s="46">
        <v>34790</v>
      </c>
      <c r="S129" s="46">
        <v>35200</v>
      </c>
      <c r="T129" s="46">
        <v>35460</v>
      </c>
      <c r="U129" s="46">
        <v>35100</v>
      </c>
      <c r="V129" s="46">
        <v>34850</v>
      </c>
      <c r="W129" s="46">
        <v>34580</v>
      </c>
      <c r="X129" s="46">
        <v>34160</v>
      </c>
      <c r="Y129" s="46">
        <v>34020</v>
      </c>
      <c r="Z129" s="46">
        <v>33810</v>
      </c>
      <c r="AA129" s="46">
        <v>33520</v>
      </c>
      <c r="AB129" s="46">
        <v>32900</v>
      </c>
      <c r="AC129" s="46">
        <v>32870</v>
      </c>
      <c r="AD129" s="46">
        <v>32100</v>
      </c>
      <c r="AE129" s="46">
        <v>32980</v>
      </c>
      <c r="AF129" s="46">
        <v>32790</v>
      </c>
      <c r="AG129" s="46">
        <v>32400</v>
      </c>
      <c r="AH129" s="46">
        <v>32430</v>
      </c>
      <c r="AI129" s="46">
        <v>32450</v>
      </c>
    </row>
    <row r="130" spans="1:35" x14ac:dyDescent="0.25">
      <c r="A130" s="11">
        <f>$A$30</f>
        <v>15</v>
      </c>
      <c r="B130" s="29">
        <v>33590</v>
      </c>
      <c r="C130" s="29">
        <v>32590</v>
      </c>
      <c r="D130" s="29">
        <v>32100</v>
      </c>
      <c r="E130" s="29">
        <v>31480</v>
      </c>
      <c r="F130" s="29">
        <v>31790</v>
      </c>
      <c r="G130" s="29">
        <v>31950</v>
      </c>
      <c r="H130" s="29">
        <v>31310</v>
      </c>
      <c r="I130" s="29">
        <v>31620</v>
      </c>
      <c r="J130" s="29">
        <v>31200</v>
      </c>
      <c r="K130" s="29">
        <v>32200</v>
      </c>
      <c r="L130" s="29">
        <v>31970</v>
      </c>
      <c r="M130" s="46">
        <v>31110</v>
      </c>
      <c r="N130" s="46">
        <v>31730</v>
      </c>
      <c r="O130" s="46">
        <v>31690</v>
      </c>
      <c r="P130" s="46">
        <v>31890</v>
      </c>
      <c r="Q130" s="46">
        <v>32380</v>
      </c>
      <c r="R130" s="46">
        <v>34040</v>
      </c>
      <c r="S130" s="46">
        <v>34980</v>
      </c>
      <c r="T130" s="46">
        <v>35440</v>
      </c>
      <c r="U130" s="46">
        <v>35750</v>
      </c>
      <c r="V130" s="46">
        <v>35450</v>
      </c>
      <c r="W130" s="46">
        <v>35190</v>
      </c>
      <c r="X130" s="46">
        <v>34930</v>
      </c>
      <c r="Y130" s="46">
        <v>34500</v>
      </c>
      <c r="Z130" s="46">
        <v>34370</v>
      </c>
      <c r="AA130" s="46">
        <v>34160</v>
      </c>
      <c r="AB130" s="46">
        <v>33860</v>
      </c>
      <c r="AC130" s="46">
        <v>33240</v>
      </c>
      <c r="AD130" s="46">
        <v>33210</v>
      </c>
      <c r="AE130" s="46">
        <v>32450</v>
      </c>
      <c r="AF130" s="46">
        <v>33320</v>
      </c>
      <c r="AG130" s="46">
        <v>33130</v>
      </c>
      <c r="AH130" s="46">
        <v>32740</v>
      </c>
      <c r="AI130" s="46">
        <v>32780</v>
      </c>
    </row>
    <row r="131" spans="1:35" x14ac:dyDescent="0.25">
      <c r="A131" s="11">
        <f>$A$31</f>
        <v>16</v>
      </c>
      <c r="B131" s="29">
        <v>32610</v>
      </c>
      <c r="C131" s="29">
        <v>33310</v>
      </c>
      <c r="D131" s="29">
        <v>32300</v>
      </c>
      <c r="E131" s="29">
        <v>32050</v>
      </c>
      <c r="F131" s="29">
        <v>31680</v>
      </c>
      <c r="G131" s="29">
        <v>31980</v>
      </c>
      <c r="H131" s="29">
        <v>32180</v>
      </c>
      <c r="I131" s="29">
        <v>31650</v>
      </c>
      <c r="J131" s="29">
        <v>31920</v>
      </c>
      <c r="K131" s="29">
        <v>31620</v>
      </c>
      <c r="L131" s="29">
        <v>32770</v>
      </c>
      <c r="M131" s="46">
        <v>32690</v>
      </c>
      <c r="N131" s="46">
        <v>31800</v>
      </c>
      <c r="O131" s="46">
        <v>32260</v>
      </c>
      <c r="P131" s="46">
        <v>32200</v>
      </c>
      <c r="Q131" s="46">
        <v>31950</v>
      </c>
      <c r="R131" s="46">
        <v>32460</v>
      </c>
      <c r="S131" s="46">
        <v>34270</v>
      </c>
      <c r="T131" s="46">
        <v>35280</v>
      </c>
      <c r="U131" s="46">
        <v>35820</v>
      </c>
      <c r="V131" s="46">
        <v>36200</v>
      </c>
      <c r="W131" s="46">
        <v>35900</v>
      </c>
      <c r="X131" s="46">
        <v>35650</v>
      </c>
      <c r="Y131" s="46">
        <v>35380</v>
      </c>
      <c r="Z131" s="46">
        <v>34960</v>
      </c>
      <c r="AA131" s="46">
        <v>34820</v>
      </c>
      <c r="AB131" s="46">
        <v>34610</v>
      </c>
      <c r="AC131" s="46">
        <v>34320</v>
      </c>
      <c r="AD131" s="46">
        <v>33700</v>
      </c>
      <c r="AE131" s="46">
        <v>33670</v>
      </c>
      <c r="AF131" s="46">
        <v>32900</v>
      </c>
      <c r="AG131" s="46">
        <v>33780</v>
      </c>
      <c r="AH131" s="46">
        <v>33590</v>
      </c>
      <c r="AI131" s="46">
        <v>33200</v>
      </c>
    </row>
    <row r="132" spans="1:35" x14ac:dyDescent="0.25">
      <c r="A132" s="11">
        <f>$A$32</f>
        <v>17</v>
      </c>
      <c r="B132" s="29">
        <v>31820</v>
      </c>
      <c r="C132" s="29">
        <v>32260</v>
      </c>
      <c r="D132" s="29">
        <v>33160</v>
      </c>
      <c r="E132" s="29">
        <v>32180</v>
      </c>
      <c r="F132" s="29">
        <v>32210</v>
      </c>
      <c r="G132" s="29">
        <v>31800</v>
      </c>
      <c r="H132" s="29">
        <v>32120</v>
      </c>
      <c r="I132" s="29">
        <v>32430</v>
      </c>
      <c r="J132" s="29">
        <v>31970</v>
      </c>
      <c r="K132" s="29">
        <v>32340</v>
      </c>
      <c r="L132" s="29">
        <v>32150</v>
      </c>
      <c r="M132" s="46">
        <v>33240</v>
      </c>
      <c r="N132" s="46">
        <v>33240</v>
      </c>
      <c r="O132" s="46">
        <v>32170</v>
      </c>
      <c r="P132" s="46">
        <v>32560</v>
      </c>
      <c r="Q132" s="46">
        <v>32180</v>
      </c>
      <c r="R132" s="46">
        <v>32010</v>
      </c>
      <c r="S132" s="46">
        <v>32750</v>
      </c>
      <c r="T132" s="46">
        <v>34660</v>
      </c>
      <c r="U132" s="46">
        <v>35770</v>
      </c>
      <c r="V132" s="46">
        <v>36410</v>
      </c>
      <c r="W132" s="46">
        <v>36790</v>
      </c>
      <c r="X132" s="46">
        <v>36490</v>
      </c>
      <c r="Y132" s="46">
        <v>36240</v>
      </c>
      <c r="Z132" s="46">
        <v>35970</v>
      </c>
      <c r="AA132" s="46">
        <v>35550</v>
      </c>
      <c r="AB132" s="46">
        <v>35410</v>
      </c>
      <c r="AC132" s="46">
        <v>35210</v>
      </c>
      <c r="AD132" s="46">
        <v>34910</v>
      </c>
      <c r="AE132" s="46">
        <v>34290</v>
      </c>
      <c r="AF132" s="46">
        <v>34260</v>
      </c>
      <c r="AG132" s="46">
        <v>33500</v>
      </c>
      <c r="AH132" s="46">
        <v>34370</v>
      </c>
      <c r="AI132" s="46">
        <v>34180</v>
      </c>
    </row>
    <row r="133" spans="1:35" x14ac:dyDescent="0.25">
      <c r="A133" s="11">
        <f>$A$33</f>
        <v>18</v>
      </c>
      <c r="B133" s="29">
        <v>31140</v>
      </c>
      <c r="C133" s="29">
        <v>31370</v>
      </c>
      <c r="D133" s="29">
        <v>31770</v>
      </c>
      <c r="E133" s="29">
        <v>32780</v>
      </c>
      <c r="F133" s="29">
        <v>32130</v>
      </c>
      <c r="G133" s="29">
        <v>32140</v>
      </c>
      <c r="H133" s="29">
        <v>31760</v>
      </c>
      <c r="I133" s="29">
        <v>32160</v>
      </c>
      <c r="J133" s="29">
        <v>32870</v>
      </c>
      <c r="K133" s="29">
        <v>32580</v>
      </c>
      <c r="L133" s="29">
        <v>32900</v>
      </c>
      <c r="M133" s="46">
        <v>32440</v>
      </c>
      <c r="N133" s="46">
        <v>33440</v>
      </c>
      <c r="O133" s="46">
        <v>33430</v>
      </c>
      <c r="P133" s="46">
        <v>32470</v>
      </c>
      <c r="Q133" s="46">
        <v>32320</v>
      </c>
      <c r="R133" s="46">
        <v>32070</v>
      </c>
      <c r="S133" s="46">
        <v>32210</v>
      </c>
      <c r="T133" s="46">
        <v>33080</v>
      </c>
      <c r="U133" s="46">
        <v>35110</v>
      </c>
      <c r="V133" s="46">
        <v>36350</v>
      </c>
      <c r="W133" s="46">
        <v>36990</v>
      </c>
      <c r="X133" s="46">
        <v>37380</v>
      </c>
      <c r="Y133" s="46">
        <v>37080</v>
      </c>
      <c r="Z133" s="46">
        <v>36820</v>
      </c>
      <c r="AA133" s="46">
        <v>36560</v>
      </c>
      <c r="AB133" s="46">
        <v>36130</v>
      </c>
      <c r="AC133" s="46">
        <v>36000</v>
      </c>
      <c r="AD133" s="46">
        <v>35790</v>
      </c>
      <c r="AE133" s="46">
        <v>35500</v>
      </c>
      <c r="AF133" s="46">
        <v>34880</v>
      </c>
      <c r="AG133" s="46">
        <v>34850</v>
      </c>
      <c r="AH133" s="46">
        <v>34090</v>
      </c>
      <c r="AI133" s="46">
        <v>34960</v>
      </c>
    </row>
    <row r="134" spans="1:35" x14ac:dyDescent="0.25">
      <c r="A134" s="11">
        <f>$A$34</f>
        <v>19</v>
      </c>
      <c r="B134" s="29">
        <v>30250</v>
      </c>
      <c r="C134" s="29">
        <v>30770</v>
      </c>
      <c r="D134" s="29">
        <v>31170</v>
      </c>
      <c r="E134" s="29">
        <v>31800</v>
      </c>
      <c r="F134" s="29">
        <v>33050</v>
      </c>
      <c r="G134" s="29">
        <v>32460</v>
      </c>
      <c r="H134" s="29">
        <v>32470</v>
      </c>
      <c r="I134" s="29">
        <v>32290</v>
      </c>
      <c r="J134" s="29">
        <v>33320</v>
      </c>
      <c r="K134" s="29">
        <v>34130</v>
      </c>
      <c r="L134" s="29">
        <v>33640</v>
      </c>
      <c r="M134" s="46">
        <v>33610</v>
      </c>
      <c r="N134" s="46">
        <v>32890</v>
      </c>
      <c r="O134" s="46">
        <v>33860</v>
      </c>
      <c r="P134" s="46">
        <v>34060</v>
      </c>
      <c r="Q134" s="46">
        <v>32170</v>
      </c>
      <c r="R134" s="46">
        <v>32240</v>
      </c>
      <c r="S134" s="46">
        <v>32260</v>
      </c>
      <c r="T134" s="46">
        <v>32540</v>
      </c>
      <c r="U134" s="46">
        <v>33540</v>
      </c>
      <c r="V134" s="46">
        <v>35710</v>
      </c>
      <c r="W134" s="46">
        <v>36950</v>
      </c>
      <c r="X134" s="46">
        <v>37580</v>
      </c>
      <c r="Y134" s="46">
        <v>37970</v>
      </c>
      <c r="Z134" s="46">
        <v>37670</v>
      </c>
      <c r="AA134" s="46">
        <v>37420</v>
      </c>
      <c r="AB134" s="46">
        <v>37160</v>
      </c>
      <c r="AC134" s="46">
        <v>36730</v>
      </c>
      <c r="AD134" s="46">
        <v>36600</v>
      </c>
      <c r="AE134" s="46">
        <v>36390</v>
      </c>
      <c r="AF134" s="46">
        <v>36090</v>
      </c>
      <c r="AG134" s="46">
        <v>35470</v>
      </c>
      <c r="AH134" s="46">
        <v>35450</v>
      </c>
      <c r="AI134" s="46">
        <v>34680</v>
      </c>
    </row>
    <row r="135" spans="1:35" x14ac:dyDescent="0.25">
      <c r="A135" s="11">
        <f>$A$35</f>
        <v>20</v>
      </c>
      <c r="B135" s="29">
        <v>29830</v>
      </c>
      <c r="C135" s="29">
        <v>29900</v>
      </c>
      <c r="D135" s="29">
        <v>30470</v>
      </c>
      <c r="E135" s="29">
        <v>31180</v>
      </c>
      <c r="F135" s="29">
        <v>32100</v>
      </c>
      <c r="G135" s="29">
        <v>33380</v>
      </c>
      <c r="H135" s="29">
        <v>32580</v>
      </c>
      <c r="I135" s="29">
        <v>32810</v>
      </c>
      <c r="J135" s="29">
        <v>33360</v>
      </c>
      <c r="K135" s="29">
        <v>34710</v>
      </c>
      <c r="L135" s="29">
        <v>35250</v>
      </c>
      <c r="M135" s="46">
        <v>34280</v>
      </c>
      <c r="N135" s="46">
        <v>34130</v>
      </c>
      <c r="O135" s="46">
        <v>33210</v>
      </c>
      <c r="P135" s="46">
        <v>34620</v>
      </c>
      <c r="Q135" s="46">
        <v>33650</v>
      </c>
      <c r="R135" s="46">
        <v>32110</v>
      </c>
      <c r="S135" s="46">
        <v>32280</v>
      </c>
      <c r="T135" s="46">
        <v>32460</v>
      </c>
      <c r="U135" s="46">
        <v>32890</v>
      </c>
      <c r="V135" s="46">
        <v>34050</v>
      </c>
      <c r="W135" s="46">
        <v>36210</v>
      </c>
      <c r="X135" s="46">
        <v>37450</v>
      </c>
      <c r="Y135" s="46">
        <v>38090</v>
      </c>
      <c r="Z135" s="46">
        <v>38480</v>
      </c>
      <c r="AA135" s="46">
        <v>38180</v>
      </c>
      <c r="AB135" s="46">
        <v>37920</v>
      </c>
      <c r="AC135" s="46">
        <v>37660</v>
      </c>
      <c r="AD135" s="46">
        <v>37240</v>
      </c>
      <c r="AE135" s="46">
        <v>37100</v>
      </c>
      <c r="AF135" s="46">
        <v>36900</v>
      </c>
      <c r="AG135" s="46">
        <v>36600</v>
      </c>
      <c r="AH135" s="46">
        <v>35980</v>
      </c>
      <c r="AI135" s="46">
        <v>35950</v>
      </c>
    </row>
    <row r="136" spans="1:35" x14ac:dyDescent="0.25">
      <c r="A136" s="11">
        <f>$A$36</f>
        <v>21</v>
      </c>
      <c r="B136" s="29">
        <v>29560</v>
      </c>
      <c r="C136" s="29">
        <v>29170</v>
      </c>
      <c r="D136" s="29">
        <v>29450</v>
      </c>
      <c r="E136" s="29">
        <v>30280</v>
      </c>
      <c r="F136" s="29">
        <v>31170</v>
      </c>
      <c r="G136" s="29">
        <v>32090</v>
      </c>
      <c r="H136" s="29">
        <v>33060</v>
      </c>
      <c r="I136" s="29">
        <v>32490</v>
      </c>
      <c r="J136" s="29">
        <v>33640</v>
      </c>
      <c r="K136" s="29">
        <v>34560</v>
      </c>
      <c r="L136" s="29">
        <v>35630</v>
      </c>
      <c r="M136" s="46">
        <v>35580</v>
      </c>
      <c r="N136" s="46">
        <v>34500</v>
      </c>
      <c r="O136" s="46">
        <v>34500</v>
      </c>
      <c r="P136" s="46">
        <v>33980</v>
      </c>
      <c r="Q136" s="46">
        <v>34240</v>
      </c>
      <c r="R136" s="46">
        <v>33570</v>
      </c>
      <c r="S136" s="46">
        <v>31910</v>
      </c>
      <c r="T136" s="46">
        <v>32230</v>
      </c>
      <c r="U136" s="46">
        <v>32560</v>
      </c>
      <c r="V136" s="46">
        <v>33140</v>
      </c>
      <c r="W136" s="46">
        <v>34300</v>
      </c>
      <c r="X136" s="46">
        <v>36470</v>
      </c>
      <c r="Y136" s="46">
        <v>37700</v>
      </c>
      <c r="Z136" s="46">
        <v>38340</v>
      </c>
      <c r="AA136" s="46">
        <v>38730</v>
      </c>
      <c r="AB136" s="46">
        <v>38430</v>
      </c>
      <c r="AC136" s="46">
        <v>38180</v>
      </c>
      <c r="AD136" s="46">
        <v>37920</v>
      </c>
      <c r="AE136" s="46">
        <v>37490</v>
      </c>
      <c r="AF136" s="46">
        <v>37360</v>
      </c>
      <c r="AG136" s="46">
        <v>37150</v>
      </c>
      <c r="AH136" s="46">
        <v>36860</v>
      </c>
      <c r="AI136" s="46">
        <v>36240</v>
      </c>
    </row>
    <row r="137" spans="1:35" x14ac:dyDescent="0.25">
      <c r="A137" s="11">
        <f>$A$37</f>
        <v>22</v>
      </c>
      <c r="B137" s="29">
        <v>29400</v>
      </c>
      <c r="C137" s="29">
        <v>28750</v>
      </c>
      <c r="D137" s="29">
        <v>28560</v>
      </c>
      <c r="E137" s="29">
        <v>29170</v>
      </c>
      <c r="F137" s="29">
        <v>30130</v>
      </c>
      <c r="G137" s="29">
        <v>30860</v>
      </c>
      <c r="H137" s="29">
        <v>31510</v>
      </c>
      <c r="I137" s="29">
        <v>32760</v>
      </c>
      <c r="J137" s="29">
        <v>33500</v>
      </c>
      <c r="K137" s="29">
        <v>35130</v>
      </c>
      <c r="L137" s="29">
        <v>35470</v>
      </c>
      <c r="M137" s="46">
        <v>35840</v>
      </c>
      <c r="N137" s="46">
        <v>35600</v>
      </c>
      <c r="O137" s="46">
        <v>34610</v>
      </c>
      <c r="P137" s="46">
        <v>35110</v>
      </c>
      <c r="Q137" s="46">
        <v>33560</v>
      </c>
      <c r="R137" s="46">
        <v>34110</v>
      </c>
      <c r="S137" s="46">
        <v>33240</v>
      </c>
      <c r="T137" s="46">
        <v>31740</v>
      </c>
      <c r="U137" s="46">
        <v>32220</v>
      </c>
      <c r="V137" s="46">
        <v>32710</v>
      </c>
      <c r="W137" s="46">
        <v>33300</v>
      </c>
      <c r="X137" s="46">
        <v>34450</v>
      </c>
      <c r="Y137" s="46">
        <v>36620</v>
      </c>
      <c r="Z137" s="46">
        <v>37860</v>
      </c>
      <c r="AA137" s="46">
        <v>38490</v>
      </c>
      <c r="AB137" s="46">
        <v>38880</v>
      </c>
      <c r="AC137" s="46">
        <v>38580</v>
      </c>
      <c r="AD137" s="46">
        <v>38330</v>
      </c>
      <c r="AE137" s="46">
        <v>38070</v>
      </c>
      <c r="AF137" s="46">
        <v>37650</v>
      </c>
      <c r="AG137" s="46">
        <v>37510</v>
      </c>
      <c r="AH137" s="46">
        <v>37310</v>
      </c>
      <c r="AI137" s="46">
        <v>37010</v>
      </c>
    </row>
    <row r="138" spans="1:35" x14ac:dyDescent="0.25">
      <c r="A138" s="11">
        <f>$A$38</f>
        <v>23</v>
      </c>
      <c r="B138" s="29">
        <v>29090</v>
      </c>
      <c r="C138" s="29">
        <v>28510</v>
      </c>
      <c r="D138" s="29">
        <v>28050</v>
      </c>
      <c r="E138" s="29">
        <v>28280</v>
      </c>
      <c r="F138" s="29">
        <v>28950</v>
      </c>
      <c r="G138" s="29">
        <v>29690</v>
      </c>
      <c r="H138" s="29">
        <v>30250</v>
      </c>
      <c r="I138" s="29">
        <v>31220</v>
      </c>
      <c r="J138" s="29">
        <v>33600</v>
      </c>
      <c r="K138" s="29">
        <v>35270</v>
      </c>
      <c r="L138" s="29">
        <v>36570</v>
      </c>
      <c r="M138" s="46">
        <v>36110</v>
      </c>
      <c r="N138" s="46">
        <v>36120</v>
      </c>
      <c r="O138" s="46">
        <v>35870</v>
      </c>
      <c r="P138" s="46">
        <v>35510</v>
      </c>
      <c r="Q138" s="46">
        <v>34610</v>
      </c>
      <c r="R138" s="46">
        <v>33320</v>
      </c>
      <c r="S138" s="46">
        <v>33720</v>
      </c>
      <c r="T138" s="46">
        <v>33020</v>
      </c>
      <c r="U138" s="46">
        <v>31690</v>
      </c>
      <c r="V138" s="46">
        <v>32340</v>
      </c>
      <c r="W138" s="46">
        <v>32840</v>
      </c>
      <c r="X138" s="46">
        <v>33420</v>
      </c>
      <c r="Y138" s="46">
        <v>34580</v>
      </c>
      <c r="Z138" s="46">
        <v>36740</v>
      </c>
      <c r="AA138" s="46">
        <v>37980</v>
      </c>
      <c r="AB138" s="46">
        <v>38620</v>
      </c>
      <c r="AC138" s="46">
        <v>39000</v>
      </c>
      <c r="AD138" s="46">
        <v>38710</v>
      </c>
      <c r="AE138" s="46">
        <v>38460</v>
      </c>
      <c r="AF138" s="46">
        <v>38190</v>
      </c>
      <c r="AG138" s="46">
        <v>37770</v>
      </c>
      <c r="AH138" s="46">
        <v>37640</v>
      </c>
      <c r="AI138" s="46">
        <v>37430</v>
      </c>
    </row>
    <row r="139" spans="1:35" x14ac:dyDescent="0.25">
      <c r="A139" s="11">
        <f>$A$39</f>
        <v>24</v>
      </c>
      <c r="B139" s="29">
        <v>27970</v>
      </c>
      <c r="C139" s="29">
        <v>28320</v>
      </c>
      <c r="D139" s="29">
        <v>27860</v>
      </c>
      <c r="E139" s="29">
        <v>27710</v>
      </c>
      <c r="F139" s="29">
        <v>28100</v>
      </c>
      <c r="G139" s="29">
        <v>28460</v>
      </c>
      <c r="H139" s="29">
        <v>28950</v>
      </c>
      <c r="I139" s="29">
        <v>29910</v>
      </c>
      <c r="J139" s="29">
        <v>32200</v>
      </c>
      <c r="K139" s="29">
        <v>35200</v>
      </c>
      <c r="L139" s="29">
        <v>36820</v>
      </c>
      <c r="M139" s="46">
        <v>37470</v>
      </c>
      <c r="N139" s="46">
        <v>36450</v>
      </c>
      <c r="O139" s="46">
        <v>36390</v>
      </c>
      <c r="P139" s="46">
        <v>37010</v>
      </c>
      <c r="Q139" s="46">
        <v>34930</v>
      </c>
      <c r="R139" s="46">
        <v>34380</v>
      </c>
      <c r="S139" s="46">
        <v>32930</v>
      </c>
      <c r="T139" s="46">
        <v>33490</v>
      </c>
      <c r="U139" s="46">
        <v>32960</v>
      </c>
      <c r="V139" s="46">
        <v>31810</v>
      </c>
      <c r="W139" s="46">
        <v>32460</v>
      </c>
      <c r="X139" s="46">
        <v>32950</v>
      </c>
      <c r="Y139" s="46">
        <v>33540</v>
      </c>
      <c r="Z139" s="46">
        <v>34700</v>
      </c>
      <c r="AA139" s="46">
        <v>36860</v>
      </c>
      <c r="AB139" s="46">
        <v>38100</v>
      </c>
      <c r="AC139" s="46">
        <v>38730</v>
      </c>
      <c r="AD139" s="46">
        <v>39120</v>
      </c>
      <c r="AE139" s="46">
        <v>38820</v>
      </c>
      <c r="AF139" s="46">
        <v>38570</v>
      </c>
      <c r="AG139" s="46">
        <v>38310</v>
      </c>
      <c r="AH139" s="46">
        <v>37890</v>
      </c>
      <c r="AI139" s="46">
        <v>37760</v>
      </c>
    </row>
    <row r="140" spans="1:35" x14ac:dyDescent="0.25">
      <c r="A140" s="11">
        <f>$A$40</f>
        <v>25</v>
      </c>
      <c r="B140" s="29">
        <v>26850</v>
      </c>
      <c r="C140" s="29">
        <v>27330</v>
      </c>
      <c r="D140" s="29">
        <v>27690</v>
      </c>
      <c r="E140" s="29">
        <v>27550</v>
      </c>
      <c r="F140" s="29">
        <v>27400</v>
      </c>
      <c r="G140" s="29">
        <v>27490</v>
      </c>
      <c r="H140" s="29">
        <v>27780</v>
      </c>
      <c r="I140" s="29">
        <v>28550</v>
      </c>
      <c r="J140" s="29">
        <v>30780</v>
      </c>
      <c r="K140" s="29">
        <v>33840</v>
      </c>
      <c r="L140" s="29">
        <v>36740</v>
      </c>
      <c r="M140" s="46">
        <v>37940</v>
      </c>
      <c r="N140" s="46">
        <v>37990</v>
      </c>
      <c r="O140" s="46">
        <v>36660</v>
      </c>
      <c r="P140" s="46">
        <v>37530</v>
      </c>
      <c r="Q140" s="46">
        <v>36430</v>
      </c>
      <c r="R140" s="46">
        <v>34600</v>
      </c>
      <c r="S140" s="46">
        <v>34010</v>
      </c>
      <c r="T140" s="46">
        <v>32720</v>
      </c>
      <c r="U140" s="46">
        <v>33440</v>
      </c>
      <c r="V140" s="46">
        <v>33070</v>
      </c>
      <c r="W140" s="46">
        <v>31910</v>
      </c>
      <c r="X140" s="46">
        <v>32570</v>
      </c>
      <c r="Y140" s="46">
        <v>33060</v>
      </c>
      <c r="Z140" s="46">
        <v>33650</v>
      </c>
      <c r="AA140" s="46">
        <v>34800</v>
      </c>
      <c r="AB140" s="46">
        <v>36960</v>
      </c>
      <c r="AC140" s="46">
        <v>38200</v>
      </c>
      <c r="AD140" s="46">
        <v>38840</v>
      </c>
      <c r="AE140" s="46">
        <v>39230</v>
      </c>
      <c r="AF140" s="46">
        <v>38930</v>
      </c>
      <c r="AG140" s="46">
        <v>38680</v>
      </c>
      <c r="AH140" s="46">
        <v>38420</v>
      </c>
      <c r="AI140" s="46">
        <v>38000</v>
      </c>
    </row>
    <row r="141" spans="1:35" x14ac:dyDescent="0.25">
      <c r="A141" s="11">
        <f>$A$41</f>
        <v>26</v>
      </c>
      <c r="B141" s="29">
        <v>25810</v>
      </c>
      <c r="C141" s="29">
        <v>26520</v>
      </c>
      <c r="D141" s="29">
        <v>26680</v>
      </c>
      <c r="E141" s="29">
        <v>27300</v>
      </c>
      <c r="F141" s="29">
        <v>27360</v>
      </c>
      <c r="G141" s="29">
        <v>26870</v>
      </c>
      <c r="H141" s="29">
        <v>26900</v>
      </c>
      <c r="I141" s="29">
        <v>27500</v>
      </c>
      <c r="J141" s="29">
        <v>29490</v>
      </c>
      <c r="K141" s="29">
        <v>32170</v>
      </c>
      <c r="L141" s="29">
        <v>35490</v>
      </c>
      <c r="M141" s="46">
        <v>37790</v>
      </c>
      <c r="N141" s="46">
        <v>38730</v>
      </c>
      <c r="O141" s="46">
        <v>38360</v>
      </c>
      <c r="P141" s="46">
        <v>37880</v>
      </c>
      <c r="Q141" s="46">
        <v>36860</v>
      </c>
      <c r="R141" s="46">
        <v>35940</v>
      </c>
      <c r="S141" s="46">
        <v>34280</v>
      </c>
      <c r="T141" s="46">
        <v>33840</v>
      </c>
      <c r="U141" s="46">
        <v>32690</v>
      </c>
      <c r="V141" s="46">
        <v>33570</v>
      </c>
      <c r="W141" s="46">
        <v>33200</v>
      </c>
      <c r="X141" s="46">
        <v>32040</v>
      </c>
      <c r="Y141" s="46">
        <v>32700</v>
      </c>
      <c r="Z141" s="46">
        <v>33190</v>
      </c>
      <c r="AA141" s="46">
        <v>33770</v>
      </c>
      <c r="AB141" s="46">
        <v>34930</v>
      </c>
      <c r="AC141" s="46">
        <v>37090</v>
      </c>
      <c r="AD141" s="46">
        <v>38330</v>
      </c>
      <c r="AE141" s="46">
        <v>38960</v>
      </c>
      <c r="AF141" s="46">
        <v>39350</v>
      </c>
      <c r="AG141" s="46">
        <v>39050</v>
      </c>
      <c r="AH141" s="46">
        <v>38810</v>
      </c>
      <c r="AI141" s="46">
        <v>38550</v>
      </c>
    </row>
    <row r="142" spans="1:35" x14ac:dyDescent="0.25">
      <c r="A142" s="11">
        <f>$A$42</f>
        <v>27</v>
      </c>
      <c r="B142" s="29">
        <v>24950</v>
      </c>
      <c r="C142" s="29">
        <v>25500</v>
      </c>
      <c r="D142" s="29">
        <v>26180</v>
      </c>
      <c r="E142" s="29">
        <v>26500</v>
      </c>
      <c r="F142" s="29">
        <v>27160</v>
      </c>
      <c r="G142" s="29">
        <v>26830</v>
      </c>
      <c r="H142" s="29">
        <v>26330</v>
      </c>
      <c r="I142" s="29">
        <v>26710</v>
      </c>
      <c r="J142" s="29">
        <v>28440</v>
      </c>
      <c r="K142" s="29">
        <v>31000</v>
      </c>
      <c r="L142" s="29">
        <v>33600</v>
      </c>
      <c r="M142" s="46">
        <v>36760</v>
      </c>
      <c r="N142" s="46">
        <v>38680</v>
      </c>
      <c r="O142" s="46">
        <v>39200</v>
      </c>
      <c r="P142" s="46">
        <v>39570</v>
      </c>
      <c r="Q142" s="46">
        <v>37280</v>
      </c>
      <c r="R142" s="46">
        <v>36380</v>
      </c>
      <c r="S142" s="46">
        <v>35710</v>
      </c>
      <c r="T142" s="46">
        <v>34190</v>
      </c>
      <c r="U142" s="46">
        <v>33880</v>
      </c>
      <c r="V142" s="46">
        <v>32880</v>
      </c>
      <c r="W142" s="46">
        <v>33750</v>
      </c>
      <c r="X142" s="46">
        <v>33390</v>
      </c>
      <c r="Y142" s="46">
        <v>32230</v>
      </c>
      <c r="Z142" s="46">
        <v>32890</v>
      </c>
      <c r="AA142" s="46">
        <v>33380</v>
      </c>
      <c r="AB142" s="46">
        <v>33960</v>
      </c>
      <c r="AC142" s="46">
        <v>35120</v>
      </c>
      <c r="AD142" s="46">
        <v>37280</v>
      </c>
      <c r="AE142" s="46">
        <v>38510</v>
      </c>
      <c r="AF142" s="46">
        <v>39150</v>
      </c>
      <c r="AG142" s="46">
        <v>39540</v>
      </c>
      <c r="AH142" s="46">
        <v>39240</v>
      </c>
      <c r="AI142" s="46">
        <v>38990</v>
      </c>
    </row>
    <row r="143" spans="1:35" x14ac:dyDescent="0.25">
      <c r="A143" s="11">
        <f>$A$43</f>
        <v>28</v>
      </c>
      <c r="B143" s="29">
        <v>24310</v>
      </c>
      <c r="C143" s="29">
        <v>25050</v>
      </c>
      <c r="D143" s="29">
        <v>25420</v>
      </c>
      <c r="E143" s="29">
        <v>26210</v>
      </c>
      <c r="F143" s="29">
        <v>26400</v>
      </c>
      <c r="G143" s="29">
        <v>26740</v>
      </c>
      <c r="H143" s="29">
        <v>26420</v>
      </c>
      <c r="I143" s="29">
        <v>26240</v>
      </c>
      <c r="J143" s="29">
        <v>27720</v>
      </c>
      <c r="K143" s="29">
        <v>29900</v>
      </c>
      <c r="L143" s="29">
        <v>32600</v>
      </c>
      <c r="M143" s="46">
        <v>34940</v>
      </c>
      <c r="N143" s="46">
        <v>37910</v>
      </c>
      <c r="O143" s="46">
        <v>39220</v>
      </c>
      <c r="P143" s="46">
        <v>40410</v>
      </c>
      <c r="Q143" s="46">
        <v>38960</v>
      </c>
      <c r="R143" s="46">
        <v>36840</v>
      </c>
      <c r="S143" s="46">
        <v>36250</v>
      </c>
      <c r="T143" s="46">
        <v>35710</v>
      </c>
      <c r="U143" s="46">
        <v>34320</v>
      </c>
      <c r="V143" s="46">
        <v>34160</v>
      </c>
      <c r="W143" s="46">
        <v>33150</v>
      </c>
      <c r="X143" s="46">
        <v>34030</v>
      </c>
      <c r="Y143" s="46">
        <v>33660</v>
      </c>
      <c r="Z143" s="46">
        <v>32510</v>
      </c>
      <c r="AA143" s="46">
        <v>33160</v>
      </c>
      <c r="AB143" s="46">
        <v>33650</v>
      </c>
      <c r="AC143" s="46">
        <v>34240</v>
      </c>
      <c r="AD143" s="46">
        <v>35390</v>
      </c>
      <c r="AE143" s="46">
        <v>37550</v>
      </c>
      <c r="AF143" s="46">
        <v>38790</v>
      </c>
      <c r="AG143" s="46">
        <v>39420</v>
      </c>
      <c r="AH143" s="46">
        <v>39810</v>
      </c>
      <c r="AI143" s="46">
        <v>39520</v>
      </c>
    </row>
    <row r="144" spans="1:35" x14ac:dyDescent="0.25">
      <c r="A144" s="11">
        <f>$A$44</f>
        <v>29</v>
      </c>
      <c r="B144" s="29">
        <v>24860</v>
      </c>
      <c r="C144" s="29">
        <v>24580</v>
      </c>
      <c r="D144" s="29">
        <v>25170</v>
      </c>
      <c r="E144" s="29">
        <v>25650</v>
      </c>
      <c r="F144" s="29">
        <v>26170</v>
      </c>
      <c r="G144" s="29">
        <v>26150</v>
      </c>
      <c r="H144" s="29">
        <v>26520</v>
      </c>
      <c r="I144" s="29">
        <v>26330</v>
      </c>
      <c r="J144" s="29">
        <v>27110</v>
      </c>
      <c r="K144" s="29">
        <v>29070</v>
      </c>
      <c r="L144" s="29">
        <v>31620</v>
      </c>
      <c r="M144" s="46">
        <v>34150</v>
      </c>
      <c r="N144" s="46">
        <v>36030</v>
      </c>
      <c r="O144" s="46">
        <v>38650</v>
      </c>
      <c r="P144" s="46">
        <v>40540</v>
      </c>
      <c r="Q144" s="46">
        <v>39920</v>
      </c>
      <c r="R144" s="46">
        <v>38360</v>
      </c>
      <c r="S144" s="46">
        <v>36790</v>
      </c>
      <c r="T144" s="46">
        <v>36330</v>
      </c>
      <c r="U144" s="46">
        <v>35930</v>
      </c>
      <c r="V144" s="46">
        <v>34670</v>
      </c>
      <c r="W144" s="46">
        <v>34500</v>
      </c>
      <c r="X144" s="46">
        <v>33500</v>
      </c>
      <c r="Y144" s="46">
        <v>34370</v>
      </c>
      <c r="Z144" s="46">
        <v>34000</v>
      </c>
      <c r="AA144" s="46">
        <v>32850</v>
      </c>
      <c r="AB144" s="46">
        <v>33510</v>
      </c>
      <c r="AC144" s="46">
        <v>34000</v>
      </c>
      <c r="AD144" s="46">
        <v>34580</v>
      </c>
      <c r="AE144" s="46">
        <v>35740</v>
      </c>
      <c r="AF144" s="46">
        <v>37900</v>
      </c>
      <c r="AG144" s="46">
        <v>39130</v>
      </c>
      <c r="AH144" s="46">
        <v>39770</v>
      </c>
      <c r="AI144" s="46">
        <v>40160</v>
      </c>
    </row>
    <row r="145" spans="1:35" x14ac:dyDescent="0.25">
      <c r="A145" s="11">
        <f>$A$45</f>
        <v>30</v>
      </c>
      <c r="B145" s="29">
        <v>25180</v>
      </c>
      <c r="C145" s="29">
        <v>25160</v>
      </c>
      <c r="D145" s="29">
        <v>24780</v>
      </c>
      <c r="E145" s="29">
        <v>25430</v>
      </c>
      <c r="F145" s="29">
        <v>25770</v>
      </c>
      <c r="G145" s="29">
        <v>26150</v>
      </c>
      <c r="H145" s="29">
        <v>26000</v>
      </c>
      <c r="I145" s="29">
        <v>26530</v>
      </c>
      <c r="J145" s="29">
        <v>27330</v>
      </c>
      <c r="K145" s="29">
        <v>28470</v>
      </c>
      <c r="L145" s="29">
        <v>30500</v>
      </c>
      <c r="M145" s="46">
        <v>33140</v>
      </c>
      <c r="N145" s="46">
        <v>35420</v>
      </c>
      <c r="O145" s="46">
        <v>36820</v>
      </c>
      <c r="P145" s="46">
        <v>39930</v>
      </c>
      <c r="Q145" s="46">
        <v>40110</v>
      </c>
      <c r="R145" s="46">
        <v>39460</v>
      </c>
      <c r="S145" s="46">
        <v>38410</v>
      </c>
      <c r="T145" s="46">
        <v>36960</v>
      </c>
      <c r="U145" s="46">
        <v>36620</v>
      </c>
      <c r="V145" s="46">
        <v>36330</v>
      </c>
      <c r="W145" s="46">
        <v>35070</v>
      </c>
      <c r="X145" s="46">
        <v>34900</v>
      </c>
      <c r="Y145" s="46">
        <v>33900</v>
      </c>
      <c r="Z145" s="46">
        <v>34780</v>
      </c>
      <c r="AA145" s="46">
        <v>34410</v>
      </c>
      <c r="AB145" s="46">
        <v>33260</v>
      </c>
      <c r="AC145" s="46">
        <v>33910</v>
      </c>
      <c r="AD145" s="46">
        <v>34410</v>
      </c>
      <c r="AE145" s="46">
        <v>34990</v>
      </c>
      <c r="AF145" s="46">
        <v>36140</v>
      </c>
      <c r="AG145" s="46">
        <v>38300</v>
      </c>
      <c r="AH145" s="46">
        <v>39540</v>
      </c>
      <c r="AI145" s="46">
        <v>40170</v>
      </c>
    </row>
    <row r="146" spans="1:35" x14ac:dyDescent="0.25">
      <c r="A146" s="11">
        <f>$A$46</f>
        <v>31</v>
      </c>
      <c r="B146" s="29">
        <v>26120</v>
      </c>
      <c r="C146" s="29">
        <v>25420</v>
      </c>
      <c r="D146" s="29">
        <v>25480</v>
      </c>
      <c r="E146" s="29">
        <v>25060</v>
      </c>
      <c r="F146" s="29">
        <v>25520</v>
      </c>
      <c r="G146" s="29">
        <v>25770</v>
      </c>
      <c r="H146" s="29">
        <v>26110</v>
      </c>
      <c r="I146" s="29">
        <v>26060</v>
      </c>
      <c r="J146" s="29">
        <v>27460</v>
      </c>
      <c r="K146" s="29">
        <v>28560</v>
      </c>
      <c r="L146" s="29">
        <v>29760</v>
      </c>
      <c r="M146" s="46">
        <v>31930</v>
      </c>
      <c r="N146" s="46">
        <v>34380</v>
      </c>
      <c r="O146" s="46">
        <v>36210</v>
      </c>
      <c r="P146" s="46">
        <v>38180</v>
      </c>
      <c r="Q146" s="46">
        <v>39510</v>
      </c>
      <c r="R146" s="46">
        <v>39740</v>
      </c>
      <c r="S146" s="46">
        <v>39520</v>
      </c>
      <c r="T146" s="46">
        <v>38580</v>
      </c>
      <c r="U146" s="46">
        <v>37240</v>
      </c>
      <c r="V146" s="46">
        <v>37010</v>
      </c>
      <c r="W146" s="46">
        <v>36720</v>
      </c>
      <c r="X146" s="46">
        <v>35460</v>
      </c>
      <c r="Y146" s="46">
        <v>35300</v>
      </c>
      <c r="Z146" s="46">
        <v>34300</v>
      </c>
      <c r="AA146" s="46">
        <v>35170</v>
      </c>
      <c r="AB146" s="46">
        <v>34800</v>
      </c>
      <c r="AC146" s="46">
        <v>33650</v>
      </c>
      <c r="AD146" s="46">
        <v>34310</v>
      </c>
      <c r="AE146" s="46">
        <v>34800</v>
      </c>
      <c r="AF146" s="46">
        <v>35380</v>
      </c>
      <c r="AG146" s="46">
        <v>36540</v>
      </c>
      <c r="AH146" s="46">
        <v>38690</v>
      </c>
      <c r="AI146" s="46">
        <v>39930</v>
      </c>
    </row>
    <row r="147" spans="1:35" x14ac:dyDescent="0.25">
      <c r="A147" s="11">
        <f>$A$47</f>
        <v>32</v>
      </c>
      <c r="B147" s="29">
        <v>27080</v>
      </c>
      <c r="C147" s="29">
        <v>26350</v>
      </c>
      <c r="D147" s="29">
        <v>25550</v>
      </c>
      <c r="E147" s="29">
        <v>25630</v>
      </c>
      <c r="F147" s="29">
        <v>25140</v>
      </c>
      <c r="G147" s="29">
        <v>25470</v>
      </c>
      <c r="H147" s="29">
        <v>25610</v>
      </c>
      <c r="I147" s="29">
        <v>26030</v>
      </c>
      <c r="J147" s="29">
        <v>26910</v>
      </c>
      <c r="K147" s="29">
        <v>28440</v>
      </c>
      <c r="L147" s="29">
        <v>29910</v>
      </c>
      <c r="M147" s="46">
        <v>31030</v>
      </c>
      <c r="N147" s="46">
        <v>33060</v>
      </c>
      <c r="O147" s="46">
        <v>35140</v>
      </c>
      <c r="P147" s="46">
        <v>37410</v>
      </c>
      <c r="Q147" s="46">
        <v>37920</v>
      </c>
      <c r="R147" s="46">
        <v>39190</v>
      </c>
      <c r="S147" s="46">
        <v>39820</v>
      </c>
      <c r="T147" s="46">
        <v>39700</v>
      </c>
      <c r="U147" s="46">
        <v>38860</v>
      </c>
      <c r="V147" s="46">
        <v>37610</v>
      </c>
      <c r="W147" s="46">
        <v>37380</v>
      </c>
      <c r="X147" s="46">
        <v>37090</v>
      </c>
      <c r="Y147" s="46">
        <v>35830</v>
      </c>
      <c r="Z147" s="46">
        <v>35670</v>
      </c>
      <c r="AA147" s="46">
        <v>34670</v>
      </c>
      <c r="AB147" s="46">
        <v>35540</v>
      </c>
      <c r="AC147" s="46">
        <v>35180</v>
      </c>
      <c r="AD147" s="46">
        <v>34030</v>
      </c>
      <c r="AE147" s="46">
        <v>34690</v>
      </c>
      <c r="AF147" s="46">
        <v>35180</v>
      </c>
      <c r="AG147" s="46">
        <v>35760</v>
      </c>
      <c r="AH147" s="46">
        <v>36910</v>
      </c>
      <c r="AI147" s="46">
        <v>39070</v>
      </c>
    </row>
    <row r="148" spans="1:35" x14ac:dyDescent="0.25">
      <c r="A148" s="11">
        <f>$A$48</f>
        <v>33</v>
      </c>
      <c r="B148" s="29">
        <v>28270</v>
      </c>
      <c r="C148" s="29">
        <v>27360</v>
      </c>
      <c r="D148" s="29">
        <v>26460</v>
      </c>
      <c r="E148" s="29">
        <v>25700</v>
      </c>
      <c r="F148" s="29">
        <v>25670</v>
      </c>
      <c r="G148" s="29">
        <v>25030</v>
      </c>
      <c r="H148" s="29">
        <v>25340</v>
      </c>
      <c r="I148" s="29">
        <v>25570</v>
      </c>
      <c r="J148" s="29">
        <v>26780</v>
      </c>
      <c r="K148" s="29">
        <v>27870</v>
      </c>
      <c r="L148" s="29">
        <v>29590</v>
      </c>
      <c r="M148" s="46">
        <v>31100</v>
      </c>
      <c r="N148" s="46">
        <v>32140</v>
      </c>
      <c r="O148" s="46">
        <v>33820</v>
      </c>
      <c r="P148" s="46">
        <v>36240</v>
      </c>
      <c r="Q148" s="46">
        <v>37280</v>
      </c>
      <c r="R148" s="46">
        <v>37710</v>
      </c>
      <c r="S148" s="46">
        <v>39260</v>
      </c>
      <c r="T148" s="46">
        <v>39980</v>
      </c>
      <c r="U148" s="46">
        <v>39950</v>
      </c>
      <c r="V148" s="46">
        <v>39190</v>
      </c>
      <c r="W148" s="46">
        <v>37950</v>
      </c>
      <c r="X148" s="46">
        <v>37710</v>
      </c>
      <c r="Y148" s="46">
        <v>37430</v>
      </c>
      <c r="Z148" s="46">
        <v>36170</v>
      </c>
      <c r="AA148" s="46">
        <v>36010</v>
      </c>
      <c r="AB148" s="46">
        <v>35010</v>
      </c>
      <c r="AC148" s="46">
        <v>35880</v>
      </c>
      <c r="AD148" s="46">
        <v>35520</v>
      </c>
      <c r="AE148" s="46">
        <v>34370</v>
      </c>
      <c r="AF148" s="46">
        <v>35030</v>
      </c>
      <c r="AG148" s="46">
        <v>35520</v>
      </c>
      <c r="AH148" s="46">
        <v>36100</v>
      </c>
      <c r="AI148" s="46">
        <v>37250</v>
      </c>
    </row>
    <row r="149" spans="1:35" x14ac:dyDescent="0.25">
      <c r="A149" s="11">
        <f>$A$49</f>
        <v>34</v>
      </c>
      <c r="B149" s="29">
        <v>29670</v>
      </c>
      <c r="C149" s="29">
        <v>28570</v>
      </c>
      <c r="D149" s="29">
        <v>27580</v>
      </c>
      <c r="E149" s="29">
        <v>26650</v>
      </c>
      <c r="F149" s="29">
        <v>25770</v>
      </c>
      <c r="G149" s="29">
        <v>25700</v>
      </c>
      <c r="H149" s="29">
        <v>24980</v>
      </c>
      <c r="I149" s="29">
        <v>25320</v>
      </c>
      <c r="J149" s="29">
        <v>26290</v>
      </c>
      <c r="K149" s="29">
        <v>27700</v>
      </c>
      <c r="L149" s="29">
        <v>28960</v>
      </c>
      <c r="M149" s="46">
        <v>30720</v>
      </c>
      <c r="N149" s="46">
        <v>32190</v>
      </c>
      <c r="O149" s="46">
        <v>32880</v>
      </c>
      <c r="P149" s="46">
        <v>34700</v>
      </c>
      <c r="Q149" s="46">
        <v>36160</v>
      </c>
      <c r="R149" s="46">
        <v>37170</v>
      </c>
      <c r="S149" s="46">
        <v>37750</v>
      </c>
      <c r="T149" s="46">
        <v>39390</v>
      </c>
      <c r="U149" s="46">
        <v>40200</v>
      </c>
      <c r="V149" s="46">
        <v>40250</v>
      </c>
      <c r="W149" s="46">
        <v>39490</v>
      </c>
      <c r="X149" s="46">
        <v>38250</v>
      </c>
      <c r="Y149" s="46">
        <v>38020</v>
      </c>
      <c r="Z149" s="46">
        <v>37730</v>
      </c>
      <c r="AA149" s="46">
        <v>36480</v>
      </c>
      <c r="AB149" s="46">
        <v>36320</v>
      </c>
      <c r="AC149" s="46">
        <v>35320</v>
      </c>
      <c r="AD149" s="46">
        <v>36190</v>
      </c>
      <c r="AE149" s="46">
        <v>35830</v>
      </c>
      <c r="AF149" s="46">
        <v>34680</v>
      </c>
      <c r="AG149" s="46">
        <v>35340</v>
      </c>
      <c r="AH149" s="46">
        <v>35830</v>
      </c>
      <c r="AI149" s="46">
        <v>36410</v>
      </c>
    </row>
    <row r="150" spans="1:35" x14ac:dyDescent="0.25">
      <c r="A150" s="11">
        <f>$A$50</f>
        <v>35</v>
      </c>
      <c r="B150" s="29">
        <v>30140</v>
      </c>
      <c r="C150" s="29">
        <v>29910</v>
      </c>
      <c r="D150" s="29">
        <v>28640</v>
      </c>
      <c r="E150" s="29">
        <v>27750</v>
      </c>
      <c r="F150" s="29">
        <v>26780</v>
      </c>
      <c r="G150" s="29">
        <v>25730</v>
      </c>
      <c r="H150" s="29">
        <v>25670</v>
      </c>
      <c r="I150" s="29">
        <v>24970</v>
      </c>
      <c r="J150" s="29">
        <v>25980</v>
      </c>
      <c r="K150" s="29">
        <v>27190</v>
      </c>
      <c r="L150" s="29">
        <v>28680</v>
      </c>
      <c r="M150" s="46">
        <v>30040</v>
      </c>
      <c r="N150" s="46">
        <v>31710</v>
      </c>
      <c r="O150" s="46">
        <v>32910</v>
      </c>
      <c r="P150" s="46">
        <v>33960</v>
      </c>
      <c r="Q150" s="46">
        <v>34730</v>
      </c>
      <c r="R150" s="46">
        <v>36130</v>
      </c>
      <c r="S150" s="46">
        <v>37200</v>
      </c>
      <c r="T150" s="46">
        <v>37870</v>
      </c>
      <c r="U150" s="46">
        <v>39590</v>
      </c>
      <c r="V150" s="46">
        <v>40480</v>
      </c>
      <c r="W150" s="46">
        <v>40540</v>
      </c>
      <c r="X150" s="46">
        <v>39780</v>
      </c>
      <c r="Y150" s="46">
        <v>38540</v>
      </c>
      <c r="Z150" s="46">
        <v>38310</v>
      </c>
      <c r="AA150" s="46">
        <v>38030</v>
      </c>
      <c r="AB150" s="46">
        <v>36770</v>
      </c>
      <c r="AC150" s="46">
        <v>36610</v>
      </c>
      <c r="AD150" s="46">
        <v>35610</v>
      </c>
      <c r="AE150" s="46">
        <v>36480</v>
      </c>
      <c r="AF150" s="46">
        <v>36120</v>
      </c>
      <c r="AG150" s="46">
        <v>34980</v>
      </c>
      <c r="AH150" s="46">
        <v>35630</v>
      </c>
      <c r="AI150" s="46">
        <v>36120</v>
      </c>
    </row>
    <row r="151" spans="1:35" x14ac:dyDescent="0.25">
      <c r="A151" s="11">
        <f>$A$51</f>
        <v>36</v>
      </c>
      <c r="B151" s="29">
        <v>29680</v>
      </c>
      <c r="C151" s="29">
        <v>30320</v>
      </c>
      <c r="D151" s="29">
        <v>30070</v>
      </c>
      <c r="E151" s="29">
        <v>28790</v>
      </c>
      <c r="F151" s="29">
        <v>27890</v>
      </c>
      <c r="G151" s="29">
        <v>26800</v>
      </c>
      <c r="H151" s="29">
        <v>25710</v>
      </c>
      <c r="I151" s="29">
        <v>25740</v>
      </c>
      <c r="J151" s="29">
        <v>25570</v>
      </c>
      <c r="K151" s="29">
        <v>26830</v>
      </c>
      <c r="L151" s="29">
        <v>28100</v>
      </c>
      <c r="M151" s="46">
        <v>29670</v>
      </c>
      <c r="N151" s="46">
        <v>31090</v>
      </c>
      <c r="O151" s="46">
        <v>32530</v>
      </c>
      <c r="P151" s="46">
        <v>33820</v>
      </c>
      <c r="Q151" s="46">
        <v>33890</v>
      </c>
      <c r="R151" s="46">
        <v>34690</v>
      </c>
      <c r="S151" s="46">
        <v>36160</v>
      </c>
      <c r="T151" s="46">
        <v>37300</v>
      </c>
      <c r="U151" s="46">
        <v>38060</v>
      </c>
      <c r="V151" s="46">
        <v>39860</v>
      </c>
      <c r="W151" s="46">
        <v>40750</v>
      </c>
      <c r="X151" s="46">
        <v>40810</v>
      </c>
      <c r="Y151" s="46">
        <v>40050</v>
      </c>
      <c r="Z151" s="46">
        <v>38810</v>
      </c>
      <c r="AA151" s="46">
        <v>38580</v>
      </c>
      <c r="AB151" s="46">
        <v>38300</v>
      </c>
      <c r="AC151" s="46">
        <v>37050</v>
      </c>
      <c r="AD151" s="46">
        <v>36880</v>
      </c>
      <c r="AE151" s="46">
        <v>35890</v>
      </c>
      <c r="AF151" s="46">
        <v>36760</v>
      </c>
      <c r="AG151" s="46">
        <v>36400</v>
      </c>
      <c r="AH151" s="46">
        <v>35250</v>
      </c>
      <c r="AI151" s="46">
        <v>35910</v>
      </c>
    </row>
    <row r="152" spans="1:35" x14ac:dyDescent="0.25">
      <c r="A152" s="11">
        <f>$A$52</f>
        <v>37</v>
      </c>
      <c r="B152" s="29">
        <v>30040</v>
      </c>
      <c r="C152" s="29">
        <v>29860</v>
      </c>
      <c r="D152" s="29">
        <v>30480</v>
      </c>
      <c r="E152" s="29">
        <v>30200</v>
      </c>
      <c r="F152" s="29">
        <v>28920</v>
      </c>
      <c r="G152" s="29">
        <v>27960</v>
      </c>
      <c r="H152" s="29">
        <v>26770</v>
      </c>
      <c r="I152" s="29">
        <v>25830</v>
      </c>
      <c r="J152" s="29">
        <v>26230</v>
      </c>
      <c r="K152" s="29">
        <v>26280</v>
      </c>
      <c r="L152" s="29">
        <v>27720</v>
      </c>
      <c r="M152" s="46">
        <v>29140</v>
      </c>
      <c r="N152" s="46">
        <v>30600</v>
      </c>
      <c r="O152" s="46">
        <v>31940</v>
      </c>
      <c r="P152" s="46">
        <v>33470</v>
      </c>
      <c r="Q152" s="46">
        <v>33790</v>
      </c>
      <c r="R152" s="46">
        <v>33810</v>
      </c>
      <c r="S152" s="46">
        <v>34690</v>
      </c>
      <c r="T152" s="46">
        <v>36240</v>
      </c>
      <c r="U152" s="46">
        <v>37470</v>
      </c>
      <c r="V152" s="46">
        <v>38300</v>
      </c>
      <c r="W152" s="46">
        <v>40100</v>
      </c>
      <c r="X152" s="46">
        <v>41000</v>
      </c>
      <c r="Y152" s="46">
        <v>41050</v>
      </c>
      <c r="Z152" s="46">
        <v>40300</v>
      </c>
      <c r="AA152" s="46">
        <v>39060</v>
      </c>
      <c r="AB152" s="46">
        <v>38830</v>
      </c>
      <c r="AC152" s="46">
        <v>38550</v>
      </c>
      <c r="AD152" s="46">
        <v>37300</v>
      </c>
      <c r="AE152" s="46">
        <v>37140</v>
      </c>
      <c r="AF152" s="46">
        <v>36140</v>
      </c>
      <c r="AG152" s="46">
        <v>37010</v>
      </c>
      <c r="AH152" s="46">
        <v>36650</v>
      </c>
      <c r="AI152" s="46">
        <v>35510</v>
      </c>
    </row>
    <row r="153" spans="1:35" x14ac:dyDescent="0.25">
      <c r="A153" s="11">
        <f>$A$53</f>
        <v>38</v>
      </c>
      <c r="B153" s="29">
        <v>29710</v>
      </c>
      <c r="C153" s="29">
        <v>30220</v>
      </c>
      <c r="D153" s="29">
        <v>29910</v>
      </c>
      <c r="E153" s="29">
        <v>30610</v>
      </c>
      <c r="F153" s="29">
        <v>30300</v>
      </c>
      <c r="G153" s="29">
        <v>28910</v>
      </c>
      <c r="H153" s="29">
        <v>27940</v>
      </c>
      <c r="I153" s="29">
        <v>26840</v>
      </c>
      <c r="J153" s="29">
        <v>26360</v>
      </c>
      <c r="K153" s="29">
        <v>26880</v>
      </c>
      <c r="L153" s="29">
        <v>27080</v>
      </c>
      <c r="M153" s="46">
        <v>28640</v>
      </c>
      <c r="N153" s="46">
        <v>30040</v>
      </c>
      <c r="O153" s="46">
        <v>31240</v>
      </c>
      <c r="P153" s="46">
        <v>32720</v>
      </c>
      <c r="Q153" s="46">
        <v>33440</v>
      </c>
      <c r="R153" s="46">
        <v>33750</v>
      </c>
      <c r="S153" s="46">
        <v>33800</v>
      </c>
      <c r="T153" s="46">
        <v>34760</v>
      </c>
      <c r="U153" s="46">
        <v>36400</v>
      </c>
      <c r="V153" s="46">
        <v>37710</v>
      </c>
      <c r="W153" s="46">
        <v>38540</v>
      </c>
      <c r="X153" s="46">
        <v>40340</v>
      </c>
      <c r="Y153" s="46">
        <v>41240</v>
      </c>
      <c r="Z153" s="46">
        <v>41290</v>
      </c>
      <c r="AA153" s="46">
        <v>40540</v>
      </c>
      <c r="AB153" s="46">
        <v>39300</v>
      </c>
      <c r="AC153" s="46">
        <v>39070</v>
      </c>
      <c r="AD153" s="46">
        <v>38790</v>
      </c>
      <c r="AE153" s="46">
        <v>37540</v>
      </c>
      <c r="AF153" s="46">
        <v>37380</v>
      </c>
      <c r="AG153" s="46">
        <v>36390</v>
      </c>
      <c r="AH153" s="46">
        <v>37260</v>
      </c>
      <c r="AI153" s="46">
        <v>36900</v>
      </c>
    </row>
    <row r="154" spans="1:35" x14ac:dyDescent="0.25">
      <c r="A154" s="11">
        <f>$A$54</f>
        <v>39</v>
      </c>
      <c r="B154" s="29">
        <v>29570</v>
      </c>
      <c r="C154" s="29">
        <v>29890</v>
      </c>
      <c r="D154" s="29">
        <v>30260</v>
      </c>
      <c r="E154" s="29">
        <v>30030</v>
      </c>
      <c r="F154" s="29">
        <v>30640</v>
      </c>
      <c r="G154" s="29">
        <v>30250</v>
      </c>
      <c r="H154" s="29">
        <v>28910</v>
      </c>
      <c r="I154" s="29">
        <v>28120</v>
      </c>
      <c r="J154" s="29">
        <v>27310</v>
      </c>
      <c r="K154" s="29">
        <v>27010</v>
      </c>
      <c r="L154" s="29">
        <v>27580</v>
      </c>
      <c r="M154" s="46">
        <v>27870</v>
      </c>
      <c r="N154" s="46">
        <v>29500</v>
      </c>
      <c r="O154" s="46">
        <v>30760</v>
      </c>
      <c r="P154" s="46">
        <v>32050</v>
      </c>
      <c r="Q154" s="46">
        <v>32700</v>
      </c>
      <c r="R154" s="46">
        <v>33260</v>
      </c>
      <c r="S154" s="46">
        <v>33720</v>
      </c>
      <c r="T154" s="46">
        <v>33850</v>
      </c>
      <c r="U154" s="46">
        <v>34900</v>
      </c>
      <c r="V154" s="46">
        <v>36610</v>
      </c>
      <c r="W154" s="46">
        <v>37920</v>
      </c>
      <c r="X154" s="46">
        <v>38750</v>
      </c>
      <c r="Y154" s="46">
        <v>40550</v>
      </c>
      <c r="Z154" s="46">
        <v>41440</v>
      </c>
      <c r="AA154" s="46">
        <v>41500</v>
      </c>
      <c r="AB154" s="46">
        <v>40750</v>
      </c>
      <c r="AC154" s="46">
        <v>39510</v>
      </c>
      <c r="AD154" s="46">
        <v>39280</v>
      </c>
      <c r="AE154" s="46">
        <v>39000</v>
      </c>
      <c r="AF154" s="46">
        <v>37750</v>
      </c>
      <c r="AG154" s="46">
        <v>37590</v>
      </c>
      <c r="AH154" s="46">
        <v>36600</v>
      </c>
      <c r="AI154" s="46">
        <v>37470</v>
      </c>
    </row>
    <row r="155" spans="1:35" x14ac:dyDescent="0.25">
      <c r="A155" s="11">
        <f>$A$55</f>
        <v>40</v>
      </c>
      <c r="B155" s="29">
        <v>29920</v>
      </c>
      <c r="C155" s="29">
        <v>29750</v>
      </c>
      <c r="D155" s="29">
        <v>29950</v>
      </c>
      <c r="E155" s="29">
        <v>30360</v>
      </c>
      <c r="F155" s="29">
        <v>30050</v>
      </c>
      <c r="G155" s="29">
        <v>30610</v>
      </c>
      <c r="H155" s="29">
        <v>30210</v>
      </c>
      <c r="I155" s="29">
        <v>29000</v>
      </c>
      <c r="J155" s="29">
        <v>28540</v>
      </c>
      <c r="K155" s="29">
        <v>27880</v>
      </c>
      <c r="L155" s="29">
        <v>27730</v>
      </c>
      <c r="M155" s="46">
        <v>28340</v>
      </c>
      <c r="N155" s="46">
        <v>28670</v>
      </c>
      <c r="O155" s="46">
        <v>30180</v>
      </c>
      <c r="P155" s="46">
        <v>31510</v>
      </c>
      <c r="Q155" s="46">
        <v>32130</v>
      </c>
      <c r="R155" s="46">
        <v>32610</v>
      </c>
      <c r="S155" s="46">
        <v>33210</v>
      </c>
      <c r="T155" s="46">
        <v>33740</v>
      </c>
      <c r="U155" s="46">
        <v>33950</v>
      </c>
      <c r="V155" s="46">
        <v>35070</v>
      </c>
      <c r="W155" s="46">
        <v>36780</v>
      </c>
      <c r="X155" s="46">
        <v>38090</v>
      </c>
      <c r="Y155" s="46">
        <v>38920</v>
      </c>
      <c r="Z155" s="46">
        <v>40720</v>
      </c>
      <c r="AA155" s="46">
        <v>41610</v>
      </c>
      <c r="AB155" s="46">
        <v>41670</v>
      </c>
      <c r="AC155" s="46">
        <v>40920</v>
      </c>
      <c r="AD155" s="46">
        <v>39690</v>
      </c>
      <c r="AE155" s="46">
        <v>39460</v>
      </c>
      <c r="AF155" s="46">
        <v>39180</v>
      </c>
      <c r="AG155" s="46">
        <v>37930</v>
      </c>
      <c r="AH155" s="46">
        <v>37770</v>
      </c>
      <c r="AI155" s="46">
        <v>36780</v>
      </c>
    </row>
    <row r="156" spans="1:35" x14ac:dyDescent="0.25">
      <c r="A156" s="11">
        <f>$A$56</f>
        <v>41</v>
      </c>
      <c r="B156" s="29">
        <v>30380</v>
      </c>
      <c r="C156" s="29">
        <v>30040</v>
      </c>
      <c r="D156" s="29">
        <v>29780</v>
      </c>
      <c r="E156" s="29">
        <v>30010</v>
      </c>
      <c r="F156" s="29">
        <v>30420</v>
      </c>
      <c r="G156" s="29">
        <v>30010</v>
      </c>
      <c r="H156" s="29">
        <v>30580</v>
      </c>
      <c r="I156" s="29">
        <v>30270</v>
      </c>
      <c r="J156" s="29">
        <v>29570</v>
      </c>
      <c r="K156" s="29">
        <v>29050</v>
      </c>
      <c r="L156" s="29">
        <v>28500</v>
      </c>
      <c r="M156" s="46">
        <v>28400</v>
      </c>
      <c r="N156" s="46">
        <v>29020</v>
      </c>
      <c r="O156" s="46">
        <v>29220</v>
      </c>
      <c r="P156" s="46">
        <v>30850</v>
      </c>
      <c r="Q156" s="46">
        <v>31550</v>
      </c>
      <c r="R156" s="46">
        <v>32080</v>
      </c>
      <c r="S156" s="46">
        <v>32560</v>
      </c>
      <c r="T156" s="46">
        <v>33230</v>
      </c>
      <c r="U156" s="46">
        <v>33840</v>
      </c>
      <c r="V156" s="46">
        <v>34120</v>
      </c>
      <c r="W156" s="46">
        <v>35240</v>
      </c>
      <c r="X156" s="46">
        <v>36950</v>
      </c>
      <c r="Y156" s="46">
        <v>38260</v>
      </c>
      <c r="Z156" s="46">
        <v>39090</v>
      </c>
      <c r="AA156" s="46">
        <v>40880</v>
      </c>
      <c r="AB156" s="46">
        <v>41780</v>
      </c>
      <c r="AC156" s="46">
        <v>41830</v>
      </c>
      <c r="AD156" s="46">
        <v>41090</v>
      </c>
      <c r="AE156" s="46">
        <v>39860</v>
      </c>
      <c r="AF156" s="46">
        <v>39630</v>
      </c>
      <c r="AG156" s="46">
        <v>39350</v>
      </c>
      <c r="AH156" s="46">
        <v>38100</v>
      </c>
      <c r="AI156" s="46">
        <v>37940</v>
      </c>
    </row>
    <row r="157" spans="1:35" x14ac:dyDescent="0.25">
      <c r="A157" s="11">
        <f>$A$57</f>
        <v>42</v>
      </c>
      <c r="B157" s="29">
        <v>31600</v>
      </c>
      <c r="C157" s="29">
        <v>30480</v>
      </c>
      <c r="D157" s="29">
        <v>30040</v>
      </c>
      <c r="E157" s="29">
        <v>29810</v>
      </c>
      <c r="F157" s="29">
        <v>30060</v>
      </c>
      <c r="G157" s="29">
        <v>30400</v>
      </c>
      <c r="H157" s="29">
        <v>29940</v>
      </c>
      <c r="I157" s="29">
        <v>30650</v>
      </c>
      <c r="J157" s="29">
        <v>30730</v>
      </c>
      <c r="K157" s="29">
        <v>30140</v>
      </c>
      <c r="L157" s="29">
        <v>29640</v>
      </c>
      <c r="M157" s="46">
        <v>29160</v>
      </c>
      <c r="N157" s="46">
        <v>29050</v>
      </c>
      <c r="O157" s="46">
        <v>29640</v>
      </c>
      <c r="P157" s="46">
        <v>29850</v>
      </c>
      <c r="Q157" s="46">
        <v>30910</v>
      </c>
      <c r="R157" s="46">
        <v>31430</v>
      </c>
      <c r="S157" s="46">
        <v>32010</v>
      </c>
      <c r="T157" s="46">
        <v>32560</v>
      </c>
      <c r="U157" s="46">
        <v>33300</v>
      </c>
      <c r="V157" s="46">
        <v>33980</v>
      </c>
      <c r="W157" s="46">
        <v>34260</v>
      </c>
      <c r="X157" s="46">
        <v>35380</v>
      </c>
      <c r="Y157" s="46">
        <v>37090</v>
      </c>
      <c r="Z157" s="46">
        <v>38390</v>
      </c>
      <c r="AA157" s="46">
        <v>39230</v>
      </c>
      <c r="AB157" s="46">
        <v>41020</v>
      </c>
      <c r="AC157" s="46">
        <v>41910</v>
      </c>
      <c r="AD157" s="46">
        <v>41970</v>
      </c>
      <c r="AE157" s="46">
        <v>41220</v>
      </c>
      <c r="AF157" s="46">
        <v>40000</v>
      </c>
      <c r="AG157" s="46">
        <v>39770</v>
      </c>
      <c r="AH157" s="46">
        <v>39490</v>
      </c>
      <c r="AI157" s="46">
        <v>38250</v>
      </c>
    </row>
    <row r="158" spans="1:35" x14ac:dyDescent="0.25">
      <c r="A158" s="11">
        <f>$A$58</f>
        <v>43</v>
      </c>
      <c r="B158" s="29">
        <v>31940</v>
      </c>
      <c r="C158" s="29">
        <v>31630</v>
      </c>
      <c r="D158" s="29">
        <v>30470</v>
      </c>
      <c r="E158" s="29">
        <v>30040</v>
      </c>
      <c r="F158" s="29">
        <v>29760</v>
      </c>
      <c r="G158" s="29">
        <v>30010</v>
      </c>
      <c r="H158" s="29">
        <v>30300</v>
      </c>
      <c r="I158" s="29">
        <v>29990</v>
      </c>
      <c r="J158" s="29">
        <v>31110</v>
      </c>
      <c r="K158" s="29">
        <v>31310</v>
      </c>
      <c r="L158" s="29">
        <v>30820</v>
      </c>
      <c r="M158" s="46">
        <v>30240</v>
      </c>
      <c r="N158" s="46">
        <v>29770</v>
      </c>
      <c r="O158" s="46">
        <v>29560</v>
      </c>
      <c r="P158" s="46">
        <v>30210</v>
      </c>
      <c r="Q158" s="46">
        <v>29850</v>
      </c>
      <c r="R158" s="46">
        <v>30830</v>
      </c>
      <c r="S158" s="46">
        <v>31340</v>
      </c>
      <c r="T158" s="46">
        <v>31990</v>
      </c>
      <c r="U158" s="46">
        <v>32600</v>
      </c>
      <c r="V158" s="46">
        <v>33410</v>
      </c>
      <c r="W158" s="46">
        <v>34090</v>
      </c>
      <c r="X158" s="46">
        <v>34370</v>
      </c>
      <c r="Y158" s="46">
        <v>35490</v>
      </c>
      <c r="Z158" s="46">
        <v>37190</v>
      </c>
      <c r="AA158" s="46">
        <v>38500</v>
      </c>
      <c r="AB158" s="46">
        <v>39330</v>
      </c>
      <c r="AC158" s="46">
        <v>41120</v>
      </c>
      <c r="AD158" s="46">
        <v>42020</v>
      </c>
      <c r="AE158" s="46">
        <v>42070</v>
      </c>
      <c r="AF158" s="46">
        <v>41330</v>
      </c>
      <c r="AG158" s="46">
        <v>40100</v>
      </c>
      <c r="AH158" s="46">
        <v>39880</v>
      </c>
      <c r="AI158" s="46">
        <v>39600</v>
      </c>
    </row>
    <row r="159" spans="1:35" x14ac:dyDescent="0.25">
      <c r="A159" s="11">
        <f>$A$59</f>
        <v>44</v>
      </c>
      <c r="B159" s="29">
        <v>32110</v>
      </c>
      <c r="C159" s="29">
        <v>31970</v>
      </c>
      <c r="D159" s="29">
        <v>31540</v>
      </c>
      <c r="E159" s="29">
        <v>30420</v>
      </c>
      <c r="F159" s="29">
        <v>30060</v>
      </c>
      <c r="G159" s="29">
        <v>29670</v>
      </c>
      <c r="H159" s="29">
        <v>29920</v>
      </c>
      <c r="I159" s="29">
        <v>30260</v>
      </c>
      <c r="J159" s="29">
        <v>30470</v>
      </c>
      <c r="K159" s="29">
        <v>31570</v>
      </c>
      <c r="L159" s="29">
        <v>31930</v>
      </c>
      <c r="M159" s="46">
        <v>31430</v>
      </c>
      <c r="N159" s="46">
        <v>30790</v>
      </c>
      <c r="O159" s="46">
        <v>30210</v>
      </c>
      <c r="P159" s="46">
        <v>30090</v>
      </c>
      <c r="Q159" s="46">
        <v>30290</v>
      </c>
      <c r="R159" s="46">
        <v>29770</v>
      </c>
      <c r="S159" s="46">
        <v>30740</v>
      </c>
      <c r="T159" s="46">
        <v>31310</v>
      </c>
      <c r="U159" s="46">
        <v>32010</v>
      </c>
      <c r="V159" s="46">
        <v>32690</v>
      </c>
      <c r="W159" s="46">
        <v>33490</v>
      </c>
      <c r="X159" s="46">
        <v>34170</v>
      </c>
      <c r="Y159" s="46">
        <v>34460</v>
      </c>
      <c r="Z159" s="46">
        <v>35580</v>
      </c>
      <c r="AA159" s="46">
        <v>37280</v>
      </c>
      <c r="AB159" s="46">
        <v>38590</v>
      </c>
      <c r="AC159" s="46">
        <v>39420</v>
      </c>
      <c r="AD159" s="46">
        <v>41210</v>
      </c>
      <c r="AE159" s="46">
        <v>42100</v>
      </c>
      <c r="AF159" s="46">
        <v>42160</v>
      </c>
      <c r="AG159" s="46">
        <v>41420</v>
      </c>
      <c r="AH159" s="46">
        <v>40190</v>
      </c>
      <c r="AI159" s="46">
        <v>39970</v>
      </c>
    </row>
    <row r="160" spans="1:35" x14ac:dyDescent="0.25">
      <c r="A160" s="11">
        <f>$A$60</f>
        <v>45</v>
      </c>
      <c r="B160" s="29">
        <v>31490</v>
      </c>
      <c r="C160" s="29">
        <v>32140</v>
      </c>
      <c r="D160" s="29">
        <v>31920</v>
      </c>
      <c r="E160" s="29">
        <v>31530</v>
      </c>
      <c r="F160" s="29">
        <v>30400</v>
      </c>
      <c r="G160" s="29">
        <v>29970</v>
      </c>
      <c r="H160" s="29">
        <v>29530</v>
      </c>
      <c r="I160" s="29">
        <v>29930</v>
      </c>
      <c r="J160" s="29">
        <v>30650</v>
      </c>
      <c r="K160" s="29">
        <v>30940</v>
      </c>
      <c r="L160" s="29">
        <v>32060</v>
      </c>
      <c r="M160" s="46">
        <v>32500</v>
      </c>
      <c r="N160" s="46">
        <v>32030</v>
      </c>
      <c r="O160" s="46">
        <v>31160</v>
      </c>
      <c r="P160" s="46">
        <v>30650</v>
      </c>
      <c r="Q160" s="46">
        <v>30140</v>
      </c>
      <c r="R160" s="46">
        <v>30210</v>
      </c>
      <c r="S160" s="46">
        <v>29650</v>
      </c>
      <c r="T160" s="46">
        <v>30670</v>
      </c>
      <c r="U160" s="46">
        <v>31300</v>
      </c>
      <c r="V160" s="46">
        <v>32070</v>
      </c>
      <c r="W160" s="46">
        <v>32750</v>
      </c>
      <c r="X160" s="46">
        <v>33550</v>
      </c>
      <c r="Y160" s="46">
        <v>34230</v>
      </c>
      <c r="Z160" s="46">
        <v>34510</v>
      </c>
      <c r="AA160" s="46">
        <v>35630</v>
      </c>
      <c r="AB160" s="46">
        <v>37330</v>
      </c>
      <c r="AC160" s="46">
        <v>38640</v>
      </c>
      <c r="AD160" s="46">
        <v>39470</v>
      </c>
      <c r="AE160" s="46">
        <v>41260</v>
      </c>
      <c r="AF160" s="46">
        <v>42150</v>
      </c>
      <c r="AG160" s="46">
        <v>42210</v>
      </c>
      <c r="AH160" s="46">
        <v>41470</v>
      </c>
      <c r="AI160" s="46">
        <v>40250</v>
      </c>
    </row>
    <row r="161" spans="1:35" x14ac:dyDescent="0.25">
      <c r="A161" s="11">
        <f>$A$61</f>
        <v>46</v>
      </c>
      <c r="B161" s="29">
        <v>30540</v>
      </c>
      <c r="C161" s="29">
        <v>31420</v>
      </c>
      <c r="D161" s="29">
        <v>32070</v>
      </c>
      <c r="E161" s="29">
        <v>31870</v>
      </c>
      <c r="F161" s="29">
        <v>31460</v>
      </c>
      <c r="G161" s="29">
        <v>30290</v>
      </c>
      <c r="H161" s="29">
        <v>29820</v>
      </c>
      <c r="I161" s="29">
        <v>29520</v>
      </c>
      <c r="J161" s="29">
        <v>30230</v>
      </c>
      <c r="K161" s="29">
        <v>31090</v>
      </c>
      <c r="L161" s="29">
        <v>31460</v>
      </c>
      <c r="M161" s="46">
        <v>32560</v>
      </c>
      <c r="N161" s="46">
        <v>33000</v>
      </c>
      <c r="O161" s="46">
        <v>32380</v>
      </c>
      <c r="P161" s="46">
        <v>31580</v>
      </c>
      <c r="Q161" s="46">
        <v>30670</v>
      </c>
      <c r="R161" s="46">
        <v>30050</v>
      </c>
      <c r="S161" s="46">
        <v>30060</v>
      </c>
      <c r="T161" s="46">
        <v>29560</v>
      </c>
      <c r="U161" s="46">
        <v>30640</v>
      </c>
      <c r="V161" s="46">
        <v>31320</v>
      </c>
      <c r="W161" s="46">
        <v>32090</v>
      </c>
      <c r="X161" s="46">
        <v>32770</v>
      </c>
      <c r="Y161" s="46">
        <v>33570</v>
      </c>
      <c r="Z161" s="46">
        <v>34250</v>
      </c>
      <c r="AA161" s="46">
        <v>34530</v>
      </c>
      <c r="AB161" s="46">
        <v>35650</v>
      </c>
      <c r="AC161" s="46">
        <v>37350</v>
      </c>
      <c r="AD161" s="46">
        <v>38650</v>
      </c>
      <c r="AE161" s="46">
        <v>39480</v>
      </c>
      <c r="AF161" s="46">
        <v>41270</v>
      </c>
      <c r="AG161" s="46">
        <v>42160</v>
      </c>
      <c r="AH161" s="46">
        <v>42220</v>
      </c>
      <c r="AI161" s="46">
        <v>41480</v>
      </c>
    </row>
    <row r="162" spans="1:35" x14ac:dyDescent="0.25">
      <c r="A162" s="11">
        <f>$A$62</f>
        <v>47</v>
      </c>
      <c r="B162" s="29">
        <v>30080</v>
      </c>
      <c r="C162" s="29">
        <v>30470</v>
      </c>
      <c r="D162" s="29">
        <v>31270</v>
      </c>
      <c r="E162" s="29">
        <v>31960</v>
      </c>
      <c r="F162" s="29">
        <v>31720</v>
      </c>
      <c r="G162" s="29">
        <v>31300</v>
      </c>
      <c r="H162" s="29">
        <v>30150</v>
      </c>
      <c r="I162" s="29">
        <v>29680</v>
      </c>
      <c r="J162" s="29">
        <v>29780</v>
      </c>
      <c r="K162" s="29">
        <v>30590</v>
      </c>
      <c r="L162" s="29">
        <v>31490</v>
      </c>
      <c r="M162" s="46">
        <v>31920</v>
      </c>
      <c r="N162" s="46">
        <v>33000</v>
      </c>
      <c r="O162" s="46">
        <v>33330</v>
      </c>
      <c r="P162" s="46">
        <v>32740</v>
      </c>
      <c r="Q162" s="46">
        <v>31530</v>
      </c>
      <c r="R162" s="46">
        <v>30580</v>
      </c>
      <c r="S162" s="46">
        <v>29870</v>
      </c>
      <c r="T162" s="46">
        <v>29940</v>
      </c>
      <c r="U162" s="46">
        <v>29500</v>
      </c>
      <c r="V162" s="46">
        <v>30630</v>
      </c>
      <c r="W162" s="46">
        <v>31320</v>
      </c>
      <c r="X162" s="46">
        <v>32080</v>
      </c>
      <c r="Y162" s="46">
        <v>32760</v>
      </c>
      <c r="Z162" s="46">
        <v>33560</v>
      </c>
      <c r="AA162" s="46">
        <v>34240</v>
      </c>
      <c r="AB162" s="46">
        <v>34520</v>
      </c>
      <c r="AC162" s="46">
        <v>35640</v>
      </c>
      <c r="AD162" s="46">
        <v>37340</v>
      </c>
      <c r="AE162" s="46">
        <v>38640</v>
      </c>
      <c r="AF162" s="46">
        <v>39470</v>
      </c>
      <c r="AG162" s="46">
        <v>41260</v>
      </c>
      <c r="AH162" s="46">
        <v>42150</v>
      </c>
      <c r="AI162" s="46">
        <v>42210</v>
      </c>
    </row>
    <row r="163" spans="1:35" x14ac:dyDescent="0.25">
      <c r="A163" s="11">
        <f>$A$63</f>
        <v>48</v>
      </c>
      <c r="B163" s="29">
        <v>28610</v>
      </c>
      <c r="C163" s="29">
        <v>30010</v>
      </c>
      <c r="D163" s="29">
        <v>30340</v>
      </c>
      <c r="E163" s="29">
        <v>31240</v>
      </c>
      <c r="F163" s="29">
        <v>31890</v>
      </c>
      <c r="G163" s="29">
        <v>31530</v>
      </c>
      <c r="H163" s="29">
        <v>31110</v>
      </c>
      <c r="I163" s="29">
        <v>30000</v>
      </c>
      <c r="J163" s="29">
        <v>29900</v>
      </c>
      <c r="K163" s="29">
        <v>30080</v>
      </c>
      <c r="L163" s="29">
        <v>31030</v>
      </c>
      <c r="M163" s="46">
        <v>31900</v>
      </c>
      <c r="N163" s="46">
        <v>32290</v>
      </c>
      <c r="O163" s="46">
        <v>33250</v>
      </c>
      <c r="P163" s="46">
        <v>33620</v>
      </c>
      <c r="Q163" s="46">
        <v>32770</v>
      </c>
      <c r="R163" s="46">
        <v>31460</v>
      </c>
      <c r="S163" s="46">
        <v>30380</v>
      </c>
      <c r="T163" s="46">
        <v>29730</v>
      </c>
      <c r="U163" s="46">
        <v>29850</v>
      </c>
      <c r="V163" s="46">
        <v>29470</v>
      </c>
      <c r="W163" s="46">
        <v>30600</v>
      </c>
      <c r="X163" s="46">
        <v>31280</v>
      </c>
      <c r="Y163" s="46">
        <v>32040</v>
      </c>
      <c r="Z163" s="46">
        <v>32720</v>
      </c>
      <c r="AA163" s="46">
        <v>33520</v>
      </c>
      <c r="AB163" s="46">
        <v>34200</v>
      </c>
      <c r="AC163" s="46">
        <v>34490</v>
      </c>
      <c r="AD163" s="46">
        <v>35600</v>
      </c>
      <c r="AE163" s="46">
        <v>37300</v>
      </c>
      <c r="AF163" s="46">
        <v>38600</v>
      </c>
      <c r="AG163" s="46">
        <v>39430</v>
      </c>
      <c r="AH163" s="46">
        <v>41210</v>
      </c>
      <c r="AI163" s="46">
        <v>42100</v>
      </c>
    </row>
    <row r="164" spans="1:35" x14ac:dyDescent="0.25">
      <c r="A164" s="11">
        <f>$A$64</f>
        <v>49</v>
      </c>
      <c r="B164" s="29">
        <v>28400</v>
      </c>
      <c r="C164" s="29">
        <v>28490</v>
      </c>
      <c r="D164" s="29">
        <v>29860</v>
      </c>
      <c r="E164" s="29">
        <v>30220</v>
      </c>
      <c r="F164" s="29">
        <v>31130</v>
      </c>
      <c r="G164" s="29">
        <v>31760</v>
      </c>
      <c r="H164" s="29">
        <v>31330</v>
      </c>
      <c r="I164" s="29">
        <v>30960</v>
      </c>
      <c r="J164" s="29">
        <v>30200</v>
      </c>
      <c r="K164" s="29">
        <v>30140</v>
      </c>
      <c r="L164" s="29">
        <v>30360</v>
      </c>
      <c r="M164" s="46">
        <v>31360</v>
      </c>
      <c r="N164" s="46">
        <v>32290</v>
      </c>
      <c r="O164" s="46">
        <v>32530</v>
      </c>
      <c r="P164" s="46">
        <v>33490</v>
      </c>
      <c r="Q164" s="46">
        <v>33580</v>
      </c>
      <c r="R164" s="46">
        <v>32660</v>
      </c>
      <c r="S164" s="46">
        <v>31240</v>
      </c>
      <c r="T164" s="46">
        <v>30210</v>
      </c>
      <c r="U164" s="46">
        <v>29620</v>
      </c>
      <c r="V164" s="46">
        <v>29790</v>
      </c>
      <c r="W164" s="46">
        <v>29400</v>
      </c>
      <c r="X164" s="46">
        <v>30530</v>
      </c>
      <c r="Y164" s="46">
        <v>31210</v>
      </c>
      <c r="Z164" s="46">
        <v>31970</v>
      </c>
      <c r="AA164" s="46">
        <v>32650</v>
      </c>
      <c r="AB164" s="46">
        <v>33450</v>
      </c>
      <c r="AC164" s="46">
        <v>34130</v>
      </c>
      <c r="AD164" s="46">
        <v>34420</v>
      </c>
      <c r="AE164" s="46">
        <v>35530</v>
      </c>
      <c r="AF164" s="46">
        <v>37220</v>
      </c>
      <c r="AG164" s="46">
        <v>38520</v>
      </c>
      <c r="AH164" s="46">
        <v>39350</v>
      </c>
      <c r="AI164" s="46">
        <v>41140</v>
      </c>
    </row>
    <row r="165" spans="1:35" x14ac:dyDescent="0.25">
      <c r="A165" s="11">
        <f>$A$65</f>
        <v>50</v>
      </c>
      <c r="B165" s="29">
        <v>27750</v>
      </c>
      <c r="C165" s="29">
        <v>28300</v>
      </c>
      <c r="D165" s="29">
        <v>28330</v>
      </c>
      <c r="E165" s="29">
        <v>29730</v>
      </c>
      <c r="F165" s="29">
        <v>30080</v>
      </c>
      <c r="G165" s="29">
        <v>30940</v>
      </c>
      <c r="H165" s="29">
        <v>31520</v>
      </c>
      <c r="I165" s="29">
        <v>31200</v>
      </c>
      <c r="J165" s="29">
        <v>31150</v>
      </c>
      <c r="K165" s="29">
        <v>30470</v>
      </c>
      <c r="L165" s="29">
        <v>30440</v>
      </c>
      <c r="M165" s="46">
        <v>30640</v>
      </c>
      <c r="N165" s="46">
        <v>31660</v>
      </c>
      <c r="O165" s="46">
        <v>32420</v>
      </c>
      <c r="P165" s="46">
        <v>32750</v>
      </c>
      <c r="Q165" s="46">
        <v>33490</v>
      </c>
      <c r="R165" s="46">
        <v>33480</v>
      </c>
      <c r="S165" s="46">
        <v>32430</v>
      </c>
      <c r="T165" s="46">
        <v>31050</v>
      </c>
      <c r="U165" s="46">
        <v>30070</v>
      </c>
      <c r="V165" s="46">
        <v>29520</v>
      </c>
      <c r="W165" s="46">
        <v>29690</v>
      </c>
      <c r="X165" s="46">
        <v>29310</v>
      </c>
      <c r="Y165" s="46">
        <v>30440</v>
      </c>
      <c r="Z165" s="46">
        <v>31120</v>
      </c>
      <c r="AA165" s="46">
        <v>31880</v>
      </c>
      <c r="AB165" s="46">
        <v>32560</v>
      </c>
      <c r="AC165" s="46">
        <v>33360</v>
      </c>
      <c r="AD165" s="46">
        <v>34040</v>
      </c>
      <c r="AE165" s="46">
        <v>34320</v>
      </c>
      <c r="AF165" s="46">
        <v>35430</v>
      </c>
      <c r="AG165" s="46">
        <v>37130</v>
      </c>
      <c r="AH165" s="46">
        <v>38430</v>
      </c>
      <c r="AI165" s="46">
        <v>39260</v>
      </c>
    </row>
    <row r="166" spans="1:35" x14ac:dyDescent="0.25">
      <c r="A166" s="11">
        <f>$A$66</f>
        <v>51</v>
      </c>
      <c r="B166" s="29">
        <v>26550</v>
      </c>
      <c r="C166" s="29">
        <v>27630</v>
      </c>
      <c r="D166" s="29">
        <v>28160</v>
      </c>
      <c r="E166" s="29">
        <v>28190</v>
      </c>
      <c r="F166" s="29">
        <v>29630</v>
      </c>
      <c r="G166" s="29">
        <v>29880</v>
      </c>
      <c r="H166" s="29">
        <v>30740</v>
      </c>
      <c r="I166" s="29">
        <v>31370</v>
      </c>
      <c r="J166" s="29">
        <v>31370</v>
      </c>
      <c r="K166" s="29">
        <v>31310</v>
      </c>
      <c r="L166" s="29">
        <v>30700</v>
      </c>
      <c r="M166" s="46">
        <v>30660</v>
      </c>
      <c r="N166" s="46">
        <v>30900</v>
      </c>
      <c r="O166" s="46">
        <v>31680</v>
      </c>
      <c r="P166" s="46">
        <v>32640</v>
      </c>
      <c r="Q166" s="46">
        <v>32670</v>
      </c>
      <c r="R166" s="46">
        <v>33350</v>
      </c>
      <c r="S166" s="46">
        <v>33240</v>
      </c>
      <c r="T166" s="46">
        <v>32230</v>
      </c>
      <c r="U166" s="46">
        <v>30900</v>
      </c>
      <c r="V166" s="46">
        <v>29960</v>
      </c>
      <c r="W166" s="46">
        <v>29410</v>
      </c>
      <c r="X166" s="46">
        <v>29580</v>
      </c>
      <c r="Y166" s="46">
        <v>29200</v>
      </c>
      <c r="Z166" s="46">
        <v>30330</v>
      </c>
      <c r="AA166" s="46">
        <v>31010</v>
      </c>
      <c r="AB166" s="46">
        <v>31770</v>
      </c>
      <c r="AC166" s="46">
        <v>32450</v>
      </c>
      <c r="AD166" s="46">
        <v>33250</v>
      </c>
      <c r="AE166" s="46">
        <v>33930</v>
      </c>
      <c r="AF166" s="46">
        <v>34210</v>
      </c>
      <c r="AG166" s="46">
        <v>35320</v>
      </c>
      <c r="AH166" s="46">
        <v>37010</v>
      </c>
      <c r="AI166" s="46">
        <v>38310</v>
      </c>
    </row>
    <row r="167" spans="1:35" x14ac:dyDescent="0.25">
      <c r="A167" s="11">
        <f>$A$67</f>
        <v>52</v>
      </c>
      <c r="B167" s="29">
        <v>25810</v>
      </c>
      <c r="C167" s="29">
        <v>26450</v>
      </c>
      <c r="D167" s="29">
        <v>27420</v>
      </c>
      <c r="E167" s="29">
        <v>27980</v>
      </c>
      <c r="F167" s="29">
        <v>28050</v>
      </c>
      <c r="G167" s="29">
        <v>29430</v>
      </c>
      <c r="H167" s="29">
        <v>29630</v>
      </c>
      <c r="I167" s="29">
        <v>30570</v>
      </c>
      <c r="J167" s="29">
        <v>31440</v>
      </c>
      <c r="K167" s="29">
        <v>31620</v>
      </c>
      <c r="L167" s="29">
        <v>31560</v>
      </c>
      <c r="M167" s="46">
        <v>30960</v>
      </c>
      <c r="N167" s="46">
        <v>30800</v>
      </c>
      <c r="O167" s="46">
        <v>30890</v>
      </c>
      <c r="P167" s="46">
        <v>31770</v>
      </c>
      <c r="Q167" s="46">
        <v>32580</v>
      </c>
      <c r="R167" s="46">
        <v>32530</v>
      </c>
      <c r="S167" s="46">
        <v>33110</v>
      </c>
      <c r="T167" s="46">
        <v>33040</v>
      </c>
      <c r="U167" s="46">
        <v>32060</v>
      </c>
      <c r="V167" s="46">
        <v>30770</v>
      </c>
      <c r="W167" s="46">
        <v>29840</v>
      </c>
      <c r="X167" s="46">
        <v>29290</v>
      </c>
      <c r="Y167" s="46">
        <v>29470</v>
      </c>
      <c r="Z167" s="46">
        <v>29090</v>
      </c>
      <c r="AA167" s="46">
        <v>30210</v>
      </c>
      <c r="AB167" s="46">
        <v>30890</v>
      </c>
      <c r="AC167" s="46">
        <v>31650</v>
      </c>
      <c r="AD167" s="46">
        <v>32330</v>
      </c>
      <c r="AE167" s="46">
        <v>33130</v>
      </c>
      <c r="AF167" s="46">
        <v>33810</v>
      </c>
      <c r="AG167" s="46">
        <v>34090</v>
      </c>
      <c r="AH167" s="46">
        <v>35200</v>
      </c>
      <c r="AI167" s="46">
        <v>36890</v>
      </c>
    </row>
    <row r="168" spans="1:35" x14ac:dyDescent="0.25">
      <c r="A168" s="11">
        <f>$A$68</f>
        <v>53</v>
      </c>
      <c r="B168" s="29">
        <v>25070</v>
      </c>
      <c r="C168" s="29">
        <v>25680</v>
      </c>
      <c r="D168" s="29">
        <v>26270</v>
      </c>
      <c r="E168" s="29">
        <v>27290</v>
      </c>
      <c r="F168" s="29">
        <v>27870</v>
      </c>
      <c r="G168" s="29">
        <v>27840</v>
      </c>
      <c r="H168" s="29">
        <v>29190</v>
      </c>
      <c r="I168" s="29">
        <v>29500</v>
      </c>
      <c r="J168" s="29">
        <v>30590</v>
      </c>
      <c r="K168" s="29">
        <v>31550</v>
      </c>
      <c r="L168" s="29">
        <v>31810</v>
      </c>
      <c r="M168" s="46">
        <v>31740</v>
      </c>
      <c r="N168" s="46">
        <v>31150</v>
      </c>
      <c r="O168" s="46">
        <v>30820</v>
      </c>
      <c r="P168" s="46">
        <v>31070</v>
      </c>
      <c r="Q168" s="46">
        <v>31700</v>
      </c>
      <c r="R168" s="46">
        <v>32430</v>
      </c>
      <c r="S168" s="46">
        <v>32300</v>
      </c>
      <c r="T168" s="46">
        <v>32910</v>
      </c>
      <c r="U168" s="46">
        <v>32870</v>
      </c>
      <c r="V168" s="46">
        <v>31930</v>
      </c>
      <c r="W168" s="46">
        <v>30650</v>
      </c>
      <c r="X168" s="46">
        <v>29720</v>
      </c>
      <c r="Y168" s="46">
        <v>29180</v>
      </c>
      <c r="Z168" s="46">
        <v>29350</v>
      </c>
      <c r="AA168" s="46">
        <v>28970</v>
      </c>
      <c r="AB168" s="46">
        <v>30090</v>
      </c>
      <c r="AC168" s="46">
        <v>30780</v>
      </c>
      <c r="AD168" s="46">
        <v>31540</v>
      </c>
      <c r="AE168" s="46">
        <v>32210</v>
      </c>
      <c r="AF168" s="46">
        <v>33010</v>
      </c>
      <c r="AG168" s="46">
        <v>33690</v>
      </c>
      <c r="AH168" s="46">
        <v>33980</v>
      </c>
      <c r="AI168" s="46">
        <v>35080</v>
      </c>
    </row>
    <row r="169" spans="1:35" x14ac:dyDescent="0.25">
      <c r="A169" s="11">
        <f>$A$69</f>
        <v>54</v>
      </c>
      <c r="B169" s="29">
        <v>24750</v>
      </c>
      <c r="C169" s="29">
        <v>24910</v>
      </c>
      <c r="D169" s="29">
        <v>25610</v>
      </c>
      <c r="E169" s="29">
        <v>26170</v>
      </c>
      <c r="F169" s="29">
        <v>27170</v>
      </c>
      <c r="G169" s="29">
        <v>27700</v>
      </c>
      <c r="H169" s="29">
        <v>27670</v>
      </c>
      <c r="I169" s="29">
        <v>29030</v>
      </c>
      <c r="J169" s="29">
        <v>29500</v>
      </c>
      <c r="K169" s="29">
        <v>30660</v>
      </c>
      <c r="L169" s="29">
        <v>31700</v>
      </c>
      <c r="M169" s="46">
        <v>31980</v>
      </c>
      <c r="N169" s="46">
        <v>31840</v>
      </c>
      <c r="O169" s="46">
        <v>31150</v>
      </c>
      <c r="P169" s="46">
        <v>30940</v>
      </c>
      <c r="Q169" s="46">
        <v>30960</v>
      </c>
      <c r="R169" s="46">
        <v>31540</v>
      </c>
      <c r="S169" s="46">
        <v>32200</v>
      </c>
      <c r="T169" s="46">
        <v>32110</v>
      </c>
      <c r="U169" s="46">
        <v>32750</v>
      </c>
      <c r="V169" s="46">
        <v>32740</v>
      </c>
      <c r="W169" s="46">
        <v>31810</v>
      </c>
      <c r="X169" s="46">
        <v>30530</v>
      </c>
      <c r="Y169" s="46">
        <v>29610</v>
      </c>
      <c r="Z169" s="46">
        <v>29070</v>
      </c>
      <c r="AA169" s="46">
        <v>29240</v>
      </c>
      <c r="AB169" s="46">
        <v>28870</v>
      </c>
      <c r="AC169" s="46">
        <v>29990</v>
      </c>
      <c r="AD169" s="46">
        <v>30670</v>
      </c>
      <c r="AE169" s="46">
        <v>31430</v>
      </c>
      <c r="AF169" s="46">
        <v>32100</v>
      </c>
      <c r="AG169" s="46">
        <v>32900</v>
      </c>
      <c r="AH169" s="46">
        <v>33580</v>
      </c>
      <c r="AI169" s="46">
        <v>33870</v>
      </c>
    </row>
    <row r="170" spans="1:35" x14ac:dyDescent="0.25">
      <c r="A170" s="11">
        <f>$A$70</f>
        <v>55</v>
      </c>
      <c r="B170" s="29">
        <v>24160</v>
      </c>
      <c r="C170" s="29">
        <v>24590</v>
      </c>
      <c r="D170" s="29">
        <v>24710</v>
      </c>
      <c r="E170" s="29">
        <v>25530</v>
      </c>
      <c r="F170" s="29">
        <v>26030</v>
      </c>
      <c r="G170" s="29">
        <v>26960</v>
      </c>
      <c r="H170" s="29">
        <v>27520</v>
      </c>
      <c r="I170" s="29">
        <v>27530</v>
      </c>
      <c r="J170" s="29">
        <v>29070</v>
      </c>
      <c r="K170" s="29">
        <v>29640</v>
      </c>
      <c r="L170" s="29">
        <v>30710</v>
      </c>
      <c r="M170" s="46">
        <v>31770</v>
      </c>
      <c r="N170" s="46">
        <v>32110</v>
      </c>
      <c r="O170" s="46">
        <v>31790</v>
      </c>
      <c r="P170" s="46">
        <v>31300</v>
      </c>
      <c r="Q170" s="46">
        <v>30820</v>
      </c>
      <c r="R170" s="46">
        <v>30810</v>
      </c>
      <c r="S170" s="46">
        <v>31340</v>
      </c>
      <c r="T170" s="46">
        <v>32030</v>
      </c>
      <c r="U170" s="46">
        <v>31960</v>
      </c>
      <c r="V170" s="46">
        <v>32630</v>
      </c>
      <c r="W170" s="46">
        <v>32620</v>
      </c>
      <c r="X170" s="46">
        <v>31690</v>
      </c>
      <c r="Y170" s="46">
        <v>30420</v>
      </c>
      <c r="Z170" s="46">
        <v>29500</v>
      </c>
      <c r="AA170" s="46">
        <v>28970</v>
      </c>
      <c r="AB170" s="46">
        <v>29140</v>
      </c>
      <c r="AC170" s="46">
        <v>28770</v>
      </c>
      <c r="AD170" s="46">
        <v>29890</v>
      </c>
      <c r="AE170" s="46">
        <v>30570</v>
      </c>
      <c r="AF170" s="46">
        <v>31330</v>
      </c>
      <c r="AG170" s="46">
        <v>32000</v>
      </c>
      <c r="AH170" s="46">
        <v>32800</v>
      </c>
      <c r="AI170" s="46">
        <v>33480</v>
      </c>
    </row>
    <row r="171" spans="1:35" x14ac:dyDescent="0.25">
      <c r="A171" s="11">
        <f>$A$71</f>
        <v>56</v>
      </c>
      <c r="B171" s="29">
        <v>24180</v>
      </c>
      <c r="C171" s="29">
        <v>24100</v>
      </c>
      <c r="D171" s="29">
        <v>24450</v>
      </c>
      <c r="E171" s="29">
        <v>24570</v>
      </c>
      <c r="F171" s="29">
        <v>25410</v>
      </c>
      <c r="G171" s="29">
        <v>25870</v>
      </c>
      <c r="H171" s="29">
        <v>26760</v>
      </c>
      <c r="I171" s="29">
        <v>27380</v>
      </c>
      <c r="J171" s="29">
        <v>27590</v>
      </c>
      <c r="K171" s="29">
        <v>29150</v>
      </c>
      <c r="L171" s="29">
        <v>29730</v>
      </c>
      <c r="M171" s="46">
        <v>30730</v>
      </c>
      <c r="N171" s="46">
        <v>31810</v>
      </c>
      <c r="O171" s="46">
        <v>32030</v>
      </c>
      <c r="P171" s="46">
        <v>31890</v>
      </c>
      <c r="Q171" s="46">
        <v>31160</v>
      </c>
      <c r="R171" s="46">
        <v>30580</v>
      </c>
      <c r="S171" s="46">
        <v>30620</v>
      </c>
      <c r="T171" s="46">
        <v>31180</v>
      </c>
      <c r="U171" s="46">
        <v>31890</v>
      </c>
      <c r="V171" s="46">
        <v>31850</v>
      </c>
      <c r="W171" s="46">
        <v>32510</v>
      </c>
      <c r="X171" s="46">
        <v>32510</v>
      </c>
      <c r="Y171" s="46">
        <v>31590</v>
      </c>
      <c r="Z171" s="46">
        <v>30320</v>
      </c>
      <c r="AA171" s="46">
        <v>29410</v>
      </c>
      <c r="AB171" s="46">
        <v>28880</v>
      </c>
      <c r="AC171" s="46">
        <v>29050</v>
      </c>
      <c r="AD171" s="46">
        <v>28690</v>
      </c>
      <c r="AE171" s="46">
        <v>29800</v>
      </c>
      <c r="AF171" s="46">
        <v>30480</v>
      </c>
      <c r="AG171" s="46">
        <v>31240</v>
      </c>
      <c r="AH171" s="46">
        <v>31920</v>
      </c>
      <c r="AI171" s="46">
        <v>32710</v>
      </c>
    </row>
    <row r="172" spans="1:35" x14ac:dyDescent="0.25">
      <c r="A172" s="11">
        <f>$A$72</f>
        <v>57</v>
      </c>
      <c r="B172" s="29">
        <v>23830</v>
      </c>
      <c r="C172" s="29">
        <v>24030</v>
      </c>
      <c r="D172" s="29">
        <v>23970</v>
      </c>
      <c r="E172" s="29">
        <v>24310</v>
      </c>
      <c r="F172" s="29">
        <v>24480</v>
      </c>
      <c r="G172" s="29">
        <v>25290</v>
      </c>
      <c r="H172" s="29">
        <v>25730</v>
      </c>
      <c r="I172" s="29">
        <v>26620</v>
      </c>
      <c r="J172" s="29">
        <v>27330</v>
      </c>
      <c r="K172" s="29">
        <v>27690</v>
      </c>
      <c r="L172" s="29">
        <v>29250</v>
      </c>
      <c r="M172" s="46">
        <v>29850</v>
      </c>
      <c r="N172" s="46">
        <v>30770</v>
      </c>
      <c r="O172" s="46">
        <v>31680</v>
      </c>
      <c r="P172" s="46">
        <v>32170</v>
      </c>
      <c r="Q172" s="46">
        <v>31740</v>
      </c>
      <c r="R172" s="46">
        <v>30950</v>
      </c>
      <c r="S172" s="46">
        <v>30410</v>
      </c>
      <c r="T172" s="46">
        <v>30470</v>
      </c>
      <c r="U172" s="46">
        <v>31050</v>
      </c>
      <c r="V172" s="46">
        <v>31780</v>
      </c>
      <c r="W172" s="46">
        <v>31740</v>
      </c>
      <c r="X172" s="46">
        <v>32410</v>
      </c>
      <c r="Y172" s="46">
        <v>32410</v>
      </c>
      <c r="Z172" s="46">
        <v>31490</v>
      </c>
      <c r="AA172" s="46">
        <v>30230</v>
      </c>
      <c r="AB172" s="46">
        <v>29320</v>
      </c>
      <c r="AC172" s="46">
        <v>28800</v>
      </c>
      <c r="AD172" s="46">
        <v>28970</v>
      </c>
      <c r="AE172" s="46">
        <v>28610</v>
      </c>
      <c r="AF172" s="46">
        <v>29720</v>
      </c>
      <c r="AG172" s="46">
        <v>30400</v>
      </c>
      <c r="AH172" s="46">
        <v>31160</v>
      </c>
      <c r="AI172" s="46">
        <v>31830</v>
      </c>
    </row>
    <row r="173" spans="1:35" x14ac:dyDescent="0.25">
      <c r="A173" s="11">
        <f>$A$73</f>
        <v>58</v>
      </c>
      <c r="B173" s="29">
        <v>23890</v>
      </c>
      <c r="C173" s="29">
        <v>23710</v>
      </c>
      <c r="D173" s="29">
        <v>23900</v>
      </c>
      <c r="E173" s="29">
        <v>23870</v>
      </c>
      <c r="F173" s="29">
        <v>24240</v>
      </c>
      <c r="G173" s="29">
        <v>24350</v>
      </c>
      <c r="H173" s="29">
        <v>25160</v>
      </c>
      <c r="I173" s="29">
        <v>25610</v>
      </c>
      <c r="J173" s="29">
        <v>26590</v>
      </c>
      <c r="K173" s="29">
        <v>27240</v>
      </c>
      <c r="L173" s="29">
        <v>27750</v>
      </c>
      <c r="M173" s="46">
        <v>29280</v>
      </c>
      <c r="N173" s="46">
        <v>29880</v>
      </c>
      <c r="O173" s="46">
        <v>30680</v>
      </c>
      <c r="P173" s="46">
        <v>31800</v>
      </c>
      <c r="Q173" s="46">
        <v>32040</v>
      </c>
      <c r="R173" s="46">
        <v>31530</v>
      </c>
      <c r="S173" s="46">
        <v>30780</v>
      </c>
      <c r="T173" s="46">
        <v>30270</v>
      </c>
      <c r="U173" s="46">
        <v>30350</v>
      </c>
      <c r="V173" s="46">
        <v>30950</v>
      </c>
      <c r="W173" s="46">
        <v>31680</v>
      </c>
      <c r="X173" s="46">
        <v>31650</v>
      </c>
      <c r="Y173" s="46">
        <v>32310</v>
      </c>
      <c r="Z173" s="46">
        <v>32310</v>
      </c>
      <c r="AA173" s="46">
        <v>31400</v>
      </c>
      <c r="AB173" s="46">
        <v>30150</v>
      </c>
      <c r="AC173" s="46">
        <v>29250</v>
      </c>
      <c r="AD173" s="46">
        <v>28730</v>
      </c>
      <c r="AE173" s="46">
        <v>28900</v>
      </c>
      <c r="AF173" s="46">
        <v>28550</v>
      </c>
      <c r="AG173" s="46">
        <v>29660</v>
      </c>
      <c r="AH173" s="46">
        <v>30330</v>
      </c>
      <c r="AI173" s="46">
        <v>31090</v>
      </c>
    </row>
    <row r="174" spans="1:35" x14ac:dyDescent="0.25">
      <c r="A174" s="11">
        <f>$A$74</f>
        <v>59</v>
      </c>
      <c r="B174" s="29">
        <v>24020</v>
      </c>
      <c r="C174" s="29">
        <v>23810</v>
      </c>
      <c r="D174" s="29">
        <v>23610</v>
      </c>
      <c r="E174" s="29">
        <v>23740</v>
      </c>
      <c r="F174" s="29">
        <v>23780</v>
      </c>
      <c r="G174" s="29">
        <v>24060</v>
      </c>
      <c r="H174" s="29">
        <v>24210</v>
      </c>
      <c r="I174" s="29">
        <v>25030</v>
      </c>
      <c r="J174" s="29">
        <v>25570</v>
      </c>
      <c r="K174" s="29">
        <v>26540</v>
      </c>
      <c r="L174" s="29">
        <v>27260</v>
      </c>
      <c r="M174" s="46">
        <v>27800</v>
      </c>
      <c r="N174" s="46">
        <v>29260</v>
      </c>
      <c r="O174" s="46">
        <v>29790</v>
      </c>
      <c r="P174" s="46">
        <v>30770</v>
      </c>
      <c r="Q174" s="46">
        <v>31620</v>
      </c>
      <c r="R174" s="46">
        <v>31810</v>
      </c>
      <c r="S174" s="46">
        <v>31370</v>
      </c>
      <c r="T174" s="46">
        <v>30650</v>
      </c>
      <c r="U174" s="46">
        <v>30160</v>
      </c>
      <c r="V174" s="46">
        <v>30260</v>
      </c>
      <c r="W174" s="46">
        <v>30860</v>
      </c>
      <c r="X174" s="46">
        <v>31590</v>
      </c>
      <c r="Y174" s="46">
        <v>31560</v>
      </c>
      <c r="Z174" s="46">
        <v>32230</v>
      </c>
      <c r="AA174" s="46">
        <v>32230</v>
      </c>
      <c r="AB174" s="46">
        <v>31330</v>
      </c>
      <c r="AC174" s="46">
        <v>30080</v>
      </c>
      <c r="AD174" s="46">
        <v>29190</v>
      </c>
      <c r="AE174" s="46">
        <v>28670</v>
      </c>
      <c r="AF174" s="46">
        <v>28850</v>
      </c>
      <c r="AG174" s="46">
        <v>28490</v>
      </c>
      <c r="AH174" s="46">
        <v>29600</v>
      </c>
      <c r="AI174" s="46">
        <v>30280</v>
      </c>
    </row>
    <row r="175" spans="1:35" x14ac:dyDescent="0.25">
      <c r="A175" s="11">
        <f>$A$75</f>
        <v>60</v>
      </c>
      <c r="B175" s="29">
        <v>20160</v>
      </c>
      <c r="C175" s="29">
        <v>23860</v>
      </c>
      <c r="D175" s="29">
        <v>23690</v>
      </c>
      <c r="E175" s="29">
        <v>23510</v>
      </c>
      <c r="F175" s="29">
        <v>23680</v>
      </c>
      <c r="G175" s="29">
        <v>23700</v>
      </c>
      <c r="H175" s="29">
        <v>23950</v>
      </c>
      <c r="I175" s="29">
        <v>24120</v>
      </c>
      <c r="J175" s="29">
        <v>24970</v>
      </c>
      <c r="K175" s="29">
        <v>25620</v>
      </c>
      <c r="L175" s="29">
        <v>26540</v>
      </c>
      <c r="M175" s="46">
        <v>27210</v>
      </c>
      <c r="N175" s="46">
        <v>27840</v>
      </c>
      <c r="O175" s="46">
        <v>29210</v>
      </c>
      <c r="P175" s="46">
        <v>29880</v>
      </c>
      <c r="Q175" s="46">
        <v>30590</v>
      </c>
      <c r="R175" s="46">
        <v>31410</v>
      </c>
      <c r="S175" s="46">
        <v>31650</v>
      </c>
      <c r="T175" s="46">
        <v>31240</v>
      </c>
      <c r="U175" s="46">
        <v>30540</v>
      </c>
      <c r="V175" s="46">
        <v>30070</v>
      </c>
      <c r="W175" s="46">
        <v>30170</v>
      </c>
      <c r="X175" s="46">
        <v>30770</v>
      </c>
      <c r="Y175" s="46">
        <v>31500</v>
      </c>
      <c r="Z175" s="46">
        <v>31480</v>
      </c>
      <c r="AA175" s="46">
        <v>32140</v>
      </c>
      <c r="AB175" s="46">
        <v>32150</v>
      </c>
      <c r="AC175" s="46">
        <v>31250</v>
      </c>
      <c r="AD175" s="46">
        <v>30020</v>
      </c>
      <c r="AE175" s="46">
        <v>29130</v>
      </c>
      <c r="AF175" s="46">
        <v>28610</v>
      </c>
      <c r="AG175" s="46">
        <v>28790</v>
      </c>
      <c r="AH175" s="46">
        <v>28440</v>
      </c>
      <c r="AI175" s="46">
        <v>29550</v>
      </c>
    </row>
    <row r="176" spans="1:35" x14ac:dyDescent="0.25">
      <c r="A176" s="11">
        <f>$A$76</f>
        <v>61</v>
      </c>
      <c r="B176" s="29">
        <v>19140</v>
      </c>
      <c r="C176" s="29">
        <v>20030</v>
      </c>
      <c r="D176" s="29">
        <v>23700</v>
      </c>
      <c r="E176" s="29">
        <v>23550</v>
      </c>
      <c r="F176" s="29">
        <v>23420</v>
      </c>
      <c r="G176" s="29">
        <v>23540</v>
      </c>
      <c r="H176" s="29">
        <v>23580</v>
      </c>
      <c r="I176" s="29">
        <v>23850</v>
      </c>
      <c r="J176" s="29">
        <v>24110</v>
      </c>
      <c r="K176" s="29">
        <v>24960</v>
      </c>
      <c r="L176" s="29">
        <v>25640</v>
      </c>
      <c r="M176" s="46">
        <v>26510</v>
      </c>
      <c r="N176" s="46">
        <v>27110</v>
      </c>
      <c r="O176" s="46">
        <v>27770</v>
      </c>
      <c r="P176" s="46">
        <v>29330</v>
      </c>
      <c r="Q176" s="46">
        <v>29690</v>
      </c>
      <c r="R176" s="46">
        <v>30390</v>
      </c>
      <c r="S176" s="46">
        <v>31250</v>
      </c>
      <c r="T176" s="46">
        <v>31510</v>
      </c>
      <c r="U176" s="46">
        <v>31120</v>
      </c>
      <c r="V176" s="46">
        <v>30440</v>
      </c>
      <c r="W176" s="46">
        <v>29980</v>
      </c>
      <c r="X176" s="46">
        <v>30090</v>
      </c>
      <c r="Y176" s="46">
        <v>30690</v>
      </c>
      <c r="Z176" s="46">
        <v>31420</v>
      </c>
      <c r="AA176" s="46">
        <v>31400</v>
      </c>
      <c r="AB176" s="46">
        <v>32060</v>
      </c>
      <c r="AC176" s="46">
        <v>32070</v>
      </c>
      <c r="AD176" s="46">
        <v>31180</v>
      </c>
      <c r="AE176" s="46">
        <v>29950</v>
      </c>
      <c r="AF176" s="46">
        <v>29070</v>
      </c>
      <c r="AG176" s="46">
        <v>28560</v>
      </c>
      <c r="AH176" s="46">
        <v>28750</v>
      </c>
      <c r="AI176" s="46">
        <v>28400</v>
      </c>
    </row>
    <row r="177" spans="1:35" x14ac:dyDescent="0.25">
      <c r="A177" s="11">
        <f>$A$77</f>
        <v>62</v>
      </c>
      <c r="B177" s="29">
        <v>18400</v>
      </c>
      <c r="C177" s="29">
        <v>19020</v>
      </c>
      <c r="D177" s="29">
        <v>19890</v>
      </c>
      <c r="E177" s="29">
        <v>23560</v>
      </c>
      <c r="F177" s="29">
        <v>23450</v>
      </c>
      <c r="G177" s="29">
        <v>23330</v>
      </c>
      <c r="H177" s="29">
        <v>23410</v>
      </c>
      <c r="I177" s="29">
        <v>23520</v>
      </c>
      <c r="J177" s="29">
        <v>23840</v>
      </c>
      <c r="K177" s="29">
        <v>24130</v>
      </c>
      <c r="L177" s="29">
        <v>24930</v>
      </c>
      <c r="M177" s="46">
        <v>25610</v>
      </c>
      <c r="N177" s="46">
        <v>26400</v>
      </c>
      <c r="O177" s="46">
        <v>27050</v>
      </c>
      <c r="P177" s="46">
        <v>27940</v>
      </c>
      <c r="Q177" s="46">
        <v>29020</v>
      </c>
      <c r="R177" s="46">
        <v>29390</v>
      </c>
      <c r="S177" s="46">
        <v>30240</v>
      </c>
      <c r="T177" s="46">
        <v>31110</v>
      </c>
      <c r="U177" s="46">
        <v>31390</v>
      </c>
      <c r="V177" s="46">
        <v>31020</v>
      </c>
      <c r="W177" s="46">
        <v>30350</v>
      </c>
      <c r="X177" s="46">
        <v>29900</v>
      </c>
      <c r="Y177" s="46">
        <v>30010</v>
      </c>
      <c r="Z177" s="46">
        <v>30610</v>
      </c>
      <c r="AA177" s="46">
        <v>31340</v>
      </c>
      <c r="AB177" s="46">
        <v>31320</v>
      </c>
      <c r="AC177" s="46">
        <v>31980</v>
      </c>
      <c r="AD177" s="46">
        <v>31990</v>
      </c>
      <c r="AE177" s="46">
        <v>31110</v>
      </c>
      <c r="AF177" s="46">
        <v>29900</v>
      </c>
      <c r="AG177" s="46">
        <v>29020</v>
      </c>
      <c r="AH177" s="46">
        <v>28520</v>
      </c>
      <c r="AI177" s="46">
        <v>28700</v>
      </c>
    </row>
    <row r="178" spans="1:35" x14ac:dyDescent="0.25">
      <c r="A178" s="11">
        <f>$A$78</f>
        <v>63</v>
      </c>
      <c r="B178" s="29">
        <v>16270</v>
      </c>
      <c r="C178" s="29">
        <v>18230</v>
      </c>
      <c r="D178" s="29">
        <v>18890</v>
      </c>
      <c r="E178" s="29">
        <v>19760</v>
      </c>
      <c r="F178" s="29">
        <v>23410</v>
      </c>
      <c r="G178" s="29">
        <v>23320</v>
      </c>
      <c r="H178" s="29">
        <v>23240</v>
      </c>
      <c r="I178" s="29">
        <v>23270</v>
      </c>
      <c r="J178" s="29">
        <v>23440</v>
      </c>
      <c r="K178" s="29">
        <v>23800</v>
      </c>
      <c r="L178" s="29">
        <v>24090</v>
      </c>
      <c r="M178" s="46">
        <v>24890</v>
      </c>
      <c r="N178" s="46">
        <v>25430</v>
      </c>
      <c r="O178" s="46">
        <v>26320</v>
      </c>
      <c r="P178" s="46">
        <v>27170</v>
      </c>
      <c r="Q178" s="46">
        <v>27720</v>
      </c>
      <c r="R178" s="46">
        <v>28770</v>
      </c>
      <c r="S178" s="46">
        <v>29230</v>
      </c>
      <c r="T178" s="46">
        <v>30090</v>
      </c>
      <c r="U178" s="46">
        <v>30980</v>
      </c>
      <c r="V178" s="46">
        <v>31270</v>
      </c>
      <c r="W178" s="46">
        <v>30910</v>
      </c>
      <c r="X178" s="46">
        <v>30250</v>
      </c>
      <c r="Y178" s="46">
        <v>29800</v>
      </c>
      <c r="Z178" s="46">
        <v>29920</v>
      </c>
      <c r="AA178" s="46">
        <v>30520</v>
      </c>
      <c r="AB178" s="46">
        <v>31240</v>
      </c>
      <c r="AC178" s="46">
        <v>31230</v>
      </c>
      <c r="AD178" s="46">
        <v>31890</v>
      </c>
      <c r="AE178" s="46">
        <v>31910</v>
      </c>
      <c r="AF178" s="46">
        <v>31030</v>
      </c>
      <c r="AG178" s="46">
        <v>29830</v>
      </c>
      <c r="AH178" s="46">
        <v>28960</v>
      </c>
      <c r="AI178" s="46">
        <v>28460</v>
      </c>
    </row>
    <row r="179" spans="1:35" x14ac:dyDescent="0.25">
      <c r="A179" s="11">
        <f>$A$79</f>
        <v>64</v>
      </c>
      <c r="B179" s="29">
        <v>17930</v>
      </c>
      <c r="C179" s="29">
        <v>16110</v>
      </c>
      <c r="D179" s="29">
        <v>18080</v>
      </c>
      <c r="E179" s="29">
        <v>18740</v>
      </c>
      <c r="F179" s="29">
        <v>19670</v>
      </c>
      <c r="G179" s="29">
        <v>23280</v>
      </c>
      <c r="H179" s="29">
        <v>23190</v>
      </c>
      <c r="I179" s="29">
        <v>23140</v>
      </c>
      <c r="J179" s="29">
        <v>23170</v>
      </c>
      <c r="K179" s="29">
        <v>23360</v>
      </c>
      <c r="L179" s="29">
        <v>23780</v>
      </c>
      <c r="M179" s="46">
        <v>24050</v>
      </c>
      <c r="N179" s="46">
        <v>24810</v>
      </c>
      <c r="O179" s="46">
        <v>25440</v>
      </c>
      <c r="P179" s="46">
        <v>26470</v>
      </c>
      <c r="Q179" s="46">
        <v>26930</v>
      </c>
      <c r="R179" s="46">
        <v>27420</v>
      </c>
      <c r="S179" s="46">
        <v>28590</v>
      </c>
      <c r="T179" s="46">
        <v>29070</v>
      </c>
      <c r="U179" s="46">
        <v>29940</v>
      </c>
      <c r="V179" s="46">
        <v>30840</v>
      </c>
      <c r="W179" s="46">
        <v>31140</v>
      </c>
      <c r="X179" s="46">
        <v>30780</v>
      </c>
      <c r="Y179" s="46">
        <v>30130</v>
      </c>
      <c r="Z179" s="46">
        <v>29690</v>
      </c>
      <c r="AA179" s="46">
        <v>29810</v>
      </c>
      <c r="AB179" s="46">
        <v>30410</v>
      </c>
      <c r="AC179" s="46">
        <v>31130</v>
      </c>
      <c r="AD179" s="46">
        <v>31120</v>
      </c>
      <c r="AE179" s="46">
        <v>31780</v>
      </c>
      <c r="AF179" s="46">
        <v>31800</v>
      </c>
      <c r="AG179" s="46">
        <v>30940</v>
      </c>
      <c r="AH179" s="46">
        <v>29740</v>
      </c>
      <c r="AI179" s="46">
        <v>28890</v>
      </c>
    </row>
    <row r="180" spans="1:35" x14ac:dyDescent="0.25">
      <c r="A180" s="11">
        <f>$A$80</f>
        <v>65</v>
      </c>
      <c r="B180" s="29">
        <v>17660</v>
      </c>
      <c r="C180" s="29">
        <v>17780</v>
      </c>
      <c r="D180" s="29">
        <v>15980</v>
      </c>
      <c r="E180" s="29">
        <v>17930</v>
      </c>
      <c r="F180" s="29">
        <v>18590</v>
      </c>
      <c r="G180" s="29">
        <v>19590</v>
      </c>
      <c r="H180" s="29">
        <v>23200</v>
      </c>
      <c r="I180" s="29">
        <v>23070</v>
      </c>
      <c r="J180" s="29">
        <v>23060</v>
      </c>
      <c r="K180" s="29">
        <v>23100</v>
      </c>
      <c r="L180" s="29">
        <v>23280</v>
      </c>
      <c r="M180" s="46">
        <v>23710</v>
      </c>
      <c r="N180" s="46">
        <v>24020</v>
      </c>
      <c r="O180" s="46">
        <v>24710</v>
      </c>
      <c r="P180" s="46">
        <v>25600</v>
      </c>
      <c r="Q180" s="46">
        <v>26200</v>
      </c>
      <c r="R180" s="46">
        <v>26630</v>
      </c>
      <c r="S180" s="46">
        <v>27230</v>
      </c>
      <c r="T180" s="46">
        <v>28410</v>
      </c>
      <c r="U180" s="46">
        <v>28900</v>
      </c>
      <c r="V180" s="46">
        <v>29790</v>
      </c>
      <c r="W180" s="46">
        <v>30680</v>
      </c>
      <c r="X180" s="46">
        <v>30980</v>
      </c>
      <c r="Y180" s="46">
        <v>30630</v>
      </c>
      <c r="Z180" s="46">
        <v>29990</v>
      </c>
      <c r="AA180" s="46">
        <v>29560</v>
      </c>
      <c r="AB180" s="46">
        <v>29680</v>
      </c>
      <c r="AC180" s="46">
        <v>30280</v>
      </c>
      <c r="AD180" s="46">
        <v>31000</v>
      </c>
      <c r="AE180" s="46">
        <v>30990</v>
      </c>
      <c r="AF180" s="46">
        <v>31660</v>
      </c>
      <c r="AG180" s="46">
        <v>31680</v>
      </c>
      <c r="AH180" s="46">
        <v>30830</v>
      </c>
      <c r="AI180" s="46">
        <v>29640</v>
      </c>
    </row>
    <row r="181" spans="1:35" x14ac:dyDescent="0.25">
      <c r="A181" s="11">
        <f>$A$81</f>
        <v>66</v>
      </c>
      <c r="B181" s="29">
        <v>16280</v>
      </c>
      <c r="C181" s="29">
        <v>17430</v>
      </c>
      <c r="D181" s="29">
        <v>17580</v>
      </c>
      <c r="E181" s="29">
        <v>15830</v>
      </c>
      <c r="F181" s="29">
        <v>17790</v>
      </c>
      <c r="G181" s="29">
        <v>18420</v>
      </c>
      <c r="H181" s="29">
        <v>19390</v>
      </c>
      <c r="I181" s="29">
        <v>23050</v>
      </c>
      <c r="J181" s="29">
        <v>22850</v>
      </c>
      <c r="K181" s="29">
        <v>22840</v>
      </c>
      <c r="L181" s="29">
        <v>22960</v>
      </c>
      <c r="M181" s="46">
        <v>23100</v>
      </c>
      <c r="N181" s="46">
        <v>23520</v>
      </c>
      <c r="O181" s="46">
        <v>23890</v>
      </c>
      <c r="P181" s="46">
        <v>24800</v>
      </c>
      <c r="Q181" s="46">
        <v>25250</v>
      </c>
      <c r="R181" s="46">
        <v>25870</v>
      </c>
      <c r="S181" s="46">
        <v>26430</v>
      </c>
      <c r="T181" s="46">
        <v>27040</v>
      </c>
      <c r="U181" s="46">
        <v>28220</v>
      </c>
      <c r="V181" s="46">
        <v>28720</v>
      </c>
      <c r="W181" s="46">
        <v>29600</v>
      </c>
      <c r="X181" s="46">
        <v>30500</v>
      </c>
      <c r="Y181" s="46">
        <v>30800</v>
      </c>
      <c r="Z181" s="46">
        <v>30460</v>
      </c>
      <c r="AA181" s="46">
        <v>29830</v>
      </c>
      <c r="AB181" s="46">
        <v>29400</v>
      </c>
      <c r="AC181" s="46">
        <v>29520</v>
      </c>
      <c r="AD181" s="46">
        <v>30120</v>
      </c>
      <c r="AE181" s="46">
        <v>30850</v>
      </c>
      <c r="AF181" s="46">
        <v>30840</v>
      </c>
      <c r="AG181" s="46">
        <v>31510</v>
      </c>
      <c r="AH181" s="46">
        <v>31540</v>
      </c>
      <c r="AI181" s="46">
        <v>30690</v>
      </c>
    </row>
    <row r="182" spans="1:35" x14ac:dyDescent="0.25">
      <c r="A182" s="11">
        <f>$A$82</f>
        <v>67</v>
      </c>
      <c r="B182" s="29">
        <v>14490</v>
      </c>
      <c r="C182" s="29">
        <v>16080</v>
      </c>
      <c r="D182" s="29">
        <v>17200</v>
      </c>
      <c r="E182" s="29">
        <v>17370</v>
      </c>
      <c r="F182" s="29">
        <v>15630</v>
      </c>
      <c r="G182" s="29">
        <v>17630</v>
      </c>
      <c r="H182" s="29">
        <v>18190</v>
      </c>
      <c r="I182" s="29">
        <v>19250</v>
      </c>
      <c r="J182" s="29">
        <v>22790</v>
      </c>
      <c r="K182" s="29">
        <v>22630</v>
      </c>
      <c r="L182" s="29">
        <v>22650</v>
      </c>
      <c r="M182" s="46">
        <v>22790</v>
      </c>
      <c r="N182" s="46">
        <v>22870</v>
      </c>
      <c r="O182" s="46">
        <v>23370</v>
      </c>
      <c r="P182" s="46">
        <v>23890</v>
      </c>
      <c r="Q182" s="46">
        <v>24480</v>
      </c>
      <c r="R182" s="46">
        <v>24810</v>
      </c>
      <c r="S182" s="46">
        <v>25630</v>
      </c>
      <c r="T182" s="46">
        <v>26200</v>
      </c>
      <c r="U182" s="46">
        <v>26820</v>
      </c>
      <c r="V182" s="46">
        <v>28010</v>
      </c>
      <c r="W182" s="46">
        <v>28510</v>
      </c>
      <c r="X182" s="46">
        <v>29390</v>
      </c>
      <c r="Y182" s="46">
        <v>30280</v>
      </c>
      <c r="Z182" s="46">
        <v>30580</v>
      </c>
      <c r="AA182" s="46">
        <v>30250</v>
      </c>
      <c r="AB182" s="46">
        <v>29630</v>
      </c>
      <c r="AC182" s="46">
        <v>29210</v>
      </c>
      <c r="AD182" s="46">
        <v>29340</v>
      </c>
      <c r="AE182" s="46">
        <v>29940</v>
      </c>
      <c r="AF182" s="46">
        <v>30660</v>
      </c>
      <c r="AG182" s="46">
        <v>30660</v>
      </c>
      <c r="AH182" s="46">
        <v>31330</v>
      </c>
      <c r="AI182" s="46">
        <v>31360</v>
      </c>
    </row>
    <row r="183" spans="1:35" x14ac:dyDescent="0.25">
      <c r="A183" s="11">
        <f>$A$83</f>
        <v>68</v>
      </c>
      <c r="B183" s="29">
        <v>13990</v>
      </c>
      <c r="C183" s="29">
        <v>14260</v>
      </c>
      <c r="D183" s="29">
        <v>15840</v>
      </c>
      <c r="E183" s="29">
        <v>16980</v>
      </c>
      <c r="F183" s="29">
        <v>17180</v>
      </c>
      <c r="G183" s="29">
        <v>15460</v>
      </c>
      <c r="H183" s="29">
        <v>17420</v>
      </c>
      <c r="I183" s="29">
        <v>18010</v>
      </c>
      <c r="J183" s="29">
        <v>19040</v>
      </c>
      <c r="K183" s="29">
        <v>22450</v>
      </c>
      <c r="L183" s="29">
        <v>22440</v>
      </c>
      <c r="M183" s="46">
        <v>22410</v>
      </c>
      <c r="N183" s="46">
        <v>22540</v>
      </c>
      <c r="O183" s="46">
        <v>22670</v>
      </c>
      <c r="P183" s="46">
        <v>23350</v>
      </c>
      <c r="Q183" s="46">
        <v>23560</v>
      </c>
      <c r="R183" s="46">
        <v>24130</v>
      </c>
      <c r="S183" s="46">
        <v>24550</v>
      </c>
      <c r="T183" s="46">
        <v>25380</v>
      </c>
      <c r="U183" s="46">
        <v>25950</v>
      </c>
      <c r="V183" s="46">
        <v>26580</v>
      </c>
      <c r="W183" s="46">
        <v>27760</v>
      </c>
      <c r="X183" s="46">
        <v>28260</v>
      </c>
      <c r="Y183" s="46">
        <v>29130</v>
      </c>
      <c r="Z183" s="46">
        <v>30020</v>
      </c>
      <c r="AA183" s="46">
        <v>30330</v>
      </c>
      <c r="AB183" s="46">
        <v>30000</v>
      </c>
      <c r="AC183" s="46">
        <v>29400</v>
      </c>
      <c r="AD183" s="46">
        <v>28990</v>
      </c>
      <c r="AE183" s="46">
        <v>29120</v>
      </c>
      <c r="AF183" s="46">
        <v>29720</v>
      </c>
      <c r="AG183" s="46">
        <v>30440</v>
      </c>
      <c r="AH183" s="46">
        <v>30450</v>
      </c>
      <c r="AI183" s="46">
        <v>31110</v>
      </c>
    </row>
    <row r="184" spans="1:35" x14ac:dyDescent="0.25">
      <c r="A184" s="11">
        <f>$A$84</f>
        <v>69</v>
      </c>
      <c r="B184" s="29">
        <v>13200</v>
      </c>
      <c r="C184" s="29">
        <v>13760</v>
      </c>
      <c r="D184" s="29">
        <v>14020</v>
      </c>
      <c r="E184" s="29">
        <v>15590</v>
      </c>
      <c r="F184" s="29">
        <v>16690</v>
      </c>
      <c r="G184" s="29">
        <v>16960</v>
      </c>
      <c r="H184" s="29">
        <v>15240</v>
      </c>
      <c r="I184" s="29">
        <v>17190</v>
      </c>
      <c r="J184" s="29">
        <v>17730</v>
      </c>
      <c r="K184" s="29">
        <v>18770</v>
      </c>
      <c r="L184" s="29">
        <v>22160</v>
      </c>
      <c r="M184" s="46">
        <v>22100</v>
      </c>
      <c r="N184" s="46">
        <v>22140</v>
      </c>
      <c r="O184" s="46">
        <v>22300</v>
      </c>
      <c r="P184" s="46">
        <v>22680</v>
      </c>
      <c r="Q184" s="46">
        <v>22970</v>
      </c>
      <c r="R184" s="46">
        <v>23170</v>
      </c>
      <c r="S184" s="46">
        <v>23840</v>
      </c>
      <c r="T184" s="46">
        <v>24270</v>
      </c>
      <c r="U184" s="46">
        <v>25100</v>
      </c>
      <c r="V184" s="46">
        <v>25680</v>
      </c>
      <c r="W184" s="46">
        <v>26300</v>
      </c>
      <c r="X184" s="46">
        <v>27470</v>
      </c>
      <c r="Y184" s="46">
        <v>27980</v>
      </c>
      <c r="Z184" s="46">
        <v>28850</v>
      </c>
      <c r="AA184" s="46">
        <v>29730</v>
      </c>
      <c r="AB184" s="46">
        <v>30040</v>
      </c>
      <c r="AC184" s="46">
        <v>29730</v>
      </c>
      <c r="AD184" s="46">
        <v>29130</v>
      </c>
      <c r="AE184" s="46">
        <v>28730</v>
      </c>
      <c r="AF184" s="46">
        <v>28870</v>
      </c>
      <c r="AG184" s="46">
        <v>29470</v>
      </c>
      <c r="AH184" s="46">
        <v>30190</v>
      </c>
      <c r="AI184" s="46">
        <v>30200</v>
      </c>
    </row>
    <row r="185" spans="1:35" x14ac:dyDescent="0.25">
      <c r="A185" s="11">
        <f>$A$85</f>
        <v>70</v>
      </c>
      <c r="B185" s="29">
        <v>12400</v>
      </c>
      <c r="C185" s="29">
        <v>12920</v>
      </c>
      <c r="D185" s="29">
        <v>13480</v>
      </c>
      <c r="E185" s="29">
        <v>13750</v>
      </c>
      <c r="F185" s="29">
        <v>15340</v>
      </c>
      <c r="G185" s="29">
        <v>16390</v>
      </c>
      <c r="H185" s="29">
        <v>16680</v>
      </c>
      <c r="I185" s="29">
        <v>14990</v>
      </c>
      <c r="J185" s="29">
        <v>16930</v>
      </c>
      <c r="K185" s="29">
        <v>17460</v>
      </c>
      <c r="L185" s="29">
        <v>18500</v>
      </c>
      <c r="M185" s="46">
        <v>21800</v>
      </c>
      <c r="N185" s="46">
        <v>21730</v>
      </c>
      <c r="O185" s="46">
        <v>21840</v>
      </c>
      <c r="P185" s="46">
        <v>22200</v>
      </c>
      <c r="Q185" s="46">
        <v>22280</v>
      </c>
      <c r="R185" s="46">
        <v>22570</v>
      </c>
      <c r="S185" s="46">
        <v>22850</v>
      </c>
      <c r="T185" s="46">
        <v>23530</v>
      </c>
      <c r="U185" s="46">
        <v>23960</v>
      </c>
      <c r="V185" s="46">
        <v>24790</v>
      </c>
      <c r="W185" s="46">
        <v>25370</v>
      </c>
      <c r="X185" s="46">
        <v>25990</v>
      </c>
      <c r="Y185" s="46">
        <v>27160</v>
      </c>
      <c r="Z185" s="46">
        <v>27660</v>
      </c>
      <c r="AA185" s="46">
        <v>28530</v>
      </c>
      <c r="AB185" s="46">
        <v>29410</v>
      </c>
      <c r="AC185" s="46">
        <v>29720</v>
      </c>
      <c r="AD185" s="46">
        <v>29410</v>
      </c>
      <c r="AE185" s="46">
        <v>28830</v>
      </c>
      <c r="AF185" s="46">
        <v>28440</v>
      </c>
      <c r="AG185" s="46">
        <v>28590</v>
      </c>
      <c r="AH185" s="46">
        <v>29180</v>
      </c>
      <c r="AI185" s="46">
        <v>29900</v>
      </c>
    </row>
    <row r="186" spans="1:35" x14ac:dyDescent="0.25">
      <c r="A186" s="11">
        <f>$A$86</f>
        <v>71</v>
      </c>
      <c r="B186" s="29">
        <v>11940</v>
      </c>
      <c r="C186" s="29">
        <v>12080</v>
      </c>
      <c r="D186" s="29">
        <v>12600</v>
      </c>
      <c r="E186" s="29">
        <v>13170</v>
      </c>
      <c r="F186" s="29">
        <v>13490</v>
      </c>
      <c r="G186" s="29">
        <v>15030</v>
      </c>
      <c r="H186" s="29">
        <v>16060</v>
      </c>
      <c r="I186" s="29">
        <v>16410</v>
      </c>
      <c r="J186" s="29">
        <v>14720</v>
      </c>
      <c r="K186" s="29">
        <v>16580</v>
      </c>
      <c r="L186" s="29">
        <v>17190</v>
      </c>
      <c r="M186" s="46">
        <v>18220</v>
      </c>
      <c r="N186" s="46">
        <v>21400</v>
      </c>
      <c r="O186" s="46">
        <v>21450</v>
      </c>
      <c r="P186" s="46">
        <v>21680</v>
      </c>
      <c r="Q186" s="46">
        <v>21800</v>
      </c>
      <c r="R186" s="46">
        <v>21870</v>
      </c>
      <c r="S186" s="46">
        <v>22220</v>
      </c>
      <c r="T186" s="46">
        <v>22510</v>
      </c>
      <c r="U186" s="46">
        <v>23190</v>
      </c>
      <c r="V186" s="46">
        <v>23620</v>
      </c>
      <c r="W186" s="46">
        <v>24450</v>
      </c>
      <c r="X186" s="46">
        <v>25030</v>
      </c>
      <c r="Y186" s="46">
        <v>25650</v>
      </c>
      <c r="Z186" s="46">
        <v>26800</v>
      </c>
      <c r="AA186" s="46">
        <v>27310</v>
      </c>
      <c r="AB186" s="46">
        <v>28170</v>
      </c>
      <c r="AC186" s="46">
        <v>29040</v>
      </c>
      <c r="AD186" s="46">
        <v>29360</v>
      </c>
      <c r="AE186" s="46">
        <v>29060</v>
      </c>
      <c r="AF186" s="46">
        <v>28500</v>
      </c>
      <c r="AG186" s="46">
        <v>28120</v>
      </c>
      <c r="AH186" s="46">
        <v>28270</v>
      </c>
      <c r="AI186" s="46">
        <v>28860</v>
      </c>
    </row>
    <row r="187" spans="1:35" x14ac:dyDescent="0.25">
      <c r="A187" s="11">
        <f>$A$87</f>
        <v>72</v>
      </c>
      <c r="B187" s="29">
        <v>11370</v>
      </c>
      <c r="C187" s="29">
        <v>11660</v>
      </c>
      <c r="D187" s="29">
        <v>11800</v>
      </c>
      <c r="E187" s="29">
        <v>12290</v>
      </c>
      <c r="F187" s="29">
        <v>12880</v>
      </c>
      <c r="G187" s="29">
        <v>13170</v>
      </c>
      <c r="H187" s="29">
        <v>14710</v>
      </c>
      <c r="I187" s="29">
        <v>15750</v>
      </c>
      <c r="J187" s="29">
        <v>16070</v>
      </c>
      <c r="K187" s="29">
        <v>14420</v>
      </c>
      <c r="L187" s="29">
        <v>16260</v>
      </c>
      <c r="M187" s="46">
        <v>16840</v>
      </c>
      <c r="N187" s="46">
        <v>17870</v>
      </c>
      <c r="O187" s="46">
        <v>21020</v>
      </c>
      <c r="P187" s="46">
        <v>21290</v>
      </c>
      <c r="Q187" s="46">
        <v>21230</v>
      </c>
      <c r="R187" s="46">
        <v>21290</v>
      </c>
      <c r="S187" s="46">
        <v>21500</v>
      </c>
      <c r="T187" s="46">
        <v>21850</v>
      </c>
      <c r="U187" s="46">
        <v>22140</v>
      </c>
      <c r="V187" s="46">
        <v>22820</v>
      </c>
      <c r="W187" s="46">
        <v>23250</v>
      </c>
      <c r="X187" s="46">
        <v>24070</v>
      </c>
      <c r="Y187" s="46">
        <v>24650</v>
      </c>
      <c r="Z187" s="46">
        <v>25270</v>
      </c>
      <c r="AA187" s="46">
        <v>26410</v>
      </c>
      <c r="AB187" s="46">
        <v>26920</v>
      </c>
      <c r="AC187" s="46">
        <v>27770</v>
      </c>
      <c r="AD187" s="46">
        <v>28640</v>
      </c>
      <c r="AE187" s="46">
        <v>28960</v>
      </c>
      <c r="AF187" s="46">
        <v>28680</v>
      </c>
      <c r="AG187" s="46">
        <v>28130</v>
      </c>
      <c r="AH187" s="46">
        <v>27770</v>
      </c>
      <c r="AI187" s="46">
        <v>27920</v>
      </c>
    </row>
    <row r="188" spans="1:35" x14ac:dyDescent="0.25">
      <c r="A188" s="11">
        <f>$A$88</f>
        <v>73</v>
      </c>
      <c r="B188" s="29">
        <v>10890</v>
      </c>
      <c r="C188" s="29">
        <v>11030</v>
      </c>
      <c r="D188" s="29">
        <v>11360</v>
      </c>
      <c r="E188" s="29">
        <v>11460</v>
      </c>
      <c r="F188" s="29">
        <v>11980</v>
      </c>
      <c r="G188" s="29">
        <v>12540</v>
      </c>
      <c r="H188" s="29">
        <v>12830</v>
      </c>
      <c r="I188" s="29">
        <v>14360</v>
      </c>
      <c r="J188" s="29">
        <v>15350</v>
      </c>
      <c r="K188" s="29">
        <v>15670</v>
      </c>
      <c r="L188" s="29">
        <v>14100</v>
      </c>
      <c r="M188" s="46">
        <v>15900</v>
      </c>
      <c r="N188" s="46">
        <v>16460</v>
      </c>
      <c r="O188" s="46">
        <v>17490</v>
      </c>
      <c r="P188" s="46">
        <v>20780</v>
      </c>
      <c r="Q188" s="46">
        <v>20830</v>
      </c>
      <c r="R188" s="46">
        <v>20790</v>
      </c>
      <c r="S188" s="46">
        <v>20880</v>
      </c>
      <c r="T188" s="46">
        <v>21090</v>
      </c>
      <c r="U188" s="46">
        <v>21450</v>
      </c>
      <c r="V188" s="46">
        <v>21750</v>
      </c>
      <c r="W188" s="46">
        <v>22420</v>
      </c>
      <c r="X188" s="46">
        <v>22850</v>
      </c>
      <c r="Y188" s="46">
        <v>23670</v>
      </c>
      <c r="Z188" s="46">
        <v>24240</v>
      </c>
      <c r="AA188" s="46">
        <v>24860</v>
      </c>
      <c r="AB188" s="46">
        <v>25990</v>
      </c>
      <c r="AC188" s="46">
        <v>26490</v>
      </c>
      <c r="AD188" s="46">
        <v>27340</v>
      </c>
      <c r="AE188" s="46">
        <v>28210</v>
      </c>
      <c r="AF188" s="46">
        <v>28530</v>
      </c>
      <c r="AG188" s="46">
        <v>28260</v>
      </c>
      <c r="AH188" s="46">
        <v>27730</v>
      </c>
      <c r="AI188" s="46">
        <v>27370</v>
      </c>
    </row>
    <row r="189" spans="1:35" x14ac:dyDescent="0.25">
      <c r="A189" s="11">
        <f>$A$89</f>
        <v>74</v>
      </c>
      <c r="B189" s="29">
        <v>10790</v>
      </c>
      <c r="C189" s="29">
        <v>10530</v>
      </c>
      <c r="D189" s="29">
        <v>10700</v>
      </c>
      <c r="E189" s="29">
        <v>11010</v>
      </c>
      <c r="F189" s="29">
        <v>11130</v>
      </c>
      <c r="G189" s="29">
        <v>11670</v>
      </c>
      <c r="H189" s="29">
        <v>12190</v>
      </c>
      <c r="I189" s="29">
        <v>12520</v>
      </c>
      <c r="J189" s="29">
        <v>13970</v>
      </c>
      <c r="K189" s="29">
        <v>14970</v>
      </c>
      <c r="L189" s="29">
        <v>15210</v>
      </c>
      <c r="M189" s="46">
        <v>13760</v>
      </c>
      <c r="N189" s="46">
        <v>15520</v>
      </c>
      <c r="O189" s="46">
        <v>16110</v>
      </c>
      <c r="P189" s="46">
        <v>17240</v>
      </c>
      <c r="Q189" s="46">
        <v>20270</v>
      </c>
      <c r="R189" s="46">
        <v>20330</v>
      </c>
      <c r="S189" s="46">
        <v>20330</v>
      </c>
      <c r="T189" s="46">
        <v>20430</v>
      </c>
      <c r="U189" s="46">
        <v>20650</v>
      </c>
      <c r="V189" s="46">
        <v>21010</v>
      </c>
      <c r="W189" s="46">
        <v>21310</v>
      </c>
      <c r="X189" s="46">
        <v>21980</v>
      </c>
      <c r="Y189" s="46">
        <v>22410</v>
      </c>
      <c r="Z189" s="46">
        <v>23220</v>
      </c>
      <c r="AA189" s="46">
        <v>23790</v>
      </c>
      <c r="AB189" s="46">
        <v>24400</v>
      </c>
      <c r="AC189" s="46">
        <v>25520</v>
      </c>
      <c r="AD189" s="46">
        <v>26020</v>
      </c>
      <c r="AE189" s="46">
        <v>26870</v>
      </c>
      <c r="AF189" s="46">
        <v>27730</v>
      </c>
      <c r="AG189" s="46">
        <v>28050</v>
      </c>
      <c r="AH189" s="46">
        <v>27800</v>
      </c>
      <c r="AI189" s="46">
        <v>27280</v>
      </c>
    </row>
    <row r="190" spans="1:35" x14ac:dyDescent="0.25">
      <c r="A190" s="11">
        <f>$A$90</f>
        <v>75</v>
      </c>
      <c r="B190" s="29">
        <v>10770</v>
      </c>
      <c r="C190" s="29">
        <v>10450</v>
      </c>
      <c r="D190" s="29">
        <v>10190</v>
      </c>
      <c r="E190" s="29">
        <v>10350</v>
      </c>
      <c r="F190" s="29">
        <v>10640</v>
      </c>
      <c r="G190" s="29">
        <v>10790</v>
      </c>
      <c r="H190" s="29">
        <v>11310</v>
      </c>
      <c r="I190" s="29">
        <v>11820</v>
      </c>
      <c r="J190" s="29">
        <v>12190</v>
      </c>
      <c r="K190" s="29">
        <v>13560</v>
      </c>
      <c r="L190" s="29">
        <v>14520</v>
      </c>
      <c r="M190" s="46">
        <v>14800</v>
      </c>
      <c r="N190" s="46">
        <v>13350</v>
      </c>
      <c r="O190" s="46">
        <v>15150</v>
      </c>
      <c r="P190" s="46">
        <v>15820</v>
      </c>
      <c r="Q190" s="46">
        <v>16770</v>
      </c>
      <c r="R190" s="46">
        <v>19760</v>
      </c>
      <c r="S190" s="46">
        <v>19830</v>
      </c>
      <c r="T190" s="46">
        <v>19840</v>
      </c>
      <c r="U190" s="46">
        <v>19950</v>
      </c>
      <c r="V190" s="46">
        <v>20170</v>
      </c>
      <c r="W190" s="46">
        <v>20530</v>
      </c>
      <c r="X190" s="46">
        <v>20840</v>
      </c>
      <c r="Y190" s="46">
        <v>21500</v>
      </c>
      <c r="Z190" s="46">
        <v>21930</v>
      </c>
      <c r="AA190" s="46">
        <v>22730</v>
      </c>
      <c r="AB190" s="46">
        <v>23300</v>
      </c>
      <c r="AC190" s="46">
        <v>23910</v>
      </c>
      <c r="AD190" s="46">
        <v>25010</v>
      </c>
      <c r="AE190" s="46">
        <v>25510</v>
      </c>
      <c r="AF190" s="46">
        <v>26350</v>
      </c>
      <c r="AG190" s="46">
        <v>27200</v>
      </c>
      <c r="AH190" s="46">
        <v>27530</v>
      </c>
      <c r="AI190" s="46">
        <v>27290</v>
      </c>
    </row>
    <row r="191" spans="1:35" x14ac:dyDescent="0.25">
      <c r="A191" s="11">
        <f>$A$91</f>
        <v>76</v>
      </c>
      <c r="B191" s="29">
        <v>10040</v>
      </c>
      <c r="C191" s="29">
        <v>10380</v>
      </c>
      <c r="D191" s="29">
        <v>10070</v>
      </c>
      <c r="E191" s="29">
        <v>9830</v>
      </c>
      <c r="F191" s="29">
        <v>9980</v>
      </c>
      <c r="G191" s="29">
        <v>10290</v>
      </c>
      <c r="H191" s="29">
        <v>10410</v>
      </c>
      <c r="I191" s="29">
        <v>10910</v>
      </c>
      <c r="J191" s="29">
        <v>11440</v>
      </c>
      <c r="K191" s="29">
        <v>11770</v>
      </c>
      <c r="L191" s="29">
        <v>13120</v>
      </c>
      <c r="M191" s="46">
        <v>14050</v>
      </c>
      <c r="N191" s="46">
        <v>14300</v>
      </c>
      <c r="O191" s="46">
        <v>12960</v>
      </c>
      <c r="P191" s="46">
        <v>14820</v>
      </c>
      <c r="Q191" s="46">
        <v>15400</v>
      </c>
      <c r="R191" s="46">
        <v>16240</v>
      </c>
      <c r="S191" s="46">
        <v>19210</v>
      </c>
      <c r="T191" s="46">
        <v>19290</v>
      </c>
      <c r="U191" s="46">
        <v>19310</v>
      </c>
      <c r="V191" s="46">
        <v>19430</v>
      </c>
      <c r="W191" s="46">
        <v>19660</v>
      </c>
      <c r="X191" s="46">
        <v>20020</v>
      </c>
      <c r="Y191" s="46">
        <v>20320</v>
      </c>
      <c r="Z191" s="46">
        <v>20980</v>
      </c>
      <c r="AA191" s="46">
        <v>21410</v>
      </c>
      <c r="AB191" s="46">
        <v>22200</v>
      </c>
      <c r="AC191" s="46">
        <v>22760</v>
      </c>
      <c r="AD191" s="46">
        <v>23360</v>
      </c>
      <c r="AE191" s="46">
        <v>24450</v>
      </c>
      <c r="AF191" s="46">
        <v>24960</v>
      </c>
      <c r="AG191" s="46">
        <v>25790</v>
      </c>
      <c r="AH191" s="46">
        <v>26630</v>
      </c>
      <c r="AI191" s="46">
        <v>26960</v>
      </c>
    </row>
    <row r="192" spans="1:35" x14ac:dyDescent="0.25">
      <c r="A192" s="11">
        <f>$A$92</f>
        <v>77</v>
      </c>
      <c r="B192" s="29">
        <v>9480</v>
      </c>
      <c r="C192" s="29">
        <v>9590</v>
      </c>
      <c r="D192" s="29">
        <v>9950</v>
      </c>
      <c r="E192" s="29">
        <v>9670</v>
      </c>
      <c r="F192" s="29">
        <v>9460</v>
      </c>
      <c r="G192" s="29">
        <v>9610</v>
      </c>
      <c r="H192" s="29">
        <v>9880</v>
      </c>
      <c r="I192" s="29">
        <v>10020</v>
      </c>
      <c r="J192" s="29">
        <v>10540</v>
      </c>
      <c r="K192" s="29">
        <v>11040</v>
      </c>
      <c r="L192" s="29">
        <v>11370</v>
      </c>
      <c r="M192" s="46">
        <v>12630</v>
      </c>
      <c r="N192" s="46">
        <v>13550</v>
      </c>
      <c r="O192" s="46">
        <v>13870</v>
      </c>
      <c r="P192" s="46">
        <v>12630</v>
      </c>
      <c r="Q192" s="46">
        <v>14360</v>
      </c>
      <c r="R192" s="46">
        <v>14900</v>
      </c>
      <c r="S192" s="46">
        <v>15730</v>
      </c>
      <c r="T192" s="46">
        <v>18620</v>
      </c>
      <c r="U192" s="46">
        <v>18710</v>
      </c>
      <c r="V192" s="46">
        <v>18740</v>
      </c>
      <c r="W192" s="46">
        <v>18870</v>
      </c>
      <c r="X192" s="46">
        <v>19090</v>
      </c>
      <c r="Y192" s="46">
        <v>19450</v>
      </c>
      <c r="Z192" s="46">
        <v>19760</v>
      </c>
      <c r="AA192" s="46">
        <v>20410</v>
      </c>
      <c r="AB192" s="46">
        <v>20840</v>
      </c>
      <c r="AC192" s="46">
        <v>21610</v>
      </c>
      <c r="AD192" s="46">
        <v>22170</v>
      </c>
      <c r="AE192" s="46">
        <v>22770</v>
      </c>
      <c r="AF192" s="46">
        <v>23840</v>
      </c>
      <c r="AG192" s="46">
        <v>24340</v>
      </c>
      <c r="AH192" s="46">
        <v>25160</v>
      </c>
      <c r="AI192" s="46">
        <v>26000</v>
      </c>
    </row>
    <row r="193" spans="1:35" x14ac:dyDescent="0.25">
      <c r="A193" s="11">
        <f>$A$93</f>
        <v>78</v>
      </c>
      <c r="B193" s="29">
        <v>9060</v>
      </c>
      <c r="C193" s="29">
        <v>9040</v>
      </c>
      <c r="D193" s="29">
        <v>9120</v>
      </c>
      <c r="E193" s="29">
        <v>9480</v>
      </c>
      <c r="F193" s="29">
        <v>9290</v>
      </c>
      <c r="G193" s="29">
        <v>8990</v>
      </c>
      <c r="H193" s="29">
        <v>9200</v>
      </c>
      <c r="I193" s="29">
        <v>9480</v>
      </c>
      <c r="J193" s="29">
        <v>9600</v>
      </c>
      <c r="K193" s="29">
        <v>10100</v>
      </c>
      <c r="L193" s="29">
        <v>10560</v>
      </c>
      <c r="M193" s="46">
        <v>10970</v>
      </c>
      <c r="N193" s="46">
        <v>12090</v>
      </c>
      <c r="O193" s="46">
        <v>13060</v>
      </c>
      <c r="P193" s="46">
        <v>13460</v>
      </c>
      <c r="Q193" s="46">
        <v>12140</v>
      </c>
      <c r="R193" s="46">
        <v>13830</v>
      </c>
      <c r="S193" s="46">
        <v>14370</v>
      </c>
      <c r="T193" s="46">
        <v>15180</v>
      </c>
      <c r="U193" s="46">
        <v>17980</v>
      </c>
      <c r="V193" s="46">
        <v>18080</v>
      </c>
      <c r="W193" s="46">
        <v>18120</v>
      </c>
      <c r="X193" s="46">
        <v>18250</v>
      </c>
      <c r="Y193" s="46">
        <v>18480</v>
      </c>
      <c r="Z193" s="46">
        <v>18840</v>
      </c>
      <c r="AA193" s="46">
        <v>19150</v>
      </c>
      <c r="AB193" s="46">
        <v>19790</v>
      </c>
      <c r="AC193" s="46">
        <v>20210</v>
      </c>
      <c r="AD193" s="46">
        <v>20970</v>
      </c>
      <c r="AE193" s="46">
        <v>21530</v>
      </c>
      <c r="AF193" s="46">
        <v>22120</v>
      </c>
      <c r="AG193" s="46">
        <v>23170</v>
      </c>
      <c r="AH193" s="46">
        <v>23670</v>
      </c>
      <c r="AI193" s="46">
        <v>24480</v>
      </c>
    </row>
    <row r="194" spans="1:35" x14ac:dyDescent="0.25">
      <c r="A194" s="11">
        <f>$A$94</f>
        <v>79</v>
      </c>
      <c r="B194" s="29">
        <v>8220</v>
      </c>
      <c r="C194" s="29">
        <v>8550</v>
      </c>
      <c r="D194" s="29">
        <v>8580</v>
      </c>
      <c r="E194" s="29">
        <v>8610</v>
      </c>
      <c r="F194" s="29">
        <v>9030</v>
      </c>
      <c r="G194" s="29">
        <v>8850</v>
      </c>
      <c r="H194" s="29">
        <v>8550</v>
      </c>
      <c r="I194" s="29">
        <v>8780</v>
      </c>
      <c r="J194" s="29">
        <v>9020</v>
      </c>
      <c r="K194" s="29">
        <v>9180</v>
      </c>
      <c r="L194" s="29">
        <v>9650</v>
      </c>
      <c r="M194" s="46">
        <v>10060</v>
      </c>
      <c r="N194" s="46">
        <v>10510</v>
      </c>
      <c r="O194" s="46">
        <v>11590</v>
      </c>
      <c r="P194" s="46">
        <v>12590</v>
      </c>
      <c r="Q194" s="46">
        <v>12930</v>
      </c>
      <c r="R194" s="46">
        <v>11620</v>
      </c>
      <c r="S194" s="46">
        <v>13280</v>
      </c>
      <c r="T194" s="46">
        <v>13800</v>
      </c>
      <c r="U194" s="46">
        <v>14590</v>
      </c>
      <c r="V194" s="46">
        <v>17300</v>
      </c>
      <c r="W194" s="46">
        <v>17390</v>
      </c>
      <c r="X194" s="46">
        <v>17450</v>
      </c>
      <c r="Y194" s="46">
        <v>17590</v>
      </c>
      <c r="Z194" s="46">
        <v>17820</v>
      </c>
      <c r="AA194" s="46">
        <v>18180</v>
      </c>
      <c r="AB194" s="46">
        <v>18490</v>
      </c>
      <c r="AC194" s="46">
        <v>19110</v>
      </c>
      <c r="AD194" s="46">
        <v>19530</v>
      </c>
      <c r="AE194" s="46">
        <v>20280</v>
      </c>
      <c r="AF194" s="46">
        <v>20820</v>
      </c>
      <c r="AG194" s="46">
        <v>21410</v>
      </c>
      <c r="AH194" s="46">
        <v>22440</v>
      </c>
      <c r="AI194" s="46">
        <v>22930</v>
      </c>
    </row>
    <row r="195" spans="1:35" x14ac:dyDescent="0.25">
      <c r="A195" s="11">
        <f>$A$95</f>
        <v>80</v>
      </c>
      <c r="B195" s="29">
        <v>7520</v>
      </c>
      <c r="C195" s="29">
        <v>7750</v>
      </c>
      <c r="D195" s="29">
        <v>8010</v>
      </c>
      <c r="E195" s="29">
        <v>8070</v>
      </c>
      <c r="F195" s="29">
        <v>8120</v>
      </c>
      <c r="G195" s="29">
        <v>8560</v>
      </c>
      <c r="H195" s="29">
        <v>8390</v>
      </c>
      <c r="I195" s="29">
        <v>8100</v>
      </c>
      <c r="J195" s="29">
        <v>8340</v>
      </c>
      <c r="K195" s="29">
        <v>8550</v>
      </c>
      <c r="L195" s="29">
        <v>8730</v>
      </c>
      <c r="M195" s="46">
        <v>9160</v>
      </c>
      <c r="N195" s="46">
        <v>9570</v>
      </c>
      <c r="O195" s="46">
        <v>10060</v>
      </c>
      <c r="P195" s="46">
        <v>11120</v>
      </c>
      <c r="Q195" s="46">
        <v>12030</v>
      </c>
      <c r="R195" s="46">
        <v>12380</v>
      </c>
      <c r="S195" s="46">
        <v>11090</v>
      </c>
      <c r="T195" s="46">
        <v>12680</v>
      </c>
      <c r="U195" s="46">
        <v>13190</v>
      </c>
      <c r="V195" s="46">
        <v>13960</v>
      </c>
      <c r="W195" s="46">
        <v>16550</v>
      </c>
      <c r="X195" s="46">
        <v>16660</v>
      </c>
      <c r="Y195" s="46">
        <v>16720</v>
      </c>
      <c r="Z195" s="46">
        <v>16870</v>
      </c>
      <c r="AA195" s="46">
        <v>17100</v>
      </c>
      <c r="AB195" s="46">
        <v>17460</v>
      </c>
      <c r="AC195" s="46">
        <v>17760</v>
      </c>
      <c r="AD195" s="46">
        <v>18370</v>
      </c>
      <c r="AE195" s="46">
        <v>18790</v>
      </c>
      <c r="AF195" s="46">
        <v>19520</v>
      </c>
      <c r="AG195" s="46">
        <v>20060</v>
      </c>
      <c r="AH195" s="46">
        <v>20630</v>
      </c>
      <c r="AI195" s="46">
        <v>21640</v>
      </c>
    </row>
    <row r="196" spans="1:35" x14ac:dyDescent="0.25">
      <c r="A196" s="11">
        <f>$A$96</f>
        <v>81</v>
      </c>
      <c r="B196" s="29">
        <v>6900</v>
      </c>
      <c r="C196" s="29">
        <v>6990</v>
      </c>
      <c r="D196" s="29">
        <v>7210</v>
      </c>
      <c r="E196" s="29">
        <v>7500</v>
      </c>
      <c r="F196" s="29">
        <v>7560</v>
      </c>
      <c r="G196" s="29">
        <v>7650</v>
      </c>
      <c r="H196" s="29">
        <v>8040</v>
      </c>
      <c r="I196" s="29">
        <v>7900</v>
      </c>
      <c r="J196" s="29">
        <v>7640</v>
      </c>
      <c r="K196" s="29">
        <v>7870</v>
      </c>
      <c r="L196" s="29">
        <v>8080</v>
      </c>
      <c r="M196" s="46">
        <v>8180</v>
      </c>
      <c r="N196" s="46">
        <v>8610</v>
      </c>
      <c r="O196" s="46">
        <v>9060</v>
      </c>
      <c r="P196" s="46">
        <v>9580</v>
      </c>
      <c r="Q196" s="46">
        <v>10560</v>
      </c>
      <c r="R196" s="46">
        <v>11420</v>
      </c>
      <c r="S196" s="46">
        <v>11740</v>
      </c>
      <c r="T196" s="46">
        <v>10520</v>
      </c>
      <c r="U196" s="46">
        <v>12040</v>
      </c>
      <c r="V196" s="46">
        <v>12540</v>
      </c>
      <c r="W196" s="46">
        <v>13270</v>
      </c>
      <c r="X196" s="46">
        <v>15750</v>
      </c>
      <c r="Y196" s="46">
        <v>15870</v>
      </c>
      <c r="Z196" s="46">
        <v>15940</v>
      </c>
      <c r="AA196" s="46">
        <v>16090</v>
      </c>
      <c r="AB196" s="46">
        <v>16330</v>
      </c>
      <c r="AC196" s="46">
        <v>16670</v>
      </c>
      <c r="AD196" s="46">
        <v>16970</v>
      </c>
      <c r="AE196" s="46">
        <v>17570</v>
      </c>
      <c r="AF196" s="46">
        <v>17980</v>
      </c>
      <c r="AG196" s="46">
        <v>18690</v>
      </c>
      <c r="AH196" s="46">
        <v>19220</v>
      </c>
      <c r="AI196" s="46">
        <v>19780</v>
      </c>
    </row>
    <row r="197" spans="1:35" x14ac:dyDescent="0.25">
      <c r="A197" s="11">
        <f>$A$97</f>
        <v>82</v>
      </c>
      <c r="B197" s="29">
        <v>5900</v>
      </c>
      <c r="C197" s="29">
        <v>6400</v>
      </c>
      <c r="D197" s="29">
        <v>6460</v>
      </c>
      <c r="E197" s="29">
        <v>6720</v>
      </c>
      <c r="F197" s="29">
        <v>6960</v>
      </c>
      <c r="G197" s="29">
        <v>7040</v>
      </c>
      <c r="H197" s="29">
        <v>7130</v>
      </c>
      <c r="I197" s="29">
        <v>7540</v>
      </c>
      <c r="J197" s="29">
        <v>7360</v>
      </c>
      <c r="K197" s="29">
        <v>7100</v>
      </c>
      <c r="L197" s="29">
        <v>7370</v>
      </c>
      <c r="M197" s="46">
        <v>7560</v>
      </c>
      <c r="N197" s="46">
        <v>7630</v>
      </c>
      <c r="O197" s="46">
        <v>8090</v>
      </c>
      <c r="P197" s="46">
        <v>8550</v>
      </c>
      <c r="Q197" s="46">
        <v>9090</v>
      </c>
      <c r="R197" s="46">
        <v>10000</v>
      </c>
      <c r="S197" s="46">
        <v>10750</v>
      </c>
      <c r="T197" s="46">
        <v>11060</v>
      </c>
      <c r="U197" s="46">
        <v>9920</v>
      </c>
      <c r="V197" s="46">
        <v>11360</v>
      </c>
      <c r="W197" s="46">
        <v>11840</v>
      </c>
      <c r="X197" s="46">
        <v>12540</v>
      </c>
      <c r="Y197" s="46">
        <v>14900</v>
      </c>
      <c r="Z197" s="46">
        <v>15030</v>
      </c>
      <c r="AA197" s="46">
        <v>15110</v>
      </c>
      <c r="AB197" s="46">
        <v>15260</v>
      </c>
      <c r="AC197" s="46">
        <v>15490</v>
      </c>
      <c r="AD197" s="46">
        <v>15830</v>
      </c>
      <c r="AE197" s="46">
        <v>16130</v>
      </c>
      <c r="AF197" s="46">
        <v>16710</v>
      </c>
      <c r="AG197" s="46">
        <v>17110</v>
      </c>
      <c r="AH197" s="46">
        <v>17800</v>
      </c>
      <c r="AI197" s="46">
        <v>18310</v>
      </c>
    </row>
    <row r="198" spans="1:35" x14ac:dyDescent="0.25">
      <c r="A198" s="11">
        <f>$A$98</f>
        <v>83</v>
      </c>
      <c r="B198" s="29">
        <v>5210</v>
      </c>
      <c r="C198" s="29">
        <v>5440</v>
      </c>
      <c r="D198" s="29">
        <v>5830</v>
      </c>
      <c r="E198" s="29">
        <v>5940</v>
      </c>
      <c r="F198" s="29">
        <v>6210</v>
      </c>
      <c r="G198" s="29">
        <v>6400</v>
      </c>
      <c r="H198" s="29">
        <v>6540</v>
      </c>
      <c r="I198" s="29">
        <v>6570</v>
      </c>
      <c r="J198" s="29">
        <v>7000</v>
      </c>
      <c r="K198" s="29">
        <v>6820</v>
      </c>
      <c r="L198" s="29">
        <v>6610</v>
      </c>
      <c r="M198" s="46">
        <v>6860</v>
      </c>
      <c r="N198" s="46">
        <v>7010</v>
      </c>
      <c r="O198" s="46">
        <v>7070</v>
      </c>
      <c r="P198" s="46">
        <v>7600</v>
      </c>
      <c r="Q198" s="46">
        <v>8000</v>
      </c>
      <c r="R198" s="46">
        <v>8510</v>
      </c>
      <c r="S198" s="46">
        <v>9330</v>
      </c>
      <c r="T198" s="46">
        <v>10040</v>
      </c>
      <c r="U198" s="46">
        <v>10340</v>
      </c>
      <c r="V198" s="46">
        <v>9290</v>
      </c>
      <c r="W198" s="46">
        <v>10640</v>
      </c>
      <c r="X198" s="46">
        <v>11100</v>
      </c>
      <c r="Y198" s="46">
        <v>11770</v>
      </c>
      <c r="Z198" s="46">
        <v>14000</v>
      </c>
      <c r="AA198" s="46">
        <v>14130</v>
      </c>
      <c r="AB198" s="46">
        <v>14210</v>
      </c>
      <c r="AC198" s="46">
        <v>14360</v>
      </c>
      <c r="AD198" s="46">
        <v>14590</v>
      </c>
      <c r="AE198" s="46">
        <v>14920</v>
      </c>
      <c r="AF198" s="46">
        <v>15220</v>
      </c>
      <c r="AG198" s="46">
        <v>15780</v>
      </c>
      <c r="AH198" s="46">
        <v>16170</v>
      </c>
      <c r="AI198" s="46">
        <v>16830</v>
      </c>
    </row>
    <row r="199" spans="1:35" x14ac:dyDescent="0.25">
      <c r="A199" s="11">
        <f>$A$99</f>
        <v>84</v>
      </c>
      <c r="B199" s="29">
        <v>4650</v>
      </c>
      <c r="C199" s="29">
        <v>4730</v>
      </c>
      <c r="D199" s="29">
        <v>4950</v>
      </c>
      <c r="E199" s="29">
        <v>5290</v>
      </c>
      <c r="F199" s="29">
        <v>5380</v>
      </c>
      <c r="G199" s="29">
        <v>5700</v>
      </c>
      <c r="H199" s="29">
        <v>5860</v>
      </c>
      <c r="I199" s="29">
        <v>6000</v>
      </c>
      <c r="J199" s="29">
        <v>5990</v>
      </c>
      <c r="K199" s="29">
        <v>6480</v>
      </c>
      <c r="L199" s="29">
        <v>6250</v>
      </c>
      <c r="M199" s="46">
        <v>6040</v>
      </c>
      <c r="N199" s="46">
        <v>6300</v>
      </c>
      <c r="O199" s="46">
        <v>6480</v>
      </c>
      <c r="P199" s="46">
        <v>6600</v>
      </c>
      <c r="Q199" s="46">
        <v>7030</v>
      </c>
      <c r="R199" s="46">
        <v>7450</v>
      </c>
      <c r="S199" s="46">
        <v>7870</v>
      </c>
      <c r="T199" s="46">
        <v>8640</v>
      </c>
      <c r="U199" s="46">
        <v>9300</v>
      </c>
      <c r="V199" s="46">
        <v>9590</v>
      </c>
      <c r="W199" s="46">
        <v>8620</v>
      </c>
      <c r="X199" s="46">
        <v>9890</v>
      </c>
      <c r="Y199" s="46">
        <v>10320</v>
      </c>
      <c r="Z199" s="46">
        <v>10960</v>
      </c>
      <c r="AA199" s="46">
        <v>13040</v>
      </c>
      <c r="AB199" s="46">
        <v>13170</v>
      </c>
      <c r="AC199" s="46">
        <v>13260</v>
      </c>
      <c r="AD199" s="46">
        <v>13410</v>
      </c>
      <c r="AE199" s="46">
        <v>13630</v>
      </c>
      <c r="AF199" s="46">
        <v>13960</v>
      </c>
      <c r="AG199" s="46">
        <v>14250</v>
      </c>
      <c r="AH199" s="46">
        <v>14780</v>
      </c>
      <c r="AI199" s="46">
        <v>15160</v>
      </c>
    </row>
    <row r="200" spans="1:35" x14ac:dyDescent="0.25">
      <c r="A200" s="11">
        <f>$A$100</f>
        <v>85</v>
      </c>
      <c r="B200" s="29">
        <v>3850</v>
      </c>
      <c r="C200" s="29">
        <v>4140</v>
      </c>
      <c r="D200" s="29">
        <v>4250</v>
      </c>
      <c r="E200" s="29">
        <v>4440</v>
      </c>
      <c r="F200" s="29">
        <v>4760</v>
      </c>
      <c r="G200" s="29">
        <v>4830</v>
      </c>
      <c r="H200" s="29">
        <v>5160</v>
      </c>
      <c r="I200" s="29">
        <v>5280</v>
      </c>
      <c r="J200" s="29">
        <v>5440</v>
      </c>
      <c r="K200" s="29">
        <v>5450</v>
      </c>
      <c r="L200" s="29">
        <v>5910</v>
      </c>
      <c r="M200" s="46">
        <v>5620</v>
      </c>
      <c r="N200" s="46">
        <v>5480</v>
      </c>
      <c r="O200" s="46">
        <v>5770</v>
      </c>
      <c r="P200" s="46">
        <v>5960</v>
      </c>
      <c r="Q200" s="46">
        <v>6050</v>
      </c>
      <c r="R200" s="46">
        <v>6410</v>
      </c>
      <c r="S200" s="46">
        <v>6810</v>
      </c>
      <c r="T200" s="46">
        <v>7200</v>
      </c>
      <c r="U200" s="46">
        <v>7920</v>
      </c>
      <c r="V200" s="46">
        <v>8530</v>
      </c>
      <c r="W200" s="46">
        <v>8800</v>
      </c>
      <c r="X200" s="46">
        <v>7920</v>
      </c>
      <c r="Y200" s="46">
        <v>9100</v>
      </c>
      <c r="Z200" s="46">
        <v>9510</v>
      </c>
      <c r="AA200" s="46">
        <v>10100</v>
      </c>
      <c r="AB200" s="46">
        <v>12030</v>
      </c>
      <c r="AC200" s="46">
        <v>12160</v>
      </c>
      <c r="AD200" s="46">
        <v>12250</v>
      </c>
      <c r="AE200" s="46">
        <v>12400</v>
      </c>
      <c r="AF200" s="46">
        <v>12630</v>
      </c>
      <c r="AG200" s="46">
        <v>12940</v>
      </c>
      <c r="AH200" s="46">
        <v>13220</v>
      </c>
      <c r="AI200" s="46">
        <v>13720</v>
      </c>
    </row>
    <row r="201" spans="1:35" x14ac:dyDescent="0.25">
      <c r="A201" s="11">
        <f>$A$101</f>
        <v>86</v>
      </c>
      <c r="B201" s="29">
        <v>3290</v>
      </c>
      <c r="C201" s="29">
        <v>3420</v>
      </c>
      <c r="D201" s="29">
        <v>3640</v>
      </c>
      <c r="E201" s="29">
        <v>3790</v>
      </c>
      <c r="F201" s="29">
        <v>3970</v>
      </c>
      <c r="G201" s="29">
        <v>4250</v>
      </c>
      <c r="H201" s="29">
        <v>4310</v>
      </c>
      <c r="I201" s="29">
        <v>4610</v>
      </c>
      <c r="J201" s="29">
        <v>4730</v>
      </c>
      <c r="K201" s="29">
        <v>4860</v>
      </c>
      <c r="L201" s="29">
        <v>4890</v>
      </c>
      <c r="M201" s="46">
        <v>5290</v>
      </c>
      <c r="N201" s="46">
        <v>5020</v>
      </c>
      <c r="O201" s="46">
        <v>4980</v>
      </c>
      <c r="P201" s="46">
        <v>5230</v>
      </c>
      <c r="Q201" s="46">
        <v>5430</v>
      </c>
      <c r="R201" s="46">
        <v>5500</v>
      </c>
      <c r="S201" s="46">
        <v>5790</v>
      </c>
      <c r="T201" s="46">
        <v>6160</v>
      </c>
      <c r="U201" s="46">
        <v>6520</v>
      </c>
      <c r="V201" s="46">
        <v>7180</v>
      </c>
      <c r="W201" s="46">
        <v>7740</v>
      </c>
      <c r="X201" s="46">
        <v>8000</v>
      </c>
      <c r="Y201" s="46">
        <v>7210</v>
      </c>
      <c r="Z201" s="46">
        <v>8280</v>
      </c>
      <c r="AA201" s="46">
        <v>8670</v>
      </c>
      <c r="AB201" s="46">
        <v>9210</v>
      </c>
      <c r="AC201" s="46">
        <v>10980</v>
      </c>
      <c r="AD201" s="46">
        <v>11110</v>
      </c>
      <c r="AE201" s="46">
        <v>11200</v>
      </c>
      <c r="AF201" s="46">
        <v>11360</v>
      </c>
      <c r="AG201" s="46">
        <v>11570</v>
      </c>
      <c r="AH201" s="46">
        <v>11870</v>
      </c>
      <c r="AI201" s="46">
        <v>12130</v>
      </c>
    </row>
    <row r="202" spans="1:35" x14ac:dyDescent="0.25">
      <c r="A202" s="11">
        <f>$A$102</f>
        <v>87</v>
      </c>
      <c r="B202" s="29">
        <v>2380</v>
      </c>
      <c r="C202" s="29">
        <v>2850</v>
      </c>
      <c r="D202" s="29">
        <v>2980</v>
      </c>
      <c r="E202" s="29">
        <v>3200</v>
      </c>
      <c r="F202" s="29">
        <v>3330</v>
      </c>
      <c r="G202" s="29">
        <v>3480</v>
      </c>
      <c r="H202" s="29">
        <v>3760</v>
      </c>
      <c r="I202" s="29">
        <v>3760</v>
      </c>
      <c r="J202" s="29">
        <v>4060</v>
      </c>
      <c r="K202" s="29">
        <v>4120</v>
      </c>
      <c r="L202" s="29">
        <v>4320</v>
      </c>
      <c r="M202" s="46">
        <v>4350</v>
      </c>
      <c r="N202" s="46">
        <v>4640</v>
      </c>
      <c r="O202" s="46">
        <v>4490</v>
      </c>
      <c r="P202" s="46">
        <v>4440</v>
      </c>
      <c r="Q202" s="46">
        <v>4710</v>
      </c>
      <c r="R202" s="46">
        <v>4880</v>
      </c>
      <c r="S202" s="46">
        <v>4900</v>
      </c>
      <c r="T202" s="46">
        <v>5170</v>
      </c>
      <c r="U202" s="46">
        <v>5500</v>
      </c>
      <c r="V202" s="46">
        <v>5830</v>
      </c>
      <c r="W202" s="46">
        <v>6420</v>
      </c>
      <c r="X202" s="46">
        <v>6940</v>
      </c>
      <c r="Y202" s="46">
        <v>7180</v>
      </c>
      <c r="Z202" s="46">
        <v>6470</v>
      </c>
      <c r="AA202" s="46">
        <v>7450</v>
      </c>
      <c r="AB202" s="46">
        <v>7800</v>
      </c>
      <c r="AC202" s="46">
        <v>8300</v>
      </c>
      <c r="AD202" s="46">
        <v>9900</v>
      </c>
      <c r="AE202" s="46">
        <v>10030</v>
      </c>
      <c r="AF202" s="46">
        <v>10120</v>
      </c>
      <c r="AG202" s="46">
        <v>10270</v>
      </c>
      <c r="AH202" s="46">
        <v>10480</v>
      </c>
      <c r="AI202" s="46">
        <v>10750</v>
      </c>
    </row>
    <row r="203" spans="1:35" x14ac:dyDescent="0.25">
      <c r="A203" s="11">
        <f>$A$103</f>
        <v>88</v>
      </c>
      <c r="B203" s="29">
        <v>1930</v>
      </c>
      <c r="C203" s="29">
        <v>2020</v>
      </c>
      <c r="D203" s="29">
        <v>2480</v>
      </c>
      <c r="E203" s="29">
        <v>2590</v>
      </c>
      <c r="F203" s="29">
        <v>2790</v>
      </c>
      <c r="G203" s="29">
        <v>2920</v>
      </c>
      <c r="H203" s="29">
        <v>2990</v>
      </c>
      <c r="I203" s="29">
        <v>3210</v>
      </c>
      <c r="J203" s="29">
        <v>3300</v>
      </c>
      <c r="K203" s="29">
        <v>3500</v>
      </c>
      <c r="L203" s="29">
        <v>3610</v>
      </c>
      <c r="M203" s="46">
        <v>3770</v>
      </c>
      <c r="N203" s="46">
        <v>3780</v>
      </c>
      <c r="O203" s="46">
        <v>4050</v>
      </c>
      <c r="P203" s="46">
        <v>3940</v>
      </c>
      <c r="Q203" s="46">
        <v>3930</v>
      </c>
      <c r="R203" s="46">
        <v>4170</v>
      </c>
      <c r="S203" s="46">
        <v>4280</v>
      </c>
      <c r="T203" s="46">
        <v>4300</v>
      </c>
      <c r="U203" s="46">
        <v>4550</v>
      </c>
      <c r="V203" s="46">
        <v>4850</v>
      </c>
      <c r="W203" s="46">
        <v>5140</v>
      </c>
      <c r="X203" s="46">
        <v>5670</v>
      </c>
      <c r="Y203" s="46">
        <v>6130</v>
      </c>
      <c r="Z203" s="46">
        <v>6350</v>
      </c>
      <c r="AA203" s="46">
        <v>5730</v>
      </c>
      <c r="AB203" s="46">
        <v>6600</v>
      </c>
      <c r="AC203" s="46">
        <v>6920</v>
      </c>
      <c r="AD203" s="46">
        <v>7370</v>
      </c>
      <c r="AE203" s="46">
        <v>8810</v>
      </c>
      <c r="AF203" s="46">
        <v>8930</v>
      </c>
      <c r="AG203" s="46">
        <v>9020</v>
      </c>
      <c r="AH203" s="46">
        <v>9160</v>
      </c>
      <c r="AI203" s="46">
        <v>9350</v>
      </c>
    </row>
    <row r="204" spans="1:35" x14ac:dyDescent="0.25">
      <c r="A204" s="11">
        <f>$A$104</f>
        <v>89</v>
      </c>
      <c r="B204" s="29">
        <v>1720</v>
      </c>
      <c r="C204" s="29">
        <v>1620</v>
      </c>
      <c r="D204" s="29">
        <v>1720</v>
      </c>
      <c r="E204" s="29">
        <v>2130</v>
      </c>
      <c r="F204" s="29">
        <v>2190</v>
      </c>
      <c r="G204" s="29">
        <v>2360</v>
      </c>
      <c r="H204" s="29">
        <v>2460</v>
      </c>
      <c r="I204" s="29">
        <v>2470</v>
      </c>
      <c r="J204" s="29">
        <v>2760</v>
      </c>
      <c r="K204" s="29">
        <v>2810</v>
      </c>
      <c r="L204" s="29">
        <v>3010</v>
      </c>
      <c r="M204" s="46">
        <v>3100</v>
      </c>
      <c r="N204" s="46">
        <v>3260</v>
      </c>
      <c r="O204" s="46">
        <v>3250</v>
      </c>
      <c r="P204" s="46">
        <v>3480</v>
      </c>
      <c r="Q204" s="46">
        <v>3400</v>
      </c>
      <c r="R204" s="46">
        <v>3390</v>
      </c>
      <c r="S204" s="46">
        <v>3600</v>
      </c>
      <c r="T204" s="46">
        <v>3700</v>
      </c>
      <c r="U204" s="46">
        <v>3720</v>
      </c>
      <c r="V204" s="46">
        <v>3940</v>
      </c>
      <c r="W204" s="46">
        <v>4200</v>
      </c>
      <c r="X204" s="46">
        <v>4470</v>
      </c>
      <c r="Y204" s="46">
        <v>4930</v>
      </c>
      <c r="Z204" s="46">
        <v>5340</v>
      </c>
      <c r="AA204" s="46">
        <v>5530</v>
      </c>
      <c r="AB204" s="46">
        <v>5000</v>
      </c>
      <c r="AC204" s="46">
        <v>5760</v>
      </c>
      <c r="AD204" s="46">
        <v>6050</v>
      </c>
      <c r="AE204" s="46">
        <v>6450</v>
      </c>
      <c r="AF204" s="46">
        <v>7710</v>
      </c>
      <c r="AG204" s="46">
        <v>7830</v>
      </c>
      <c r="AH204" s="46">
        <v>7920</v>
      </c>
      <c r="AI204" s="46">
        <v>8050</v>
      </c>
    </row>
    <row r="205" spans="1:35" x14ac:dyDescent="0.25">
      <c r="A205" s="11">
        <f>$A$105</f>
        <v>90</v>
      </c>
      <c r="B205" s="29">
        <v>1380</v>
      </c>
      <c r="C205" s="29">
        <v>1400</v>
      </c>
      <c r="D205" s="29">
        <v>1320</v>
      </c>
      <c r="E205" s="29">
        <v>1430</v>
      </c>
      <c r="F205" s="29">
        <v>1770</v>
      </c>
      <c r="G205" s="29">
        <v>1830</v>
      </c>
      <c r="H205" s="29">
        <v>1960</v>
      </c>
      <c r="I205" s="29">
        <v>2060</v>
      </c>
      <c r="J205" s="29">
        <v>2110</v>
      </c>
      <c r="K205" s="29">
        <v>2330</v>
      </c>
      <c r="L205" s="29">
        <v>2340</v>
      </c>
      <c r="M205" s="46">
        <v>2540</v>
      </c>
      <c r="N205" s="46">
        <v>2560</v>
      </c>
      <c r="O205" s="46">
        <v>2760</v>
      </c>
      <c r="P205" s="46">
        <v>2800</v>
      </c>
      <c r="Q205" s="46">
        <v>3010</v>
      </c>
      <c r="R205" s="46">
        <v>2870</v>
      </c>
      <c r="S205" s="46">
        <v>2870</v>
      </c>
      <c r="T205" s="46">
        <v>3050</v>
      </c>
      <c r="U205" s="46">
        <v>3140</v>
      </c>
      <c r="V205" s="46">
        <v>3170</v>
      </c>
      <c r="W205" s="46">
        <v>3350</v>
      </c>
      <c r="X205" s="46">
        <v>3580</v>
      </c>
      <c r="Y205" s="46">
        <v>3810</v>
      </c>
      <c r="Z205" s="46">
        <v>4210</v>
      </c>
      <c r="AA205" s="46">
        <v>4570</v>
      </c>
      <c r="AB205" s="46">
        <v>4740</v>
      </c>
      <c r="AC205" s="46">
        <v>4280</v>
      </c>
      <c r="AD205" s="46">
        <v>4940</v>
      </c>
      <c r="AE205" s="46">
        <v>5190</v>
      </c>
      <c r="AF205" s="46">
        <v>5540</v>
      </c>
      <c r="AG205" s="46">
        <v>6640</v>
      </c>
      <c r="AH205" s="46">
        <v>6740</v>
      </c>
      <c r="AI205" s="46">
        <v>6830</v>
      </c>
    </row>
    <row r="206" spans="1:35" x14ac:dyDescent="0.25">
      <c r="A206" s="11">
        <f>$A$106</f>
        <v>91</v>
      </c>
      <c r="B206" s="29">
        <v>1020</v>
      </c>
      <c r="C206" s="29">
        <v>1130</v>
      </c>
      <c r="D206" s="29">
        <v>1150</v>
      </c>
      <c r="E206" s="29">
        <v>1080</v>
      </c>
      <c r="F206" s="29">
        <v>1150</v>
      </c>
      <c r="G206" s="29">
        <v>1440</v>
      </c>
      <c r="H206" s="29">
        <v>1480</v>
      </c>
      <c r="I206" s="29">
        <v>1590</v>
      </c>
      <c r="J206" s="29">
        <v>1710</v>
      </c>
      <c r="K206" s="29">
        <v>1720</v>
      </c>
      <c r="L206" s="29">
        <v>1920</v>
      </c>
      <c r="M206" s="46">
        <v>1920</v>
      </c>
      <c r="N206" s="46">
        <v>2070</v>
      </c>
      <c r="O206" s="46">
        <v>2110</v>
      </c>
      <c r="P206" s="46">
        <v>2290</v>
      </c>
      <c r="Q206" s="46">
        <v>2380</v>
      </c>
      <c r="R206" s="46">
        <v>2520</v>
      </c>
      <c r="S206" s="46">
        <v>2380</v>
      </c>
      <c r="T206" s="46">
        <v>2390</v>
      </c>
      <c r="U206" s="46">
        <v>2540</v>
      </c>
      <c r="V206" s="46">
        <v>2620</v>
      </c>
      <c r="W206" s="46">
        <v>2640</v>
      </c>
      <c r="X206" s="46">
        <v>2800</v>
      </c>
      <c r="Y206" s="46">
        <v>3000</v>
      </c>
      <c r="Z206" s="46">
        <v>3190</v>
      </c>
      <c r="AA206" s="46">
        <v>3530</v>
      </c>
      <c r="AB206" s="46">
        <v>3830</v>
      </c>
      <c r="AC206" s="46">
        <v>3980</v>
      </c>
      <c r="AD206" s="46">
        <v>3600</v>
      </c>
      <c r="AE206" s="46">
        <v>4160</v>
      </c>
      <c r="AF206" s="46">
        <v>4370</v>
      </c>
      <c r="AG206" s="46">
        <v>4680</v>
      </c>
      <c r="AH206" s="46">
        <v>5610</v>
      </c>
      <c r="AI206" s="46">
        <v>5700</v>
      </c>
    </row>
    <row r="207" spans="1:35" x14ac:dyDescent="0.25">
      <c r="A207" s="11">
        <f>$A$107</f>
        <v>92</v>
      </c>
      <c r="B207" s="29">
        <v>790</v>
      </c>
      <c r="C207" s="29">
        <v>810</v>
      </c>
      <c r="D207" s="29">
        <v>890</v>
      </c>
      <c r="E207" s="29">
        <v>920</v>
      </c>
      <c r="F207" s="29">
        <v>860</v>
      </c>
      <c r="G207" s="29">
        <v>930</v>
      </c>
      <c r="H207" s="29">
        <v>1140</v>
      </c>
      <c r="I207" s="29">
        <v>1180</v>
      </c>
      <c r="J207" s="29">
        <v>1290</v>
      </c>
      <c r="K207" s="29">
        <v>1350</v>
      </c>
      <c r="L207" s="29">
        <v>1400</v>
      </c>
      <c r="M207" s="46">
        <v>1550</v>
      </c>
      <c r="N207" s="46">
        <v>1550</v>
      </c>
      <c r="O207" s="46">
        <v>1680</v>
      </c>
      <c r="P207" s="46">
        <v>1710</v>
      </c>
      <c r="Q207" s="46">
        <v>1890</v>
      </c>
      <c r="R207" s="46">
        <v>1930</v>
      </c>
      <c r="S207" s="46">
        <v>2040</v>
      </c>
      <c r="T207" s="46">
        <v>1940</v>
      </c>
      <c r="U207" s="46">
        <v>1950</v>
      </c>
      <c r="V207" s="46">
        <v>2070</v>
      </c>
      <c r="W207" s="46">
        <v>2140</v>
      </c>
      <c r="X207" s="46">
        <v>2160</v>
      </c>
      <c r="Y207" s="46">
        <v>2290</v>
      </c>
      <c r="Z207" s="46">
        <v>2460</v>
      </c>
      <c r="AA207" s="46">
        <v>2620</v>
      </c>
      <c r="AB207" s="46">
        <v>2900</v>
      </c>
      <c r="AC207" s="46">
        <v>3150</v>
      </c>
      <c r="AD207" s="46">
        <v>3270</v>
      </c>
      <c r="AE207" s="46">
        <v>2970</v>
      </c>
      <c r="AF207" s="46">
        <v>3430</v>
      </c>
      <c r="AG207" s="46">
        <v>3610</v>
      </c>
      <c r="AH207" s="46">
        <v>3870</v>
      </c>
      <c r="AI207" s="46">
        <v>4640</v>
      </c>
    </row>
    <row r="208" spans="1:35" x14ac:dyDescent="0.25">
      <c r="A208" s="11">
        <f>$A$108</f>
        <v>93</v>
      </c>
      <c r="B208" s="29">
        <v>580</v>
      </c>
      <c r="C208" s="29">
        <v>600</v>
      </c>
      <c r="D208" s="29">
        <v>670</v>
      </c>
      <c r="E208" s="29">
        <v>690</v>
      </c>
      <c r="F208" s="29">
        <v>720</v>
      </c>
      <c r="G208" s="29">
        <v>670</v>
      </c>
      <c r="H208" s="29">
        <v>730</v>
      </c>
      <c r="I208" s="29">
        <v>910</v>
      </c>
      <c r="J208" s="29">
        <v>970</v>
      </c>
      <c r="K208" s="29">
        <v>1040</v>
      </c>
      <c r="L208" s="29">
        <v>1080</v>
      </c>
      <c r="M208" s="46">
        <v>1100</v>
      </c>
      <c r="N208" s="46">
        <v>1210</v>
      </c>
      <c r="O208" s="46">
        <v>1200</v>
      </c>
      <c r="P208" s="46">
        <v>1350</v>
      </c>
      <c r="Q208" s="46">
        <v>1370</v>
      </c>
      <c r="R208" s="46">
        <v>1520</v>
      </c>
      <c r="S208" s="46">
        <v>1530</v>
      </c>
      <c r="T208" s="46">
        <v>1630</v>
      </c>
      <c r="U208" s="46">
        <v>1540</v>
      </c>
      <c r="V208" s="46">
        <v>1550</v>
      </c>
      <c r="W208" s="46">
        <v>1660</v>
      </c>
      <c r="X208" s="46">
        <v>1710</v>
      </c>
      <c r="Y208" s="46">
        <v>1730</v>
      </c>
      <c r="Z208" s="46">
        <v>1840</v>
      </c>
      <c r="AA208" s="46">
        <v>1970</v>
      </c>
      <c r="AB208" s="46">
        <v>2100</v>
      </c>
      <c r="AC208" s="46">
        <v>2330</v>
      </c>
      <c r="AD208" s="46">
        <v>2530</v>
      </c>
      <c r="AE208" s="46">
        <v>2630</v>
      </c>
      <c r="AF208" s="46">
        <v>2390</v>
      </c>
      <c r="AG208" s="46">
        <v>2770</v>
      </c>
      <c r="AH208" s="46">
        <v>2920</v>
      </c>
      <c r="AI208" s="46">
        <v>3130</v>
      </c>
    </row>
    <row r="209" spans="1:35" x14ac:dyDescent="0.25">
      <c r="A209" s="11">
        <f>$A$109</f>
        <v>94</v>
      </c>
      <c r="B209" s="29">
        <v>400</v>
      </c>
      <c r="C209" s="29">
        <v>460</v>
      </c>
      <c r="D209" s="29">
        <v>450</v>
      </c>
      <c r="E209" s="29">
        <v>510</v>
      </c>
      <c r="F209" s="29">
        <v>530</v>
      </c>
      <c r="G209" s="29">
        <v>550</v>
      </c>
      <c r="H209" s="29">
        <v>520</v>
      </c>
      <c r="I209" s="29">
        <v>560</v>
      </c>
      <c r="J209" s="29">
        <v>730</v>
      </c>
      <c r="K209" s="29">
        <v>750</v>
      </c>
      <c r="L209" s="29">
        <v>800</v>
      </c>
      <c r="M209" s="46">
        <v>820</v>
      </c>
      <c r="N209" s="46">
        <v>840</v>
      </c>
      <c r="O209" s="46">
        <v>930</v>
      </c>
      <c r="P209" s="46">
        <v>930</v>
      </c>
      <c r="Q209" s="46">
        <v>1030</v>
      </c>
      <c r="R209" s="46">
        <v>1070</v>
      </c>
      <c r="S209" s="46">
        <v>1180</v>
      </c>
      <c r="T209" s="46">
        <v>1190</v>
      </c>
      <c r="U209" s="46">
        <v>1270</v>
      </c>
      <c r="V209" s="46">
        <v>1200</v>
      </c>
      <c r="W209" s="46">
        <v>1210</v>
      </c>
      <c r="X209" s="46">
        <v>1290</v>
      </c>
      <c r="Y209" s="46">
        <v>1340</v>
      </c>
      <c r="Z209" s="46">
        <v>1350</v>
      </c>
      <c r="AA209" s="46">
        <v>1440</v>
      </c>
      <c r="AB209" s="46">
        <v>1540</v>
      </c>
      <c r="AC209" s="46">
        <v>1650</v>
      </c>
      <c r="AD209" s="46">
        <v>1830</v>
      </c>
      <c r="AE209" s="46">
        <v>1990</v>
      </c>
      <c r="AF209" s="46">
        <v>2070</v>
      </c>
      <c r="AG209" s="46">
        <v>1890</v>
      </c>
      <c r="AH209" s="46">
        <v>2190</v>
      </c>
      <c r="AI209" s="46">
        <v>2300</v>
      </c>
    </row>
    <row r="210" spans="1:35" x14ac:dyDescent="0.25">
      <c r="A210" s="11" t="str">
        <f>$A$110</f>
        <v>95 &amp; over</v>
      </c>
      <c r="B210" s="29">
        <v>850</v>
      </c>
      <c r="C210" s="29">
        <v>880</v>
      </c>
      <c r="D210" s="29">
        <v>980</v>
      </c>
      <c r="E210" s="29">
        <v>1020</v>
      </c>
      <c r="F210" s="29">
        <v>1060</v>
      </c>
      <c r="G210" s="29">
        <v>1120</v>
      </c>
      <c r="H210" s="29">
        <v>1190</v>
      </c>
      <c r="I210" s="29">
        <v>1200</v>
      </c>
      <c r="J210" s="29">
        <v>1250</v>
      </c>
      <c r="K210" s="29">
        <v>1370</v>
      </c>
      <c r="L210" s="29">
        <v>1510</v>
      </c>
      <c r="M210" s="46">
        <v>1690</v>
      </c>
      <c r="N210" s="46">
        <v>1780</v>
      </c>
      <c r="O210" s="46">
        <v>1950</v>
      </c>
      <c r="P210" s="46">
        <v>2160</v>
      </c>
      <c r="Q210" s="46">
        <v>2340</v>
      </c>
      <c r="R210" s="46">
        <v>2490</v>
      </c>
      <c r="S210" s="46">
        <v>2560</v>
      </c>
      <c r="T210" s="46">
        <v>2710</v>
      </c>
      <c r="U210" s="46">
        <v>2810</v>
      </c>
      <c r="V210" s="46">
        <v>2950</v>
      </c>
      <c r="W210" s="46">
        <v>3000</v>
      </c>
      <c r="X210" s="46">
        <v>3040</v>
      </c>
      <c r="Y210" s="46">
        <v>3130</v>
      </c>
      <c r="Z210" s="46">
        <v>3240</v>
      </c>
      <c r="AA210" s="46">
        <v>3330</v>
      </c>
      <c r="AB210" s="46">
        <v>3450</v>
      </c>
      <c r="AC210" s="46">
        <v>3630</v>
      </c>
      <c r="AD210" s="46">
        <v>3830</v>
      </c>
      <c r="AE210" s="46">
        <v>4130</v>
      </c>
      <c r="AF210" s="46">
        <v>4470</v>
      </c>
      <c r="AG210" s="46">
        <v>4790</v>
      </c>
      <c r="AH210" s="46">
        <v>4880</v>
      </c>
      <c r="AI210" s="46">
        <v>5160</v>
      </c>
    </row>
    <row r="211" spans="1:35" x14ac:dyDescent="0.25">
      <c r="A211" s="9" t="s">
        <v>13</v>
      </c>
      <c r="B211" s="6">
        <f>SUM(B$115:B$210)</f>
        <v>2048380</v>
      </c>
      <c r="C211" s="6">
        <f t="shared" ref="C211:AI211" si="10">SUM(C$115:C$210)</f>
        <v>2066480</v>
      </c>
      <c r="D211" s="6">
        <f t="shared" si="10"/>
        <v>2083420</v>
      </c>
      <c r="E211" s="6">
        <f t="shared" si="10"/>
        <v>2104660</v>
      </c>
      <c r="F211" s="6">
        <f t="shared" si="10"/>
        <v>2127740</v>
      </c>
      <c r="G211" s="6">
        <f t="shared" si="10"/>
        <v>2143550</v>
      </c>
      <c r="H211" s="6">
        <f t="shared" si="10"/>
        <v>2154990</v>
      </c>
      <c r="I211" s="6">
        <f t="shared" si="10"/>
        <v>2172160</v>
      </c>
      <c r="J211" s="6">
        <f t="shared" si="10"/>
        <v>2215730</v>
      </c>
      <c r="K211" s="6">
        <f t="shared" si="10"/>
        <v>2270080</v>
      </c>
      <c r="L211" s="6">
        <f t="shared" si="10"/>
        <v>2328540</v>
      </c>
      <c r="M211" s="82">
        <f t="shared" si="10"/>
        <v>2382600</v>
      </c>
      <c r="N211" s="82">
        <f t="shared" si="10"/>
        <v>2430160</v>
      </c>
      <c r="O211" s="82">
        <f t="shared" si="10"/>
        <v>2471090</v>
      </c>
      <c r="P211" s="82">
        <f t="shared" si="10"/>
        <v>2527160</v>
      </c>
      <c r="Q211" s="82">
        <f t="shared" si="10"/>
        <v>2536990</v>
      </c>
      <c r="R211" s="82">
        <f t="shared" si="10"/>
        <v>2544940</v>
      </c>
      <c r="S211" s="82">
        <f t="shared" si="10"/>
        <v>2554720</v>
      </c>
      <c r="T211" s="82">
        <f t="shared" si="10"/>
        <v>2569000</v>
      </c>
      <c r="U211" s="82">
        <f t="shared" si="10"/>
        <v>2587700</v>
      </c>
      <c r="V211" s="82">
        <f t="shared" si="10"/>
        <v>2610960</v>
      </c>
      <c r="W211" s="82">
        <f t="shared" si="10"/>
        <v>2633690</v>
      </c>
      <c r="X211" s="82">
        <f t="shared" si="10"/>
        <v>2656150</v>
      </c>
      <c r="Y211" s="82">
        <f t="shared" si="10"/>
        <v>2678170</v>
      </c>
      <c r="Z211" s="82">
        <f t="shared" si="10"/>
        <v>2699730</v>
      </c>
      <c r="AA211" s="82">
        <f t="shared" si="10"/>
        <v>2720810</v>
      </c>
      <c r="AB211" s="82">
        <f t="shared" si="10"/>
        <v>2741340</v>
      </c>
      <c r="AC211" s="82">
        <f t="shared" si="10"/>
        <v>2761460</v>
      </c>
      <c r="AD211" s="82">
        <f t="shared" si="10"/>
        <v>2781140</v>
      </c>
      <c r="AE211" s="82">
        <f t="shared" si="10"/>
        <v>2800440</v>
      </c>
      <c r="AF211" s="82">
        <f t="shared" si="10"/>
        <v>2819390</v>
      </c>
      <c r="AG211" s="82">
        <f t="shared" si="10"/>
        <v>2838070</v>
      </c>
      <c r="AH211" s="82">
        <f t="shared" si="10"/>
        <v>2856450</v>
      </c>
      <c r="AI211" s="82">
        <f t="shared" si="10"/>
        <v>2874420</v>
      </c>
    </row>
    <row r="212" spans="1:35" x14ac:dyDescent="0.25">
      <c r="A212" s="9"/>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row>
    <row r="213" spans="1:35" x14ac:dyDescent="0.25">
      <c r="A213" s="9"/>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row>
    <row r="214" spans="1:35" x14ac:dyDescent="0.25">
      <c r="A214" s="9" t="s">
        <v>14</v>
      </c>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row>
    <row r="215" spans="1:35" x14ac:dyDescent="0.25">
      <c r="A215" s="11">
        <f>$A$30</f>
        <v>15</v>
      </c>
      <c r="M215" s="11"/>
      <c r="N215" s="11"/>
      <c r="O215" s="11"/>
      <c r="P215" s="46">
        <f>P$30*P$355</f>
        <v>6363.7241379310344</v>
      </c>
      <c r="Q215" s="46">
        <f t="shared" ref="Q215:AI215" si="11">Q$30*Q$355</f>
        <v>6455.8201229375609</v>
      </c>
      <c r="R215" s="46">
        <f t="shared" si="11"/>
        <v>6721.1790257524044</v>
      </c>
      <c r="S215" s="46">
        <f t="shared" si="11"/>
        <v>6876.4127174565083</v>
      </c>
      <c r="T215" s="46">
        <f t="shared" si="11"/>
        <v>6694.1513415737109</v>
      </c>
      <c r="U215" s="46">
        <f t="shared" si="11"/>
        <v>6791.2836257309937</v>
      </c>
      <c r="V215" s="46">
        <f t="shared" si="11"/>
        <v>6660.7387862796832</v>
      </c>
      <c r="W215" s="46">
        <f t="shared" si="11"/>
        <v>6546.445163187298</v>
      </c>
      <c r="X215" s="46">
        <f t="shared" si="11"/>
        <v>6446.0011795930404</v>
      </c>
      <c r="Y215" s="46">
        <f t="shared" si="11"/>
        <v>6145.9347362000608</v>
      </c>
      <c r="Z215" s="46">
        <f t="shared" si="11"/>
        <v>6079.884322678844</v>
      </c>
      <c r="AA215" s="46">
        <f t="shared" si="11"/>
        <v>5953.125</v>
      </c>
      <c r="AB215" s="46">
        <f t="shared" si="11"/>
        <v>5941.9957212713934</v>
      </c>
      <c r="AC215" s="46">
        <f t="shared" si="11"/>
        <v>5748.5136406396987</v>
      </c>
      <c r="AD215" s="46">
        <f t="shared" si="11"/>
        <v>5630.5624404194477</v>
      </c>
      <c r="AE215" s="46">
        <f t="shared" si="11"/>
        <v>5591.5623023402914</v>
      </c>
      <c r="AF215" s="46">
        <f t="shared" si="11"/>
        <v>5619.536231884058</v>
      </c>
      <c r="AG215" s="46">
        <f t="shared" si="11"/>
        <v>5676.1831076724693</v>
      </c>
      <c r="AH215" s="46">
        <f t="shared" si="11"/>
        <v>5456.3081395348836</v>
      </c>
      <c r="AI215" s="46">
        <f t="shared" si="11"/>
        <v>5425.9112981547432</v>
      </c>
    </row>
    <row r="216" spans="1:35" x14ac:dyDescent="0.25">
      <c r="A216" s="11">
        <f>$A$31</f>
        <v>16</v>
      </c>
      <c r="M216" s="11"/>
      <c r="N216" s="11"/>
      <c r="O216" s="11"/>
      <c r="P216" s="46">
        <f>P$31*P$356</f>
        <v>11811.575875486382</v>
      </c>
      <c r="Q216" s="46">
        <f t="shared" ref="Q216:AI216" si="12">Q$31*Q$356</f>
        <v>11703.09633027523</v>
      </c>
      <c r="R216" s="46">
        <f t="shared" si="12"/>
        <v>11890.041841004184</v>
      </c>
      <c r="S216" s="46">
        <f t="shared" si="12"/>
        <v>12361.787365177195</v>
      </c>
      <c r="T216" s="46">
        <f t="shared" si="12"/>
        <v>12617.738589211618</v>
      </c>
      <c r="U216" s="46">
        <f t="shared" si="12"/>
        <v>12369.186773905272</v>
      </c>
      <c r="V216" s="46">
        <f t="shared" si="12"/>
        <v>12613.720728534259</v>
      </c>
      <c r="W216" s="46">
        <f t="shared" si="12"/>
        <v>12425.215879455231</v>
      </c>
      <c r="X216" s="46">
        <f t="shared" si="12"/>
        <v>12269.982558139536</v>
      </c>
      <c r="Y216" s="46">
        <f t="shared" si="12"/>
        <v>12134.637132031477</v>
      </c>
      <c r="Z216" s="46">
        <f t="shared" si="12"/>
        <v>11615.125037661946</v>
      </c>
      <c r="AA216" s="46">
        <f t="shared" si="12"/>
        <v>11532.953383458647</v>
      </c>
      <c r="AB216" s="46">
        <f t="shared" si="12"/>
        <v>11328.345498783456</v>
      </c>
      <c r="AC216" s="46">
        <f t="shared" si="12"/>
        <v>11357.532467532468</v>
      </c>
      <c r="AD216" s="46">
        <f t="shared" si="12"/>
        <v>11006.116444719726</v>
      </c>
      <c r="AE216" s="46">
        <f t="shared" si="12"/>
        <v>10818.299341073109</v>
      </c>
      <c r="AF216" s="46">
        <f t="shared" si="12"/>
        <v>10781.411617738913</v>
      </c>
      <c r="AG216" s="46">
        <f t="shared" si="12"/>
        <v>10851.755166931636</v>
      </c>
      <c r="AH216" s="46">
        <f t="shared" si="12"/>
        <v>10996.371737746658</v>
      </c>
      <c r="AI216" s="46">
        <f t="shared" si="12"/>
        <v>10591.744260204083</v>
      </c>
    </row>
    <row r="217" spans="1:35" x14ac:dyDescent="0.25">
      <c r="A217" s="11">
        <f>$A$32</f>
        <v>17</v>
      </c>
      <c r="M217" s="11"/>
      <c r="N217" s="11"/>
      <c r="O217" s="11"/>
      <c r="P217" s="46">
        <f>P$32*P$357</f>
        <v>16448.407079646015</v>
      </c>
      <c r="Q217" s="46">
        <f t="shared" ref="Q217:AI217" si="13">Q$32*Q$357</f>
        <v>16561.281138790036</v>
      </c>
      <c r="R217" s="46">
        <f t="shared" si="13"/>
        <v>16465.791015625</v>
      </c>
      <c r="S217" s="46">
        <f t="shared" si="13"/>
        <v>16704.834077855776</v>
      </c>
      <c r="T217" s="46">
        <f t="shared" si="13"/>
        <v>17353.290754257909</v>
      </c>
      <c r="U217" s="46">
        <f t="shared" si="13"/>
        <v>17808.662569505414</v>
      </c>
      <c r="V217" s="46">
        <f t="shared" si="13"/>
        <v>17547.985294117647</v>
      </c>
      <c r="W217" s="46">
        <f t="shared" si="13"/>
        <v>17944.7616328861</v>
      </c>
      <c r="X217" s="46">
        <f t="shared" si="13"/>
        <v>17734.549356223175</v>
      </c>
      <c r="Y217" s="46">
        <f t="shared" si="13"/>
        <v>17566.58438576349</v>
      </c>
      <c r="Z217" s="46">
        <f t="shared" si="13"/>
        <v>17418.906160046055</v>
      </c>
      <c r="AA217" s="46">
        <f t="shared" si="13"/>
        <v>16725.340469818617</v>
      </c>
      <c r="AB217" s="46">
        <f t="shared" si="13"/>
        <v>16656.992280285034</v>
      </c>
      <c r="AC217" s="46">
        <f t="shared" si="13"/>
        <v>16399.399579705794</v>
      </c>
      <c r="AD217" s="46">
        <f t="shared" si="13"/>
        <v>16466.459016393441</v>
      </c>
      <c r="AE217" s="46">
        <f t="shared" si="13"/>
        <v>16003.311946226704</v>
      </c>
      <c r="AF217" s="46">
        <f t="shared" si="13"/>
        <v>15764.877746827608</v>
      </c>
      <c r="AG217" s="46">
        <f t="shared" si="13"/>
        <v>15726.401725200247</v>
      </c>
      <c r="AH217" s="46">
        <f t="shared" si="13"/>
        <v>15859.94042019442</v>
      </c>
      <c r="AI217" s="46">
        <f t="shared" si="13"/>
        <v>16102.231638418079</v>
      </c>
    </row>
    <row r="218" spans="1:35" x14ac:dyDescent="0.25">
      <c r="A218" s="11">
        <f>$A$33</f>
        <v>18</v>
      </c>
      <c r="M218" s="11"/>
      <c r="N218" s="11"/>
      <c r="O218" s="11"/>
      <c r="P218" s="46">
        <f>P$33*P$358</f>
        <v>19936.408360128615</v>
      </c>
      <c r="Q218" s="46">
        <f t="shared" ref="Q218:AI218" si="14">Q$33*Q$358</f>
        <v>19401.308044473513</v>
      </c>
      <c r="R218" s="46">
        <f t="shared" si="14"/>
        <v>19607.689345314506</v>
      </c>
      <c r="S218" s="46">
        <f t="shared" si="14"/>
        <v>19469.517063747586</v>
      </c>
      <c r="T218" s="46">
        <f t="shared" si="14"/>
        <v>19737.816128020084</v>
      </c>
      <c r="U218" s="46">
        <f t="shared" si="14"/>
        <v>20559.326750448832</v>
      </c>
      <c r="V218" s="46">
        <f t="shared" si="14"/>
        <v>21158.16767502161</v>
      </c>
      <c r="W218" s="46">
        <f t="shared" si="14"/>
        <v>20863.031268094961</v>
      </c>
      <c r="X218" s="46">
        <f t="shared" si="14"/>
        <v>21383.807649043869</v>
      </c>
      <c r="Y218" s="46">
        <f t="shared" si="14"/>
        <v>21159.301014656143</v>
      </c>
      <c r="Z218" s="46">
        <f t="shared" si="14"/>
        <v>20983.986429177272</v>
      </c>
      <c r="AA218" s="46">
        <f t="shared" si="14"/>
        <v>20821.51927437642</v>
      </c>
      <c r="AB218" s="46">
        <f t="shared" si="14"/>
        <v>20027.669789227166</v>
      </c>
      <c r="AC218" s="46">
        <f t="shared" si="14"/>
        <v>19956.68030391584</v>
      </c>
      <c r="AD218" s="46">
        <f t="shared" si="14"/>
        <v>19675.320531757752</v>
      </c>
      <c r="AE218" s="46">
        <f t="shared" si="14"/>
        <v>19781.98885303608</v>
      </c>
      <c r="AF218" s="46">
        <f t="shared" si="14"/>
        <v>19242.333132892363</v>
      </c>
      <c r="AG218" s="46">
        <f t="shared" si="14"/>
        <v>18970.51157125457</v>
      </c>
      <c r="AH218" s="46">
        <f t="shared" si="14"/>
        <v>18946.541376174599</v>
      </c>
      <c r="AI218" s="46">
        <f t="shared" si="14"/>
        <v>19117.298797409807</v>
      </c>
    </row>
    <row r="219" spans="1:35" x14ac:dyDescent="0.25">
      <c r="A219" s="11">
        <f>$A$34</f>
        <v>19</v>
      </c>
      <c r="M219" s="11"/>
      <c r="N219" s="11"/>
      <c r="O219" s="11"/>
      <c r="P219" s="46">
        <f>P$34*P$359</f>
        <v>21333.329165364175</v>
      </c>
      <c r="Q219" s="46">
        <f t="shared" ref="Q219:AI219" si="15">Q$34*Q$359</f>
        <v>20566.73508659397</v>
      </c>
      <c r="R219" s="46">
        <f t="shared" si="15"/>
        <v>20133.333333333332</v>
      </c>
      <c r="S219" s="46">
        <f t="shared" si="15"/>
        <v>20358.513470681461</v>
      </c>
      <c r="T219" s="46">
        <f t="shared" si="15"/>
        <v>20212.609656042918</v>
      </c>
      <c r="U219" s="46">
        <f t="shared" si="15"/>
        <v>20576.923076923074</v>
      </c>
      <c r="V219" s="46">
        <f t="shared" si="15"/>
        <v>21497.53597650514</v>
      </c>
      <c r="W219" s="46">
        <f t="shared" si="15"/>
        <v>22159.269742428532</v>
      </c>
      <c r="X219" s="46">
        <f t="shared" si="15"/>
        <v>21885.021324992893</v>
      </c>
      <c r="Y219" s="46">
        <f t="shared" si="15"/>
        <v>22455.507046145343</v>
      </c>
      <c r="Z219" s="46">
        <f t="shared" si="15"/>
        <v>22248.241484353366</v>
      </c>
      <c r="AA219" s="46">
        <f t="shared" si="15"/>
        <v>22098.5</v>
      </c>
      <c r="AB219" s="46">
        <f t="shared" si="15"/>
        <v>21949.451406293509</v>
      </c>
      <c r="AC219" s="46">
        <f t="shared" si="15"/>
        <v>21140.465651049151</v>
      </c>
      <c r="AD219" s="46">
        <f t="shared" si="15"/>
        <v>21091.466284074606</v>
      </c>
      <c r="AE219" s="46">
        <f t="shared" si="15"/>
        <v>20816.963457076567</v>
      </c>
      <c r="AF219" s="46">
        <f t="shared" si="15"/>
        <v>20938.652073732716</v>
      </c>
      <c r="AG219" s="46">
        <f t="shared" si="15"/>
        <v>20390.165191740412</v>
      </c>
      <c r="AH219" s="46">
        <f t="shared" si="15"/>
        <v>20135.823125186733</v>
      </c>
      <c r="AI219" s="46">
        <f t="shared" si="15"/>
        <v>20112.278405710887</v>
      </c>
    </row>
    <row r="220" spans="1:35" x14ac:dyDescent="0.25">
      <c r="A220" s="11">
        <f>$A$35</f>
        <v>20</v>
      </c>
      <c r="M220" s="11"/>
      <c r="N220" s="11"/>
      <c r="O220" s="11"/>
      <c r="P220" s="46">
        <f>P$35*P$360</f>
        <v>22333.094281298298</v>
      </c>
      <c r="Q220" s="46">
        <f t="shared" ref="Q220:AI220" si="16">Q$35*Q$360</f>
        <v>21912.819231970028</v>
      </c>
      <c r="R220" s="46">
        <f t="shared" si="16"/>
        <v>21244.880535202294</v>
      </c>
      <c r="S220" s="46">
        <f t="shared" si="16"/>
        <v>20779.643774069322</v>
      </c>
      <c r="T220" s="46">
        <f t="shared" si="16"/>
        <v>21059.011882426516</v>
      </c>
      <c r="U220" s="46">
        <f t="shared" si="16"/>
        <v>21012.235367372352</v>
      </c>
      <c r="V220" s="46">
        <f t="shared" si="16"/>
        <v>21477.807470391741</v>
      </c>
      <c r="W220" s="46">
        <f t="shared" si="16"/>
        <v>22493.756890049321</v>
      </c>
      <c r="X220" s="46">
        <f t="shared" si="16"/>
        <v>23214.19463087248</v>
      </c>
      <c r="Y220" s="46">
        <f t="shared" si="16"/>
        <v>22972.025849957852</v>
      </c>
      <c r="Z220" s="46">
        <f t="shared" si="16"/>
        <v>23604.052430365919</v>
      </c>
      <c r="AA220" s="46">
        <f t="shared" si="16"/>
        <v>23422.413793103449</v>
      </c>
      <c r="AB220" s="46">
        <f t="shared" si="16"/>
        <v>23300.763107329123</v>
      </c>
      <c r="AC220" s="46">
        <f t="shared" si="16"/>
        <v>23179.878921298845</v>
      </c>
      <c r="AD220" s="46">
        <f t="shared" si="16"/>
        <v>22358.194207836459</v>
      </c>
      <c r="AE220" s="46">
        <f t="shared" si="16"/>
        <v>22326.884920634919</v>
      </c>
      <c r="AF220" s="46">
        <f t="shared" si="16"/>
        <v>22062.131194500143</v>
      </c>
      <c r="AG220" s="46">
        <f t="shared" si="16"/>
        <v>22227.011952191235</v>
      </c>
      <c r="AH220" s="46">
        <f t="shared" si="16"/>
        <v>21671.579254079257</v>
      </c>
      <c r="AI220" s="46">
        <f t="shared" si="16"/>
        <v>21403.33923303835</v>
      </c>
    </row>
    <row r="221" spans="1:35" x14ac:dyDescent="0.25">
      <c r="A221" s="11">
        <f>$A$36</f>
        <v>21</v>
      </c>
      <c r="M221" s="11"/>
      <c r="N221" s="11"/>
      <c r="O221" s="11"/>
      <c r="P221" s="46">
        <f>P$36*P$361</f>
        <v>22847.21187243448</v>
      </c>
      <c r="Q221" s="46">
        <f t="shared" ref="Q221:AI221" si="17">Q$36*Q$361</f>
        <v>23144.118193069306</v>
      </c>
      <c r="R221" s="46">
        <f t="shared" si="17"/>
        <v>22822.717357432219</v>
      </c>
      <c r="S221" s="46">
        <f t="shared" si="17"/>
        <v>21979.136233724992</v>
      </c>
      <c r="T221" s="46">
        <f t="shared" si="17"/>
        <v>21573.123595505618</v>
      </c>
      <c r="U221" s="46">
        <f t="shared" si="17"/>
        <v>21992.490613266582</v>
      </c>
      <c r="V221" s="46">
        <f t="shared" si="17"/>
        <v>22068.573208722741</v>
      </c>
      <c r="W221" s="46">
        <f t="shared" si="17"/>
        <v>22603.172288058344</v>
      </c>
      <c r="X221" s="46">
        <f t="shared" si="17"/>
        <v>23701.392919326758</v>
      </c>
      <c r="Y221" s="46">
        <f t="shared" si="17"/>
        <v>24511.259093452711</v>
      </c>
      <c r="Z221" s="46">
        <f t="shared" si="17"/>
        <v>24295.834738617199</v>
      </c>
      <c r="AA221" s="46">
        <f t="shared" si="17"/>
        <v>25002.049180327867</v>
      </c>
      <c r="AB221" s="46">
        <f t="shared" si="17"/>
        <v>24853.795180722893</v>
      </c>
      <c r="AC221" s="46">
        <f t="shared" si="17"/>
        <v>24750.030211480364</v>
      </c>
      <c r="AD221" s="46">
        <f t="shared" si="17"/>
        <v>24663.667400881059</v>
      </c>
      <c r="AE221" s="46">
        <f t="shared" si="17"/>
        <v>23820.585227272728</v>
      </c>
      <c r="AF221" s="46">
        <f t="shared" si="17"/>
        <v>23815.507657402155</v>
      </c>
      <c r="AG221" s="46">
        <f t="shared" si="17"/>
        <v>23560.114646030379</v>
      </c>
      <c r="AH221" s="46">
        <f t="shared" si="17"/>
        <v>23749.387987475093</v>
      </c>
      <c r="AI221" s="46">
        <f t="shared" si="17"/>
        <v>23173.885164675023</v>
      </c>
    </row>
    <row r="222" spans="1:35" x14ac:dyDescent="0.25">
      <c r="A222" s="11">
        <f>$A$37</f>
        <v>22</v>
      </c>
      <c r="M222" s="11"/>
      <c r="N222" s="11"/>
      <c r="O222" s="11"/>
      <c r="P222" s="46">
        <f>P$37*P$362</f>
        <v>25288.774570024572</v>
      </c>
      <c r="Q222" s="46">
        <f t="shared" ref="Q222:AI222" si="18">Q$37*Q$362</f>
        <v>24302.940246601331</v>
      </c>
      <c r="R222" s="46">
        <f t="shared" si="18"/>
        <v>24754.386398763523</v>
      </c>
      <c r="S222" s="46">
        <f t="shared" si="18"/>
        <v>24303.894245723171</v>
      </c>
      <c r="T222" s="46">
        <f t="shared" si="18"/>
        <v>23523.291666666668</v>
      </c>
      <c r="U222" s="46">
        <f t="shared" si="18"/>
        <v>23218.23662884927</v>
      </c>
      <c r="V222" s="46">
        <f t="shared" si="18"/>
        <v>23807.252053063803</v>
      </c>
      <c r="W222" s="46">
        <f t="shared" si="18"/>
        <v>23905.658597925179</v>
      </c>
      <c r="X222" s="46">
        <f t="shared" si="18"/>
        <v>24516.039239730228</v>
      </c>
      <c r="Y222" s="46">
        <f t="shared" si="18"/>
        <v>25750.96018735363</v>
      </c>
      <c r="Z222" s="46">
        <f t="shared" si="18"/>
        <v>26663.108603667137</v>
      </c>
      <c r="AA222" s="46">
        <f t="shared" si="18"/>
        <v>26466.349206349209</v>
      </c>
      <c r="AB222" s="46">
        <f t="shared" si="18"/>
        <v>27260.515009639217</v>
      </c>
      <c r="AC222" s="46">
        <f t="shared" si="18"/>
        <v>27133.288238542242</v>
      </c>
      <c r="AD222" s="46">
        <f t="shared" si="18"/>
        <v>27039.468438538206</v>
      </c>
      <c r="AE222" s="46">
        <f t="shared" si="18"/>
        <v>26978.678511937811</v>
      </c>
      <c r="AF222" s="46">
        <f t="shared" si="18"/>
        <v>26063.454597536522</v>
      </c>
      <c r="AG222" s="46">
        <f t="shared" si="18"/>
        <v>26089.445080091533</v>
      </c>
      <c r="AH222" s="46">
        <f t="shared" si="18"/>
        <v>25818.867052023124</v>
      </c>
      <c r="AI222" s="46">
        <f t="shared" si="18"/>
        <v>26047.608383577375</v>
      </c>
    </row>
    <row r="223" spans="1:35" x14ac:dyDescent="0.25">
      <c r="A223" s="11">
        <f>$A$38</f>
        <v>23</v>
      </c>
      <c r="M223" s="11"/>
      <c r="N223" s="11"/>
      <c r="O223" s="11"/>
      <c r="P223" s="46">
        <f>P$38*P$363</f>
        <v>26790.861027190331</v>
      </c>
      <c r="Q223" s="46">
        <f t="shared" ref="Q223:AI223" si="19">Q$38*Q$363</f>
        <v>25962.151198524891</v>
      </c>
      <c r="R223" s="46">
        <f t="shared" si="19"/>
        <v>25100.693568726354</v>
      </c>
      <c r="S223" s="46">
        <f t="shared" si="19"/>
        <v>25486.065825899725</v>
      </c>
      <c r="T223" s="46">
        <f t="shared" si="19"/>
        <v>25187.334993773351</v>
      </c>
      <c r="U223" s="46">
        <f t="shared" si="19"/>
        <v>24498.229066410011</v>
      </c>
      <c r="V223" s="46">
        <f t="shared" si="19"/>
        <v>24333.160285528877</v>
      </c>
      <c r="W223" s="46">
        <f t="shared" si="19"/>
        <v>24960.57206068268</v>
      </c>
      <c r="X223" s="46">
        <f t="shared" si="19"/>
        <v>25094.707363121459</v>
      </c>
      <c r="Y223" s="46">
        <f t="shared" si="19"/>
        <v>25762.344277385702</v>
      </c>
      <c r="Z223" s="46">
        <f t="shared" si="19"/>
        <v>27095.29153237621</v>
      </c>
      <c r="AA223" s="46">
        <f t="shared" si="19"/>
        <v>28062.879728966684</v>
      </c>
      <c r="AB223" s="46">
        <f t="shared" si="19"/>
        <v>27879.49219858156</v>
      </c>
      <c r="AC223" s="46">
        <f t="shared" si="19"/>
        <v>28733.619073869901</v>
      </c>
      <c r="AD223" s="46">
        <f t="shared" si="19"/>
        <v>28611.51146725615</v>
      </c>
      <c r="AE223" s="46">
        <f t="shared" si="19"/>
        <v>28535.527847049041</v>
      </c>
      <c r="AF223" s="46">
        <f t="shared" si="19"/>
        <v>28476.31111111111</v>
      </c>
      <c r="AG223" s="46">
        <f t="shared" si="19"/>
        <v>27535.389908256882</v>
      </c>
      <c r="AH223" s="46">
        <f t="shared" si="19"/>
        <v>27571.459645105897</v>
      </c>
      <c r="AI223" s="46">
        <f t="shared" si="19"/>
        <v>27298.57101533121</v>
      </c>
    </row>
    <row r="224" spans="1:35" x14ac:dyDescent="0.25">
      <c r="A224" s="11">
        <f>$A$39</f>
        <v>24</v>
      </c>
      <c r="M224" s="11"/>
      <c r="N224" s="11"/>
      <c r="O224" s="11"/>
      <c r="P224" s="46">
        <f>P$39*P$364</f>
        <v>27721.36591109803</v>
      </c>
      <c r="Q224" s="46">
        <f t="shared" ref="Q224:AI224" si="20">Q$39*Q$364</f>
        <v>26737.265577737446</v>
      </c>
      <c r="R224" s="46">
        <f t="shared" si="20"/>
        <v>26008.490045941806</v>
      </c>
      <c r="S224" s="46">
        <f t="shared" si="20"/>
        <v>25221.140350877195</v>
      </c>
      <c r="T224" s="46">
        <f t="shared" si="20"/>
        <v>25817.145916182319</v>
      </c>
      <c r="U224" s="46">
        <f t="shared" si="20"/>
        <v>25651.414422779326</v>
      </c>
      <c r="V224" s="46">
        <f t="shared" si="20"/>
        <v>25121.425837320574</v>
      </c>
      <c r="W224" s="46">
        <f t="shared" si="20"/>
        <v>24960.528861657527</v>
      </c>
      <c r="X224" s="46">
        <f t="shared" si="20"/>
        <v>25633.865493400375</v>
      </c>
      <c r="Y224" s="46">
        <f t="shared" si="20"/>
        <v>25796.842928660826</v>
      </c>
      <c r="Z224" s="46">
        <f t="shared" si="20"/>
        <v>26493.532641854788</v>
      </c>
      <c r="AA224" s="46">
        <f t="shared" si="20"/>
        <v>27858.321678321678</v>
      </c>
      <c r="AB224" s="46">
        <f t="shared" si="20"/>
        <v>28870.842696629214</v>
      </c>
      <c r="AC224" s="46">
        <f t="shared" si="20"/>
        <v>28696.907449209932</v>
      </c>
      <c r="AD224" s="46">
        <f t="shared" si="20"/>
        <v>29597.937465715855</v>
      </c>
      <c r="AE224" s="46">
        <f t="shared" si="20"/>
        <v>29483.743815283124</v>
      </c>
      <c r="AF224" s="46">
        <f t="shared" si="20"/>
        <v>29408.38478500551</v>
      </c>
      <c r="AG224" s="46">
        <f t="shared" si="20"/>
        <v>29376.299060254285</v>
      </c>
      <c r="AH224" s="46">
        <f t="shared" si="20"/>
        <v>28424.09466780724</v>
      </c>
      <c r="AI224" s="46">
        <f t="shared" si="20"/>
        <v>28468.675968109339</v>
      </c>
    </row>
    <row r="225" spans="1:35" x14ac:dyDescent="0.25">
      <c r="A225" s="11">
        <f>$A$40</f>
        <v>25</v>
      </c>
      <c r="M225" s="11"/>
      <c r="N225" s="11"/>
      <c r="O225" s="11"/>
      <c r="P225" s="46">
        <f>P$40*P$365</f>
        <v>28411.555428244057</v>
      </c>
      <c r="Q225" s="46">
        <f t="shared" ref="Q225:AI225" si="21">Q$40*Q$365</f>
        <v>27275.01030927835</v>
      </c>
      <c r="R225" s="46">
        <f t="shared" si="21"/>
        <v>26393.26911499097</v>
      </c>
      <c r="S225" s="46">
        <f t="shared" si="21"/>
        <v>25933.787234042557</v>
      </c>
      <c r="T225" s="46">
        <f t="shared" si="21"/>
        <v>25349.805013927577</v>
      </c>
      <c r="U225" s="46">
        <f t="shared" si="21"/>
        <v>26096.63240628779</v>
      </c>
      <c r="V225" s="46">
        <f t="shared" si="21"/>
        <v>26081.746177370031</v>
      </c>
      <c r="W225" s="46">
        <f t="shared" si="21"/>
        <v>25562.091997479522</v>
      </c>
      <c r="X225" s="46">
        <f t="shared" si="21"/>
        <v>25411.194267515923</v>
      </c>
      <c r="Y225" s="46">
        <f t="shared" si="21"/>
        <v>26103.911828624652</v>
      </c>
      <c r="Z225" s="46">
        <f t="shared" si="21"/>
        <v>26286.361669242659</v>
      </c>
      <c r="AA225" s="46">
        <f t="shared" si="21"/>
        <v>27002.463069038287</v>
      </c>
      <c r="AB225" s="46">
        <f t="shared" si="21"/>
        <v>28387.104580812447</v>
      </c>
      <c r="AC225" s="46">
        <f t="shared" si="21"/>
        <v>29418.571825507086</v>
      </c>
      <c r="AD225" s="46">
        <f t="shared" si="21"/>
        <v>29253.767792352777</v>
      </c>
      <c r="AE225" s="46">
        <f t="shared" si="21"/>
        <v>30164.640434192672</v>
      </c>
      <c r="AF225" s="46">
        <f t="shared" si="21"/>
        <v>30059.510470492249</v>
      </c>
      <c r="AG225" s="46">
        <f t="shared" si="21"/>
        <v>29993.58603763294</v>
      </c>
      <c r="AH225" s="46">
        <f t="shared" si="21"/>
        <v>29971.189499589826</v>
      </c>
      <c r="AI225" s="46">
        <f t="shared" si="21"/>
        <v>29018.358714043996</v>
      </c>
    </row>
    <row r="226" spans="1:35" x14ac:dyDescent="0.25">
      <c r="A226" s="11">
        <f>$A$41</f>
        <v>26</v>
      </c>
      <c r="M226" s="11"/>
      <c r="N226" s="11"/>
      <c r="O226" s="11"/>
      <c r="P226" s="46">
        <f>P$41*P$366</f>
        <v>28814.392837157247</v>
      </c>
      <c r="Q226" s="46">
        <f t="shared" ref="Q226:AI226" si="22">Q$41*Q$366</f>
        <v>27833.533791523485</v>
      </c>
      <c r="R226" s="46">
        <f t="shared" si="22"/>
        <v>26758.31381733021</v>
      </c>
      <c r="S226" s="46">
        <f t="shared" si="22"/>
        <v>26270.211750671042</v>
      </c>
      <c r="T226" s="46">
        <f t="shared" si="22"/>
        <v>26012.329749103945</v>
      </c>
      <c r="U226" s="46">
        <f t="shared" si="22"/>
        <v>25577.391304347828</v>
      </c>
      <c r="V226" s="46">
        <f t="shared" si="22"/>
        <v>26454.248366013071</v>
      </c>
      <c r="W226" s="46">
        <f t="shared" si="22"/>
        <v>26448.356370192305</v>
      </c>
      <c r="X226" s="46">
        <f t="shared" si="22"/>
        <v>25931.357871945562</v>
      </c>
      <c r="Y226" s="46">
        <f t="shared" si="22"/>
        <v>25796.607254534087</v>
      </c>
      <c r="Z226" s="46">
        <f t="shared" si="22"/>
        <v>26481.408536585364</v>
      </c>
      <c r="AA226" s="46">
        <f t="shared" si="22"/>
        <v>26663.891924711595</v>
      </c>
      <c r="AB226" s="46">
        <f t="shared" si="22"/>
        <v>27397.866666666669</v>
      </c>
      <c r="AC226" s="46">
        <f t="shared" si="22"/>
        <v>28782.360442051573</v>
      </c>
      <c r="AD226" s="46">
        <f t="shared" si="22"/>
        <v>29805.915800984145</v>
      </c>
      <c r="AE226" s="46">
        <f t="shared" si="22"/>
        <v>29659.178797033779</v>
      </c>
      <c r="AF226" s="46">
        <f t="shared" si="22"/>
        <v>30570.024044883783</v>
      </c>
      <c r="AG226" s="46">
        <f t="shared" si="22"/>
        <v>30474.752342704149</v>
      </c>
      <c r="AH226" s="46">
        <f t="shared" si="22"/>
        <v>30408.902013422819</v>
      </c>
      <c r="AI226" s="46">
        <f t="shared" si="22"/>
        <v>30386.514131897711</v>
      </c>
    </row>
    <row r="227" spans="1:35" x14ac:dyDescent="0.25">
      <c r="A227" s="11">
        <f>$A$42</f>
        <v>27</v>
      </c>
      <c r="M227" s="11"/>
      <c r="N227" s="11"/>
      <c r="O227" s="11"/>
      <c r="P227" s="46">
        <f>P$42*P$367</f>
        <v>30027.234042553191</v>
      </c>
      <c r="Q227" s="46">
        <f t="shared" ref="Q227:AI227" si="23">Q$42*Q$367</f>
        <v>28362.534935718279</v>
      </c>
      <c r="R227" s="46">
        <f t="shared" si="23"/>
        <v>27377.645051194537</v>
      </c>
      <c r="S227" s="46">
        <f t="shared" si="23"/>
        <v>26766.454044650622</v>
      </c>
      <c r="T227" s="46">
        <f t="shared" si="23"/>
        <v>26485.699208443271</v>
      </c>
      <c r="U227" s="46">
        <f t="shared" si="23"/>
        <v>26347.410452143278</v>
      </c>
      <c r="V227" s="46">
        <f t="shared" si="23"/>
        <v>26034.227666567072</v>
      </c>
      <c r="W227" s="46">
        <f t="shared" si="23"/>
        <v>26895.042335766426</v>
      </c>
      <c r="X227" s="46">
        <f t="shared" si="23"/>
        <v>26887.040756054339</v>
      </c>
      <c r="Y227" s="46">
        <f t="shared" si="23"/>
        <v>26378.043147979341</v>
      </c>
      <c r="Z227" s="46">
        <f t="shared" si="23"/>
        <v>26245.127417869204</v>
      </c>
      <c r="AA227" s="46">
        <f t="shared" si="23"/>
        <v>26938.526063511086</v>
      </c>
      <c r="AB227" s="46">
        <f t="shared" si="23"/>
        <v>27111.634844868735</v>
      </c>
      <c r="AC227" s="46">
        <f t="shared" si="23"/>
        <v>27827.905621905036</v>
      </c>
      <c r="AD227" s="46">
        <f t="shared" si="23"/>
        <v>29212.414273766379</v>
      </c>
      <c r="AE227" s="46">
        <f t="shared" si="23"/>
        <v>30235.252960172227</v>
      </c>
      <c r="AF227" s="46">
        <f t="shared" si="23"/>
        <v>30071.065152743984</v>
      </c>
      <c r="AG227" s="46">
        <f t="shared" si="23"/>
        <v>30973.903208837452</v>
      </c>
      <c r="AH227" s="46">
        <f t="shared" si="23"/>
        <v>30879.261992619926</v>
      </c>
      <c r="AI227" s="46">
        <f t="shared" si="23"/>
        <v>30830.306634945809</v>
      </c>
    </row>
    <row r="228" spans="1:35" x14ac:dyDescent="0.25">
      <c r="A228" s="11">
        <f>$A$43</f>
        <v>28</v>
      </c>
      <c r="M228" s="11"/>
      <c r="N228" s="11"/>
      <c r="O228" s="11"/>
      <c r="P228" s="46">
        <f>P$43*P$368</f>
        <v>30770.99177800617</v>
      </c>
      <c r="Q228" s="46">
        <f t="shared" ref="Q228:AI228" si="24">Q$43*Q$368</f>
        <v>29526.500265533723</v>
      </c>
      <c r="R228" s="46">
        <f t="shared" si="24"/>
        <v>27901.473362930079</v>
      </c>
      <c r="S228" s="46">
        <f t="shared" si="24"/>
        <v>27451.295045045048</v>
      </c>
      <c r="T228" s="46">
        <f t="shared" si="24"/>
        <v>27027.085112439512</v>
      </c>
      <c r="U228" s="46">
        <f t="shared" si="24"/>
        <v>26856</v>
      </c>
      <c r="V228" s="46">
        <f t="shared" si="24"/>
        <v>26832.518006338232</v>
      </c>
      <c r="W228" s="46">
        <f t="shared" si="24"/>
        <v>26517.713280562886</v>
      </c>
      <c r="X228" s="46">
        <f t="shared" si="24"/>
        <v>27376.881627973631</v>
      </c>
      <c r="Y228" s="46">
        <f t="shared" si="24"/>
        <v>27370.350623007824</v>
      </c>
      <c r="Z228" s="46">
        <f t="shared" si="24"/>
        <v>26851.123695976155</v>
      </c>
      <c r="AA228" s="46">
        <f t="shared" si="24"/>
        <v>26718.247515808493</v>
      </c>
      <c r="AB228" s="46">
        <f t="shared" si="24"/>
        <v>27402.275132275132</v>
      </c>
      <c r="AC228" s="46">
        <f t="shared" si="24"/>
        <v>27575.632318501172</v>
      </c>
      <c r="AD228" s="46">
        <f t="shared" si="24"/>
        <v>28282.604345340194</v>
      </c>
      <c r="AE228" s="46">
        <f t="shared" si="24"/>
        <v>29657.291894852136</v>
      </c>
      <c r="AF228" s="46">
        <f t="shared" si="24"/>
        <v>30670.761904761905</v>
      </c>
      <c r="AG228" s="46">
        <f t="shared" si="24"/>
        <v>30499.043570669503</v>
      </c>
      <c r="AH228" s="46">
        <f t="shared" si="24"/>
        <v>31408.753233316089</v>
      </c>
      <c r="AI228" s="46">
        <f t="shared" si="24"/>
        <v>31306.334888543286</v>
      </c>
    </row>
    <row r="229" spans="1:35" x14ac:dyDescent="0.25">
      <c r="A229" s="11">
        <f>$A$44</f>
        <v>29</v>
      </c>
      <c r="M229" s="11"/>
      <c r="N229" s="11"/>
      <c r="O229" s="11"/>
      <c r="P229" s="46">
        <f>P$44*P$369</f>
        <v>31234.852978135208</v>
      </c>
      <c r="Q229" s="46">
        <f t="shared" ref="Q229:AI229" si="25">Q$44*Q$369</f>
        <v>30418.953846153843</v>
      </c>
      <c r="R229" s="46">
        <f t="shared" si="25"/>
        <v>29098.715378528093</v>
      </c>
      <c r="S229" s="46">
        <f t="shared" si="25"/>
        <v>28026.270953558669</v>
      </c>
      <c r="T229" s="46">
        <f t="shared" si="25"/>
        <v>27773.593360995848</v>
      </c>
      <c r="U229" s="46">
        <f t="shared" si="25"/>
        <v>27452.122483221476</v>
      </c>
      <c r="V229" s="46">
        <f t="shared" si="25"/>
        <v>27375.076314301867</v>
      </c>
      <c r="W229" s="46">
        <f t="shared" si="25"/>
        <v>27342.450481041313</v>
      </c>
      <c r="X229" s="46">
        <f t="shared" si="25"/>
        <v>27027.927461139898</v>
      </c>
      <c r="Y229" s="46">
        <f t="shared" si="25"/>
        <v>27879.037162162163</v>
      </c>
      <c r="Z229" s="46">
        <f t="shared" si="25"/>
        <v>27870.791121229369</v>
      </c>
      <c r="AA229" s="46">
        <f t="shared" si="25"/>
        <v>27351.45699239321</v>
      </c>
      <c r="AB229" s="46">
        <f t="shared" si="25"/>
        <v>27218.687943262408</v>
      </c>
      <c r="AC229" s="46">
        <f t="shared" si="25"/>
        <v>27893.264069264071</v>
      </c>
      <c r="AD229" s="46">
        <f t="shared" si="25"/>
        <v>28066.864041391204</v>
      </c>
      <c r="AE229" s="46">
        <f t="shared" si="25"/>
        <v>28764.27969671441</v>
      </c>
      <c r="AF229" s="46">
        <f t="shared" si="25"/>
        <v>30120.928667563931</v>
      </c>
      <c r="AG229" s="46">
        <f t="shared" si="25"/>
        <v>31143.161592505858</v>
      </c>
      <c r="AH229" s="46">
        <f t="shared" si="25"/>
        <v>30971.91011235955</v>
      </c>
      <c r="AI229" s="46">
        <f t="shared" si="25"/>
        <v>31871.972512089589</v>
      </c>
    </row>
    <row r="230" spans="1:35" x14ac:dyDescent="0.25">
      <c r="A230" s="11">
        <f>$A$45</f>
        <v>30</v>
      </c>
      <c r="M230" s="11"/>
      <c r="N230" s="11"/>
      <c r="O230" s="11"/>
      <c r="P230" s="46">
        <f>P$45*P$370</f>
        <v>30864.415846580876</v>
      </c>
      <c r="Q230" s="46">
        <f t="shared" ref="Q230:AI230" si="26">Q$45*Q$370</f>
        <v>30984.27890644595</v>
      </c>
      <c r="R230" s="46">
        <f t="shared" si="26"/>
        <v>30081.243628950051</v>
      </c>
      <c r="S230" s="46">
        <f t="shared" si="26"/>
        <v>29249.053347280336</v>
      </c>
      <c r="T230" s="46">
        <f t="shared" si="26"/>
        <v>28368.567567567567</v>
      </c>
      <c r="U230" s="46">
        <f t="shared" si="26"/>
        <v>28200.11425462459</v>
      </c>
      <c r="V230" s="46">
        <f t="shared" si="26"/>
        <v>27964.345794392524</v>
      </c>
      <c r="W230" s="46">
        <f t="shared" si="26"/>
        <v>27887.5</v>
      </c>
      <c r="X230" s="46">
        <f t="shared" si="26"/>
        <v>27853.262865090401</v>
      </c>
      <c r="Y230" s="46">
        <f t="shared" si="26"/>
        <v>27531.201923076926</v>
      </c>
      <c r="Z230" s="46">
        <f t="shared" si="26"/>
        <v>28380.525878771106</v>
      </c>
      <c r="AA230" s="46">
        <f t="shared" si="26"/>
        <v>28362.483916083915</v>
      </c>
      <c r="AB230" s="46">
        <f t="shared" si="26"/>
        <v>27844.913793103449</v>
      </c>
      <c r="AC230" s="46">
        <f t="shared" si="26"/>
        <v>27692.54207777133</v>
      </c>
      <c r="AD230" s="46">
        <f t="shared" si="26"/>
        <v>28367.39438616388</v>
      </c>
      <c r="AE230" s="46">
        <f t="shared" si="26"/>
        <v>28541.174809375883</v>
      </c>
      <c r="AF230" s="46">
        <f t="shared" si="26"/>
        <v>29246.824958586418</v>
      </c>
      <c r="AG230" s="46">
        <f t="shared" si="26"/>
        <v>30592.166313559323</v>
      </c>
      <c r="AH230" s="46">
        <f t="shared" si="26"/>
        <v>31588.655569782331</v>
      </c>
      <c r="AI230" s="46">
        <f t="shared" si="26"/>
        <v>31434.1975308642</v>
      </c>
    </row>
    <row r="231" spans="1:35" x14ac:dyDescent="0.25">
      <c r="A231" s="11">
        <f>$A$46</f>
        <v>31</v>
      </c>
      <c r="M231" s="11"/>
      <c r="N231" s="11"/>
      <c r="O231" s="11"/>
      <c r="P231" s="46">
        <f>P$46*P$371</f>
        <v>29700</v>
      </c>
      <c r="Q231" s="46">
        <f t="shared" ref="Q231:AI231" si="27">Q$46*Q$371</f>
        <v>30719.154291467406</v>
      </c>
      <c r="R231" s="46">
        <f t="shared" si="27"/>
        <v>30705.45228008971</v>
      </c>
      <c r="S231" s="46">
        <f t="shared" si="27"/>
        <v>30247.498736735724</v>
      </c>
      <c r="T231" s="46">
        <f t="shared" si="27"/>
        <v>29595.726055612769</v>
      </c>
      <c r="U231" s="46">
        <f t="shared" si="27"/>
        <v>28765.753788885933</v>
      </c>
      <c r="V231" s="46">
        <f t="shared" si="27"/>
        <v>28683.770404067433</v>
      </c>
      <c r="W231" s="46">
        <f t="shared" si="27"/>
        <v>28445.970795024339</v>
      </c>
      <c r="X231" s="46">
        <f t="shared" si="27"/>
        <v>28359.48907103825</v>
      </c>
      <c r="Y231" s="46">
        <f t="shared" si="27"/>
        <v>28317.538293216629</v>
      </c>
      <c r="Z231" s="46">
        <f t="shared" si="27"/>
        <v>27993.592880978867</v>
      </c>
      <c r="AA231" s="46">
        <f t="shared" si="27"/>
        <v>28825.321175830159</v>
      </c>
      <c r="AB231" s="46">
        <f t="shared" si="27"/>
        <v>28798.943894389438</v>
      </c>
      <c r="AC231" s="46">
        <f t="shared" si="27"/>
        <v>28279.469076532052</v>
      </c>
      <c r="AD231" s="46">
        <f t="shared" si="27"/>
        <v>28135.025670279523</v>
      </c>
      <c r="AE231" s="46">
        <f t="shared" si="27"/>
        <v>28792.123745819397</v>
      </c>
      <c r="AF231" s="46">
        <f t="shared" si="27"/>
        <v>28956.12437534703</v>
      </c>
      <c r="AG231" s="46">
        <f t="shared" si="27"/>
        <v>29652.006516426824</v>
      </c>
      <c r="AH231" s="46">
        <f t="shared" si="27"/>
        <v>30988.991399530885</v>
      </c>
      <c r="AI231" s="46">
        <f t="shared" si="27"/>
        <v>31992.277427490542</v>
      </c>
    </row>
    <row r="232" spans="1:35" x14ac:dyDescent="0.25">
      <c r="A232" s="11">
        <f>$A$47</f>
        <v>32</v>
      </c>
      <c r="M232" s="11"/>
      <c r="N232" s="11"/>
      <c r="O232" s="11"/>
      <c r="P232" s="46">
        <f>P$47*P$372</f>
        <v>29559.031920460489</v>
      </c>
      <c r="Q232" s="46">
        <f t="shared" ref="Q232:AI232" si="28">Q$47*Q$372</f>
        <v>29686.770914777167</v>
      </c>
      <c r="R232" s="46">
        <f t="shared" si="28"/>
        <v>30501.952929394094</v>
      </c>
      <c r="S232" s="46">
        <f t="shared" si="28"/>
        <v>30896.344059405943</v>
      </c>
      <c r="T232" s="46">
        <f t="shared" si="28"/>
        <v>30609.535116220944</v>
      </c>
      <c r="U232" s="46">
        <f t="shared" si="28"/>
        <v>30009.635947046845</v>
      </c>
      <c r="V232" s="46">
        <f t="shared" si="28"/>
        <v>29256.356466876972</v>
      </c>
      <c r="W232" s="46">
        <f t="shared" si="28"/>
        <v>29155.153439153441</v>
      </c>
      <c r="X232" s="46">
        <f t="shared" si="28"/>
        <v>28917.532745255281</v>
      </c>
      <c r="Y232" s="46">
        <f t="shared" si="28"/>
        <v>28814.055075593955</v>
      </c>
      <c r="Z232" s="46">
        <f t="shared" si="28"/>
        <v>28760.583941605841</v>
      </c>
      <c r="AA232" s="46">
        <f t="shared" si="28"/>
        <v>28419.48076923077</v>
      </c>
      <c r="AB232" s="46">
        <f t="shared" si="28"/>
        <v>29259.370460048427</v>
      </c>
      <c r="AC232" s="46">
        <f t="shared" si="28"/>
        <v>29223.571622723568</v>
      </c>
      <c r="AD232" s="46">
        <f t="shared" si="28"/>
        <v>28694.53125</v>
      </c>
      <c r="AE232" s="46">
        <f t="shared" si="28"/>
        <v>28542.25352112676</v>
      </c>
      <c r="AF232" s="46">
        <f t="shared" si="28"/>
        <v>29197.730652712751</v>
      </c>
      <c r="AG232" s="46">
        <f t="shared" si="28"/>
        <v>29361.923182441704</v>
      </c>
      <c r="AH232" s="46">
        <f t="shared" si="28"/>
        <v>30048.148148148146</v>
      </c>
      <c r="AI232" s="46">
        <f t="shared" si="28"/>
        <v>31385.257731958762</v>
      </c>
    </row>
    <row r="233" spans="1:35" x14ac:dyDescent="0.25">
      <c r="A233" s="11">
        <f>$A$48</f>
        <v>33</v>
      </c>
      <c r="M233" s="11"/>
      <c r="N233" s="11"/>
      <c r="O233" s="11"/>
      <c r="P233" s="46">
        <f>P$48*P$373</f>
        <v>27826.772310258551</v>
      </c>
      <c r="Q233" s="46">
        <f t="shared" ref="Q233:AI233" si="29">Q$48*Q$373</f>
        <v>29600.333942081921</v>
      </c>
      <c r="R233" s="46">
        <f t="shared" si="29"/>
        <v>29573.554576095412</v>
      </c>
      <c r="S233" s="46">
        <f t="shared" si="29"/>
        <v>30726.44936551381</v>
      </c>
      <c r="T233" s="46">
        <f t="shared" si="29"/>
        <v>31267.880794701985</v>
      </c>
      <c r="U233" s="46">
        <f t="shared" si="29"/>
        <v>31025.03094825452</v>
      </c>
      <c r="V233" s="46">
        <f t="shared" si="29"/>
        <v>30465.576292559897</v>
      </c>
      <c r="W233" s="46">
        <f t="shared" si="29"/>
        <v>29702.97318406665</v>
      </c>
      <c r="X233" s="46">
        <f t="shared" si="29"/>
        <v>29584.295442640127</v>
      </c>
      <c r="Y233" s="46">
        <f t="shared" si="29"/>
        <v>29319.211431595661</v>
      </c>
      <c r="Z233" s="46">
        <f t="shared" si="29"/>
        <v>29214.113873295908</v>
      </c>
      <c r="AA233" s="46">
        <f t="shared" si="29"/>
        <v>29152.691998929622</v>
      </c>
      <c r="AB233" s="46">
        <f t="shared" si="29"/>
        <v>28810.116911364872</v>
      </c>
      <c r="AC233" s="46">
        <f t="shared" si="29"/>
        <v>29630.892143808258</v>
      </c>
      <c r="AD233" s="46">
        <f t="shared" si="29"/>
        <v>29595.3995157385</v>
      </c>
      <c r="AE233" s="46">
        <f t="shared" si="29"/>
        <v>29056.76421866372</v>
      </c>
      <c r="AF233" s="46">
        <f t="shared" si="29"/>
        <v>28894.74358974359</v>
      </c>
      <c r="AG233" s="46">
        <f t="shared" si="29"/>
        <v>29550.286181520849</v>
      </c>
      <c r="AH233" s="46">
        <f t="shared" si="29"/>
        <v>29694.881889763779</v>
      </c>
      <c r="AI233" s="46">
        <f t="shared" si="29"/>
        <v>30372.978214665251</v>
      </c>
    </row>
    <row r="234" spans="1:35" x14ac:dyDescent="0.25">
      <c r="A234" s="11">
        <f>$A$49</f>
        <v>34</v>
      </c>
      <c r="M234" s="11"/>
      <c r="N234" s="11"/>
      <c r="O234" s="11"/>
      <c r="P234" s="46">
        <f>P$49*P$374</f>
        <v>27372.413793103449</v>
      </c>
      <c r="Q234" s="46">
        <f t="shared" ref="Q234:AI234" si="30">Q$49*Q$374</f>
        <v>27953.449709060682</v>
      </c>
      <c r="R234" s="46">
        <f t="shared" si="30"/>
        <v>29589.673066943436</v>
      </c>
      <c r="S234" s="46">
        <f t="shared" si="30"/>
        <v>29813.318743563337</v>
      </c>
      <c r="T234" s="46">
        <f t="shared" si="30"/>
        <v>31113.54218056241</v>
      </c>
      <c r="U234" s="46">
        <f t="shared" si="30"/>
        <v>31706.92607003891</v>
      </c>
      <c r="V234" s="46">
        <f t="shared" si="30"/>
        <v>31498.804614629356</v>
      </c>
      <c r="W234" s="46">
        <f t="shared" si="30"/>
        <v>30919.07</v>
      </c>
      <c r="X234" s="46">
        <f t="shared" si="30"/>
        <v>30127.512899896803</v>
      </c>
      <c r="Y234" s="46">
        <f t="shared" si="30"/>
        <v>29998.873604983128</v>
      </c>
      <c r="Z234" s="46">
        <f t="shared" si="30"/>
        <v>29723.791295228104</v>
      </c>
      <c r="AA234" s="46">
        <f t="shared" si="30"/>
        <v>29617.372881355932</v>
      </c>
      <c r="AB234" s="46">
        <f t="shared" si="30"/>
        <v>29536.161187698835</v>
      </c>
      <c r="AC234" s="46">
        <f t="shared" si="30"/>
        <v>29175.93590088877</v>
      </c>
      <c r="AD234" s="46">
        <f t="shared" si="30"/>
        <v>29987.335092348283</v>
      </c>
      <c r="AE234" s="46">
        <f t="shared" si="30"/>
        <v>29950.597014925374</v>
      </c>
      <c r="AF234" s="46">
        <f t="shared" si="30"/>
        <v>29394.273995077932</v>
      </c>
      <c r="AG234" s="46">
        <f t="shared" si="30"/>
        <v>29230.640353298371</v>
      </c>
      <c r="AH234" s="46">
        <f t="shared" si="30"/>
        <v>29868.115550755938</v>
      </c>
      <c r="AI234" s="46">
        <f t="shared" si="30"/>
        <v>30012.716514254978</v>
      </c>
    </row>
    <row r="235" spans="1:35" x14ac:dyDescent="0.25">
      <c r="A235" s="11">
        <f>$A$50</f>
        <v>35</v>
      </c>
      <c r="M235" s="11"/>
      <c r="N235" s="11"/>
      <c r="O235" s="11"/>
      <c r="P235" s="46">
        <f>P$50*P$375</f>
        <v>27310.950885208451</v>
      </c>
      <c r="Q235" s="46">
        <f t="shared" ref="Q235:AI235" si="31">Q$50*Q$375</f>
        <v>27607.19797240214</v>
      </c>
      <c r="R235" s="46">
        <f t="shared" si="31"/>
        <v>28104.348664279813</v>
      </c>
      <c r="S235" s="46">
        <f t="shared" si="31"/>
        <v>29943.548969072166</v>
      </c>
      <c r="T235" s="46">
        <f t="shared" si="31"/>
        <v>30296.371997956056</v>
      </c>
      <c r="U235" s="46">
        <f t="shared" si="31"/>
        <v>31649.576395690499</v>
      </c>
      <c r="V235" s="46">
        <f t="shared" si="31"/>
        <v>32278.573153066151</v>
      </c>
      <c r="W235" s="46">
        <f t="shared" si="31"/>
        <v>32040.497076023392</v>
      </c>
      <c r="X235" s="46">
        <f t="shared" si="31"/>
        <v>31441.949888365169</v>
      </c>
      <c r="Y235" s="46">
        <f t="shared" si="31"/>
        <v>30639.344765804966</v>
      </c>
      <c r="Z235" s="46">
        <f t="shared" si="31"/>
        <v>30498.604172031937</v>
      </c>
      <c r="AA235" s="46">
        <f t="shared" si="31"/>
        <v>30195.651495448634</v>
      </c>
      <c r="AB235" s="46">
        <f t="shared" si="31"/>
        <v>30062.316784869974</v>
      </c>
      <c r="AC235" s="46">
        <f t="shared" si="31"/>
        <v>29988.398632658427</v>
      </c>
      <c r="AD235" s="46">
        <f t="shared" si="31"/>
        <v>29608.910256410258</v>
      </c>
      <c r="AE235" s="46">
        <f t="shared" si="31"/>
        <v>30421.104422925939</v>
      </c>
      <c r="AF235" s="46">
        <f t="shared" si="31"/>
        <v>30357.676447264075</v>
      </c>
      <c r="AG235" s="46">
        <f t="shared" si="31"/>
        <v>29800.428416485898</v>
      </c>
      <c r="AH235" s="46">
        <f t="shared" si="31"/>
        <v>29618.992884510124</v>
      </c>
      <c r="AI235" s="46">
        <f t="shared" si="31"/>
        <v>30264.364123159303</v>
      </c>
    </row>
    <row r="236" spans="1:35" x14ac:dyDescent="0.25">
      <c r="A236" s="11">
        <f>$A$51</f>
        <v>36</v>
      </c>
      <c r="M236" s="11"/>
      <c r="N236" s="11"/>
      <c r="O236" s="11"/>
      <c r="P236" s="46">
        <f>P$51*P$376</f>
        <v>27150.537010159653</v>
      </c>
      <c r="Q236" s="46">
        <f t="shared" ref="Q236:AI236" si="32">Q$51*Q$376</f>
        <v>27653.18918918919</v>
      </c>
      <c r="R236" s="46">
        <f t="shared" si="32"/>
        <v>27826.970884658454</v>
      </c>
      <c r="S236" s="46">
        <f t="shared" si="32"/>
        <v>28508.665207877464</v>
      </c>
      <c r="T236" s="46">
        <f t="shared" si="32"/>
        <v>30493.690811364217</v>
      </c>
      <c r="U236" s="46">
        <f t="shared" si="32"/>
        <v>30891.385435168737</v>
      </c>
      <c r="V236" s="46">
        <f t="shared" si="32"/>
        <v>32298.98808075894</v>
      </c>
      <c r="W236" s="46">
        <f t="shared" si="32"/>
        <v>32910.860911270982</v>
      </c>
      <c r="X236" s="46">
        <f t="shared" si="32"/>
        <v>32660.334059549743</v>
      </c>
      <c r="Y236" s="46">
        <f t="shared" si="32"/>
        <v>32040.48792508625</v>
      </c>
      <c r="Z236" s="46">
        <f t="shared" si="32"/>
        <v>31209.293340111846</v>
      </c>
      <c r="AA236" s="46">
        <f t="shared" si="32"/>
        <v>31050.30938378931</v>
      </c>
      <c r="AB236" s="46">
        <f t="shared" si="32"/>
        <v>30744.643595041325</v>
      </c>
      <c r="AC236" s="46">
        <f t="shared" si="32"/>
        <v>30584.72750977836</v>
      </c>
      <c r="AD236" s="46">
        <f t="shared" si="32"/>
        <v>30507.885117493472</v>
      </c>
      <c r="AE236" s="46">
        <f t="shared" si="32"/>
        <v>30118.894192521875</v>
      </c>
      <c r="AF236" s="46">
        <f t="shared" si="32"/>
        <v>30914.544037412314</v>
      </c>
      <c r="AG236" s="46">
        <f t="shared" si="32"/>
        <v>30851.12568879559</v>
      </c>
      <c r="AH236" s="46">
        <f t="shared" si="32"/>
        <v>30285.314854682452</v>
      </c>
      <c r="AI236" s="46">
        <f t="shared" si="32"/>
        <v>30102.567237163814</v>
      </c>
    </row>
    <row r="237" spans="1:35" x14ac:dyDescent="0.25">
      <c r="A237" s="11">
        <f>$A$52</f>
        <v>37</v>
      </c>
      <c r="M237" s="11"/>
      <c r="N237" s="11"/>
      <c r="O237" s="11"/>
      <c r="P237" s="46">
        <f>P$52*P$377</f>
        <v>27006.05845881311</v>
      </c>
      <c r="Q237" s="46">
        <f t="shared" ref="Q237:AI237" si="33">Q$52*Q$377</f>
        <v>27494.201388888891</v>
      </c>
      <c r="R237" s="46">
        <f t="shared" si="33"/>
        <v>27930.614035087721</v>
      </c>
      <c r="S237" s="46">
        <f t="shared" si="33"/>
        <v>28248</v>
      </c>
      <c r="T237" s="46">
        <f t="shared" si="33"/>
        <v>29047.845694104861</v>
      </c>
      <c r="U237" s="46">
        <f t="shared" si="33"/>
        <v>31089.025940996948</v>
      </c>
      <c r="V237" s="46">
        <f t="shared" si="33"/>
        <v>31533.434190620272</v>
      </c>
      <c r="W237" s="46">
        <f t="shared" si="33"/>
        <v>32940.290135396521</v>
      </c>
      <c r="X237" s="46">
        <f t="shared" si="33"/>
        <v>33542.803337306315</v>
      </c>
      <c r="Y237" s="46">
        <f t="shared" si="33"/>
        <v>33281.780558229068</v>
      </c>
      <c r="Z237" s="46">
        <f t="shared" si="33"/>
        <v>32630.74944893461</v>
      </c>
      <c r="AA237" s="46">
        <f t="shared" si="33"/>
        <v>31772.696969696968</v>
      </c>
      <c r="AB237" s="46">
        <f t="shared" si="33"/>
        <v>31611.277947154471</v>
      </c>
      <c r="AC237" s="46">
        <f t="shared" si="33"/>
        <v>31293.487297921478</v>
      </c>
      <c r="AD237" s="46">
        <f t="shared" si="33"/>
        <v>31134.404145077719</v>
      </c>
      <c r="AE237" s="46">
        <f t="shared" si="33"/>
        <v>31028.612191958498</v>
      </c>
      <c r="AF237" s="46">
        <f t="shared" si="33"/>
        <v>30628.688092729186</v>
      </c>
      <c r="AG237" s="46">
        <f t="shared" si="33"/>
        <v>31435.312338668045</v>
      </c>
      <c r="AH237" s="46">
        <f t="shared" si="33"/>
        <v>31355.659541188739</v>
      </c>
      <c r="AI237" s="46">
        <f t="shared" si="33"/>
        <v>30771.601176156106</v>
      </c>
    </row>
    <row r="238" spans="1:35" x14ac:dyDescent="0.25">
      <c r="A238" s="11">
        <f>$A$53</f>
        <v>38</v>
      </c>
      <c r="M238" s="11"/>
      <c r="N238" s="11"/>
      <c r="O238" s="11"/>
      <c r="P238" s="46">
        <f>P$53*P$378</f>
        <v>26769.684210526317</v>
      </c>
      <c r="Q238" s="46">
        <f t="shared" ref="Q238:AI238" si="34">Q$53*Q$378</f>
        <v>27357.748012952605</v>
      </c>
      <c r="R238" s="46">
        <f t="shared" si="34"/>
        <v>27709.84455958549</v>
      </c>
      <c r="S238" s="46">
        <f t="shared" si="34"/>
        <v>28281.974683544304</v>
      </c>
      <c r="T238" s="46">
        <f t="shared" si="34"/>
        <v>28687.719104230026</v>
      </c>
      <c r="U238" s="46">
        <f t="shared" si="34"/>
        <v>29544.161490683229</v>
      </c>
      <c r="V238" s="46">
        <f t="shared" si="34"/>
        <v>31651.380880121396</v>
      </c>
      <c r="W238" s="46">
        <f t="shared" si="34"/>
        <v>32086.730190571718</v>
      </c>
      <c r="X238" s="46">
        <f t="shared" si="34"/>
        <v>33484.740259740262</v>
      </c>
      <c r="Y238" s="46">
        <f t="shared" si="34"/>
        <v>34085.882352941175</v>
      </c>
      <c r="Z238" s="46">
        <f t="shared" si="34"/>
        <v>33804.822881761611</v>
      </c>
      <c r="AA238" s="46">
        <f t="shared" si="34"/>
        <v>33150.548245614038</v>
      </c>
      <c r="AB238" s="46">
        <f t="shared" si="34"/>
        <v>32265.209746294902</v>
      </c>
      <c r="AC238" s="46">
        <f t="shared" si="34"/>
        <v>32083.750315895879</v>
      </c>
      <c r="AD238" s="46">
        <f t="shared" si="34"/>
        <v>31747.433018627198</v>
      </c>
      <c r="AE238" s="46">
        <f t="shared" si="34"/>
        <v>31579.258114374032</v>
      </c>
      <c r="AF238" s="46">
        <f t="shared" si="34"/>
        <v>31471.016249677585</v>
      </c>
      <c r="AG238" s="46">
        <f t="shared" si="34"/>
        <v>31053.242535358826</v>
      </c>
      <c r="AH238" s="46">
        <f t="shared" si="34"/>
        <v>31860.862422997947</v>
      </c>
      <c r="AI238" s="46">
        <f t="shared" si="34"/>
        <v>31781.244167962675</v>
      </c>
    </row>
    <row r="239" spans="1:35" x14ac:dyDescent="0.25">
      <c r="A239" s="11">
        <f>$A$54</f>
        <v>39</v>
      </c>
      <c r="M239" s="11"/>
      <c r="N239" s="11"/>
      <c r="O239" s="11"/>
      <c r="P239" s="46">
        <f>P$54*P$379</f>
        <v>26235.602353669867</v>
      </c>
      <c r="Q239" s="46">
        <f t="shared" ref="Q239:AI239" si="35">Q$54*Q$379</f>
        <v>27089.325337331335</v>
      </c>
      <c r="R239" s="46">
        <f t="shared" si="35"/>
        <v>27540.392616466452</v>
      </c>
      <c r="S239" s="46">
        <f t="shared" si="35"/>
        <v>28011.875178929287</v>
      </c>
      <c r="T239" s="46">
        <f t="shared" si="35"/>
        <v>28688.429890848027</v>
      </c>
      <c r="U239" s="46">
        <f t="shared" si="35"/>
        <v>29130.899587345255</v>
      </c>
      <c r="V239" s="46">
        <f t="shared" si="35"/>
        <v>30027.514109110456</v>
      </c>
      <c r="W239" s="46">
        <f t="shared" si="35"/>
        <v>32144.53675730111</v>
      </c>
      <c r="X239" s="46">
        <f t="shared" si="35"/>
        <v>32570.743884173738</v>
      </c>
      <c r="Y239" s="46">
        <f t="shared" si="35"/>
        <v>33976.398467432948</v>
      </c>
      <c r="Z239" s="46">
        <f t="shared" si="35"/>
        <v>34577.98299480397</v>
      </c>
      <c r="AA239" s="46">
        <f t="shared" si="35"/>
        <v>34278.267397521449</v>
      </c>
      <c r="AB239" s="46">
        <f t="shared" si="35"/>
        <v>33594.928450157648</v>
      </c>
      <c r="AC239" s="46">
        <f t="shared" si="35"/>
        <v>32698.785</v>
      </c>
      <c r="AD239" s="46">
        <f t="shared" si="35"/>
        <v>32507.112676056338</v>
      </c>
      <c r="AE239" s="46">
        <f t="shared" si="35"/>
        <v>32160.38598273235</v>
      </c>
      <c r="AF239" s="46">
        <f t="shared" si="35"/>
        <v>31991.269230769234</v>
      </c>
      <c r="AG239" s="46">
        <f t="shared" si="35"/>
        <v>31864.204312114991</v>
      </c>
      <c r="AH239" s="46">
        <f t="shared" si="35"/>
        <v>31446.583268178267</v>
      </c>
      <c r="AI239" s="46">
        <f t="shared" si="35"/>
        <v>32253.617782319878</v>
      </c>
    </row>
    <row r="240" spans="1:35" x14ac:dyDescent="0.25">
      <c r="A240" s="11">
        <f>$A$55</f>
        <v>40</v>
      </c>
      <c r="M240" s="11"/>
      <c r="N240" s="11"/>
      <c r="O240" s="11"/>
      <c r="P240" s="46">
        <f>P$55*P$380</f>
        <v>26225.390625</v>
      </c>
      <c r="Q240" s="46">
        <f t="shared" ref="Q240:AI240" si="36">Q$55*Q$380</f>
        <v>26568.205128205129</v>
      </c>
      <c r="R240" s="46">
        <f t="shared" si="36"/>
        <v>27258.453269632726</v>
      </c>
      <c r="S240" s="46">
        <f t="shared" si="36"/>
        <v>27812.051879918392</v>
      </c>
      <c r="T240" s="46">
        <f t="shared" si="36"/>
        <v>28385.862068965514</v>
      </c>
      <c r="U240" s="46">
        <f t="shared" si="36"/>
        <v>29092.850376149345</v>
      </c>
      <c r="V240" s="46">
        <f t="shared" si="36"/>
        <v>29583.336072308957</v>
      </c>
      <c r="W240" s="46">
        <f t="shared" si="36"/>
        <v>30481.188118811879</v>
      </c>
      <c r="X240" s="46">
        <f t="shared" si="36"/>
        <v>32608.011534603815</v>
      </c>
      <c r="Y240" s="46">
        <f t="shared" si="36"/>
        <v>33025.042267528595</v>
      </c>
      <c r="Z240" s="46">
        <f t="shared" si="36"/>
        <v>34439.80195657361</v>
      </c>
      <c r="AA240" s="46">
        <f t="shared" si="36"/>
        <v>35023.743529411768</v>
      </c>
      <c r="AB240" s="46">
        <f t="shared" si="36"/>
        <v>34713.618233618232</v>
      </c>
      <c r="AC240" s="46">
        <f t="shared" si="36"/>
        <v>34025.988400193331</v>
      </c>
      <c r="AD240" s="46">
        <f t="shared" si="36"/>
        <v>33112.109589041094</v>
      </c>
      <c r="AE240" s="46">
        <f t="shared" si="36"/>
        <v>32910.408316633264</v>
      </c>
      <c r="AF240" s="46">
        <f t="shared" si="36"/>
        <v>32562.994436014164</v>
      </c>
      <c r="AG240" s="46">
        <f t="shared" si="36"/>
        <v>32375.071501532177</v>
      </c>
      <c r="AH240" s="46">
        <f t="shared" si="36"/>
        <v>32238.542944785277</v>
      </c>
      <c r="AI240" s="46">
        <f t="shared" si="36"/>
        <v>31819.83908642616</v>
      </c>
    </row>
    <row r="241" spans="1:35" x14ac:dyDescent="0.25">
      <c r="A241" s="11">
        <f>$A$56</f>
        <v>41</v>
      </c>
      <c r="M241" s="11"/>
      <c r="N241" s="11"/>
      <c r="O241" s="11"/>
      <c r="P241" s="46">
        <f>P$56*P$381</f>
        <v>26163.467003473321</v>
      </c>
      <c r="Q241" s="46">
        <f t="shared" ref="Q241:AI241" si="37">Q$56*Q$381</f>
        <v>26485.201122544433</v>
      </c>
      <c r="R241" s="46">
        <f t="shared" si="37"/>
        <v>26694.707692307693</v>
      </c>
      <c r="S241" s="46">
        <f t="shared" si="37"/>
        <v>27479.150074294204</v>
      </c>
      <c r="T241" s="46">
        <f t="shared" si="37"/>
        <v>28134.824281150159</v>
      </c>
      <c r="U241" s="46">
        <f t="shared" si="37"/>
        <v>28738.568588469185</v>
      </c>
      <c r="V241" s="46">
        <f t="shared" si="37"/>
        <v>29486.920299916688</v>
      </c>
      <c r="W241" s="46">
        <f t="shared" si="37"/>
        <v>29984.821184821187</v>
      </c>
      <c r="X241" s="46">
        <f t="shared" si="37"/>
        <v>30875.422779407843</v>
      </c>
      <c r="Y241" s="46">
        <f t="shared" si="37"/>
        <v>33012.044999999998</v>
      </c>
      <c r="Z241" s="46">
        <f t="shared" si="37"/>
        <v>33419.841348537433</v>
      </c>
      <c r="AA241" s="46">
        <f t="shared" si="37"/>
        <v>34835.623215984779</v>
      </c>
      <c r="AB241" s="46">
        <f t="shared" si="37"/>
        <v>35418.336461755047</v>
      </c>
      <c r="AC241" s="46">
        <f t="shared" si="37"/>
        <v>35106.347064393936</v>
      </c>
      <c r="AD241" s="46">
        <f t="shared" si="37"/>
        <v>34400.807034449528</v>
      </c>
      <c r="AE241" s="46">
        <f t="shared" si="37"/>
        <v>33476.228897715991</v>
      </c>
      <c r="AF241" s="46">
        <f t="shared" si="37"/>
        <v>33273.9010989011</v>
      </c>
      <c r="AG241" s="46">
        <f t="shared" si="37"/>
        <v>32916.086737266771</v>
      </c>
      <c r="AH241" s="46">
        <f t="shared" si="37"/>
        <v>32729.03028760499</v>
      </c>
      <c r="AI241" s="46">
        <f t="shared" si="37"/>
        <v>32590.066258919469</v>
      </c>
    </row>
    <row r="242" spans="1:35" x14ac:dyDescent="0.25">
      <c r="A242" s="11">
        <f>$A$57</f>
        <v>42</v>
      </c>
      <c r="M242" s="11"/>
      <c r="N242" s="11"/>
      <c r="O242" s="11"/>
      <c r="P242" s="46">
        <f>P$57*P$382</f>
        <v>25548.363163032867</v>
      </c>
      <c r="Q242" s="46">
        <f t="shared" ref="Q242:AI242" si="38">Q$57*Q$382</f>
        <v>26380.037807183362</v>
      </c>
      <c r="R242" s="46">
        <f t="shared" si="38"/>
        <v>26583.535259397329</v>
      </c>
      <c r="S242" s="46">
        <f t="shared" si="38"/>
        <v>26884.780876494027</v>
      </c>
      <c r="T242" s="46">
        <f t="shared" si="38"/>
        <v>27758.372368811146</v>
      </c>
      <c r="U242" s="46">
        <f t="shared" si="38"/>
        <v>28438.426998841252</v>
      </c>
      <c r="V242" s="46">
        <f t="shared" si="38"/>
        <v>29092.835694050995</v>
      </c>
      <c r="W242" s="46">
        <f t="shared" si="38"/>
        <v>29849.750692520774</v>
      </c>
      <c r="X242" s="46">
        <f t="shared" si="38"/>
        <v>30336.875510760012</v>
      </c>
      <c r="Y242" s="46">
        <f t="shared" si="38"/>
        <v>31228.474846952358</v>
      </c>
      <c r="Z242" s="46">
        <f t="shared" si="38"/>
        <v>33374.910179640719</v>
      </c>
      <c r="AA242" s="46">
        <f t="shared" si="38"/>
        <v>33783.278080158336</v>
      </c>
      <c r="AB242" s="46">
        <f t="shared" si="38"/>
        <v>35198.518518518518</v>
      </c>
      <c r="AC242" s="46">
        <f t="shared" si="38"/>
        <v>35781.597189695553</v>
      </c>
      <c r="AD242" s="46">
        <f t="shared" si="38"/>
        <v>35469.163516068053</v>
      </c>
      <c r="AE242" s="46">
        <f t="shared" si="38"/>
        <v>34742.822793940853</v>
      </c>
      <c r="AF242" s="46">
        <f t="shared" si="38"/>
        <v>33808.889990089199</v>
      </c>
      <c r="AG242" s="46">
        <f t="shared" si="38"/>
        <v>33596.596062795914</v>
      </c>
      <c r="AH242" s="46">
        <f t="shared" si="38"/>
        <v>33238.188679245279</v>
      </c>
      <c r="AI242" s="46">
        <f t="shared" si="38"/>
        <v>33041.795783591566</v>
      </c>
    </row>
    <row r="243" spans="1:35" x14ac:dyDescent="0.25">
      <c r="A243" s="11">
        <f>$A$58</f>
        <v>43</v>
      </c>
      <c r="M243" s="11"/>
      <c r="N243" s="11"/>
      <c r="O243" s="11"/>
      <c r="P243" s="46">
        <f>P$58*P$383</f>
        <v>25796.476314081767</v>
      </c>
      <c r="Q243" s="46">
        <f t="shared" ref="Q243:AI243" si="39">Q$58*Q$383</f>
        <v>25801.617408249433</v>
      </c>
      <c r="R243" s="46">
        <f t="shared" si="39"/>
        <v>26505.584170854272</v>
      </c>
      <c r="S243" s="46">
        <f t="shared" si="39"/>
        <v>26750.563467492258</v>
      </c>
      <c r="T243" s="46">
        <f t="shared" si="39"/>
        <v>27124.331599877642</v>
      </c>
      <c r="U243" s="46">
        <f t="shared" si="39"/>
        <v>28040.287067179641</v>
      </c>
      <c r="V243" s="46">
        <f t="shared" si="39"/>
        <v>28770.454150997975</v>
      </c>
      <c r="W243" s="46">
        <f t="shared" si="39"/>
        <v>29414.427157001413</v>
      </c>
      <c r="X243" s="46">
        <f t="shared" si="39"/>
        <v>30163.070539419085</v>
      </c>
      <c r="Y243" s="46">
        <f t="shared" si="39"/>
        <v>30649.616535218931</v>
      </c>
      <c r="Z243" s="46">
        <f t="shared" si="39"/>
        <v>31542.125963327133</v>
      </c>
      <c r="AA243" s="46">
        <f t="shared" si="39"/>
        <v>33706.768003987039</v>
      </c>
      <c r="AB243" s="46">
        <f t="shared" si="39"/>
        <v>34107.2628458498</v>
      </c>
      <c r="AC243" s="46">
        <f t="shared" si="39"/>
        <v>35530.424472373721</v>
      </c>
      <c r="AD243" s="46">
        <f t="shared" si="39"/>
        <v>36113.859649122809</v>
      </c>
      <c r="AE243" s="46">
        <f t="shared" si="39"/>
        <v>35791.210762331837</v>
      </c>
      <c r="AF243" s="46">
        <f t="shared" si="39"/>
        <v>35055.294117647056</v>
      </c>
      <c r="AG243" s="46">
        <f t="shared" si="39"/>
        <v>34111.984166254326</v>
      </c>
      <c r="AH243" s="46">
        <f t="shared" si="39"/>
        <v>33897.969138875065</v>
      </c>
      <c r="AI243" s="46">
        <f t="shared" si="39"/>
        <v>33529.231155778893</v>
      </c>
    </row>
    <row r="244" spans="1:35" x14ac:dyDescent="0.25">
      <c r="A244" s="11">
        <f>$A$59</f>
        <v>44</v>
      </c>
      <c r="M244" s="11"/>
      <c r="N244" s="11"/>
      <c r="O244" s="11"/>
      <c r="P244" s="46">
        <f>P$59*P$384</f>
        <v>25777.824240444301</v>
      </c>
      <c r="Q244" s="46">
        <f t="shared" ref="Q244:AI244" si="40">Q$59*Q$384</f>
        <v>26006.258503401361</v>
      </c>
      <c r="R244" s="46">
        <f t="shared" si="40"/>
        <v>25896.645077720208</v>
      </c>
      <c r="S244" s="46">
        <f t="shared" si="40"/>
        <v>26625.222291797119</v>
      </c>
      <c r="T244" s="46">
        <f t="shared" si="40"/>
        <v>26949.455613980823</v>
      </c>
      <c r="U244" s="46">
        <f t="shared" si="40"/>
        <v>27365.206358911648</v>
      </c>
      <c r="V244" s="46">
        <f t="shared" si="40"/>
        <v>28313.146997929609</v>
      </c>
      <c r="W244" s="46">
        <f t="shared" si="40"/>
        <v>29034.988439306358</v>
      </c>
      <c r="X244" s="46">
        <f t="shared" si="40"/>
        <v>29688.213680045221</v>
      </c>
      <c r="Y244" s="46">
        <f t="shared" si="40"/>
        <v>30427.169707020454</v>
      </c>
      <c r="Z244" s="46">
        <f t="shared" si="40"/>
        <v>30921.44604512096</v>
      </c>
      <c r="AA244" s="46">
        <f t="shared" si="40"/>
        <v>31814.820717131475</v>
      </c>
      <c r="AB244" s="46">
        <f t="shared" si="40"/>
        <v>33972.265936254975</v>
      </c>
      <c r="AC244" s="46">
        <f t="shared" si="40"/>
        <v>34381.649382716052</v>
      </c>
      <c r="AD244" s="46">
        <f t="shared" si="40"/>
        <v>35804.394406257408</v>
      </c>
      <c r="AE244" s="46">
        <f t="shared" si="40"/>
        <v>36397.970540098198</v>
      </c>
      <c r="AF244" s="46">
        <f t="shared" si="40"/>
        <v>36046.792452830188</v>
      </c>
      <c r="AG244" s="46">
        <f t="shared" si="40"/>
        <v>35317.170626349893</v>
      </c>
      <c r="AH244" s="46">
        <f t="shared" si="40"/>
        <v>34374.235905044508</v>
      </c>
      <c r="AI244" s="46">
        <f t="shared" si="40"/>
        <v>34151.425018652073</v>
      </c>
    </row>
    <row r="245" spans="1:35" x14ac:dyDescent="0.25">
      <c r="A245" s="11">
        <f>$A$60</f>
        <v>45</v>
      </c>
      <c r="M245" s="11"/>
      <c r="N245" s="11"/>
      <c r="O245" s="11"/>
      <c r="P245" s="46">
        <f>P$60*P$385</f>
        <v>27077.545397620539</v>
      </c>
      <c r="Q245" s="46">
        <f t="shared" ref="Q245:AI245" si="41">Q$60*Q$385</f>
        <v>25946.575342465752</v>
      </c>
      <c r="R245" s="46">
        <f t="shared" si="41"/>
        <v>26127.159935379645</v>
      </c>
      <c r="S245" s="46">
        <f t="shared" si="41"/>
        <v>26025.213178294573</v>
      </c>
      <c r="T245" s="46">
        <f t="shared" si="41"/>
        <v>26822.10394489668</v>
      </c>
      <c r="U245" s="46">
        <f t="shared" si="41"/>
        <v>27179.616455304669</v>
      </c>
      <c r="V245" s="46">
        <f t="shared" si="41"/>
        <v>27619.95719963314</v>
      </c>
      <c r="W245" s="46">
        <f t="shared" si="41"/>
        <v>28577.432712215319</v>
      </c>
      <c r="X245" s="46">
        <f t="shared" si="41"/>
        <v>29307.710320901995</v>
      </c>
      <c r="Y245" s="46">
        <f t="shared" si="41"/>
        <v>29951.845675522894</v>
      </c>
      <c r="Z245" s="46">
        <f t="shared" si="41"/>
        <v>30699.411114183025</v>
      </c>
      <c r="AA245" s="46">
        <f t="shared" si="41"/>
        <v>31175.863006251697</v>
      </c>
      <c r="AB245" s="46">
        <f t="shared" si="41"/>
        <v>32078.799468791502</v>
      </c>
      <c r="AC245" s="46">
        <f t="shared" si="41"/>
        <v>34254.505603985053</v>
      </c>
      <c r="AD245" s="46">
        <f t="shared" si="41"/>
        <v>34664.440602617928</v>
      </c>
      <c r="AE245" s="46">
        <f t="shared" si="41"/>
        <v>36087.994785494193</v>
      </c>
      <c r="AF245" s="46">
        <f t="shared" si="41"/>
        <v>36672.083235913022</v>
      </c>
      <c r="AG245" s="46">
        <f t="shared" si="41"/>
        <v>36338.8110403397</v>
      </c>
      <c r="AH245" s="46">
        <f t="shared" si="41"/>
        <v>35589.69042476602</v>
      </c>
      <c r="AI245" s="46">
        <f t="shared" si="41"/>
        <v>34627.606330365976</v>
      </c>
    </row>
    <row r="246" spans="1:35" x14ac:dyDescent="0.25">
      <c r="A246" s="11">
        <f>$A$61</f>
        <v>46</v>
      </c>
      <c r="M246" s="11"/>
      <c r="N246" s="11"/>
      <c r="O246" s="11"/>
      <c r="P246" s="46">
        <f>P$61*P$386</f>
        <v>28325.810729355035</v>
      </c>
      <c r="Q246" s="46">
        <f t="shared" ref="Q246:AI246" si="42">Q$61*Q$386</f>
        <v>27270.178236397747</v>
      </c>
      <c r="R246" s="46">
        <f t="shared" si="42"/>
        <v>26037.819720143183</v>
      </c>
      <c r="S246" s="46">
        <f t="shared" si="42"/>
        <v>26207.640232108315</v>
      </c>
      <c r="T246" s="46">
        <f t="shared" si="42"/>
        <v>26172.308438409309</v>
      </c>
      <c r="U246" s="46">
        <f t="shared" si="42"/>
        <v>27012.516452522723</v>
      </c>
      <c r="V246" s="46">
        <f t="shared" si="42"/>
        <v>27394.229102167181</v>
      </c>
      <c r="W246" s="46">
        <f t="shared" si="42"/>
        <v>27844.920440636473</v>
      </c>
      <c r="X246" s="46">
        <f t="shared" si="42"/>
        <v>28802.095914742451</v>
      </c>
      <c r="Y246" s="46">
        <f t="shared" si="42"/>
        <v>29532.410300925927</v>
      </c>
      <c r="Z246" s="46">
        <f t="shared" si="42"/>
        <v>30184.422750424452</v>
      </c>
      <c r="AA246" s="46">
        <f t="shared" si="42"/>
        <v>30933.453237410075</v>
      </c>
      <c r="AB246" s="46">
        <f t="shared" si="42"/>
        <v>31399.303590859632</v>
      </c>
      <c r="AC246" s="46">
        <f t="shared" si="42"/>
        <v>32303.15789473684</v>
      </c>
      <c r="AD246" s="46">
        <f t="shared" si="42"/>
        <v>34489.730807577267</v>
      </c>
      <c r="AE246" s="46">
        <f t="shared" si="42"/>
        <v>34899.090459713298</v>
      </c>
      <c r="AF246" s="46">
        <f t="shared" si="42"/>
        <v>36340.590747330956</v>
      </c>
      <c r="AG246" s="46">
        <f t="shared" si="42"/>
        <v>36925.022232623451</v>
      </c>
      <c r="AH246" s="46">
        <f t="shared" si="42"/>
        <v>36564.09348441926</v>
      </c>
      <c r="AI246" s="46">
        <f t="shared" si="42"/>
        <v>35831.251501321167</v>
      </c>
    </row>
    <row r="247" spans="1:35" x14ac:dyDescent="0.25">
      <c r="A247" s="11">
        <f>$A$62</f>
        <v>47</v>
      </c>
      <c r="M247" s="11"/>
      <c r="N247" s="11"/>
      <c r="O247" s="11"/>
      <c r="P247" s="46">
        <f>P$62*P$387</f>
        <v>29054.24269264836</v>
      </c>
      <c r="Q247" s="46">
        <f t="shared" ref="Q247:AI247" si="43">Q$62*Q$387</f>
        <v>28458.491418247515</v>
      </c>
      <c r="R247" s="46">
        <f t="shared" si="43"/>
        <v>27318.348423353109</v>
      </c>
      <c r="S247" s="46">
        <f t="shared" si="43"/>
        <v>26057.346541084768</v>
      </c>
      <c r="T247" s="46">
        <f t="shared" si="43"/>
        <v>26303.294573643409</v>
      </c>
      <c r="U247" s="46">
        <f t="shared" si="43"/>
        <v>26283.77266839378</v>
      </c>
      <c r="V247" s="46">
        <f t="shared" si="43"/>
        <v>27158.053375196232</v>
      </c>
      <c r="W247" s="46">
        <f t="shared" si="43"/>
        <v>27539.70223325062</v>
      </c>
      <c r="X247" s="46">
        <f t="shared" si="43"/>
        <v>27980.947271612506</v>
      </c>
      <c r="Y247" s="46">
        <f t="shared" si="43"/>
        <v>28947.743179122186</v>
      </c>
      <c r="Z247" s="46">
        <f t="shared" si="43"/>
        <v>29678.086956521736</v>
      </c>
      <c r="AA247" s="46">
        <f t="shared" si="43"/>
        <v>30311.22697648059</v>
      </c>
      <c r="AB247" s="46">
        <f t="shared" si="43"/>
        <v>31068.935698447895</v>
      </c>
      <c r="AC247" s="46">
        <f t="shared" si="43"/>
        <v>31552.773841961851</v>
      </c>
      <c r="AD247" s="46">
        <f t="shared" si="43"/>
        <v>32448.567625133121</v>
      </c>
      <c r="AE247" s="46">
        <f t="shared" si="43"/>
        <v>34635.072391412883</v>
      </c>
      <c r="AF247" s="46">
        <f t="shared" si="43"/>
        <v>35044.851485148516</v>
      </c>
      <c r="AG247" s="46">
        <f t="shared" si="43"/>
        <v>36487.027797576622</v>
      </c>
      <c r="AH247" s="46">
        <f t="shared" si="43"/>
        <v>37071.696742442</v>
      </c>
      <c r="AI247" s="46">
        <f t="shared" si="43"/>
        <v>36709.378250591013</v>
      </c>
    </row>
    <row r="248" spans="1:35" x14ac:dyDescent="0.25">
      <c r="A248" s="11">
        <f>$A$63</f>
        <v>48</v>
      </c>
      <c r="M248" s="11"/>
      <c r="N248" s="11"/>
      <c r="O248" s="11"/>
      <c r="P248" s="46">
        <f>P$63*P$388</f>
        <v>30172.787913340933</v>
      </c>
      <c r="Q248" s="46">
        <f t="shared" ref="Q248:AI248" si="44">Q$63*Q$388</f>
        <v>29126.976401179938</v>
      </c>
      <c r="R248" s="46">
        <f t="shared" si="44"/>
        <v>28447.849624060153</v>
      </c>
      <c r="S248" s="46">
        <f t="shared" si="44"/>
        <v>27278.016838166513</v>
      </c>
      <c r="T248" s="46">
        <f t="shared" si="44"/>
        <v>26064.68251383914</v>
      </c>
      <c r="U248" s="46">
        <f t="shared" si="44"/>
        <v>26326.850113305278</v>
      </c>
      <c r="V248" s="46">
        <f t="shared" si="44"/>
        <v>26350.487012987014</v>
      </c>
      <c r="W248" s="46">
        <f t="shared" si="44"/>
        <v>27224.683663833806</v>
      </c>
      <c r="X248" s="46">
        <f t="shared" si="44"/>
        <v>27606.293532338306</v>
      </c>
      <c r="Y248" s="46">
        <f t="shared" si="44"/>
        <v>28049.056835637479</v>
      </c>
      <c r="Z248" s="46">
        <f t="shared" si="44"/>
        <v>29014.458977407849</v>
      </c>
      <c r="AA248" s="46">
        <f t="shared" si="44"/>
        <v>29744.82568274259</v>
      </c>
      <c r="AB248" s="46">
        <f t="shared" si="44"/>
        <v>30377.614314115308</v>
      </c>
      <c r="AC248" s="46">
        <f t="shared" si="44"/>
        <v>31135.425000000003</v>
      </c>
      <c r="AD248" s="46">
        <f t="shared" si="44"/>
        <v>31618.885854724194</v>
      </c>
      <c r="AE248" s="46">
        <f t="shared" si="44"/>
        <v>32515.133404482389</v>
      </c>
      <c r="AF248" s="46">
        <f t="shared" si="44"/>
        <v>34710.272704528397</v>
      </c>
      <c r="AG248" s="46">
        <f t="shared" si="44"/>
        <v>35102.8125</v>
      </c>
      <c r="AH248" s="46">
        <f t="shared" si="44"/>
        <v>36553.582480361816</v>
      </c>
      <c r="AI248" s="46">
        <f t="shared" si="44"/>
        <v>37138.412772951393</v>
      </c>
    </row>
    <row r="249" spans="1:35" x14ac:dyDescent="0.25">
      <c r="A249" s="11">
        <f>$A$64</f>
        <v>49</v>
      </c>
      <c r="M249" s="11"/>
      <c r="N249" s="11"/>
      <c r="O249" s="11"/>
      <c r="P249" s="46">
        <f>P$64*P$389</f>
        <v>30526.943661971833</v>
      </c>
      <c r="Q249" s="46">
        <f t="shared" ref="Q249:AI249" si="45">Q$64*Q$389</f>
        <v>30176.951566951568</v>
      </c>
      <c r="R249" s="46">
        <f t="shared" si="45"/>
        <v>29054.994103773588</v>
      </c>
      <c r="S249" s="46">
        <f t="shared" si="45"/>
        <v>28329.288074496846</v>
      </c>
      <c r="T249" s="46">
        <f t="shared" si="45"/>
        <v>27244.840525328331</v>
      </c>
      <c r="U249" s="46">
        <f t="shared" si="45"/>
        <v>26054.459327017314</v>
      </c>
      <c r="V249" s="46">
        <f t="shared" si="45"/>
        <v>26352.669697953883</v>
      </c>
      <c r="W249" s="46">
        <f t="shared" si="45"/>
        <v>26367.880169325952</v>
      </c>
      <c r="X249" s="46">
        <f t="shared" si="45"/>
        <v>27232.178030303028</v>
      </c>
      <c r="Y249" s="46">
        <f t="shared" si="45"/>
        <v>27613.76987839102</v>
      </c>
      <c r="Z249" s="46">
        <f t="shared" si="45"/>
        <v>28055.591497227357</v>
      </c>
      <c r="AA249" s="46">
        <f t="shared" si="45"/>
        <v>29012.172876304026</v>
      </c>
      <c r="AB249" s="46">
        <f t="shared" si="45"/>
        <v>29742.557529857266</v>
      </c>
      <c r="AC249" s="46">
        <f t="shared" si="45"/>
        <v>30383.813728282541</v>
      </c>
      <c r="AD249" s="46">
        <f t="shared" si="45"/>
        <v>31133.032581453634</v>
      </c>
      <c r="AE249" s="46">
        <f t="shared" si="45"/>
        <v>31616.296194908293</v>
      </c>
      <c r="AF249" s="46">
        <f t="shared" si="45"/>
        <v>32512.789515913344</v>
      </c>
      <c r="AG249" s="46">
        <f t="shared" si="45"/>
        <v>34707.923771313945</v>
      </c>
      <c r="AH249" s="46">
        <f t="shared" si="45"/>
        <v>35109.311287916462</v>
      </c>
      <c r="AI249" s="46">
        <f t="shared" si="45"/>
        <v>36550.131233595799</v>
      </c>
    </row>
    <row r="250" spans="1:35" x14ac:dyDescent="0.25">
      <c r="A250" s="11">
        <f>$A$65</f>
        <v>50</v>
      </c>
      <c r="M250" s="11"/>
      <c r="N250" s="11"/>
      <c r="O250" s="11"/>
      <c r="P250" s="46">
        <f>P$65*P$390</f>
        <v>29204.201235657547</v>
      </c>
      <c r="Q250" s="46">
        <f t="shared" ref="Q250:AI250" si="46">Q$65*Q$390</f>
        <v>30487</v>
      </c>
      <c r="R250" s="46">
        <f t="shared" si="46"/>
        <v>30043.822272856734</v>
      </c>
      <c r="S250" s="46">
        <f t="shared" si="46"/>
        <v>28877.001472754051</v>
      </c>
      <c r="T250" s="46">
        <f t="shared" si="46"/>
        <v>28235.533453887885</v>
      </c>
      <c r="U250" s="46">
        <f t="shared" si="46"/>
        <v>27166.990900533419</v>
      </c>
      <c r="V250" s="46">
        <f t="shared" si="46"/>
        <v>26012.468043264504</v>
      </c>
      <c r="W250" s="46">
        <f t="shared" si="46"/>
        <v>26300.951449983706</v>
      </c>
      <c r="X250" s="46">
        <f t="shared" si="46"/>
        <v>26316.203854949363</v>
      </c>
      <c r="Y250" s="46">
        <f t="shared" si="46"/>
        <v>27189.233692210262</v>
      </c>
      <c r="Z250" s="46">
        <f t="shared" si="46"/>
        <v>27570.847669690334</v>
      </c>
      <c r="AA250" s="46">
        <f t="shared" si="46"/>
        <v>28003.98022249691</v>
      </c>
      <c r="AB250" s="46">
        <f t="shared" si="46"/>
        <v>28950.687593423019</v>
      </c>
      <c r="AC250" s="46">
        <f t="shared" si="46"/>
        <v>29681.086765994743</v>
      </c>
      <c r="AD250" s="46">
        <f t="shared" si="46"/>
        <v>30322.307912025135</v>
      </c>
      <c r="AE250" s="46">
        <f t="shared" si="46"/>
        <v>31071.544261379506</v>
      </c>
      <c r="AF250" s="46">
        <f t="shared" si="46"/>
        <v>31544.9629426297</v>
      </c>
      <c r="AG250" s="46">
        <f t="shared" si="46"/>
        <v>32441.49369804237</v>
      </c>
      <c r="AH250" s="46">
        <f t="shared" si="46"/>
        <v>34627.777777777774</v>
      </c>
      <c r="AI250" s="46">
        <f t="shared" si="46"/>
        <v>35038.045862412757</v>
      </c>
    </row>
    <row r="251" spans="1:35" x14ac:dyDescent="0.25">
      <c r="A251" s="11">
        <f>$A$66</f>
        <v>51</v>
      </c>
      <c r="M251" s="11"/>
      <c r="N251" s="11"/>
      <c r="O251" s="11"/>
      <c r="P251" s="46">
        <f>P$66*P$391</f>
        <v>29235.736025753587</v>
      </c>
      <c r="Q251" s="46">
        <f t="shared" ref="Q251:AI251" si="47">Q$66*Q$391</f>
        <v>29025.760517799354</v>
      </c>
      <c r="R251" s="46">
        <f t="shared" si="47"/>
        <v>30274.367783722897</v>
      </c>
      <c r="S251" s="46">
        <f t="shared" si="47"/>
        <v>29812.571184510249</v>
      </c>
      <c r="T251" s="46">
        <f t="shared" si="47"/>
        <v>28732.765957446809</v>
      </c>
      <c r="U251" s="46">
        <f t="shared" si="47"/>
        <v>28108.49107952827</v>
      </c>
      <c r="V251" s="46">
        <f t="shared" si="47"/>
        <v>27066.01196096947</v>
      </c>
      <c r="W251" s="46">
        <f t="shared" si="47"/>
        <v>25911.561986188754</v>
      </c>
      <c r="X251" s="46">
        <f t="shared" si="47"/>
        <v>26200</v>
      </c>
      <c r="Y251" s="46">
        <f t="shared" si="47"/>
        <v>26215.24745984923</v>
      </c>
      <c r="Z251" s="46">
        <f t="shared" si="47"/>
        <v>27088.303684879287</v>
      </c>
      <c r="AA251" s="46">
        <f t="shared" si="47"/>
        <v>27460.094132412927</v>
      </c>
      <c r="AB251" s="46">
        <f t="shared" si="47"/>
        <v>27893.183508989463</v>
      </c>
      <c r="AC251" s="46">
        <f t="shared" si="47"/>
        <v>28839.946026986509</v>
      </c>
      <c r="AD251" s="46">
        <f t="shared" si="47"/>
        <v>29560.503955464403</v>
      </c>
      <c r="AE251" s="46">
        <f t="shared" si="47"/>
        <v>30201.841879117732</v>
      </c>
      <c r="AF251" s="46">
        <f t="shared" si="47"/>
        <v>30951.072528703444</v>
      </c>
      <c r="AG251" s="46">
        <f t="shared" si="47"/>
        <v>31424.624277456649</v>
      </c>
      <c r="AH251" s="46">
        <f t="shared" si="47"/>
        <v>32311.185802635118</v>
      </c>
      <c r="AI251" s="46">
        <f t="shared" si="47"/>
        <v>34496.36501134358</v>
      </c>
    </row>
    <row r="252" spans="1:35" x14ac:dyDescent="0.25">
      <c r="A252" s="11">
        <f>$A$67</f>
        <v>52</v>
      </c>
      <c r="M252" s="11"/>
      <c r="N252" s="11"/>
      <c r="O252" s="11"/>
      <c r="P252" s="46">
        <f>P$67*P$392</f>
        <v>28545.905159558602</v>
      </c>
      <c r="Q252" s="46">
        <f t="shared" ref="Q252:AI252" si="48">Q$67*Q$392</f>
        <v>29041.806734992679</v>
      </c>
      <c r="R252" s="46">
        <f t="shared" si="48"/>
        <v>28772.501471453794</v>
      </c>
      <c r="S252" s="46">
        <f t="shared" si="48"/>
        <v>30019.707042253522</v>
      </c>
      <c r="T252" s="46">
        <f t="shared" si="48"/>
        <v>29630.325528269561</v>
      </c>
      <c r="U252" s="46">
        <f t="shared" si="48"/>
        <v>28576.307053941906</v>
      </c>
      <c r="V252" s="46">
        <f t="shared" si="48"/>
        <v>27969.436021831414</v>
      </c>
      <c r="W252" s="46">
        <f t="shared" si="48"/>
        <v>26926.972853535353</v>
      </c>
      <c r="X252" s="46">
        <f t="shared" si="48"/>
        <v>25781.319261213721</v>
      </c>
      <c r="Y252" s="46">
        <f t="shared" si="48"/>
        <v>26061.061946902657</v>
      </c>
      <c r="Z252" s="46">
        <f t="shared" si="48"/>
        <v>26074.950690335303</v>
      </c>
      <c r="AA252" s="46">
        <f t="shared" si="48"/>
        <v>26948.05989168525</v>
      </c>
      <c r="AB252" s="46">
        <f t="shared" si="48"/>
        <v>27319.896161107612</v>
      </c>
      <c r="AC252" s="46">
        <f t="shared" si="48"/>
        <v>27752.875349704696</v>
      </c>
      <c r="AD252" s="46">
        <f t="shared" si="48"/>
        <v>28689.89176187613</v>
      </c>
      <c r="AE252" s="46">
        <f t="shared" si="48"/>
        <v>29401.820851688692</v>
      </c>
      <c r="AF252" s="46">
        <f t="shared" si="48"/>
        <v>30043.385012919898</v>
      </c>
      <c r="AG252" s="46">
        <f t="shared" si="48"/>
        <v>30791.389668725435</v>
      </c>
      <c r="AH252" s="46">
        <f t="shared" si="48"/>
        <v>31255.419426048567</v>
      </c>
      <c r="AI252" s="46">
        <f t="shared" si="48"/>
        <v>32141.644204851753</v>
      </c>
    </row>
    <row r="253" spans="1:35" x14ac:dyDescent="0.25">
      <c r="A253" s="11">
        <f>$A$68</f>
        <v>53</v>
      </c>
      <c r="M253" s="11"/>
      <c r="N253" s="11"/>
      <c r="O253" s="11"/>
      <c r="P253" s="46">
        <f>P$68*P$393</f>
        <v>27707.685269899361</v>
      </c>
      <c r="Q253" s="46">
        <f t="shared" ref="Q253:AI253" si="49">Q$68*Q$393</f>
        <v>28216.126529394212</v>
      </c>
      <c r="R253" s="46">
        <f t="shared" si="49"/>
        <v>28695.312042191617</v>
      </c>
      <c r="S253" s="46">
        <f t="shared" si="49"/>
        <v>28494.789520164853</v>
      </c>
      <c r="T253" s="46">
        <f t="shared" si="49"/>
        <v>29796.769274216324</v>
      </c>
      <c r="U253" s="46">
        <f t="shared" si="49"/>
        <v>29424.620669911248</v>
      </c>
      <c r="V253" s="46">
        <f t="shared" si="49"/>
        <v>28396.436849925703</v>
      </c>
      <c r="W253" s="46">
        <f t="shared" si="49"/>
        <v>27799.574338704773</v>
      </c>
      <c r="X253" s="46">
        <f t="shared" si="49"/>
        <v>26767.139240506331</v>
      </c>
      <c r="Y253" s="46">
        <f t="shared" si="49"/>
        <v>25623.061157024793</v>
      </c>
      <c r="Z253" s="46">
        <f t="shared" si="49"/>
        <v>25901.222477817944</v>
      </c>
      <c r="AA253" s="46">
        <f t="shared" si="49"/>
        <v>25915.116968698516</v>
      </c>
      <c r="AB253" s="46">
        <f t="shared" si="49"/>
        <v>26769.77011494253</v>
      </c>
      <c r="AC253" s="46">
        <f t="shared" si="49"/>
        <v>27141.658782718387</v>
      </c>
      <c r="AD253" s="46">
        <f t="shared" si="49"/>
        <v>27564.560747663552</v>
      </c>
      <c r="AE253" s="46">
        <f t="shared" si="49"/>
        <v>28511.608918348902</v>
      </c>
      <c r="AF253" s="46">
        <f t="shared" si="49"/>
        <v>29222.313806299677</v>
      </c>
      <c r="AG253" s="46">
        <f t="shared" si="49"/>
        <v>29854.365467625899</v>
      </c>
      <c r="AH253" s="46">
        <f t="shared" si="49"/>
        <v>30583.853727144869</v>
      </c>
      <c r="AI253" s="46">
        <f t="shared" si="49"/>
        <v>31058.136577273985</v>
      </c>
    </row>
    <row r="254" spans="1:35" x14ac:dyDescent="0.25">
      <c r="A254" s="11">
        <f>$A$69</f>
        <v>54</v>
      </c>
      <c r="M254" s="11"/>
      <c r="N254" s="11"/>
      <c r="O254" s="11"/>
      <c r="P254" s="46">
        <f>P$69*P$394</f>
        <v>27048.090965346535</v>
      </c>
      <c r="Q254" s="46">
        <f t="shared" ref="Q254:AI254" si="50">Q$69*Q$394</f>
        <v>27367.796092796092</v>
      </c>
      <c r="R254" s="46">
        <f t="shared" si="50"/>
        <v>27818.551806509407</v>
      </c>
      <c r="S254" s="46">
        <f t="shared" si="50"/>
        <v>28347.713950762016</v>
      </c>
      <c r="T254" s="46">
        <f t="shared" si="50"/>
        <v>28224.463126843661</v>
      </c>
      <c r="U254" s="46">
        <f t="shared" si="50"/>
        <v>29531.817152561562</v>
      </c>
      <c r="V254" s="46">
        <f t="shared" si="50"/>
        <v>29185.394548063126</v>
      </c>
      <c r="W254" s="46">
        <f t="shared" si="50"/>
        <v>28168.767123287671</v>
      </c>
      <c r="X254" s="46">
        <f t="shared" si="50"/>
        <v>27580.639853747718</v>
      </c>
      <c r="Y254" s="46">
        <f t="shared" si="50"/>
        <v>26549.701965757769</v>
      </c>
      <c r="Z254" s="46">
        <f t="shared" si="50"/>
        <v>25424.408744617424</v>
      </c>
      <c r="AA254" s="46">
        <f t="shared" si="50"/>
        <v>25702.153440895621</v>
      </c>
      <c r="AB254" s="46">
        <f t="shared" si="50"/>
        <v>25707.25652030373</v>
      </c>
      <c r="AC254" s="46">
        <f t="shared" si="50"/>
        <v>26560.806142034551</v>
      </c>
      <c r="AD254" s="46">
        <f t="shared" si="50"/>
        <v>26932.78672985782</v>
      </c>
      <c r="AE254" s="46">
        <f t="shared" si="50"/>
        <v>27355.4088639201</v>
      </c>
      <c r="AF254" s="46">
        <f t="shared" si="50"/>
        <v>28282.988228191974</v>
      </c>
      <c r="AG254" s="46">
        <f t="shared" si="50"/>
        <v>28993.698024181656</v>
      </c>
      <c r="AH254" s="46">
        <f t="shared" si="50"/>
        <v>29626.240991640243</v>
      </c>
      <c r="AI254" s="46">
        <f t="shared" si="50"/>
        <v>30345.829811214429</v>
      </c>
    </row>
    <row r="255" spans="1:35" x14ac:dyDescent="0.25">
      <c r="A255" s="11">
        <f>$A$70</f>
        <v>55</v>
      </c>
      <c r="M255" s="11"/>
      <c r="N255" s="11"/>
      <c r="O255" s="11"/>
      <c r="P255" s="46">
        <f>P$70*P$395</f>
        <v>27228.493150684932</v>
      </c>
      <c r="Q255" s="46">
        <f t="shared" ref="Q255:AI255" si="51">Q$70*Q$395</f>
        <v>26642.255266418837</v>
      </c>
      <c r="R255" s="46">
        <f t="shared" si="51"/>
        <v>26979.071188512069</v>
      </c>
      <c r="S255" s="46">
        <f t="shared" si="51"/>
        <v>27505.718553928891</v>
      </c>
      <c r="T255" s="46">
        <f t="shared" si="51"/>
        <v>28104.465648854963</v>
      </c>
      <c r="U255" s="46">
        <f t="shared" si="51"/>
        <v>27988.262411347518</v>
      </c>
      <c r="V255" s="46">
        <f t="shared" si="51"/>
        <v>29312.254040260847</v>
      </c>
      <c r="W255" s="46">
        <f t="shared" si="51"/>
        <v>28975.915492957745</v>
      </c>
      <c r="X255" s="46">
        <f t="shared" si="51"/>
        <v>27951.201908738443</v>
      </c>
      <c r="Y255" s="46">
        <f t="shared" si="51"/>
        <v>27373.091241989627</v>
      </c>
      <c r="Z255" s="46">
        <f t="shared" si="51"/>
        <v>26350.746268656716</v>
      </c>
      <c r="AA255" s="46">
        <f t="shared" si="51"/>
        <v>25227.266998341627</v>
      </c>
      <c r="AB255" s="46">
        <f t="shared" si="51"/>
        <v>25504.556544675241</v>
      </c>
      <c r="AC255" s="46">
        <f t="shared" si="51"/>
        <v>25527.917355371901</v>
      </c>
      <c r="AD255" s="46">
        <f t="shared" si="51"/>
        <v>26363.139013452917</v>
      </c>
      <c r="AE255" s="46">
        <f t="shared" si="51"/>
        <v>26735.194558683957</v>
      </c>
      <c r="AF255" s="46">
        <f t="shared" si="51"/>
        <v>27147.65625</v>
      </c>
      <c r="AG255" s="46">
        <f t="shared" si="51"/>
        <v>28075.478996675734</v>
      </c>
      <c r="AH255" s="46">
        <f t="shared" si="51"/>
        <v>28776.324180690877</v>
      </c>
      <c r="AI255" s="46">
        <f t="shared" si="51"/>
        <v>29399.509379509382</v>
      </c>
    </row>
    <row r="256" spans="1:35" x14ac:dyDescent="0.25">
      <c r="A256" s="11">
        <f>$A$71</f>
        <v>56</v>
      </c>
      <c r="M256" s="11"/>
      <c r="N256" s="11"/>
      <c r="O256" s="11"/>
      <c r="P256" s="46">
        <f>P$71*P$396</f>
        <v>27599.027571894458</v>
      </c>
      <c r="Q256" s="46">
        <f t="shared" ref="Q256:AI256" si="52">Q$71*Q$396</f>
        <v>26750.673575129535</v>
      </c>
      <c r="R256" s="46">
        <f t="shared" si="52"/>
        <v>26175.944186046512</v>
      </c>
      <c r="S256" s="46">
        <f t="shared" si="52"/>
        <v>26605.441760929378</v>
      </c>
      <c r="T256" s="46">
        <f t="shared" si="52"/>
        <v>27203.770197486534</v>
      </c>
      <c r="U256" s="46">
        <f t="shared" si="52"/>
        <v>27800.764481034988</v>
      </c>
      <c r="V256" s="46">
        <f t="shared" si="52"/>
        <v>27719.526487126368</v>
      </c>
      <c r="W256" s="46">
        <f t="shared" si="52"/>
        <v>29025</v>
      </c>
      <c r="X256" s="46">
        <f t="shared" si="52"/>
        <v>28689.012949640288</v>
      </c>
      <c r="Y256" s="46">
        <f t="shared" si="52"/>
        <v>27674.58345774858</v>
      </c>
      <c r="Z256" s="46">
        <f t="shared" si="52"/>
        <v>27096.823457544288</v>
      </c>
      <c r="AA256" s="46">
        <f t="shared" si="52"/>
        <v>26104.100445009535</v>
      </c>
      <c r="AB256" s="46">
        <f t="shared" si="52"/>
        <v>24990.969455511287</v>
      </c>
      <c r="AC256" s="46">
        <f t="shared" si="52"/>
        <v>25267.792807654241</v>
      </c>
      <c r="AD256" s="46">
        <f t="shared" si="52"/>
        <v>25280.999007608338</v>
      </c>
      <c r="AE256" s="46">
        <f t="shared" si="52"/>
        <v>26116.423076923078</v>
      </c>
      <c r="AF256" s="46">
        <f t="shared" si="52"/>
        <v>26478.730610952833</v>
      </c>
      <c r="AG256" s="46">
        <f t="shared" si="52"/>
        <v>26890.76923076923</v>
      </c>
      <c r="AH256" s="46">
        <f t="shared" si="52"/>
        <v>27799.213788932568</v>
      </c>
      <c r="AI256" s="46">
        <f t="shared" si="52"/>
        <v>28500.050221565729</v>
      </c>
    </row>
    <row r="257" spans="1:35" x14ac:dyDescent="0.25">
      <c r="A257" s="11">
        <f>$A$72</f>
        <v>57</v>
      </c>
      <c r="M257" s="11"/>
      <c r="N257" s="11"/>
      <c r="O257" s="11"/>
      <c r="P257" s="46">
        <f>P$72*P$397</f>
        <v>27767.758770658162</v>
      </c>
      <c r="Q257" s="46">
        <f t="shared" ref="Q257:AI257" si="53">Q$72*Q$397</f>
        <v>26994.909414909416</v>
      </c>
      <c r="R257" s="46">
        <f t="shared" si="53"/>
        <v>26152.105584375953</v>
      </c>
      <c r="S257" s="46">
        <f t="shared" si="53"/>
        <v>25731.083178150217</v>
      </c>
      <c r="T257" s="46">
        <f t="shared" si="53"/>
        <v>26234.107744107743</v>
      </c>
      <c r="U257" s="46">
        <f t="shared" si="53"/>
        <v>26831.593768723786</v>
      </c>
      <c r="V257" s="46">
        <f t="shared" si="53"/>
        <v>27452.887842213717</v>
      </c>
      <c r="W257" s="46">
        <f t="shared" si="53"/>
        <v>27355.390995260666</v>
      </c>
      <c r="X257" s="46">
        <f t="shared" si="53"/>
        <v>28648.934356351238</v>
      </c>
      <c r="Y257" s="46">
        <f t="shared" si="53"/>
        <v>28305.051843317971</v>
      </c>
      <c r="Z257" s="46">
        <f t="shared" si="53"/>
        <v>27337.331141661685</v>
      </c>
      <c r="AA257" s="46">
        <f t="shared" si="53"/>
        <v>26769.7462549679</v>
      </c>
      <c r="AB257" s="46">
        <f t="shared" si="53"/>
        <v>25778.781806615774</v>
      </c>
      <c r="AC257" s="46">
        <f t="shared" si="53"/>
        <v>24676.350049817334</v>
      </c>
      <c r="AD257" s="46">
        <f t="shared" si="53"/>
        <v>24960.554638494552</v>
      </c>
      <c r="AE257" s="46">
        <f t="shared" si="53"/>
        <v>24974.990072799472</v>
      </c>
      <c r="AF257" s="46">
        <f t="shared" si="53"/>
        <v>25799.23027581783</v>
      </c>
      <c r="AG257" s="46">
        <f t="shared" si="53"/>
        <v>26153.413552881568</v>
      </c>
      <c r="AH257" s="46">
        <f t="shared" si="53"/>
        <v>26564.892086330936</v>
      </c>
      <c r="AI257" s="46">
        <f t="shared" si="53"/>
        <v>27472.236006051437</v>
      </c>
    </row>
    <row r="258" spans="1:35" x14ac:dyDescent="0.25">
      <c r="A258" s="11">
        <f>$A$73</f>
        <v>58</v>
      </c>
      <c r="M258" s="11"/>
      <c r="N258" s="11"/>
      <c r="O258" s="11"/>
      <c r="P258" s="46">
        <f>P$73*P$398</f>
        <v>26836.251105216623</v>
      </c>
      <c r="Q258" s="46">
        <f t="shared" ref="Q258:AI258" si="54">Q$73*Q$398</f>
        <v>27073.80592678675</v>
      </c>
      <c r="R258" s="46">
        <f t="shared" si="54"/>
        <v>26340.892325996432</v>
      </c>
      <c r="S258" s="46">
        <f t="shared" si="54"/>
        <v>25676.419187289946</v>
      </c>
      <c r="T258" s="46">
        <f t="shared" si="54"/>
        <v>25335.17391304348</v>
      </c>
      <c r="U258" s="46">
        <f t="shared" si="54"/>
        <v>25851.779479326186</v>
      </c>
      <c r="V258" s="46">
        <f t="shared" si="54"/>
        <v>26466.258992805757</v>
      </c>
      <c r="W258" s="46">
        <f t="shared" si="54"/>
        <v>27077.172312223858</v>
      </c>
      <c r="X258" s="46">
        <f t="shared" si="54"/>
        <v>26989.792531120333</v>
      </c>
      <c r="Y258" s="46">
        <f t="shared" si="54"/>
        <v>28264.836508387831</v>
      </c>
      <c r="Z258" s="46">
        <f t="shared" si="54"/>
        <v>27947.486307293166</v>
      </c>
      <c r="AA258" s="46">
        <f t="shared" si="54"/>
        <v>26973.88639760837</v>
      </c>
      <c r="AB258" s="46">
        <f t="shared" si="54"/>
        <v>26434.51376146789</v>
      </c>
      <c r="AC258" s="46">
        <f t="shared" si="54"/>
        <v>25461.813553929365</v>
      </c>
      <c r="AD258" s="46">
        <f t="shared" si="54"/>
        <v>24381.531052806378</v>
      </c>
      <c r="AE258" s="46">
        <f t="shared" si="54"/>
        <v>24664.81346979201</v>
      </c>
      <c r="AF258" s="46">
        <f t="shared" si="54"/>
        <v>24678.96095301125</v>
      </c>
      <c r="AG258" s="46">
        <f t="shared" si="54"/>
        <v>25493.505452212958</v>
      </c>
      <c r="AH258" s="46">
        <f t="shared" si="54"/>
        <v>25838.074730842305</v>
      </c>
      <c r="AI258" s="46">
        <f t="shared" si="54"/>
        <v>26257.313106036909</v>
      </c>
    </row>
    <row r="259" spans="1:35" x14ac:dyDescent="0.25">
      <c r="A259" s="11">
        <f>$A$74</f>
        <v>59</v>
      </c>
      <c r="M259" s="11"/>
      <c r="N259" s="11"/>
      <c r="O259" s="11"/>
      <c r="P259" s="46">
        <f>P$74*P$399</f>
        <v>25574.53309156845</v>
      </c>
      <c r="Q259" s="46">
        <f t="shared" ref="Q259:AI259" si="55">Q$74*Q$399</f>
        <v>26033.095097460129</v>
      </c>
      <c r="R259" s="46">
        <f t="shared" si="55"/>
        <v>26283.885331781141</v>
      </c>
      <c r="S259" s="46">
        <f t="shared" si="55"/>
        <v>25745.324597974984</v>
      </c>
      <c r="T259" s="46">
        <f t="shared" si="55"/>
        <v>25180.372974625494</v>
      </c>
      <c r="U259" s="46">
        <f t="shared" si="55"/>
        <v>24873.135487880671</v>
      </c>
      <c r="V259" s="46">
        <f t="shared" si="55"/>
        <v>25406.567575850444</v>
      </c>
      <c r="W259" s="46">
        <f t="shared" si="55"/>
        <v>26012.117576484703</v>
      </c>
      <c r="X259" s="46">
        <f t="shared" si="55"/>
        <v>26622.40495137047</v>
      </c>
      <c r="Y259" s="46">
        <f t="shared" si="55"/>
        <v>26543.288849347569</v>
      </c>
      <c r="Z259" s="46">
        <f t="shared" si="55"/>
        <v>27798.11095305832</v>
      </c>
      <c r="AA259" s="46">
        <f t="shared" si="55"/>
        <v>27492.958477508651</v>
      </c>
      <c r="AB259" s="46">
        <f t="shared" si="55"/>
        <v>26547.873803827752</v>
      </c>
      <c r="AC259" s="46">
        <f t="shared" si="55"/>
        <v>26010.694189602447</v>
      </c>
      <c r="AD259" s="46">
        <f t="shared" si="55"/>
        <v>25059.694656488551</v>
      </c>
      <c r="AE259" s="46">
        <f t="shared" si="55"/>
        <v>24016.344621513941</v>
      </c>
      <c r="AF259" s="46">
        <f t="shared" si="55"/>
        <v>24290.323432343233</v>
      </c>
      <c r="AG259" s="46">
        <f t="shared" si="55"/>
        <v>24304.098577571949</v>
      </c>
      <c r="AH259" s="46">
        <f t="shared" si="55"/>
        <v>25100.948717948719</v>
      </c>
      <c r="AI259" s="46">
        <f t="shared" si="55"/>
        <v>25462.051282051281</v>
      </c>
    </row>
    <row r="260" spans="1:35" x14ac:dyDescent="0.25">
      <c r="A260" s="11">
        <f>$A$75</f>
        <v>60</v>
      </c>
      <c r="M260" s="11"/>
      <c r="N260" s="11"/>
      <c r="O260" s="11"/>
      <c r="P260" s="46">
        <f>P$75*P$400</f>
        <v>23692.51184834123</v>
      </c>
      <c r="Q260" s="46">
        <f t="shared" ref="Q260:AI260" si="56">Q$75*Q$400</f>
        <v>24585.204483489852</v>
      </c>
      <c r="R260" s="46">
        <f t="shared" si="56"/>
        <v>25085.28854690737</v>
      </c>
      <c r="S260" s="46">
        <f t="shared" si="56"/>
        <v>25471.932381229963</v>
      </c>
      <c r="T260" s="46">
        <f t="shared" si="56"/>
        <v>25042.527570789869</v>
      </c>
      <c r="U260" s="46">
        <f t="shared" si="56"/>
        <v>24523.126338329763</v>
      </c>
      <c r="V260" s="46">
        <f t="shared" si="56"/>
        <v>24251.349502487563</v>
      </c>
      <c r="W260" s="46">
        <f t="shared" si="56"/>
        <v>24773.459061637532</v>
      </c>
      <c r="X260" s="46">
        <f t="shared" si="56"/>
        <v>25370.492196878753</v>
      </c>
      <c r="Y260" s="46">
        <f t="shared" si="56"/>
        <v>25970.002948982601</v>
      </c>
      <c r="Z260" s="46">
        <f t="shared" si="56"/>
        <v>25893.319489765647</v>
      </c>
      <c r="AA260" s="46">
        <f t="shared" si="56"/>
        <v>27125.482493595217</v>
      </c>
      <c r="AB260" s="46">
        <f t="shared" si="56"/>
        <v>26830.977790597059</v>
      </c>
      <c r="AC260" s="46">
        <f t="shared" si="56"/>
        <v>25926.245886927911</v>
      </c>
      <c r="AD260" s="46">
        <f t="shared" si="56"/>
        <v>25401.577981651375</v>
      </c>
      <c r="AE260" s="46">
        <f t="shared" si="56"/>
        <v>24478.514631043257</v>
      </c>
      <c r="AF260" s="46">
        <f t="shared" si="56"/>
        <v>23465.826693227089</v>
      </c>
      <c r="AG260" s="46">
        <f t="shared" si="56"/>
        <v>23738.383371824482</v>
      </c>
      <c r="AH260" s="46">
        <f t="shared" si="56"/>
        <v>23759.573412698413</v>
      </c>
      <c r="AI260" s="46">
        <f t="shared" si="56"/>
        <v>24539.099647548861</v>
      </c>
    </row>
    <row r="261" spans="1:35" x14ac:dyDescent="0.25">
      <c r="A261" s="11">
        <f>$A$76</f>
        <v>61</v>
      </c>
      <c r="M261" s="11"/>
      <c r="N261" s="11"/>
      <c r="O261" s="11"/>
      <c r="P261" s="46">
        <f>P$76*P$401</f>
        <v>22240</v>
      </c>
      <c r="Q261" s="46">
        <f t="shared" ref="Q261:AI261" si="57">Q$76*Q$401</f>
        <v>22418.212927756656</v>
      </c>
      <c r="R261" s="46">
        <f t="shared" si="57"/>
        <v>23343.77049180328</v>
      </c>
      <c r="S261" s="46">
        <f t="shared" si="57"/>
        <v>24002.846131040616</v>
      </c>
      <c r="T261" s="46">
        <f t="shared" si="57"/>
        <v>24467.211201866976</v>
      </c>
      <c r="U261" s="46">
        <f t="shared" si="57"/>
        <v>24089.58233890215</v>
      </c>
      <c r="V261" s="46">
        <f t="shared" si="57"/>
        <v>23607.710437710437</v>
      </c>
      <c r="W261" s="46">
        <f t="shared" si="57"/>
        <v>23363.186060983197</v>
      </c>
      <c r="X261" s="46">
        <f t="shared" si="57"/>
        <v>23866.018404907976</v>
      </c>
      <c r="Y261" s="46">
        <f t="shared" si="57"/>
        <v>24452.576576576575</v>
      </c>
      <c r="Z261" s="46">
        <f t="shared" si="57"/>
        <v>25033.528023598818</v>
      </c>
      <c r="AA261" s="46">
        <f t="shared" si="57"/>
        <v>24974.813056379822</v>
      </c>
      <c r="AB261" s="46">
        <f t="shared" si="57"/>
        <v>26158.633257403191</v>
      </c>
      <c r="AC261" s="46">
        <f t="shared" si="57"/>
        <v>25892.394691286787</v>
      </c>
      <c r="AD261" s="46">
        <f t="shared" si="57"/>
        <v>25011.043972479809</v>
      </c>
      <c r="AE261" s="46">
        <f t="shared" si="57"/>
        <v>24524.642201834864</v>
      </c>
      <c r="AF261" s="46">
        <f t="shared" si="57"/>
        <v>23641.335453100161</v>
      </c>
      <c r="AG261" s="46">
        <f t="shared" si="57"/>
        <v>22677.324925323599</v>
      </c>
      <c r="AH261" s="46">
        <f t="shared" si="57"/>
        <v>22930.234091658425</v>
      </c>
      <c r="AI261" s="46">
        <f t="shared" si="57"/>
        <v>22952.531394580303</v>
      </c>
    </row>
    <row r="262" spans="1:35" x14ac:dyDescent="0.25">
      <c r="A262" s="11">
        <f>$A$77</f>
        <v>62</v>
      </c>
      <c r="M262" s="11"/>
      <c r="N262" s="11"/>
      <c r="O262" s="11"/>
      <c r="P262" s="46">
        <f>P$77*P$402</f>
        <v>20143.269873079491</v>
      </c>
      <c r="Q262" s="46">
        <f t="shared" ref="Q262:AI262" si="58">Q$77*Q$402</f>
        <v>20775.920542635657</v>
      </c>
      <c r="R262" s="46">
        <f t="shared" si="58"/>
        <v>20923.888182973315</v>
      </c>
      <c r="S262" s="46">
        <f t="shared" si="58"/>
        <v>21983.329275715154</v>
      </c>
      <c r="T262" s="46">
        <f t="shared" si="58"/>
        <v>22707.842089640846</v>
      </c>
      <c r="U262" s="46">
        <f t="shared" si="58"/>
        <v>23170.560747663552</v>
      </c>
      <c r="V262" s="46">
        <f t="shared" si="58"/>
        <v>22829.071364586445</v>
      </c>
      <c r="W262" s="46">
        <f t="shared" si="58"/>
        <v>22393.995098039213</v>
      </c>
      <c r="X262" s="46">
        <f t="shared" si="58"/>
        <v>22162.191780821919</v>
      </c>
      <c r="Y262" s="46">
        <f t="shared" si="58"/>
        <v>22656.773104083513</v>
      </c>
      <c r="Z262" s="46">
        <f t="shared" si="58"/>
        <v>23218.90625</v>
      </c>
      <c r="AA262" s="46">
        <f t="shared" si="58"/>
        <v>23778.716056670604</v>
      </c>
      <c r="AB262" s="46">
        <f t="shared" si="58"/>
        <v>23730.338479809976</v>
      </c>
      <c r="AC262" s="46">
        <f t="shared" si="58"/>
        <v>24863.390313390311</v>
      </c>
      <c r="AD262" s="46">
        <f t="shared" si="58"/>
        <v>24607.973441108545</v>
      </c>
      <c r="AE262" s="46">
        <f t="shared" si="58"/>
        <v>23788.007181328543</v>
      </c>
      <c r="AF262" s="46">
        <f t="shared" si="58"/>
        <v>23329.684918935454</v>
      </c>
      <c r="AG262" s="46">
        <f t="shared" si="58"/>
        <v>22498.670906200317</v>
      </c>
      <c r="AH262" s="46">
        <f t="shared" si="58"/>
        <v>21578.583278035832</v>
      </c>
      <c r="AI262" s="46">
        <f t="shared" si="58"/>
        <v>21826.216216216217</v>
      </c>
    </row>
    <row r="263" spans="1:35" x14ac:dyDescent="0.25">
      <c r="A263" s="11">
        <f>$A$78</f>
        <v>63</v>
      </c>
      <c r="M263" s="11"/>
      <c r="N263" s="11"/>
      <c r="O263" s="11"/>
      <c r="P263" s="46">
        <f>P$78*P$403</f>
        <v>17756.133379405666</v>
      </c>
      <c r="Q263" s="46">
        <f t="shared" ref="Q263:AI263" si="59">Q$78*Q$403</f>
        <v>18169.657947686115</v>
      </c>
      <c r="R263" s="46">
        <f t="shared" si="59"/>
        <v>18770.563654033042</v>
      </c>
      <c r="S263" s="46">
        <f t="shared" si="59"/>
        <v>19075.152866242039</v>
      </c>
      <c r="T263" s="46">
        <f t="shared" si="59"/>
        <v>20147.631819567207</v>
      </c>
      <c r="U263" s="46">
        <f t="shared" si="59"/>
        <v>20829.34601664685</v>
      </c>
      <c r="V263" s="46">
        <f t="shared" si="59"/>
        <v>21286.805149210068</v>
      </c>
      <c r="W263" s="46">
        <f t="shared" si="59"/>
        <v>20993.636363636364</v>
      </c>
      <c r="X263" s="46">
        <f t="shared" si="59"/>
        <v>20614.372506903957</v>
      </c>
      <c r="Y263" s="46">
        <f t="shared" si="59"/>
        <v>20406.221945137157</v>
      </c>
      <c r="Z263" s="46">
        <f t="shared" si="59"/>
        <v>20860.079901659494</v>
      </c>
      <c r="AA263" s="46">
        <f t="shared" si="59"/>
        <v>21386.586466165416</v>
      </c>
      <c r="AB263" s="46">
        <f t="shared" si="59"/>
        <v>21911.270685579195</v>
      </c>
      <c r="AC263" s="46">
        <f t="shared" si="59"/>
        <v>21876.826151560177</v>
      </c>
      <c r="AD263" s="46">
        <f t="shared" si="59"/>
        <v>22925.424985738733</v>
      </c>
      <c r="AE263" s="46">
        <f t="shared" si="59"/>
        <v>22694.492921121066</v>
      </c>
      <c r="AF263" s="46">
        <f t="shared" si="59"/>
        <v>21953.425149700597</v>
      </c>
      <c r="AG263" s="46">
        <f t="shared" si="59"/>
        <v>21529.069767441859</v>
      </c>
      <c r="AH263" s="46">
        <f t="shared" si="59"/>
        <v>20774.723282442748</v>
      </c>
      <c r="AI263" s="46">
        <f t="shared" si="59"/>
        <v>19927.010617120108</v>
      </c>
    </row>
    <row r="264" spans="1:35" x14ac:dyDescent="0.25">
      <c r="A264" s="11">
        <f>$A$79</f>
        <v>64</v>
      </c>
      <c r="M264" s="11"/>
      <c r="N264" s="11"/>
      <c r="O264" s="11"/>
      <c r="P264" s="46">
        <f>P$79*P$404</f>
        <v>15520</v>
      </c>
      <c r="Q264" s="46">
        <f t="shared" ref="Q264:AI264" si="60">Q$79*Q$404</f>
        <v>15799.465648854963</v>
      </c>
      <c r="R264" s="46">
        <f t="shared" si="60"/>
        <v>16162.954239569315</v>
      </c>
      <c r="S264" s="46">
        <f t="shared" si="60"/>
        <v>16875.030874228145</v>
      </c>
      <c r="T264" s="46">
        <f t="shared" si="60"/>
        <v>17252.828863346105</v>
      </c>
      <c r="U264" s="46">
        <f t="shared" si="60"/>
        <v>18248.505957836849</v>
      </c>
      <c r="V264" s="46">
        <f t="shared" si="60"/>
        <v>18882.160953800296</v>
      </c>
      <c r="W264" s="46">
        <f t="shared" si="60"/>
        <v>19314.24633431085</v>
      </c>
      <c r="X264" s="46">
        <f t="shared" si="60"/>
        <v>19043.814803715915</v>
      </c>
      <c r="Y264" s="46">
        <f t="shared" si="60"/>
        <v>18703.54749462035</v>
      </c>
      <c r="Z264" s="46">
        <f t="shared" si="60"/>
        <v>18531.798875702687</v>
      </c>
      <c r="AA264" s="46">
        <f t="shared" si="60"/>
        <v>18955.603448275862</v>
      </c>
      <c r="AB264" s="46">
        <f t="shared" si="60"/>
        <v>19442.76589334137</v>
      </c>
      <c r="AC264" s="46">
        <f t="shared" si="60"/>
        <v>19925.189461219656</v>
      </c>
      <c r="AD264" s="46">
        <f t="shared" si="60"/>
        <v>19901.92319142602</v>
      </c>
      <c r="AE264" s="46">
        <f t="shared" si="60"/>
        <v>20852.899171665238</v>
      </c>
      <c r="AF264" s="46">
        <f t="shared" si="60"/>
        <v>20659.71064814815</v>
      </c>
      <c r="AG264" s="46">
        <f t="shared" si="60"/>
        <v>19980.551724137931</v>
      </c>
      <c r="AH264" s="46">
        <f t="shared" si="60"/>
        <v>19601.256127450983</v>
      </c>
      <c r="AI264" s="46">
        <f t="shared" si="60"/>
        <v>18916.437440305635</v>
      </c>
    </row>
    <row r="265" spans="1:35" x14ac:dyDescent="0.25">
      <c r="A265" s="11">
        <f>$A$80</f>
        <v>65</v>
      </c>
      <c r="M265" s="11"/>
      <c r="N265" s="11"/>
      <c r="O265" s="11"/>
      <c r="P265" s="46">
        <f>P$80*P$405</f>
        <v>13300.28821597957</v>
      </c>
      <c r="Q265" s="46">
        <f t="shared" ref="Q265:AI265" si="61">Q$80*Q$405</f>
        <v>13561.995723449751</v>
      </c>
      <c r="R265" s="46">
        <f t="shared" si="61"/>
        <v>13808.658536585366</v>
      </c>
      <c r="S265" s="46">
        <f t="shared" si="61"/>
        <v>14284.135135135135</v>
      </c>
      <c r="T265" s="46">
        <f t="shared" si="61"/>
        <v>15001.87744458931</v>
      </c>
      <c r="U265" s="46">
        <f t="shared" si="61"/>
        <v>15365.078450208133</v>
      </c>
      <c r="V265" s="46">
        <f t="shared" si="61"/>
        <v>16258.00490346307</v>
      </c>
      <c r="W265" s="46">
        <f t="shared" si="61"/>
        <v>16841.07890017932</v>
      </c>
      <c r="X265" s="46">
        <f t="shared" si="61"/>
        <v>17228.082352941179</v>
      </c>
      <c r="Y265" s="46">
        <f t="shared" si="61"/>
        <v>17006.385216346152</v>
      </c>
      <c r="Z265" s="46">
        <f t="shared" si="61"/>
        <v>16705.08474576271</v>
      </c>
      <c r="AA265" s="46">
        <f t="shared" si="61"/>
        <v>16563.380281690141</v>
      </c>
      <c r="AB265" s="46">
        <f t="shared" si="61"/>
        <v>16954.1512345679</v>
      </c>
      <c r="AC265" s="46">
        <f t="shared" si="61"/>
        <v>17390.389610389608</v>
      </c>
      <c r="AD265" s="46">
        <f t="shared" si="61"/>
        <v>17825.111242954612</v>
      </c>
      <c r="AE265" s="46">
        <f t="shared" si="61"/>
        <v>17808.579952267304</v>
      </c>
      <c r="AF265" s="46">
        <f t="shared" si="61"/>
        <v>18658.391067849985</v>
      </c>
      <c r="AG265" s="46">
        <f t="shared" si="61"/>
        <v>18491.05537837054</v>
      </c>
      <c r="AH265" s="46">
        <f t="shared" si="61"/>
        <v>17889.342144788225</v>
      </c>
      <c r="AI265" s="46">
        <f t="shared" si="61"/>
        <v>17557.458563535914</v>
      </c>
    </row>
    <row r="266" spans="1:35" x14ac:dyDescent="0.25">
      <c r="A266" s="11">
        <f>$A$81</f>
        <v>66</v>
      </c>
      <c r="M266" s="11"/>
      <c r="N266" s="11"/>
      <c r="O266" s="11"/>
      <c r="P266" s="46">
        <f>P$81*P$406</f>
        <v>11020</v>
      </c>
      <c r="Q266" s="46">
        <f t="shared" ref="Q266:AI266" si="62">Q$81*Q$406</f>
        <v>11317.380777696259</v>
      </c>
      <c r="R266" s="46">
        <f t="shared" si="62"/>
        <v>11538.889684813754</v>
      </c>
      <c r="S266" s="46">
        <f t="shared" si="62"/>
        <v>11892.29611480574</v>
      </c>
      <c r="T266" s="46">
        <f t="shared" si="62"/>
        <v>12389.637165140726</v>
      </c>
      <c r="U266" s="46">
        <f t="shared" si="62"/>
        <v>13033.36387434555</v>
      </c>
      <c r="V266" s="46">
        <f t="shared" si="62"/>
        <v>13356.264866602378</v>
      </c>
      <c r="W266" s="46">
        <f t="shared" si="62"/>
        <v>14144.86927099354</v>
      </c>
      <c r="X266" s="46">
        <f t="shared" si="62"/>
        <v>14657.449744974496</v>
      </c>
      <c r="Y266" s="46">
        <f t="shared" si="62"/>
        <v>14999.876033057852</v>
      </c>
      <c r="Z266" s="46">
        <f t="shared" si="62"/>
        <v>14807.175158275551</v>
      </c>
      <c r="AA266" s="46">
        <f t="shared" si="62"/>
        <v>14564.480519480519</v>
      </c>
      <c r="AB266" s="46">
        <f t="shared" si="62"/>
        <v>14438.414442700157</v>
      </c>
      <c r="AC266" s="46">
        <f t="shared" si="62"/>
        <v>14769.545032497679</v>
      </c>
      <c r="AD266" s="46">
        <f t="shared" si="62"/>
        <v>15165.741974560873</v>
      </c>
      <c r="AE266" s="46">
        <f t="shared" si="62"/>
        <v>15543.308539125261</v>
      </c>
      <c r="AF266" s="46">
        <f t="shared" si="62"/>
        <v>15532.832784923721</v>
      </c>
      <c r="AG266" s="46">
        <f t="shared" si="62"/>
        <v>16281.331802525834</v>
      </c>
      <c r="AH266" s="46">
        <f t="shared" si="62"/>
        <v>16131</v>
      </c>
      <c r="AI266" s="46">
        <f t="shared" si="62"/>
        <v>15615.826558265582</v>
      </c>
    </row>
    <row r="267" spans="1:35" x14ac:dyDescent="0.25">
      <c r="A267" s="11">
        <f>$A$82</f>
        <v>67</v>
      </c>
      <c r="M267" s="11"/>
      <c r="N267" s="11"/>
      <c r="O267" s="11"/>
      <c r="P267" s="46">
        <f>P$82*P$407</f>
        <v>9236.3564668769723</v>
      </c>
      <c r="Q267" s="46">
        <f t="shared" ref="Q267:AI267" si="63">Q$82*Q$407</f>
        <v>9469.9008768585591</v>
      </c>
      <c r="R267" s="46">
        <f t="shared" si="63"/>
        <v>9749.8118081180819</v>
      </c>
      <c r="S267" s="46">
        <f t="shared" si="63"/>
        <v>10076.247749369822</v>
      </c>
      <c r="T267" s="46">
        <f t="shared" si="63"/>
        <v>10468.318085855031</v>
      </c>
      <c r="U267" s="46">
        <f t="shared" si="63"/>
        <v>10919.079754601227</v>
      </c>
      <c r="V267" s="46">
        <f t="shared" si="63"/>
        <v>11480.194015126604</v>
      </c>
      <c r="W267" s="46">
        <f t="shared" si="63"/>
        <v>11766.909912818857</v>
      </c>
      <c r="X267" s="46">
        <f t="shared" si="63"/>
        <v>12462.172435105069</v>
      </c>
      <c r="Y267" s="46">
        <f t="shared" si="63"/>
        <v>12914.480265140102</v>
      </c>
      <c r="Z267" s="46">
        <f t="shared" si="63"/>
        <v>13207.299940723176</v>
      </c>
      <c r="AA267" s="46">
        <f t="shared" si="63"/>
        <v>13047.593097184377</v>
      </c>
      <c r="AB267" s="46">
        <f t="shared" si="63"/>
        <v>12824.200558832661</v>
      </c>
      <c r="AC267" s="46">
        <f t="shared" si="63"/>
        <v>12722.839583989915</v>
      </c>
      <c r="AD267" s="46">
        <f t="shared" si="63"/>
        <v>13016.222429325877</v>
      </c>
      <c r="AE267" s="46">
        <f t="shared" si="63"/>
        <v>13360.489510489509</v>
      </c>
      <c r="AF267" s="46">
        <f t="shared" si="63"/>
        <v>13701.785607644073</v>
      </c>
      <c r="AG267" s="46">
        <f t="shared" si="63"/>
        <v>13686.787751425998</v>
      </c>
      <c r="AH267" s="46">
        <f t="shared" si="63"/>
        <v>14340.172811059907</v>
      </c>
      <c r="AI267" s="46">
        <f t="shared" si="63"/>
        <v>14220.892388451444</v>
      </c>
    </row>
    <row r="268" spans="1:35" x14ac:dyDescent="0.25">
      <c r="A268" s="11">
        <f>$A$83</f>
        <v>68</v>
      </c>
      <c r="M268" s="11"/>
      <c r="N268" s="11"/>
      <c r="O268" s="11"/>
      <c r="P268" s="46">
        <f>P$83*P$408</f>
        <v>7740.5449369662465</v>
      </c>
      <c r="Q268" s="46">
        <f t="shared" ref="Q268:AI268" si="64">Q$83*Q$408</f>
        <v>7889.547259729944</v>
      </c>
      <c r="R268" s="46">
        <f t="shared" si="64"/>
        <v>8099.6928982725522</v>
      </c>
      <c r="S268" s="46">
        <f t="shared" si="64"/>
        <v>8448.7072808320954</v>
      </c>
      <c r="T268" s="46">
        <f t="shared" si="64"/>
        <v>8803.467391304348</v>
      </c>
      <c r="U268" s="46">
        <f t="shared" si="64"/>
        <v>9145.2583156404817</v>
      </c>
      <c r="V268" s="46">
        <f t="shared" si="64"/>
        <v>9540.6716929403701</v>
      </c>
      <c r="W268" s="46">
        <f t="shared" si="64"/>
        <v>10045.767195767196</v>
      </c>
      <c r="X268" s="46">
        <f t="shared" si="64"/>
        <v>10290.194805194804</v>
      </c>
      <c r="Y268" s="46">
        <f t="shared" si="64"/>
        <v>10898.959304131718</v>
      </c>
      <c r="Z268" s="46">
        <f t="shared" si="64"/>
        <v>11290.978491366253</v>
      </c>
      <c r="AA268" s="46">
        <f t="shared" si="64"/>
        <v>11551.743146603098</v>
      </c>
      <c r="AB268" s="46">
        <f t="shared" si="64"/>
        <v>11410.846013390141</v>
      </c>
      <c r="AC268" s="46">
        <f t="shared" si="64"/>
        <v>11223.022457891455</v>
      </c>
      <c r="AD268" s="46">
        <f t="shared" si="64"/>
        <v>11131.823939202026</v>
      </c>
      <c r="AE268" s="46">
        <f t="shared" si="64"/>
        <v>11386.05493133583</v>
      </c>
      <c r="AF268" s="46">
        <f t="shared" si="64"/>
        <v>11686.174045801527</v>
      </c>
      <c r="AG268" s="46">
        <f t="shared" si="64"/>
        <v>11976.191904047977</v>
      </c>
      <c r="AH268" s="46">
        <f t="shared" si="64"/>
        <v>11975.302984624661</v>
      </c>
      <c r="AI268" s="46">
        <f t="shared" si="64"/>
        <v>12551.906277118889</v>
      </c>
    </row>
    <row r="269" spans="1:35" x14ac:dyDescent="0.25">
      <c r="A269" s="11">
        <f>$A$84</f>
        <v>69</v>
      </c>
      <c r="M269" s="11"/>
      <c r="N269" s="11"/>
      <c r="O269" s="11"/>
      <c r="P269" s="46">
        <f>P$84*P$409</f>
        <v>6387.29466553768</v>
      </c>
      <c r="Q269" s="46">
        <f t="shared" ref="Q269:AI269" si="65">Q$84*Q$409</f>
        <v>6567.5143560295328</v>
      </c>
      <c r="R269" s="46">
        <f t="shared" si="65"/>
        <v>6686.9335468374702</v>
      </c>
      <c r="S269" s="46">
        <f t="shared" si="65"/>
        <v>6956.256767208044</v>
      </c>
      <c r="T269" s="46">
        <f t="shared" si="65"/>
        <v>7314.5549738219897</v>
      </c>
      <c r="U269" s="46">
        <f t="shared" si="65"/>
        <v>7628.5120350109401</v>
      </c>
      <c r="V269" s="46">
        <f t="shared" si="65"/>
        <v>7928.5714285714284</v>
      </c>
      <c r="W269" s="46">
        <f t="shared" si="65"/>
        <v>8268.4477406002061</v>
      </c>
      <c r="X269" s="46">
        <f t="shared" si="65"/>
        <v>8694.5757071547432</v>
      </c>
      <c r="Y269" s="46">
        <f t="shared" si="65"/>
        <v>8918.88271806599</v>
      </c>
      <c r="Z269" s="46">
        <f t="shared" si="65"/>
        <v>9435.379806189434</v>
      </c>
      <c r="AA269" s="46">
        <f t="shared" si="65"/>
        <v>9777.1014934471204</v>
      </c>
      <c r="AB269" s="46">
        <f t="shared" si="65"/>
        <v>10011.522325442013</v>
      </c>
      <c r="AC269" s="46">
        <f t="shared" si="65"/>
        <v>9886.3892288861698</v>
      </c>
      <c r="AD269" s="46">
        <f t="shared" si="65"/>
        <v>9724.4887076537016</v>
      </c>
      <c r="AE269" s="46">
        <f t="shared" si="65"/>
        <v>9640.3915950334285</v>
      </c>
      <c r="AF269" s="46">
        <f t="shared" si="65"/>
        <v>9861.4810166300595</v>
      </c>
      <c r="AG269" s="46">
        <f t="shared" si="65"/>
        <v>10118.692449355434</v>
      </c>
      <c r="AH269" s="46">
        <f t="shared" si="65"/>
        <v>10377.323688969258</v>
      </c>
      <c r="AI269" s="46">
        <f t="shared" si="65"/>
        <v>10363.541351105727</v>
      </c>
    </row>
    <row r="270" spans="1:35" x14ac:dyDescent="0.25">
      <c r="A270" s="11">
        <f>$A$85</f>
        <v>70</v>
      </c>
      <c r="M270" s="11"/>
      <c r="N270" s="11"/>
      <c r="O270" s="11"/>
      <c r="P270" s="46">
        <f>P$85*P$410</f>
        <v>5407.69591141397</v>
      </c>
      <c r="Q270" s="46">
        <f t="shared" ref="Q270:AI270" si="66">Q$85*Q$410</f>
        <v>5364.6623931623926</v>
      </c>
      <c r="R270" s="46">
        <f t="shared" si="66"/>
        <v>5516.9962763756721</v>
      </c>
      <c r="S270" s="46">
        <f t="shared" si="66"/>
        <v>5692.5635849818336</v>
      </c>
      <c r="T270" s="46">
        <f t="shared" si="66"/>
        <v>5977.707602339181</v>
      </c>
      <c r="U270" s="46">
        <f t="shared" si="66"/>
        <v>6273.9577836411609</v>
      </c>
      <c r="V270" s="46">
        <f t="shared" si="66"/>
        <v>6542.2822491730976</v>
      </c>
      <c r="W270" s="46">
        <f t="shared" si="66"/>
        <v>6798.5068198133522</v>
      </c>
      <c r="X270" s="46">
        <f t="shared" si="66"/>
        <v>7082.5373653110883</v>
      </c>
      <c r="Y270" s="46">
        <f t="shared" si="66"/>
        <v>7449.0043580288302</v>
      </c>
      <c r="Z270" s="46">
        <f t="shared" si="66"/>
        <v>7627.2194800921352</v>
      </c>
      <c r="AA270" s="46">
        <f t="shared" si="66"/>
        <v>8071.4164305949007</v>
      </c>
      <c r="AB270" s="46">
        <f t="shared" si="66"/>
        <v>8362.9088677508425</v>
      </c>
      <c r="AC270" s="46">
        <f t="shared" si="66"/>
        <v>8560.9049773755669</v>
      </c>
      <c r="AD270" s="46">
        <f t="shared" si="66"/>
        <v>8445.2356020942407</v>
      </c>
      <c r="AE270" s="46">
        <f t="shared" si="66"/>
        <v>8302.2727272727279</v>
      </c>
      <c r="AF270" s="46">
        <f t="shared" si="66"/>
        <v>8228.7892376681611</v>
      </c>
      <c r="AG270" s="46">
        <f t="shared" si="66"/>
        <v>8426.7803030303039</v>
      </c>
      <c r="AH270" s="46">
        <f t="shared" si="66"/>
        <v>8637.3263352886697</v>
      </c>
      <c r="AI270" s="46">
        <f t="shared" si="66"/>
        <v>8854.7862988784473</v>
      </c>
    </row>
    <row r="271" spans="1:35" x14ac:dyDescent="0.25">
      <c r="A271" s="11">
        <f>$A$86</f>
        <v>71</v>
      </c>
      <c r="M271" s="11"/>
      <c r="N271" s="11"/>
      <c r="O271" s="11"/>
      <c r="P271" s="46">
        <f>P$86*P$411</f>
        <v>4378.0550621669627</v>
      </c>
      <c r="Q271" s="46">
        <f t="shared" ref="Q271:AI271" si="67">Q$86*Q$411</f>
        <v>4500.5424020662931</v>
      </c>
      <c r="R271" s="46">
        <f t="shared" si="67"/>
        <v>4469.1238670694866</v>
      </c>
      <c r="S271" s="46">
        <f t="shared" si="67"/>
        <v>4648.9557226399329</v>
      </c>
      <c r="T271" s="46">
        <f t="shared" si="67"/>
        <v>4836.1043194784024</v>
      </c>
      <c r="U271" s="46">
        <f t="shared" si="67"/>
        <v>5076.7741935483873</v>
      </c>
      <c r="V271" s="46">
        <f t="shared" si="67"/>
        <v>5327.687333586915</v>
      </c>
      <c r="W271" s="46">
        <f t="shared" si="67"/>
        <v>5552.7623285131631</v>
      </c>
      <c r="X271" s="46">
        <f t="shared" si="67"/>
        <v>5768.1100651701663</v>
      </c>
      <c r="Y271" s="46">
        <f t="shared" si="67"/>
        <v>6008.0616894497025</v>
      </c>
      <c r="Z271" s="46">
        <f t="shared" si="67"/>
        <v>6317.810070969922</v>
      </c>
      <c r="AA271" s="46">
        <f t="shared" si="67"/>
        <v>6464.331674958541</v>
      </c>
      <c r="AB271" s="46">
        <f t="shared" si="67"/>
        <v>6846.3673857868016</v>
      </c>
      <c r="AC271" s="46">
        <f t="shared" si="67"/>
        <v>7087.7303648732213</v>
      </c>
      <c r="AD271" s="46">
        <f t="shared" si="67"/>
        <v>7249.033434650456</v>
      </c>
      <c r="AE271" s="46">
        <f t="shared" si="67"/>
        <v>7154.9612162581443</v>
      </c>
      <c r="AF271" s="46">
        <f t="shared" si="67"/>
        <v>7028.7567567567576</v>
      </c>
      <c r="AG271" s="46">
        <f t="shared" si="67"/>
        <v>6968.0903225806451</v>
      </c>
      <c r="AH271" s="46">
        <f t="shared" si="67"/>
        <v>7133.4774316592493</v>
      </c>
      <c r="AI271" s="46">
        <f t="shared" si="67"/>
        <v>7314.519738887162</v>
      </c>
    </row>
    <row r="272" spans="1:35" x14ac:dyDescent="0.25">
      <c r="A272" s="11">
        <f>$A$87</f>
        <v>72</v>
      </c>
      <c r="M272" s="11"/>
      <c r="N272" s="11"/>
      <c r="O272" s="11"/>
      <c r="P272" s="46">
        <f>P$87*P$412</f>
        <v>3700</v>
      </c>
      <c r="Q272" s="46">
        <f t="shared" ref="Q272:AI272" si="68">Q$87*Q$412</f>
        <v>3610.4312668463613</v>
      </c>
      <c r="R272" s="46">
        <f t="shared" si="68"/>
        <v>3704.194952132289</v>
      </c>
      <c r="S272" s="46">
        <f t="shared" si="68"/>
        <v>3730.5235602094244</v>
      </c>
      <c r="T272" s="46">
        <f t="shared" si="68"/>
        <v>3923.0772477838755</v>
      </c>
      <c r="U272" s="46">
        <f t="shared" si="68"/>
        <v>4083.7546315356112</v>
      </c>
      <c r="V272" s="46">
        <f t="shared" si="68"/>
        <v>4275.685339690107</v>
      </c>
      <c r="W272" s="46">
        <f t="shared" si="68"/>
        <v>4496.2903225806449</v>
      </c>
      <c r="X272" s="46">
        <f t="shared" si="68"/>
        <v>4682.4223137401723</v>
      </c>
      <c r="Y272" s="46">
        <f t="shared" si="68"/>
        <v>4857.0614035087719</v>
      </c>
      <c r="Z272" s="46">
        <f t="shared" si="68"/>
        <v>5058.181818181818</v>
      </c>
      <c r="AA272" s="46">
        <f t="shared" si="68"/>
        <v>5318.3049113233292</v>
      </c>
      <c r="AB272" s="46">
        <f t="shared" si="68"/>
        <v>5449.6987951807232</v>
      </c>
      <c r="AC272" s="46">
        <f t="shared" si="68"/>
        <v>5760.1440000000002</v>
      </c>
      <c r="AD272" s="46">
        <f t="shared" si="68"/>
        <v>5961.3345806049265</v>
      </c>
      <c r="AE272" s="46">
        <f t="shared" si="68"/>
        <v>6095.4629061925198</v>
      </c>
      <c r="AF272" s="46">
        <f t="shared" si="68"/>
        <v>6018.5423834845169</v>
      </c>
      <c r="AG272" s="46">
        <f t="shared" si="68"/>
        <v>5913.6858974358975</v>
      </c>
      <c r="AH272" s="46">
        <f t="shared" si="68"/>
        <v>5861.1833550065021</v>
      </c>
      <c r="AI272" s="46">
        <f t="shared" si="68"/>
        <v>5996.2588084561175</v>
      </c>
    </row>
    <row r="273" spans="1:35" x14ac:dyDescent="0.25">
      <c r="A273" s="11">
        <f>$A$88</f>
        <v>73</v>
      </c>
      <c r="M273" s="11"/>
      <c r="N273" s="11"/>
      <c r="O273" s="11"/>
      <c r="P273" s="46">
        <f>P$88*P$413</f>
        <v>2997.2911963882621</v>
      </c>
      <c r="Q273" s="46">
        <f t="shared" ref="Q273:AI273" si="69">Q$88*Q$413</f>
        <v>3029.1428571428569</v>
      </c>
      <c r="R273" s="46">
        <f t="shared" si="69"/>
        <v>2952.8844404003644</v>
      </c>
      <c r="S273" s="46">
        <f t="shared" si="69"/>
        <v>3075.7488986784142</v>
      </c>
      <c r="T273" s="46">
        <f t="shared" si="69"/>
        <v>3123.7262693156731</v>
      </c>
      <c r="U273" s="46">
        <f t="shared" si="69"/>
        <v>3288.7483981204614</v>
      </c>
      <c r="V273" s="46">
        <f t="shared" si="69"/>
        <v>3419.4379683597003</v>
      </c>
      <c r="W273" s="46">
        <f t="shared" si="69"/>
        <v>3586.9425472077141</v>
      </c>
      <c r="X273" s="46">
        <f t="shared" si="69"/>
        <v>3767.5300970873786</v>
      </c>
      <c r="Y273" s="46">
        <f t="shared" si="69"/>
        <v>3919.7654180855084</v>
      </c>
      <c r="Z273" s="46">
        <f t="shared" si="69"/>
        <v>4063.70753323486</v>
      </c>
      <c r="AA273" s="46">
        <f t="shared" si="69"/>
        <v>4239.1422444603286</v>
      </c>
      <c r="AB273" s="46">
        <f t="shared" si="69"/>
        <v>4447.8573889080262</v>
      </c>
      <c r="AC273" s="46">
        <f t="shared" si="69"/>
        <v>4553.7546468401488</v>
      </c>
      <c r="AD273" s="46">
        <f t="shared" si="69"/>
        <v>4820.8400646203554</v>
      </c>
      <c r="AE273" s="46">
        <f t="shared" si="69"/>
        <v>4981.9578218445076</v>
      </c>
      <c r="AF273" s="46">
        <f t="shared" si="69"/>
        <v>5100.0742574257429</v>
      </c>
      <c r="AG273" s="46">
        <f t="shared" si="69"/>
        <v>5032.727272727273</v>
      </c>
      <c r="AH273" s="46">
        <f t="shared" si="69"/>
        <v>4945.4348528936307</v>
      </c>
      <c r="AI273" s="46">
        <f t="shared" si="69"/>
        <v>4904.8966874385042</v>
      </c>
    </row>
    <row r="274" spans="1:35" x14ac:dyDescent="0.25">
      <c r="A274" s="11">
        <f>$A$89</f>
        <v>74</v>
      </c>
      <c r="M274" s="11"/>
      <c r="N274" s="11"/>
      <c r="O274" s="11"/>
      <c r="P274" s="46">
        <f>P$89*P$414</f>
        <v>2090</v>
      </c>
      <c r="Q274" s="46">
        <f t="shared" ref="Q274:AI274" si="70">Q$89*Q$414</f>
        <v>2444.3858845096242</v>
      </c>
      <c r="R274" s="46">
        <f t="shared" si="70"/>
        <v>2467.644927536232</v>
      </c>
      <c r="S274" s="46">
        <f t="shared" si="70"/>
        <v>2433.9022140221405</v>
      </c>
      <c r="T274" s="46">
        <f t="shared" si="70"/>
        <v>2558.7673068334079</v>
      </c>
      <c r="U274" s="46">
        <f t="shared" si="70"/>
        <v>2606.9261744966443</v>
      </c>
      <c r="V274" s="46">
        <f t="shared" si="70"/>
        <v>2743.911726525314</v>
      </c>
      <c r="W274" s="46">
        <f t="shared" si="70"/>
        <v>2847.3386756642767</v>
      </c>
      <c r="X274" s="46">
        <f t="shared" si="70"/>
        <v>2985.5817737998373</v>
      </c>
      <c r="Y274" s="46">
        <f t="shared" si="70"/>
        <v>3136.0809748427678</v>
      </c>
      <c r="Z274" s="46">
        <f t="shared" si="70"/>
        <v>3267.8866768759572</v>
      </c>
      <c r="AA274" s="46">
        <f t="shared" si="70"/>
        <v>3389.8841987299215</v>
      </c>
      <c r="AB274" s="46">
        <f t="shared" si="70"/>
        <v>3537.5496928080956</v>
      </c>
      <c r="AC274" s="46">
        <f t="shared" si="70"/>
        <v>3714.848484848485</v>
      </c>
      <c r="AD274" s="46">
        <f t="shared" si="70"/>
        <v>3804.4414075845571</v>
      </c>
      <c r="AE274" s="46">
        <f t="shared" si="70"/>
        <v>4021.877857609406</v>
      </c>
      <c r="AF274" s="46">
        <f t="shared" si="70"/>
        <v>4162.7076041998098</v>
      </c>
      <c r="AG274" s="46">
        <f t="shared" si="70"/>
        <v>4251.4942169427941</v>
      </c>
      <c r="AH274" s="46">
        <f t="shared" si="70"/>
        <v>4203.5714285714284</v>
      </c>
      <c r="AI274" s="46">
        <f t="shared" si="70"/>
        <v>4125.9549461312436</v>
      </c>
    </row>
    <row r="275" spans="1:35" x14ac:dyDescent="0.25">
      <c r="A275" s="11">
        <f>$A$90</f>
        <v>75</v>
      </c>
      <c r="M275" s="11"/>
      <c r="N275" s="11"/>
      <c r="O275" s="11"/>
      <c r="P275" s="46">
        <f>P$90*P$415</f>
        <v>1609.0666666666668</v>
      </c>
      <c r="Q275" s="46">
        <f t="shared" ref="Q275:AI275" si="71">Q$90*Q$415</f>
        <v>1705.3227571115974</v>
      </c>
      <c r="R275" s="46">
        <f t="shared" si="71"/>
        <v>1995.0279329608938</v>
      </c>
      <c r="S275" s="46">
        <f t="shared" si="71"/>
        <v>2045.7931034482758</v>
      </c>
      <c r="T275" s="46">
        <f t="shared" si="71"/>
        <v>2044.8033707865168</v>
      </c>
      <c r="U275" s="46">
        <f t="shared" si="71"/>
        <v>2151.3417951042611</v>
      </c>
      <c r="V275" s="46">
        <f t="shared" si="71"/>
        <v>2180.9078529278254</v>
      </c>
      <c r="W275" s="46">
        <f t="shared" si="71"/>
        <v>2297.2838964458097</v>
      </c>
      <c r="X275" s="46">
        <f t="shared" si="71"/>
        <v>2391.560495938435</v>
      </c>
      <c r="Y275" s="46">
        <f t="shared" si="71"/>
        <v>2511.4391752577321</v>
      </c>
      <c r="Z275" s="46">
        <f t="shared" si="71"/>
        <v>2631.9521912350597</v>
      </c>
      <c r="AA275" s="46">
        <f t="shared" si="71"/>
        <v>2743.4639255236616</v>
      </c>
      <c r="AB275" s="46">
        <f t="shared" si="71"/>
        <v>2846.2452687358063</v>
      </c>
      <c r="AC275" s="46">
        <f t="shared" si="71"/>
        <v>2964.7291361639827</v>
      </c>
      <c r="AD275" s="46">
        <f t="shared" si="71"/>
        <v>3110.9732016925245</v>
      </c>
      <c r="AE275" s="46">
        <f t="shared" si="71"/>
        <v>3184.7976478727082</v>
      </c>
      <c r="AF275" s="46">
        <f t="shared" si="71"/>
        <v>3371.0380165289257</v>
      </c>
      <c r="AG275" s="46">
        <f t="shared" si="71"/>
        <v>3489.4431927904729</v>
      </c>
      <c r="AH275" s="46">
        <f t="shared" si="71"/>
        <v>3569.8008220044262</v>
      </c>
      <c r="AI275" s="46">
        <f t="shared" si="71"/>
        <v>3524.0116091583363</v>
      </c>
    </row>
    <row r="276" spans="1:35" x14ac:dyDescent="0.25">
      <c r="A276" s="11">
        <f>$A$91</f>
        <v>76</v>
      </c>
      <c r="M276" s="11"/>
      <c r="N276" s="11"/>
      <c r="O276" s="11"/>
      <c r="P276" s="46">
        <f>P$91*P$416</f>
        <v>1269.20625</v>
      </c>
      <c r="Q276" s="46">
        <f t="shared" ref="Q276:AI276" si="72">Q$91*Q$416</f>
        <v>1335.251033668045</v>
      </c>
      <c r="R276" s="46">
        <f t="shared" si="72"/>
        <v>1411.3028953229398</v>
      </c>
      <c r="S276" s="46">
        <f t="shared" si="72"/>
        <v>1673.9886309805779</v>
      </c>
      <c r="T276" s="46">
        <f t="shared" si="72"/>
        <v>1735.266604303087</v>
      </c>
      <c r="U276" s="46">
        <f t="shared" si="72"/>
        <v>1736.5333333333333</v>
      </c>
      <c r="V276" s="46">
        <f t="shared" si="72"/>
        <v>1834.2857142857142</v>
      </c>
      <c r="W276" s="46">
        <f t="shared" si="72"/>
        <v>1862.9750922509224</v>
      </c>
      <c r="X276" s="46">
        <f t="shared" si="72"/>
        <v>1959.83504235399</v>
      </c>
      <c r="Y276" s="46">
        <f t="shared" si="72"/>
        <v>2034.945722970039</v>
      </c>
      <c r="Z276" s="46">
        <f t="shared" si="72"/>
        <v>2137.0938023450585</v>
      </c>
      <c r="AA276" s="46">
        <f t="shared" si="72"/>
        <v>2246.4779619894866</v>
      </c>
      <c r="AB276" s="46">
        <f t="shared" si="72"/>
        <v>2338.7716535433074</v>
      </c>
      <c r="AC276" s="46">
        <f t="shared" si="72"/>
        <v>2420.3378119001918</v>
      </c>
      <c r="AD276" s="46">
        <f t="shared" si="72"/>
        <v>2521.347438752784</v>
      </c>
      <c r="AE276" s="46">
        <f t="shared" si="72"/>
        <v>2655.5952806578475</v>
      </c>
      <c r="AF276" s="46">
        <f t="shared" si="72"/>
        <v>2712.6963534361853</v>
      </c>
      <c r="AG276" s="46">
        <f t="shared" si="72"/>
        <v>2876.0314802411253</v>
      </c>
      <c r="AH276" s="46">
        <f t="shared" si="72"/>
        <v>2975.6635148353444</v>
      </c>
      <c r="AI276" s="46">
        <f t="shared" si="72"/>
        <v>3038.4368994234464</v>
      </c>
    </row>
    <row r="277" spans="1:35" x14ac:dyDescent="0.25">
      <c r="A277" s="11">
        <f>$A$92</f>
        <v>77</v>
      </c>
      <c r="M277" s="11"/>
      <c r="N277" s="11"/>
      <c r="O277" s="11"/>
      <c r="P277" s="46">
        <f>P$92*P$417</f>
        <v>950.00000000000011</v>
      </c>
      <c r="Q277" s="46">
        <f t="shared" ref="Q277:AI277" si="73">Q$92*Q$417</f>
        <v>1058.6470963624761</v>
      </c>
      <c r="R277" s="46">
        <f t="shared" si="73"/>
        <v>1109.8795180722891</v>
      </c>
      <c r="S277" s="46">
        <f t="shared" si="73"/>
        <v>1200.3804656445202</v>
      </c>
      <c r="T277" s="46">
        <f t="shared" si="73"/>
        <v>1444.4830917874397</v>
      </c>
      <c r="U277" s="46">
        <f t="shared" si="73"/>
        <v>1496.3185503099667</v>
      </c>
      <c r="V277" s="46">
        <f t="shared" si="73"/>
        <v>1488.7530325084911</v>
      </c>
      <c r="W277" s="46">
        <f t="shared" si="73"/>
        <v>1575.9737212576256</v>
      </c>
      <c r="X277" s="46">
        <f t="shared" si="73"/>
        <v>1595.6505401596992</v>
      </c>
      <c r="Y277" s="46">
        <f t="shared" si="73"/>
        <v>1682.844827586207</v>
      </c>
      <c r="Z277" s="46">
        <f t="shared" si="73"/>
        <v>1748.5373398144056</v>
      </c>
      <c r="AA277" s="46">
        <f t="shared" si="73"/>
        <v>1830.9752981260649</v>
      </c>
      <c r="AB277" s="46">
        <f t="shared" si="73"/>
        <v>1931.1184210526314</v>
      </c>
      <c r="AC277" s="46">
        <f t="shared" si="73"/>
        <v>2002.4489795918366</v>
      </c>
      <c r="AD277" s="46">
        <f t="shared" si="73"/>
        <v>2084.4323058915334</v>
      </c>
      <c r="AE277" s="46">
        <f t="shared" si="73"/>
        <v>2165.833333333333</v>
      </c>
      <c r="AF277" s="46">
        <f t="shared" si="73"/>
        <v>2279.5642701525053</v>
      </c>
      <c r="AG277" s="46">
        <f t="shared" si="73"/>
        <v>2337.2669039145908</v>
      </c>
      <c r="AH277" s="46">
        <f t="shared" si="73"/>
        <v>2471.1594695681742</v>
      </c>
      <c r="AI277" s="46">
        <f t="shared" si="73"/>
        <v>2551.8199867637327</v>
      </c>
    </row>
    <row r="278" spans="1:35" x14ac:dyDescent="0.25">
      <c r="A278" s="11">
        <f>$A$93</f>
        <v>78</v>
      </c>
      <c r="M278" s="11"/>
      <c r="N278" s="11"/>
      <c r="O278" s="11"/>
      <c r="P278" s="46">
        <f>P$93*P$418</f>
        <v>890</v>
      </c>
      <c r="Q278" s="46">
        <f t="shared" ref="Q278:AI278" si="74">Q$93*Q$418</f>
        <v>788.84755652808167</v>
      </c>
      <c r="R278" s="46">
        <f t="shared" si="74"/>
        <v>884.19060052219322</v>
      </c>
      <c r="S278" s="46">
        <f t="shared" si="74"/>
        <v>940.0492914356131</v>
      </c>
      <c r="T278" s="46">
        <f t="shared" si="74"/>
        <v>1030.3368176538909</v>
      </c>
      <c r="U278" s="46">
        <f t="shared" si="74"/>
        <v>1234.5755182625865</v>
      </c>
      <c r="V278" s="46">
        <f t="shared" si="74"/>
        <v>1286.7023867510959</v>
      </c>
      <c r="W278" s="46">
        <f t="shared" si="74"/>
        <v>1280.0396235760277</v>
      </c>
      <c r="X278" s="46">
        <f t="shared" si="74"/>
        <v>1347.691570881226</v>
      </c>
      <c r="Y278" s="46">
        <f t="shared" si="74"/>
        <v>1377.1921418303784</v>
      </c>
      <c r="Z278" s="46">
        <f t="shared" si="74"/>
        <v>1444.8310967144839</v>
      </c>
      <c r="AA278" s="46">
        <f t="shared" si="74"/>
        <v>1501.0540540540542</v>
      </c>
      <c r="AB278" s="46">
        <f t="shared" si="74"/>
        <v>1574.3619791666667</v>
      </c>
      <c r="AC278" s="46">
        <f t="shared" si="74"/>
        <v>1654.5999162128196</v>
      </c>
      <c r="AD278" s="46">
        <f t="shared" si="74"/>
        <v>1725.5745721271394</v>
      </c>
      <c r="AE278" s="46">
        <f t="shared" si="74"/>
        <v>1786.7513899920573</v>
      </c>
      <c r="AF278" s="46">
        <f t="shared" si="74"/>
        <v>1859.8848368522072</v>
      </c>
      <c r="AG278" s="46">
        <f t="shared" si="74"/>
        <v>1953.2298595713232</v>
      </c>
      <c r="AH278" s="46">
        <f t="shared" si="74"/>
        <v>2002.4981897175958</v>
      </c>
      <c r="AI278" s="46">
        <f t="shared" si="74"/>
        <v>2115.9336099585062</v>
      </c>
    </row>
    <row r="279" spans="1:35" x14ac:dyDescent="0.25">
      <c r="A279" s="11">
        <f>$A$94</f>
        <v>79</v>
      </c>
      <c r="M279" s="11"/>
      <c r="N279" s="11"/>
      <c r="O279" s="11"/>
      <c r="P279" s="46">
        <f>P$94*P$419</f>
        <v>719.50549450549443</v>
      </c>
      <c r="Q279" s="46">
        <f t="shared" ref="Q279:AI279" si="75">Q$94*Q$419</f>
        <v>739.50534759358288</v>
      </c>
      <c r="R279" s="46">
        <f t="shared" si="75"/>
        <v>656.54191616766468</v>
      </c>
      <c r="S279" s="46">
        <f t="shared" si="75"/>
        <v>743.46952444742135</v>
      </c>
      <c r="T279" s="46">
        <f t="shared" si="75"/>
        <v>810.15170670037924</v>
      </c>
      <c r="U279" s="46">
        <f t="shared" si="75"/>
        <v>880.46428571428567</v>
      </c>
      <c r="V279" s="46">
        <f t="shared" si="75"/>
        <v>1065.7966616084977</v>
      </c>
      <c r="W279" s="46">
        <f t="shared" si="75"/>
        <v>1096.7132169576059</v>
      </c>
      <c r="X279" s="46">
        <f t="shared" si="75"/>
        <v>1101.2576064908721</v>
      </c>
      <c r="Y279" s="46">
        <f t="shared" si="75"/>
        <v>1159.7549019607843</v>
      </c>
      <c r="Z279" s="46">
        <f t="shared" si="75"/>
        <v>1178.8235294117646</v>
      </c>
      <c r="AA279" s="46">
        <f t="shared" si="75"/>
        <v>1236.7439659252248</v>
      </c>
      <c r="AB279" s="46">
        <f t="shared" si="75"/>
        <v>1283.462246777164</v>
      </c>
      <c r="AC279" s="46">
        <f t="shared" si="75"/>
        <v>1347.5654101995565</v>
      </c>
      <c r="AD279" s="46">
        <f t="shared" si="75"/>
        <v>1417.1300256629597</v>
      </c>
      <c r="AE279" s="46">
        <f t="shared" si="75"/>
        <v>1478.5809404910528</v>
      </c>
      <c r="AF279" s="46">
        <f t="shared" si="75"/>
        <v>1529.6473449533848</v>
      </c>
      <c r="AG279" s="46">
        <f t="shared" si="75"/>
        <v>1593.6075205640423</v>
      </c>
      <c r="AH279" s="46">
        <f t="shared" si="75"/>
        <v>1676.4832265359971</v>
      </c>
      <c r="AI279" s="46">
        <f t="shared" si="75"/>
        <v>1717.1207087486155</v>
      </c>
    </row>
    <row r="280" spans="1:35" x14ac:dyDescent="0.25">
      <c r="A280" s="11" t="s">
        <v>15</v>
      </c>
      <c r="M280" s="11"/>
      <c r="N280" s="11"/>
      <c r="O280" s="11"/>
      <c r="P280" s="46">
        <f>SUM(P$95:P$110)*P$420</f>
        <v>2600</v>
      </c>
      <c r="Q280" s="46">
        <f t="shared" ref="Q280:AI280" si="76">SUM(Q$95:Q$110)*Q$420</f>
        <v>2703.3674832962138</v>
      </c>
      <c r="R280" s="46">
        <f t="shared" si="76"/>
        <v>2794.9837911619179</v>
      </c>
      <c r="S280" s="46">
        <f t="shared" si="76"/>
        <v>2878.5649032472384</v>
      </c>
      <c r="T280" s="46">
        <f t="shared" si="76"/>
        <v>3160.803778720679</v>
      </c>
      <c r="U280" s="46">
        <f t="shared" si="76"/>
        <v>3345.3510728293472</v>
      </c>
      <c r="V280" s="46">
        <f t="shared" si="76"/>
        <v>3630.8003828878582</v>
      </c>
      <c r="W280" s="46">
        <f t="shared" si="76"/>
        <v>3914.2500346884972</v>
      </c>
      <c r="X280" s="46">
        <f t="shared" si="76"/>
        <v>4297.4594630079428</v>
      </c>
      <c r="Y280" s="46">
        <f t="shared" si="76"/>
        <v>4579.3513648885546</v>
      </c>
      <c r="Z280" s="46">
        <f t="shared" si="76"/>
        <v>4859.5757394681805</v>
      </c>
      <c r="AA280" s="46">
        <f t="shared" si="76"/>
        <v>5141.1427588973575</v>
      </c>
      <c r="AB280" s="46">
        <f t="shared" si="76"/>
        <v>5422.911510751801</v>
      </c>
      <c r="AC280" s="46">
        <f t="shared" si="76"/>
        <v>5705.1313216720391</v>
      </c>
      <c r="AD280" s="46">
        <f t="shared" si="76"/>
        <v>5984.9692784238059</v>
      </c>
      <c r="AE280" s="46">
        <f t="shared" si="76"/>
        <v>6265.2055061993551</v>
      </c>
      <c r="AF280" s="46">
        <f t="shared" si="76"/>
        <v>6546.3377965703539</v>
      </c>
      <c r="AG280" s="46">
        <f t="shared" si="76"/>
        <v>6828.0604853314017</v>
      </c>
      <c r="AH280" s="46">
        <f t="shared" si="76"/>
        <v>7109.9938901981322</v>
      </c>
      <c r="AI280" s="46">
        <f t="shared" si="76"/>
        <v>7490.0597090236324</v>
      </c>
    </row>
    <row r="281" spans="1:35" x14ac:dyDescent="0.25">
      <c r="A281" s="9" t="str">
        <f>$A$111</f>
        <v>Female total</v>
      </c>
      <c r="M281" s="11"/>
      <c r="N281" s="11"/>
      <c r="O281" s="11"/>
      <c r="P281" s="82">
        <f>SUM(P$215:P$280)</f>
        <v>1354993.0001880135</v>
      </c>
      <c r="Q281" s="82">
        <f t="shared" ref="Q281:AI281" si="77">SUM(Q$215:Q$280)</f>
        <v>1353998.3466967663</v>
      </c>
      <c r="R281" s="82">
        <f t="shared" si="77"/>
        <v>1351437.4404113239</v>
      </c>
      <c r="S281" s="82">
        <f t="shared" si="77"/>
        <v>1356310.6108235104</v>
      </c>
      <c r="T281" s="82">
        <f t="shared" si="77"/>
        <v>1366472.2846510496</v>
      </c>
      <c r="U281" s="82">
        <f t="shared" si="77"/>
        <v>1378633.5318568926</v>
      </c>
      <c r="V281" s="82">
        <f t="shared" si="77"/>
        <v>1393049.3147605362</v>
      </c>
      <c r="W281" s="82">
        <f t="shared" si="77"/>
        <v>1406949.5404965491</v>
      </c>
      <c r="X281" s="82">
        <f t="shared" si="77"/>
        <v>1420573.0972464413</v>
      </c>
      <c r="Y281" s="82">
        <f t="shared" si="77"/>
        <v>1433667.6609992837</v>
      </c>
      <c r="Z281" s="82">
        <f t="shared" si="77"/>
        <v>1446266.3346751311</v>
      </c>
      <c r="AA281" s="82">
        <f t="shared" si="77"/>
        <v>1458290.4375532484</v>
      </c>
      <c r="AB281" s="82">
        <f t="shared" si="77"/>
        <v>1469844.3905878293</v>
      </c>
      <c r="AC281" s="82">
        <f t="shared" si="77"/>
        <v>1480870.6604623224</v>
      </c>
      <c r="AD281" s="82">
        <f t="shared" si="77"/>
        <v>1491255.3060000122</v>
      </c>
      <c r="AE281" s="82">
        <f t="shared" si="77"/>
        <v>1501122.2546031855</v>
      </c>
      <c r="AF281" s="82">
        <f t="shared" si="77"/>
        <v>1510514.5520875726</v>
      </c>
      <c r="AG281" s="82">
        <f t="shared" si="77"/>
        <v>1519828.8808186236</v>
      </c>
      <c r="AH281" s="82">
        <f t="shared" si="77"/>
        <v>1528820.972729635</v>
      </c>
      <c r="AI281" s="82">
        <f t="shared" si="77"/>
        <v>1537790.8912637662</v>
      </c>
    </row>
    <row r="282" spans="1:35" x14ac:dyDescent="0.25">
      <c r="A282" s="9"/>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row>
    <row r="283" spans="1:35" x14ac:dyDescent="0.25">
      <c r="A283" s="9"/>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row>
    <row r="284" spans="1:35" x14ac:dyDescent="0.25">
      <c r="A284" s="9" t="s">
        <v>16</v>
      </c>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row>
    <row r="285" spans="1:35" x14ac:dyDescent="0.25">
      <c r="A285" s="11">
        <f>$A$30</f>
        <v>15</v>
      </c>
      <c r="M285" s="11"/>
      <c r="N285" s="11"/>
      <c r="O285" s="11"/>
      <c r="P285" s="46">
        <f>P$130*P$425</f>
        <v>5764.5770676691736</v>
      </c>
      <c r="Q285" s="46">
        <f t="shared" ref="Q285:AI285" si="78">Q$130*Q$425</f>
        <v>5797.4668721109401</v>
      </c>
      <c r="R285" s="46">
        <f t="shared" si="78"/>
        <v>6045.137507314219</v>
      </c>
      <c r="S285" s="46">
        <f t="shared" si="78"/>
        <v>6167.0806038165765</v>
      </c>
      <c r="T285" s="46">
        <f t="shared" si="78"/>
        <v>6207.9596412556048</v>
      </c>
      <c r="U285" s="46">
        <f t="shared" si="78"/>
        <v>6216.9615703621785</v>
      </c>
      <c r="V285" s="46">
        <f t="shared" si="78"/>
        <v>6127.4045163088931</v>
      </c>
      <c r="W285" s="46">
        <f t="shared" si="78"/>
        <v>6050.5908709045079</v>
      </c>
      <c r="X285" s="46">
        <f t="shared" si="78"/>
        <v>5966.304347826087</v>
      </c>
      <c r="Y285" s="46">
        <f t="shared" si="78"/>
        <v>5864.8031945236735</v>
      </c>
      <c r="Z285" s="46">
        <f t="shared" si="78"/>
        <v>5815.1014575593035</v>
      </c>
      <c r="AA285" s="46">
        <f t="shared" si="78"/>
        <v>5752.4336793540942</v>
      </c>
      <c r="AB285" s="46">
        <f t="shared" si="78"/>
        <v>5672.8281068524975</v>
      </c>
      <c r="AC285" s="46">
        <f t="shared" si="78"/>
        <v>5546.5678719620628</v>
      </c>
      <c r="AD285" s="46">
        <f t="shared" si="78"/>
        <v>5526.7902699495698</v>
      </c>
      <c r="AE285" s="46">
        <f t="shared" si="78"/>
        <v>5377.2603568188688</v>
      </c>
      <c r="AF285" s="46">
        <f t="shared" si="78"/>
        <v>5502.6642335766428</v>
      </c>
      <c r="AG285" s="46">
        <f t="shared" si="78"/>
        <v>5456.1126331811265</v>
      </c>
      <c r="AH285" s="46">
        <f t="shared" si="78"/>
        <v>5371.7962793534616</v>
      </c>
      <c r="AI285" s="46">
        <f t="shared" si="78"/>
        <v>5373.1131498470941</v>
      </c>
    </row>
    <row r="286" spans="1:35" x14ac:dyDescent="0.25">
      <c r="A286" s="11">
        <f>$A$31</f>
        <v>16</v>
      </c>
      <c r="M286" s="11"/>
      <c r="N286" s="11"/>
      <c r="O286" s="11"/>
      <c r="P286" s="46">
        <f>P$131*P$426</f>
        <v>10270.431275209432</v>
      </c>
      <c r="Q286" s="46">
        <f t="shared" ref="Q286:AI286" si="79">Q$131*Q$426</f>
        <v>10157.283526101908</v>
      </c>
      <c r="R286" s="46">
        <f t="shared" si="79"/>
        <v>10279.331698344575</v>
      </c>
      <c r="S286" s="46">
        <f t="shared" si="79"/>
        <v>10818.95930232558</v>
      </c>
      <c r="T286" s="46">
        <f t="shared" si="79"/>
        <v>11107.034949267192</v>
      </c>
      <c r="U286" s="46">
        <f t="shared" si="79"/>
        <v>11254.59234608985</v>
      </c>
      <c r="V286" s="46">
        <f t="shared" si="79"/>
        <v>11343.459222769567</v>
      </c>
      <c r="W286" s="46">
        <f t="shared" si="79"/>
        <v>11220.606896551724</v>
      </c>
      <c r="X286" s="46">
        <f t="shared" si="79"/>
        <v>11112.84289276808</v>
      </c>
      <c r="Y286" s="46">
        <f t="shared" si="79"/>
        <v>11012.383347303716</v>
      </c>
      <c r="Z286" s="46">
        <f t="shared" si="79"/>
        <v>10860.880361173815</v>
      </c>
      <c r="AA286" s="46">
        <f t="shared" si="79"/>
        <v>10802.471719457013</v>
      </c>
      <c r="AB286" s="46">
        <f t="shared" si="79"/>
        <v>10710.738733599543</v>
      </c>
      <c r="AC286" s="46">
        <f t="shared" si="79"/>
        <v>10605.49109707065</v>
      </c>
      <c r="AD286" s="46">
        <f t="shared" si="79"/>
        <v>10403.430079155674</v>
      </c>
      <c r="AE286" s="46">
        <f t="shared" si="79"/>
        <v>10380.513347022586</v>
      </c>
      <c r="AF286" s="46">
        <f t="shared" si="79"/>
        <v>10130.642750373692</v>
      </c>
      <c r="AG286" s="46">
        <f t="shared" si="79"/>
        <v>10389.939867708959</v>
      </c>
      <c r="AH286" s="46">
        <f t="shared" si="79"/>
        <v>10320.610893770689</v>
      </c>
      <c r="AI286" s="46">
        <f t="shared" si="79"/>
        <v>10189.207114862827</v>
      </c>
    </row>
    <row r="287" spans="1:35" x14ac:dyDescent="0.25">
      <c r="A287" s="11">
        <f>$A$32</f>
        <v>17</v>
      </c>
      <c r="M287" s="11"/>
      <c r="N287" s="11"/>
      <c r="O287" s="11"/>
      <c r="P287" s="46">
        <f>P$132*P$427</f>
        <v>15385.823872353483</v>
      </c>
      <c r="Q287" s="46">
        <f t="shared" ref="Q287:AI287" si="80">Q$132*Q$427</f>
        <v>15178.681522748377</v>
      </c>
      <c r="R287" s="46">
        <f t="shared" si="80"/>
        <v>15081.061452513966</v>
      </c>
      <c r="S287" s="46">
        <f t="shared" si="80"/>
        <v>15410.009113001215</v>
      </c>
      <c r="T287" s="46">
        <f t="shared" si="80"/>
        <v>16287.817869415807</v>
      </c>
      <c r="U287" s="46">
        <f t="shared" si="80"/>
        <v>16782.091666666667</v>
      </c>
      <c r="V287" s="46">
        <f t="shared" si="80"/>
        <v>17065.009570686354</v>
      </c>
      <c r="W287" s="46">
        <f t="shared" si="80"/>
        <v>17223.596869940637</v>
      </c>
      <c r="X287" s="46">
        <f t="shared" si="80"/>
        <v>17073.667029379762</v>
      </c>
      <c r="Y287" s="46">
        <f t="shared" si="80"/>
        <v>16941.704918032789</v>
      </c>
      <c r="Z287" s="46">
        <f t="shared" si="80"/>
        <v>16801.189754888459</v>
      </c>
      <c r="AA287" s="46">
        <f t="shared" si="80"/>
        <v>16593.296244784422</v>
      </c>
      <c r="AB287" s="46">
        <f t="shared" si="80"/>
        <v>16510.850055741361</v>
      </c>
      <c r="AC287" s="46">
        <f t="shared" si="80"/>
        <v>16412.195670508856</v>
      </c>
      <c r="AD287" s="46">
        <f t="shared" si="80"/>
        <v>16254.44381545429</v>
      </c>
      <c r="AE287" s="46">
        <f t="shared" si="80"/>
        <v>15961.732601790354</v>
      </c>
      <c r="AF287" s="46">
        <f t="shared" si="80"/>
        <v>15941.791907514451</v>
      </c>
      <c r="AG287" s="46">
        <f t="shared" si="80"/>
        <v>15576.118963486453</v>
      </c>
      <c r="AH287" s="46">
        <f t="shared" si="80"/>
        <v>15974.21551213736</v>
      </c>
      <c r="AI287" s="46">
        <f t="shared" si="80"/>
        <v>15879.774814814815</v>
      </c>
    </row>
    <row r="288" spans="1:35" x14ac:dyDescent="0.25">
      <c r="A288" s="11">
        <f>$A$33</f>
        <v>18</v>
      </c>
      <c r="M288" s="11"/>
      <c r="N288" s="11"/>
      <c r="O288" s="11"/>
      <c r="P288" s="46">
        <f>P$133*P$428</f>
        <v>20940</v>
      </c>
      <c r="Q288" s="46">
        <f t="shared" ref="Q288:AI288" si="81">Q$133*Q$428</f>
        <v>20831.520342612421</v>
      </c>
      <c r="R288" s="46">
        <f t="shared" si="81"/>
        <v>20669.080600674228</v>
      </c>
      <c r="S288" s="46">
        <f t="shared" si="81"/>
        <v>20746.59418070444</v>
      </c>
      <c r="T288" s="46">
        <f t="shared" si="81"/>
        <v>21293.776722090264</v>
      </c>
      <c r="U288" s="46">
        <f t="shared" si="81"/>
        <v>22589.697224558451</v>
      </c>
      <c r="V288" s="46">
        <f t="shared" si="81"/>
        <v>23372.802721088436</v>
      </c>
      <c r="W288" s="46">
        <f t="shared" si="81"/>
        <v>23771.500133940532</v>
      </c>
      <c r="X288" s="46">
        <f t="shared" si="81"/>
        <v>24013.758265009255</v>
      </c>
      <c r="Y288" s="46">
        <f t="shared" si="81"/>
        <v>23817.377398720684</v>
      </c>
      <c r="Z288" s="46">
        <f t="shared" si="81"/>
        <v>23633.394004282654</v>
      </c>
      <c r="AA288" s="46">
        <f t="shared" si="81"/>
        <v>23462.702994335039</v>
      </c>
      <c r="AB288" s="46">
        <f t="shared" si="81"/>
        <v>23177.921547262325</v>
      </c>
      <c r="AC288" s="46">
        <f t="shared" si="81"/>
        <v>23089.51965065502</v>
      </c>
      <c r="AD288" s="46">
        <f t="shared" si="81"/>
        <v>22953.674649050372</v>
      </c>
      <c r="AE288" s="46">
        <f t="shared" si="81"/>
        <v>22761.706844001106</v>
      </c>
      <c r="AF288" s="46">
        <f t="shared" si="81"/>
        <v>22353.16191014411</v>
      </c>
      <c r="AG288" s="46">
        <f t="shared" si="81"/>
        <v>22333.173076923078</v>
      </c>
      <c r="AH288" s="46">
        <f t="shared" si="81"/>
        <v>21839.979844514826</v>
      </c>
      <c r="AI288" s="46">
        <f t="shared" si="81"/>
        <v>22399.096699478865</v>
      </c>
    </row>
    <row r="289" spans="1:35" x14ac:dyDescent="0.25">
      <c r="A289" s="11">
        <f>$A$34</f>
        <v>19</v>
      </c>
      <c r="M289" s="11"/>
      <c r="N289" s="11"/>
      <c r="O289" s="11"/>
      <c r="P289" s="46">
        <f>P$134*P$429</f>
        <v>24431.519247722597</v>
      </c>
      <c r="Q289" s="46">
        <f t="shared" ref="Q289:AI289" si="82">Q$134*Q$429</f>
        <v>23070.316339066339</v>
      </c>
      <c r="R289" s="46">
        <f t="shared" si="82"/>
        <v>23114.919866948894</v>
      </c>
      <c r="S289" s="46">
        <f t="shared" si="82"/>
        <v>23124.855247285886</v>
      </c>
      <c r="T289" s="46">
        <f t="shared" si="82"/>
        <v>23321.787310098302</v>
      </c>
      <c r="U289" s="46">
        <f t="shared" si="82"/>
        <v>24037.48482220295</v>
      </c>
      <c r="V289" s="46">
        <f t="shared" si="82"/>
        <v>25579.641978682703</v>
      </c>
      <c r="W289" s="46">
        <f t="shared" si="82"/>
        <v>26464.321741438813</v>
      </c>
      <c r="X289" s="46">
        <f t="shared" si="82"/>
        <v>26917.264644351464</v>
      </c>
      <c r="Y289" s="46">
        <f t="shared" si="82"/>
        <v>27185.853343661245</v>
      </c>
      <c r="Z289" s="46">
        <f t="shared" si="82"/>
        <v>26975.758521988031</v>
      </c>
      <c r="AA289" s="46">
        <f t="shared" si="82"/>
        <v>26791.429318003658</v>
      </c>
      <c r="AB289" s="46">
        <f t="shared" si="82"/>
        <v>26602.959452343337</v>
      </c>
      <c r="AC289" s="46">
        <f t="shared" si="82"/>
        <v>26285.912835503586</v>
      </c>
      <c r="AD289" s="46">
        <f t="shared" si="82"/>
        <v>26190.199733688416</v>
      </c>
      <c r="AE289" s="46">
        <f t="shared" si="82"/>
        <v>26034.724832214764</v>
      </c>
      <c r="AF289" s="46">
        <f t="shared" si="82"/>
        <v>25821.756282085924</v>
      </c>
      <c r="AG289" s="46">
        <f t="shared" si="82"/>
        <v>25378.975488846048</v>
      </c>
      <c r="AH289" s="46">
        <f t="shared" si="82"/>
        <v>25356.325799338476</v>
      </c>
      <c r="AI289" s="46">
        <f t="shared" si="82"/>
        <v>24813.131313131315</v>
      </c>
    </row>
    <row r="290" spans="1:35" x14ac:dyDescent="0.25">
      <c r="A290" s="11">
        <f>$A$35</f>
        <v>20</v>
      </c>
      <c r="M290" s="11"/>
      <c r="N290" s="11"/>
      <c r="O290" s="11"/>
      <c r="P290" s="46">
        <f>P$135*P$430</f>
        <v>25372.671094426798</v>
      </c>
      <c r="Q290" s="46">
        <f t="shared" ref="Q290:AI290" si="83">Q$135*Q$430</f>
        <v>24647.019089574154</v>
      </c>
      <c r="R290" s="46">
        <f t="shared" si="83"/>
        <v>23526.429661275557</v>
      </c>
      <c r="S290" s="46">
        <f t="shared" si="83"/>
        <v>23651.363500149837</v>
      </c>
      <c r="T290" s="46">
        <f t="shared" si="83"/>
        <v>23782.765388046388</v>
      </c>
      <c r="U290" s="46">
        <f t="shared" si="83"/>
        <v>24087.77027027027</v>
      </c>
      <c r="V290" s="46">
        <f t="shared" si="83"/>
        <v>24933.105218135159</v>
      </c>
      <c r="W290" s="46">
        <f t="shared" si="83"/>
        <v>26517.522935779816</v>
      </c>
      <c r="X290" s="46">
        <f t="shared" si="83"/>
        <v>27424.711588883063</v>
      </c>
      <c r="Y290" s="46">
        <f t="shared" si="83"/>
        <v>27895.931283905968</v>
      </c>
      <c r="Z290" s="46">
        <f t="shared" si="83"/>
        <v>28182.673469387755</v>
      </c>
      <c r="AA290" s="46">
        <f t="shared" si="83"/>
        <v>27955.492161398099</v>
      </c>
      <c r="AB290" s="46">
        <f t="shared" si="83"/>
        <v>27762.332903225804</v>
      </c>
      <c r="AC290" s="46">
        <f t="shared" si="83"/>
        <v>27574.248569942796</v>
      </c>
      <c r="AD290" s="46">
        <f t="shared" si="83"/>
        <v>27270.236220472441</v>
      </c>
      <c r="AE290" s="46">
        <f t="shared" si="83"/>
        <v>27168.945569287403</v>
      </c>
      <c r="AF290" s="46">
        <f t="shared" si="83"/>
        <v>27019.565217391304</v>
      </c>
      <c r="AG290" s="46">
        <f t="shared" si="83"/>
        <v>26805.496264674493</v>
      </c>
      <c r="AH290" s="46">
        <f t="shared" si="83"/>
        <v>26337.086164718672</v>
      </c>
      <c r="AI290" s="46">
        <f t="shared" si="83"/>
        <v>26317.042981501632</v>
      </c>
    </row>
    <row r="291" spans="1:35" x14ac:dyDescent="0.25">
      <c r="A291" s="11">
        <f>$A$36</f>
        <v>21</v>
      </c>
      <c r="M291" s="11"/>
      <c r="N291" s="11"/>
      <c r="O291" s="11"/>
      <c r="P291" s="46">
        <f>P$136*P$431</f>
        <v>26312.256546042954</v>
      </c>
      <c r="Q291" s="46">
        <f t="shared" ref="Q291:AI291" si="84">Q$136*Q$431</f>
        <v>26509.025729979763</v>
      </c>
      <c r="R291" s="46">
        <f t="shared" si="84"/>
        <v>25990.945827232794</v>
      </c>
      <c r="S291" s="46">
        <f t="shared" si="84"/>
        <v>24704.828528072838</v>
      </c>
      <c r="T291" s="46">
        <f t="shared" si="84"/>
        <v>24956.602985074627</v>
      </c>
      <c r="U291" s="46">
        <f t="shared" si="84"/>
        <v>25210.853080568722</v>
      </c>
      <c r="V291" s="46">
        <f t="shared" si="84"/>
        <v>25662.405618964003</v>
      </c>
      <c r="W291" s="46">
        <f t="shared" si="84"/>
        <v>26560.812730889458</v>
      </c>
      <c r="X291" s="46">
        <f t="shared" si="84"/>
        <v>28232.624361387469</v>
      </c>
      <c r="Y291" s="46">
        <f t="shared" si="84"/>
        <v>29188.685654559707</v>
      </c>
      <c r="Z291" s="46">
        <f t="shared" si="84"/>
        <v>29682.899073120494</v>
      </c>
      <c r="AA291" s="46">
        <f t="shared" si="84"/>
        <v>29985.469107551486</v>
      </c>
      <c r="AB291" s="46">
        <f t="shared" si="84"/>
        <v>29755.434281322061</v>
      </c>
      <c r="AC291" s="46">
        <f t="shared" si="84"/>
        <v>29565.68047337278</v>
      </c>
      <c r="AD291" s="46">
        <f t="shared" si="84"/>
        <v>29368.833592534993</v>
      </c>
      <c r="AE291" s="46">
        <f t="shared" si="84"/>
        <v>29027.046821867643</v>
      </c>
      <c r="AF291" s="46">
        <f t="shared" si="84"/>
        <v>28930.503144654089</v>
      </c>
      <c r="AG291" s="46">
        <f t="shared" si="84"/>
        <v>28767.939233817699</v>
      </c>
      <c r="AH291" s="46">
        <f t="shared" si="84"/>
        <v>28549.10396171231</v>
      </c>
      <c r="AI291" s="46">
        <f t="shared" si="84"/>
        <v>28063.423618634886</v>
      </c>
    </row>
    <row r="292" spans="1:35" x14ac:dyDescent="0.25">
      <c r="A292" s="11">
        <f>$A$37</f>
        <v>22</v>
      </c>
      <c r="M292" s="11"/>
      <c r="N292" s="11"/>
      <c r="O292" s="11"/>
      <c r="P292" s="46">
        <f>P$137*P$432</f>
        <v>28888.227920227921</v>
      </c>
      <c r="Q292" s="46">
        <f t="shared" ref="Q292:AI292" si="85">Q$137*Q$432</f>
        <v>27607.40129640542</v>
      </c>
      <c r="R292" s="46">
        <f t="shared" si="85"/>
        <v>28064.567723342938</v>
      </c>
      <c r="S292" s="46">
        <f t="shared" si="85"/>
        <v>27345.07862550961</v>
      </c>
      <c r="T292" s="46">
        <f t="shared" si="85"/>
        <v>26113.363636363636</v>
      </c>
      <c r="U292" s="46">
        <f t="shared" si="85"/>
        <v>26507.574493444579</v>
      </c>
      <c r="V292" s="46">
        <f t="shared" si="85"/>
        <v>26906.92489651094</v>
      </c>
      <c r="W292" s="46">
        <f t="shared" si="85"/>
        <v>27394.916739702014</v>
      </c>
      <c r="X292" s="46">
        <f t="shared" si="85"/>
        <v>28341.843971631206</v>
      </c>
      <c r="Y292" s="46">
        <f t="shared" si="85"/>
        <v>30129.881847475834</v>
      </c>
      <c r="Z292" s="46">
        <f t="shared" si="85"/>
        <v>31141.628392484341</v>
      </c>
      <c r="AA292" s="46">
        <f t="shared" si="85"/>
        <v>31670.866546670095</v>
      </c>
      <c r="AB292" s="46">
        <f t="shared" si="85"/>
        <v>31988.623666835956</v>
      </c>
      <c r="AC292" s="46">
        <f t="shared" si="85"/>
        <v>31740.414428242519</v>
      </c>
      <c r="AD292" s="46">
        <f t="shared" si="85"/>
        <v>31536.34472129463</v>
      </c>
      <c r="AE292" s="46">
        <f t="shared" si="85"/>
        <v>31321.048136645964</v>
      </c>
      <c r="AF292" s="46">
        <f t="shared" si="85"/>
        <v>30973.491773308961</v>
      </c>
      <c r="AG292" s="46">
        <f t="shared" si="85"/>
        <v>30864.025124313008</v>
      </c>
      <c r="AH292" s="46">
        <f t="shared" si="85"/>
        <v>30696.357161698757</v>
      </c>
      <c r="AI292" s="46">
        <f t="shared" si="85"/>
        <v>30447.037430315901</v>
      </c>
    </row>
    <row r="293" spans="1:35" x14ac:dyDescent="0.25">
      <c r="A293" s="11">
        <f>$A$38</f>
        <v>23</v>
      </c>
      <c r="M293" s="11"/>
      <c r="N293" s="11"/>
      <c r="O293" s="11"/>
      <c r="P293" s="46">
        <f>P$138*P$433</f>
        <v>30637.651044607566</v>
      </c>
      <c r="Q293" s="46">
        <f t="shared" ref="Q293:AI293" si="86">Q$138*Q$433</f>
        <v>29857.670568084501</v>
      </c>
      <c r="R293" s="46">
        <f t="shared" si="86"/>
        <v>28741.679389312976</v>
      </c>
      <c r="S293" s="46">
        <f t="shared" si="86"/>
        <v>29093.279862503579</v>
      </c>
      <c r="T293" s="46">
        <f t="shared" si="86"/>
        <v>28485.023228803715</v>
      </c>
      <c r="U293" s="46">
        <f t="shared" si="86"/>
        <v>27343.395770392748</v>
      </c>
      <c r="V293" s="46">
        <f t="shared" si="86"/>
        <v>27901.176470588238</v>
      </c>
      <c r="W293" s="46">
        <f t="shared" si="86"/>
        <v>28328.372641509435</v>
      </c>
      <c r="X293" s="46">
        <f t="shared" si="86"/>
        <v>28833.513986013986</v>
      </c>
      <c r="Y293" s="46">
        <f t="shared" si="86"/>
        <v>29835.643564356436</v>
      </c>
      <c r="Z293" s="46">
        <f t="shared" si="86"/>
        <v>31692.431708623459</v>
      </c>
      <c r="AA293" s="46">
        <f t="shared" si="86"/>
        <v>32760.468505986464</v>
      </c>
      <c r="AB293" s="46">
        <f t="shared" si="86"/>
        <v>33320.769428058476</v>
      </c>
      <c r="AC293" s="46">
        <f t="shared" si="86"/>
        <v>33645.896656534955</v>
      </c>
      <c r="AD293" s="46">
        <f t="shared" si="86"/>
        <v>33395.894360806327</v>
      </c>
      <c r="AE293" s="46">
        <f t="shared" si="86"/>
        <v>33178.278247501919</v>
      </c>
      <c r="AF293" s="46">
        <f t="shared" si="86"/>
        <v>32945.52916881776</v>
      </c>
      <c r="AG293" s="46">
        <f t="shared" si="86"/>
        <v>32585.110705912997</v>
      </c>
      <c r="AH293" s="46">
        <f t="shared" si="86"/>
        <v>32481.816758026624</v>
      </c>
      <c r="AI293" s="46">
        <f t="shared" si="86"/>
        <v>32289.652722967643</v>
      </c>
    </row>
    <row r="294" spans="1:35" x14ac:dyDescent="0.25">
      <c r="A294" s="11">
        <f>$A$39</f>
        <v>24</v>
      </c>
      <c r="M294" s="11"/>
      <c r="N294" s="11"/>
      <c r="O294" s="11"/>
      <c r="P294" s="46">
        <f>P$139*P$434</f>
        <v>33220.785482123509</v>
      </c>
      <c r="Q294" s="46">
        <f t="shared" ref="Q294:AI294" si="87">Q$139*Q$434</f>
        <v>31350.984998584772</v>
      </c>
      <c r="R294" s="46">
        <f t="shared" si="87"/>
        <v>30854.85046995158</v>
      </c>
      <c r="S294" s="46">
        <f t="shared" si="87"/>
        <v>29552.317358270018</v>
      </c>
      <c r="T294" s="46">
        <f t="shared" si="87"/>
        <v>30059.550786838343</v>
      </c>
      <c r="U294" s="46">
        <f t="shared" si="87"/>
        <v>29585.614849187936</v>
      </c>
      <c r="V294" s="46">
        <f t="shared" si="87"/>
        <v>28556.050090525045</v>
      </c>
      <c r="W294" s="46">
        <f t="shared" si="87"/>
        <v>29127.311572700299</v>
      </c>
      <c r="X294" s="46">
        <f t="shared" si="87"/>
        <v>29573.498233215549</v>
      </c>
      <c r="Y294" s="46">
        <f t="shared" si="87"/>
        <v>30105.004364271168</v>
      </c>
      <c r="Z294" s="46">
        <f t="shared" si="87"/>
        <v>31140.774230008479</v>
      </c>
      <c r="AA294" s="46">
        <f t="shared" si="87"/>
        <v>33083.279828785446</v>
      </c>
      <c r="AB294" s="46">
        <f t="shared" si="87"/>
        <v>34196.879875195009</v>
      </c>
      <c r="AC294" s="46">
        <f t="shared" si="87"/>
        <v>34760.745580322829</v>
      </c>
      <c r="AD294" s="46">
        <f t="shared" si="87"/>
        <v>35110.991902834008</v>
      </c>
      <c r="AE294" s="46">
        <f t="shared" si="87"/>
        <v>34842.013764975782</v>
      </c>
      <c r="AF294" s="46">
        <f t="shared" si="87"/>
        <v>34611.318146915793</v>
      </c>
      <c r="AG294" s="46">
        <f t="shared" si="87"/>
        <v>34388.115007735949</v>
      </c>
      <c r="AH294" s="46">
        <f t="shared" si="87"/>
        <v>34005.362997658078</v>
      </c>
      <c r="AI294" s="46">
        <f t="shared" si="87"/>
        <v>33891.470281543276</v>
      </c>
    </row>
    <row r="295" spans="1:35" x14ac:dyDescent="0.25">
      <c r="A295" s="11">
        <f>$A$40</f>
        <v>25</v>
      </c>
      <c r="M295" s="11"/>
      <c r="N295" s="11"/>
      <c r="O295" s="11"/>
      <c r="P295" s="46">
        <f>P$140*P$435</f>
        <v>34126.396468699837</v>
      </c>
      <c r="Q295" s="46">
        <f t="shared" ref="Q295:AI295" si="88">Q$140*Q$435</f>
        <v>33124.479760934526</v>
      </c>
      <c r="R295" s="46">
        <f t="shared" si="88"/>
        <v>31469.663556686457</v>
      </c>
      <c r="S295" s="46">
        <f t="shared" si="88"/>
        <v>30921.691259931897</v>
      </c>
      <c r="T295" s="46">
        <f t="shared" si="88"/>
        <v>29745.454545454544</v>
      </c>
      <c r="U295" s="46">
        <f t="shared" si="88"/>
        <v>30406.071326676178</v>
      </c>
      <c r="V295" s="46">
        <f t="shared" si="88"/>
        <v>30067.113938692884</v>
      </c>
      <c r="W295" s="46">
        <f t="shared" si="88"/>
        <v>29020.436221419975</v>
      </c>
      <c r="X295" s="46">
        <f t="shared" si="88"/>
        <v>29611.718934911241</v>
      </c>
      <c r="Y295" s="46">
        <f t="shared" si="88"/>
        <v>30060.722254844393</v>
      </c>
      <c r="Z295" s="46">
        <f t="shared" si="88"/>
        <v>30594.458949811429</v>
      </c>
      <c r="AA295" s="46">
        <f t="shared" si="88"/>
        <v>31642.603550295858</v>
      </c>
      <c r="AB295" s="46">
        <f t="shared" si="88"/>
        <v>33607.171824973317</v>
      </c>
      <c r="AC295" s="46">
        <f t="shared" si="88"/>
        <v>34732.67634854772</v>
      </c>
      <c r="AD295" s="46">
        <f t="shared" si="88"/>
        <v>35316.309736774849</v>
      </c>
      <c r="AE295" s="46">
        <f t="shared" si="88"/>
        <v>35665.436648157498</v>
      </c>
      <c r="AF295" s="46">
        <f t="shared" si="88"/>
        <v>35396.308161708621</v>
      </c>
      <c r="AG295" s="46">
        <f t="shared" si="88"/>
        <v>35164.53408220577</v>
      </c>
      <c r="AH295" s="46">
        <f t="shared" si="88"/>
        <v>34931.764403292182</v>
      </c>
      <c r="AI295" s="46">
        <f t="shared" si="88"/>
        <v>34548.144303140412</v>
      </c>
    </row>
    <row r="296" spans="1:35" x14ac:dyDescent="0.25">
      <c r="A296" s="11">
        <f>$A$41</f>
        <v>26</v>
      </c>
      <c r="M296" s="11"/>
      <c r="N296" s="11"/>
      <c r="O296" s="11"/>
      <c r="P296" s="46">
        <f>P$141*P$436</f>
        <v>34773.439153439154</v>
      </c>
      <c r="Q296" s="46">
        <f t="shared" ref="Q296:AI296" si="89">Q$141*Q$436</f>
        <v>33832.850241545893</v>
      </c>
      <c r="R296" s="46">
        <f t="shared" si="89"/>
        <v>32984.824966078697</v>
      </c>
      <c r="S296" s="46">
        <f t="shared" si="89"/>
        <v>31470.005633802815</v>
      </c>
      <c r="T296" s="46">
        <f t="shared" si="89"/>
        <v>31064.66063348416</v>
      </c>
      <c r="U296" s="46">
        <f t="shared" si="89"/>
        <v>30004.580551523948</v>
      </c>
      <c r="V296" s="46">
        <f t="shared" si="89"/>
        <v>30812.259806708356</v>
      </c>
      <c r="W296" s="46">
        <f t="shared" si="89"/>
        <v>30473.984442523768</v>
      </c>
      <c r="X296" s="46">
        <f t="shared" si="89"/>
        <v>29409.994008388254</v>
      </c>
      <c r="Y296" s="46">
        <f t="shared" si="89"/>
        <v>30020.778072502213</v>
      </c>
      <c r="Z296" s="46">
        <f t="shared" si="89"/>
        <v>30471.895291020766</v>
      </c>
      <c r="AA296" s="46">
        <f t="shared" si="89"/>
        <v>30998.127167630057</v>
      </c>
      <c r="AB296" s="46">
        <f t="shared" si="89"/>
        <v>32066.56372824256</v>
      </c>
      <c r="AC296" s="46">
        <f t="shared" si="89"/>
        <v>34042.722680138264</v>
      </c>
      <c r="AD296" s="46">
        <f t="shared" si="89"/>
        <v>35179.589041095889</v>
      </c>
      <c r="AE296" s="46">
        <f t="shared" si="89"/>
        <v>35764.605196128374</v>
      </c>
      <c r="AF296" s="46">
        <f t="shared" si="89"/>
        <v>36122.805031446536</v>
      </c>
      <c r="AG296" s="46">
        <f t="shared" si="89"/>
        <v>35843.664470349722</v>
      </c>
      <c r="AH296" s="46">
        <f t="shared" si="89"/>
        <v>35630.147582697202</v>
      </c>
      <c r="AI296" s="46">
        <f t="shared" si="89"/>
        <v>35387.733914380929</v>
      </c>
    </row>
    <row r="297" spans="1:35" x14ac:dyDescent="0.25">
      <c r="A297" s="11">
        <f>$A$42</f>
        <v>27</v>
      </c>
      <c r="M297" s="11"/>
      <c r="N297" s="11"/>
      <c r="O297" s="11"/>
      <c r="P297" s="46">
        <f>P$142*P$437</f>
        <v>36631.832235174857</v>
      </c>
      <c r="Q297" s="46">
        <f t="shared" ref="Q297:AI297" si="90">Q$142*Q$437</f>
        <v>34508.988585080966</v>
      </c>
      <c r="R297" s="46">
        <f t="shared" si="90"/>
        <v>33667.113733905579</v>
      </c>
      <c r="S297" s="46">
        <f t="shared" si="90"/>
        <v>33061.234434217651</v>
      </c>
      <c r="T297" s="46">
        <f t="shared" si="90"/>
        <v>31646.386861313869</v>
      </c>
      <c r="U297" s="46">
        <f t="shared" si="90"/>
        <v>31359.763313609466</v>
      </c>
      <c r="V297" s="46">
        <f t="shared" si="90"/>
        <v>30426.836321573166</v>
      </c>
      <c r="W297" s="46">
        <f t="shared" si="90"/>
        <v>31236.193712829227</v>
      </c>
      <c r="X297" s="46">
        <f t="shared" si="90"/>
        <v>30907.792766934559</v>
      </c>
      <c r="Y297" s="46">
        <f t="shared" si="90"/>
        <v>29825.493882423158</v>
      </c>
      <c r="Z297" s="46">
        <f t="shared" si="90"/>
        <v>30446.908396946565</v>
      </c>
      <c r="AA297" s="46">
        <f t="shared" si="90"/>
        <v>30899.842657342659</v>
      </c>
      <c r="AB297" s="46">
        <f t="shared" si="90"/>
        <v>31437.201266916214</v>
      </c>
      <c r="AC297" s="46">
        <f t="shared" si="90"/>
        <v>32506.875524475527</v>
      </c>
      <c r="AD297" s="46">
        <f t="shared" si="90"/>
        <v>34504.250132485424</v>
      </c>
      <c r="AE297" s="46">
        <f t="shared" si="90"/>
        <v>35643.078310149409</v>
      </c>
      <c r="AF297" s="46">
        <f t="shared" si="90"/>
        <v>36237.852246763141</v>
      </c>
      <c r="AG297" s="46">
        <f t="shared" si="90"/>
        <v>36595.320962888669</v>
      </c>
      <c r="AH297" s="46">
        <f t="shared" si="90"/>
        <v>36316.079818135891</v>
      </c>
      <c r="AI297" s="46">
        <f t="shared" si="90"/>
        <v>36092.695916814606</v>
      </c>
    </row>
    <row r="298" spans="1:35" x14ac:dyDescent="0.25">
      <c r="A298" s="11">
        <f>$A$43</f>
        <v>28</v>
      </c>
      <c r="M298" s="11"/>
      <c r="N298" s="11"/>
      <c r="O298" s="11"/>
      <c r="P298" s="46">
        <f>P$143*P$438</f>
        <v>37660.474298485227</v>
      </c>
      <c r="Q298" s="46">
        <f t="shared" ref="Q298:AI298" si="91">Q$143*Q$438</f>
        <v>36304.537131230929</v>
      </c>
      <c r="R298" s="46">
        <f t="shared" si="91"/>
        <v>34318.854111405832</v>
      </c>
      <c r="S298" s="46">
        <f t="shared" si="91"/>
        <v>33777.086677367573</v>
      </c>
      <c r="T298" s="46">
        <f t="shared" si="91"/>
        <v>33269.768630616083</v>
      </c>
      <c r="U298" s="46">
        <f t="shared" si="91"/>
        <v>31974.560669456067</v>
      </c>
      <c r="V298" s="46">
        <f t="shared" si="91"/>
        <v>31826.562150055994</v>
      </c>
      <c r="W298" s="46">
        <f t="shared" si="91"/>
        <v>30892.37068965517</v>
      </c>
      <c r="X298" s="46">
        <f t="shared" si="91"/>
        <v>31712.167182662539</v>
      </c>
      <c r="Y298" s="46">
        <f t="shared" si="91"/>
        <v>31366.090675791274</v>
      </c>
      <c r="Z298" s="46">
        <f t="shared" si="91"/>
        <v>30284.211618257261</v>
      </c>
      <c r="AA298" s="46">
        <f t="shared" si="91"/>
        <v>30897.112860892386</v>
      </c>
      <c r="AB298" s="46">
        <f t="shared" si="91"/>
        <v>31351.476121562951</v>
      </c>
      <c r="AC298" s="46">
        <f t="shared" si="91"/>
        <v>31899.221967963385</v>
      </c>
      <c r="AD298" s="46">
        <f t="shared" si="91"/>
        <v>32980.175097276267</v>
      </c>
      <c r="AE298" s="46">
        <f t="shared" si="91"/>
        <v>34988.648933368451</v>
      </c>
      <c r="AF298" s="46">
        <f t="shared" si="91"/>
        <v>36147.033811475412</v>
      </c>
      <c r="AG298" s="46">
        <f t="shared" si="91"/>
        <v>36723.679959616355</v>
      </c>
      <c r="AH298" s="46">
        <f t="shared" si="91"/>
        <v>37099.743142144638</v>
      </c>
      <c r="AI298" s="46">
        <f t="shared" si="91"/>
        <v>36829.741271037426</v>
      </c>
    </row>
    <row r="299" spans="1:35" x14ac:dyDescent="0.25">
      <c r="A299" s="11">
        <f>$A$44</f>
        <v>29</v>
      </c>
      <c r="M299" s="11"/>
      <c r="N299" s="11"/>
      <c r="O299" s="11"/>
      <c r="P299" s="46">
        <f>P$144*P$439</f>
        <v>37985.589325426241</v>
      </c>
      <c r="Q299" s="46">
        <f t="shared" ref="Q299:AI299" si="92">Q$144*Q$439</f>
        <v>37395.179282868521</v>
      </c>
      <c r="R299" s="46">
        <f t="shared" si="92"/>
        <v>35935.725888324872</v>
      </c>
      <c r="S299" s="46">
        <f t="shared" si="92"/>
        <v>34468.159493002378</v>
      </c>
      <c r="T299" s="46">
        <f t="shared" si="92"/>
        <v>34032.336596983332</v>
      </c>
      <c r="U299" s="46">
        <f t="shared" si="92"/>
        <v>33663.454884216131</v>
      </c>
      <c r="V299" s="46">
        <f t="shared" si="92"/>
        <v>32489.376551724141</v>
      </c>
      <c r="W299" s="46">
        <f t="shared" si="92"/>
        <v>32322.259136212626</v>
      </c>
      <c r="X299" s="46">
        <f t="shared" si="92"/>
        <v>31378.301618858277</v>
      </c>
      <c r="Y299" s="46">
        <f t="shared" si="92"/>
        <v>32199.162493043961</v>
      </c>
      <c r="Z299" s="46">
        <f t="shared" si="92"/>
        <v>31852.833380321401</v>
      </c>
      <c r="AA299" s="46">
        <f t="shared" si="92"/>
        <v>30781.23901581722</v>
      </c>
      <c r="AB299" s="46">
        <f t="shared" si="92"/>
        <v>31404.153934851543</v>
      </c>
      <c r="AC299" s="46">
        <f t="shared" si="92"/>
        <v>31859.799713876968</v>
      </c>
      <c r="AD299" s="46">
        <f t="shared" si="92"/>
        <v>32399.191176470587</v>
      </c>
      <c r="AE299" s="46">
        <f t="shared" si="92"/>
        <v>33481.082715031604</v>
      </c>
      <c r="AF299" s="46">
        <f t="shared" si="92"/>
        <v>35509.642950221525</v>
      </c>
      <c r="AG299" s="46">
        <f t="shared" si="92"/>
        <v>36660.197718631178</v>
      </c>
      <c r="AH299" s="46">
        <f t="shared" si="92"/>
        <v>37265.742128935533</v>
      </c>
      <c r="AI299" s="46">
        <f t="shared" si="92"/>
        <v>37622.117995556648</v>
      </c>
    </row>
    <row r="300" spans="1:35" x14ac:dyDescent="0.25">
      <c r="A300" s="11">
        <f>$A$45</f>
        <v>30</v>
      </c>
      <c r="M300" s="11"/>
      <c r="N300" s="11"/>
      <c r="O300" s="11"/>
      <c r="P300" s="46">
        <f>P$145*P$440</f>
        <v>37578.822350288145</v>
      </c>
      <c r="Q300" s="46">
        <f t="shared" ref="Q300:AI300" si="93">Q$145*Q$440</f>
        <v>37745.328214020315</v>
      </c>
      <c r="R300" s="46">
        <f t="shared" si="93"/>
        <v>37134.783689706608</v>
      </c>
      <c r="S300" s="46">
        <f t="shared" si="93"/>
        <v>36146.588265048056</v>
      </c>
      <c r="T300" s="46">
        <f t="shared" si="93"/>
        <v>34777.360857068197</v>
      </c>
      <c r="U300" s="46">
        <f t="shared" si="93"/>
        <v>34452.909138517934</v>
      </c>
      <c r="V300" s="46">
        <f t="shared" si="93"/>
        <v>34186.75006584145</v>
      </c>
      <c r="W300" s="46">
        <f t="shared" si="93"/>
        <v>32994.116202945988</v>
      </c>
      <c r="X300" s="46">
        <f t="shared" si="93"/>
        <v>32836.381056665756</v>
      </c>
      <c r="Y300" s="46">
        <f t="shared" si="93"/>
        <v>31900.842459983149</v>
      </c>
      <c r="Z300" s="46">
        <f t="shared" si="93"/>
        <v>32731.865712713261</v>
      </c>
      <c r="AA300" s="46">
        <f t="shared" si="93"/>
        <v>32376.85618729097</v>
      </c>
      <c r="AB300" s="46">
        <f t="shared" si="93"/>
        <v>31296.167872648337</v>
      </c>
      <c r="AC300" s="46">
        <f t="shared" si="93"/>
        <v>31910.179487179488</v>
      </c>
      <c r="AD300" s="46">
        <f t="shared" si="93"/>
        <v>32385.882352941175</v>
      </c>
      <c r="AE300" s="46">
        <f t="shared" si="93"/>
        <v>32926.01062342745</v>
      </c>
      <c r="AF300" s="46">
        <f t="shared" si="93"/>
        <v>34008.339222614843</v>
      </c>
      <c r="AG300" s="46">
        <f t="shared" si="93"/>
        <v>36038.344507478083</v>
      </c>
      <c r="AH300" s="46">
        <f t="shared" si="93"/>
        <v>37208.28105395232</v>
      </c>
      <c r="AI300" s="46">
        <f t="shared" si="93"/>
        <v>37795.369774919614</v>
      </c>
    </row>
    <row r="301" spans="1:35" x14ac:dyDescent="0.25">
      <c r="A301" s="11">
        <f>$A$46</f>
        <v>31</v>
      </c>
      <c r="M301" s="11"/>
      <c r="N301" s="11"/>
      <c r="O301" s="11"/>
      <c r="P301" s="46">
        <f>P$146*P$441</f>
        <v>36051.672337084528</v>
      </c>
      <c r="Q301" s="46">
        <f t="shared" ref="Q301:AI301" si="94">Q$146*Q$441</f>
        <v>37299.581033617658</v>
      </c>
      <c r="R301" s="46">
        <f t="shared" si="94"/>
        <v>37520.765999505806</v>
      </c>
      <c r="S301" s="46">
        <f t="shared" si="94"/>
        <v>37319.009900990095</v>
      </c>
      <c r="T301" s="46">
        <f t="shared" si="94"/>
        <v>36429.165000000001</v>
      </c>
      <c r="U301" s="46">
        <f t="shared" si="94"/>
        <v>35163.098373353991</v>
      </c>
      <c r="V301" s="46">
        <f t="shared" si="94"/>
        <v>34941.653298835707</v>
      </c>
      <c r="W301" s="46">
        <f t="shared" si="94"/>
        <v>34666.201873048907</v>
      </c>
      <c r="X301" s="46">
        <f t="shared" si="94"/>
        <v>33482.570043103449</v>
      </c>
      <c r="Y301" s="46">
        <f t="shared" si="94"/>
        <v>33334.117329007837</v>
      </c>
      <c r="Z301" s="46">
        <f t="shared" si="94"/>
        <v>32379.656319290465</v>
      </c>
      <c r="AA301" s="46">
        <f t="shared" si="94"/>
        <v>33201.779407769631</v>
      </c>
      <c r="AB301" s="46">
        <f t="shared" si="94"/>
        <v>32865.602641717116</v>
      </c>
      <c r="AC301" s="46">
        <f t="shared" si="94"/>
        <v>31775.749785775493</v>
      </c>
      <c r="AD301" s="46">
        <f t="shared" si="94"/>
        <v>32390.491987630023</v>
      </c>
      <c r="AE301" s="46">
        <f t="shared" si="94"/>
        <v>32857.493720346079</v>
      </c>
      <c r="AF301" s="46">
        <f t="shared" si="94"/>
        <v>33407.935982339957</v>
      </c>
      <c r="AG301" s="46">
        <f t="shared" si="94"/>
        <v>34500.193236714978</v>
      </c>
      <c r="AH301" s="46">
        <f t="shared" si="94"/>
        <v>36530.695718654431</v>
      </c>
      <c r="AI301" s="46">
        <f t="shared" si="94"/>
        <v>37701.763392857145</v>
      </c>
    </row>
    <row r="302" spans="1:35" x14ac:dyDescent="0.25">
      <c r="A302" s="11">
        <f>$A$47</f>
        <v>32</v>
      </c>
      <c r="M302" s="11"/>
      <c r="N302" s="11"/>
      <c r="O302" s="11"/>
      <c r="P302" s="46">
        <f>P$147*P$442</f>
        <v>35401.074004808979</v>
      </c>
      <c r="Q302" s="46">
        <f t="shared" ref="Q302:AI302" si="95">Q$147*Q$442</f>
        <v>35875.634650615022</v>
      </c>
      <c r="R302" s="46">
        <f t="shared" si="95"/>
        <v>37083.010752688177</v>
      </c>
      <c r="S302" s="46">
        <f t="shared" si="95"/>
        <v>37685.561839193513</v>
      </c>
      <c r="T302" s="46">
        <f t="shared" si="95"/>
        <v>37569.566282773827</v>
      </c>
      <c r="U302" s="46">
        <f t="shared" si="95"/>
        <v>36773.234347933678</v>
      </c>
      <c r="V302" s="46">
        <f t="shared" si="95"/>
        <v>35592.089933571791</v>
      </c>
      <c r="W302" s="46">
        <f t="shared" si="95"/>
        <v>35379.380281690137</v>
      </c>
      <c r="X302" s="46">
        <f t="shared" si="95"/>
        <v>35103.717816683835</v>
      </c>
      <c r="Y302" s="46">
        <f t="shared" si="95"/>
        <v>33901.500133226757</v>
      </c>
      <c r="Z302" s="46">
        <f t="shared" si="95"/>
        <v>33752.975935828879</v>
      </c>
      <c r="AA302" s="46">
        <f t="shared" si="95"/>
        <v>32816.75164473684</v>
      </c>
      <c r="AB302" s="46">
        <f t="shared" si="95"/>
        <v>33639.312012899754</v>
      </c>
      <c r="AC302" s="46">
        <f t="shared" si="95"/>
        <v>33294.160544217688</v>
      </c>
      <c r="AD302" s="46">
        <f t="shared" si="95"/>
        <v>32204.562394127614</v>
      </c>
      <c r="AE302" s="46">
        <f t="shared" si="95"/>
        <v>32829.19677598666</v>
      </c>
      <c r="AF302" s="46">
        <f t="shared" si="95"/>
        <v>33287.036423841062</v>
      </c>
      <c r="AG302" s="46">
        <f t="shared" si="95"/>
        <v>33837.839017735336</v>
      </c>
      <c r="AH302" s="46">
        <f t="shared" si="95"/>
        <v>34930.753915582689</v>
      </c>
      <c r="AI302" s="46">
        <f t="shared" si="95"/>
        <v>36971.157629255991</v>
      </c>
    </row>
    <row r="303" spans="1:35" x14ac:dyDescent="0.25">
      <c r="A303" s="11">
        <f>$A$48</f>
        <v>33</v>
      </c>
      <c r="M303" s="11"/>
      <c r="N303" s="11"/>
      <c r="O303" s="11"/>
      <c r="P303" s="46">
        <f>P$148*P$443</f>
        <v>34334.207048458149</v>
      </c>
      <c r="Q303" s="46">
        <f t="shared" ref="Q303:AI303" si="96">Q$148*Q$443</f>
        <v>35318.942590120161</v>
      </c>
      <c r="R303" s="46">
        <f t="shared" si="96"/>
        <v>35723.19248826291</v>
      </c>
      <c r="S303" s="46">
        <f t="shared" si="96"/>
        <v>37188.541562966646</v>
      </c>
      <c r="T303" s="46">
        <f t="shared" si="96"/>
        <v>37872.708638360178</v>
      </c>
      <c r="U303" s="46">
        <f t="shared" si="96"/>
        <v>37841.743677042803</v>
      </c>
      <c r="V303" s="46">
        <f t="shared" si="96"/>
        <v>37120.783398821215</v>
      </c>
      <c r="W303" s="46">
        <f t="shared" si="96"/>
        <v>35949.087452471482</v>
      </c>
      <c r="X303" s="46">
        <f t="shared" si="96"/>
        <v>35727.279654559308</v>
      </c>
      <c r="Y303" s="46">
        <f t="shared" si="96"/>
        <v>35451.447906026558</v>
      </c>
      <c r="Z303" s="46">
        <f t="shared" si="96"/>
        <v>34258.7714663144</v>
      </c>
      <c r="AA303" s="46">
        <f t="shared" si="96"/>
        <v>34110.214740190881</v>
      </c>
      <c r="AB303" s="46">
        <f t="shared" si="96"/>
        <v>33155.354523227383</v>
      </c>
      <c r="AC303" s="46">
        <f t="shared" si="96"/>
        <v>33996.610711430854</v>
      </c>
      <c r="AD303" s="46">
        <f t="shared" si="96"/>
        <v>33651.534933908821</v>
      </c>
      <c r="AE303" s="46">
        <f t="shared" si="96"/>
        <v>32552.956643356643</v>
      </c>
      <c r="AF303" s="46">
        <f t="shared" si="96"/>
        <v>33186.823691460057</v>
      </c>
      <c r="AG303" s="46">
        <f t="shared" si="96"/>
        <v>33644.901531728668</v>
      </c>
      <c r="AH303" s="46">
        <f t="shared" si="96"/>
        <v>34195.888558290506</v>
      </c>
      <c r="AI303" s="46">
        <f t="shared" si="96"/>
        <v>35288.95762042643</v>
      </c>
    </row>
    <row r="304" spans="1:35" x14ac:dyDescent="0.25">
      <c r="A304" s="11">
        <f>$A$49</f>
        <v>34</v>
      </c>
      <c r="M304" s="11"/>
      <c r="N304" s="11"/>
      <c r="O304" s="11"/>
      <c r="P304" s="46">
        <f>P$149*P$444</f>
        <v>32864.759988502439</v>
      </c>
      <c r="Q304" s="46">
        <f t="shared" ref="Q304:AI304" si="97">Q$149*Q$444</f>
        <v>34241.67124793843</v>
      </c>
      <c r="R304" s="46">
        <f t="shared" si="97"/>
        <v>35203.281042275994</v>
      </c>
      <c r="S304" s="46">
        <f t="shared" si="97"/>
        <v>35752.852697095434</v>
      </c>
      <c r="T304" s="46">
        <f t="shared" si="97"/>
        <v>37307.62351778656</v>
      </c>
      <c r="U304" s="46">
        <f t="shared" si="97"/>
        <v>38067.813029789293</v>
      </c>
      <c r="V304" s="46">
        <f t="shared" si="97"/>
        <v>38112.659908279027</v>
      </c>
      <c r="W304" s="46">
        <f t="shared" si="97"/>
        <v>37391.823056300273</v>
      </c>
      <c r="X304" s="46">
        <f t="shared" si="97"/>
        <v>36229.75352112676</v>
      </c>
      <c r="Y304" s="46">
        <f t="shared" si="97"/>
        <v>36007.852822580644</v>
      </c>
      <c r="Z304" s="46">
        <f t="shared" si="97"/>
        <v>35732.135799341268</v>
      </c>
      <c r="AA304" s="46">
        <f t="shared" si="97"/>
        <v>34539.371069182387</v>
      </c>
      <c r="AB304" s="46">
        <f t="shared" si="97"/>
        <v>34390.828293452534</v>
      </c>
      <c r="AC304" s="46">
        <f t="shared" si="97"/>
        <v>33445.528017241384</v>
      </c>
      <c r="AD304" s="46">
        <f t="shared" si="97"/>
        <v>34268.153236459708</v>
      </c>
      <c r="AE304" s="46">
        <f t="shared" si="97"/>
        <v>33932.102728731938</v>
      </c>
      <c r="AF304" s="46">
        <f t="shared" si="97"/>
        <v>32843.09484193012</v>
      </c>
      <c r="AG304" s="46">
        <f t="shared" si="97"/>
        <v>33467.298552308115</v>
      </c>
      <c r="AH304" s="46">
        <f t="shared" si="97"/>
        <v>33935.004068348251</v>
      </c>
      <c r="AI304" s="46">
        <f t="shared" si="97"/>
        <v>34485.97371244635</v>
      </c>
    </row>
    <row r="305" spans="1:35" x14ac:dyDescent="0.25">
      <c r="A305" s="11">
        <f>$A$50</f>
        <v>35</v>
      </c>
      <c r="M305" s="11"/>
      <c r="N305" s="11"/>
      <c r="O305" s="11"/>
      <c r="P305" s="46">
        <f>P$150*P$445</f>
        <v>32125.940710302319</v>
      </c>
      <c r="Q305" s="46">
        <f t="shared" ref="Q305:AI305" si="98">Q$150*Q$445</f>
        <v>32856.473457675755</v>
      </c>
      <c r="R305" s="46">
        <f t="shared" si="98"/>
        <v>34182.104542966612</v>
      </c>
      <c r="S305" s="46">
        <f t="shared" si="98"/>
        <v>35193.973037272008</v>
      </c>
      <c r="T305" s="46">
        <f t="shared" si="98"/>
        <v>35832.720720720725</v>
      </c>
      <c r="U305" s="46">
        <f t="shared" si="98"/>
        <v>37463.384841795436</v>
      </c>
      <c r="V305" s="46">
        <f t="shared" si="98"/>
        <v>38299.259259259263</v>
      </c>
      <c r="W305" s="46">
        <f t="shared" si="98"/>
        <v>38362.83385279309</v>
      </c>
      <c r="X305" s="46">
        <f t="shared" si="98"/>
        <v>37633.112294288483</v>
      </c>
      <c r="Y305" s="46">
        <f t="shared" si="98"/>
        <v>36461.438202247191</v>
      </c>
      <c r="Z305" s="46">
        <f t="shared" si="98"/>
        <v>36249.29196897673</v>
      </c>
      <c r="AA305" s="46">
        <f t="shared" si="98"/>
        <v>35983.113682092553</v>
      </c>
      <c r="AB305" s="46">
        <f t="shared" si="98"/>
        <v>34790.444733420023</v>
      </c>
      <c r="AC305" s="46">
        <f t="shared" si="98"/>
        <v>34641.925887265133</v>
      </c>
      <c r="AD305" s="46">
        <f t="shared" si="98"/>
        <v>33687.1932638332</v>
      </c>
      <c r="AE305" s="46">
        <f t="shared" si="98"/>
        <v>34509.659150498162</v>
      </c>
      <c r="AF305" s="46">
        <f t="shared" si="98"/>
        <v>34174.044585987263</v>
      </c>
      <c r="AG305" s="46">
        <f t="shared" si="98"/>
        <v>33103.493810178821</v>
      </c>
      <c r="AH305" s="46">
        <f t="shared" si="98"/>
        <v>33709.011108100785</v>
      </c>
      <c r="AI305" s="46">
        <f t="shared" si="98"/>
        <v>34176.497175141245</v>
      </c>
    </row>
    <row r="306" spans="1:35" x14ac:dyDescent="0.25">
      <c r="A306" s="11">
        <f>$A$51</f>
        <v>36</v>
      </c>
      <c r="M306" s="11"/>
      <c r="N306" s="11"/>
      <c r="O306" s="11"/>
      <c r="P306" s="46">
        <f>P$151*P$446</f>
        <v>31915.630896226416</v>
      </c>
      <c r="Q306" s="46">
        <f t="shared" ref="Q306:AI306" si="99">Q$151*Q$446</f>
        <v>31983.501318488132</v>
      </c>
      <c r="R306" s="46">
        <f t="shared" si="99"/>
        <v>32738.563677898346</v>
      </c>
      <c r="S306" s="46">
        <f t="shared" si="99"/>
        <v>34123.78672470076</v>
      </c>
      <c r="T306" s="46">
        <f t="shared" si="99"/>
        <v>35204.934383202097</v>
      </c>
      <c r="U306" s="46">
        <f t="shared" si="99"/>
        <v>35919.611451942736</v>
      </c>
      <c r="V306" s="46">
        <f t="shared" si="99"/>
        <v>37616.418128654972</v>
      </c>
      <c r="W306" s="46">
        <f t="shared" si="99"/>
        <v>38452.031063321389</v>
      </c>
      <c r="X306" s="46">
        <f t="shared" si="99"/>
        <v>38515.774178180087</v>
      </c>
      <c r="Y306" s="46">
        <f t="shared" si="99"/>
        <v>37796.645828324115</v>
      </c>
      <c r="Z306" s="46">
        <f t="shared" si="99"/>
        <v>36634.637896825399</v>
      </c>
      <c r="AA306" s="46">
        <f t="shared" si="99"/>
        <v>36413.230616302186</v>
      </c>
      <c r="AB306" s="46">
        <f t="shared" si="99"/>
        <v>36147.239570322257</v>
      </c>
      <c r="AC306" s="46">
        <f t="shared" si="99"/>
        <v>34973.592458677682</v>
      </c>
      <c r="AD306" s="46">
        <f t="shared" si="99"/>
        <v>34806.694300518138</v>
      </c>
      <c r="AE306" s="46">
        <f t="shared" si="99"/>
        <v>33871.247015123372</v>
      </c>
      <c r="AF306" s="46">
        <f t="shared" si="99"/>
        <v>34693.326392503899</v>
      </c>
      <c r="AG306" s="46">
        <f t="shared" si="99"/>
        <v>34347.945205479453</v>
      </c>
      <c r="AH306" s="46">
        <f t="shared" si="99"/>
        <v>33267.608517608518</v>
      </c>
      <c r="AI306" s="46">
        <f t="shared" si="99"/>
        <v>33882.277493949987</v>
      </c>
    </row>
    <row r="307" spans="1:35" x14ac:dyDescent="0.25">
      <c r="A307" s="11">
        <f>$A$52</f>
        <v>37</v>
      </c>
      <c r="M307" s="11"/>
      <c r="N307" s="11"/>
      <c r="O307" s="11"/>
      <c r="P307" s="46">
        <f>P$152*P$447</f>
        <v>31546.322215604527</v>
      </c>
      <c r="Q307" s="46">
        <f t="shared" ref="Q307:AI307" si="100">Q$152*Q$447</f>
        <v>31840.95938787522</v>
      </c>
      <c r="R307" s="46">
        <f t="shared" si="100"/>
        <v>31857.716535433072</v>
      </c>
      <c r="S307" s="46">
        <f t="shared" si="100"/>
        <v>32690.547984099943</v>
      </c>
      <c r="T307" s="46">
        <f t="shared" si="100"/>
        <v>34144.523101864361</v>
      </c>
      <c r="U307" s="46">
        <f t="shared" si="100"/>
        <v>35310.711864406781</v>
      </c>
      <c r="V307" s="46">
        <f t="shared" si="100"/>
        <v>36091.694183388368</v>
      </c>
      <c r="W307" s="46">
        <f t="shared" si="100"/>
        <v>37788.592879631877</v>
      </c>
      <c r="X307" s="46">
        <f t="shared" si="100"/>
        <v>38633.491686460809</v>
      </c>
      <c r="Y307" s="46">
        <f t="shared" si="100"/>
        <v>38687.899597442578</v>
      </c>
      <c r="Z307" s="46">
        <f t="shared" si="100"/>
        <v>37969.072657743782</v>
      </c>
      <c r="AA307" s="46">
        <f t="shared" si="100"/>
        <v>36807.649088220795</v>
      </c>
      <c r="AB307" s="46">
        <f t="shared" si="100"/>
        <v>36586.488888888889</v>
      </c>
      <c r="AC307" s="46">
        <f t="shared" si="100"/>
        <v>36329.642502482624</v>
      </c>
      <c r="AD307" s="46">
        <f t="shared" si="100"/>
        <v>35146.972806567472</v>
      </c>
      <c r="AE307" s="46">
        <f t="shared" si="100"/>
        <v>34998.594594594593</v>
      </c>
      <c r="AF307" s="46">
        <f t="shared" si="100"/>
        <v>34053.900896151819</v>
      </c>
      <c r="AG307" s="46">
        <f t="shared" si="100"/>
        <v>34875.727954486683</v>
      </c>
      <c r="AH307" s="46">
        <f t="shared" si="100"/>
        <v>34539.819419000261</v>
      </c>
      <c r="AI307" s="46">
        <f t="shared" si="100"/>
        <v>33459.680130116561</v>
      </c>
    </row>
    <row r="308" spans="1:35" x14ac:dyDescent="0.25">
      <c r="A308" s="11">
        <f>$A$53</f>
        <v>38</v>
      </c>
      <c r="M308" s="11"/>
      <c r="N308" s="11"/>
      <c r="O308" s="11"/>
      <c r="P308" s="46">
        <f>P$153*P$448</f>
        <v>30794.707317073171</v>
      </c>
      <c r="Q308" s="46">
        <f t="shared" ref="Q308:AI308" si="101">Q$153*Q$448</f>
        <v>31462.419019316494</v>
      </c>
      <c r="R308" s="46">
        <f t="shared" si="101"/>
        <v>31762.379138587752</v>
      </c>
      <c r="S308" s="46">
        <f t="shared" si="101"/>
        <v>31801.391304347824</v>
      </c>
      <c r="T308" s="46">
        <f t="shared" si="101"/>
        <v>32711.257755217146</v>
      </c>
      <c r="U308" s="46">
        <f t="shared" si="101"/>
        <v>34240.429530201342</v>
      </c>
      <c r="V308" s="46">
        <f t="shared" si="101"/>
        <v>35481.99274423426</v>
      </c>
      <c r="W308" s="46">
        <f t="shared" si="101"/>
        <v>36263.211310275183</v>
      </c>
      <c r="X308" s="46">
        <f t="shared" si="101"/>
        <v>37950.48880327474</v>
      </c>
      <c r="Y308" s="46">
        <f t="shared" si="101"/>
        <v>38804.375147649422</v>
      </c>
      <c r="Z308" s="46">
        <f t="shared" si="101"/>
        <v>38849.738639039322</v>
      </c>
      <c r="AA308" s="46">
        <f t="shared" si="101"/>
        <v>38150.192536249109</v>
      </c>
      <c r="AB308" s="46">
        <f t="shared" si="101"/>
        <v>36979.171771624598</v>
      </c>
      <c r="AC308" s="46">
        <f t="shared" si="101"/>
        <v>36767.814878467958</v>
      </c>
      <c r="AD308" s="46">
        <f t="shared" si="101"/>
        <v>36502.040967423498</v>
      </c>
      <c r="AE308" s="46">
        <f t="shared" si="101"/>
        <v>35319.377868434472</v>
      </c>
      <c r="AF308" s="46">
        <f t="shared" si="101"/>
        <v>35171.05141980046</v>
      </c>
      <c r="AG308" s="46">
        <f t="shared" si="101"/>
        <v>34245.487166055529</v>
      </c>
      <c r="AH308" s="46">
        <f t="shared" si="101"/>
        <v>35057.532767925979</v>
      </c>
      <c r="AI308" s="46">
        <f t="shared" si="101"/>
        <v>34721.50845253576</v>
      </c>
    </row>
    <row r="309" spans="1:35" x14ac:dyDescent="0.25">
      <c r="A309" s="11">
        <f>$A$54</f>
        <v>39</v>
      </c>
      <c r="M309" s="11"/>
      <c r="N309" s="11"/>
      <c r="O309" s="11"/>
      <c r="P309" s="46">
        <f>P$154*P$449</f>
        <v>30106.06531881804</v>
      </c>
      <c r="Q309" s="46">
        <f t="shared" ref="Q309:AI309" si="102">Q$154*Q$449</f>
        <v>30729.640900791237</v>
      </c>
      <c r="R309" s="46">
        <f t="shared" si="102"/>
        <v>31251.997632435632</v>
      </c>
      <c r="S309" s="46">
        <f t="shared" si="102"/>
        <v>31686.188811188811</v>
      </c>
      <c r="T309" s="46">
        <f t="shared" si="102"/>
        <v>31811.195965417868</v>
      </c>
      <c r="U309" s="46">
        <f t="shared" si="102"/>
        <v>32786.627417998323</v>
      </c>
      <c r="V309" s="46">
        <f t="shared" si="102"/>
        <v>34400.691588785048</v>
      </c>
      <c r="W309" s="46">
        <f t="shared" si="102"/>
        <v>35623.298969072166</v>
      </c>
      <c r="X309" s="46">
        <f t="shared" si="102"/>
        <v>36404.16980658126</v>
      </c>
      <c r="Y309" s="46">
        <f t="shared" si="102"/>
        <v>38101.258087706687</v>
      </c>
      <c r="Z309" s="46">
        <f t="shared" si="102"/>
        <v>38935.866447213732</v>
      </c>
      <c r="AA309" s="46">
        <f t="shared" si="102"/>
        <v>38990.742910710105</v>
      </c>
      <c r="AB309" s="46">
        <f t="shared" si="102"/>
        <v>38282.63954588458</v>
      </c>
      <c r="AC309" s="46">
        <f t="shared" si="102"/>
        <v>37121.292052657242</v>
      </c>
      <c r="AD309" s="46">
        <f t="shared" si="102"/>
        <v>36910.151441133363</v>
      </c>
      <c r="AE309" s="46">
        <f t="shared" si="102"/>
        <v>36644.488092315252</v>
      </c>
      <c r="AF309" s="46">
        <f t="shared" si="102"/>
        <v>35461.831093076333</v>
      </c>
      <c r="AG309" s="46">
        <f t="shared" si="102"/>
        <v>35313.557251908394</v>
      </c>
      <c r="AH309" s="46">
        <f t="shared" si="102"/>
        <v>34379.21875</v>
      </c>
      <c r="AI309" s="46">
        <f t="shared" si="102"/>
        <v>35209.539877300616</v>
      </c>
    </row>
    <row r="310" spans="1:35" x14ac:dyDescent="0.25">
      <c r="A310" s="11">
        <f>$A$55</f>
        <v>40</v>
      </c>
      <c r="M310" s="11"/>
      <c r="N310" s="11"/>
      <c r="O310" s="11"/>
      <c r="P310" s="46">
        <f>P$155*P$450</f>
        <v>29555.582278481012</v>
      </c>
      <c r="Q310" s="46">
        <f t="shared" ref="Q310:AI310" si="103">Q$155*Q$450</f>
        <v>30144.326086956524</v>
      </c>
      <c r="R310" s="46">
        <f t="shared" si="103"/>
        <v>30594.109090909093</v>
      </c>
      <c r="S310" s="46">
        <f t="shared" si="103"/>
        <v>31156.982631733881</v>
      </c>
      <c r="T310" s="46">
        <f t="shared" si="103"/>
        <v>31656.921739130434</v>
      </c>
      <c r="U310" s="46">
        <f t="shared" si="103"/>
        <v>31847.591743119265</v>
      </c>
      <c r="V310" s="46">
        <f t="shared" si="103"/>
        <v>32907.48046875</v>
      </c>
      <c r="W310" s="46">
        <f t="shared" si="103"/>
        <v>34502.630879617325</v>
      </c>
      <c r="X310" s="46">
        <f t="shared" si="103"/>
        <v>35734.421349756223</v>
      </c>
      <c r="Y310" s="46">
        <f t="shared" si="103"/>
        <v>36515.487743871934</v>
      </c>
      <c r="Z310" s="46">
        <f t="shared" si="103"/>
        <v>38202.940334128878</v>
      </c>
      <c r="AA310" s="46">
        <f t="shared" si="103"/>
        <v>39028.250995083123</v>
      </c>
      <c r="AB310" s="46">
        <f t="shared" si="103"/>
        <v>39092.975495915984</v>
      </c>
      <c r="AC310" s="46">
        <f t="shared" si="103"/>
        <v>38394.431095406362</v>
      </c>
      <c r="AD310" s="46">
        <f t="shared" si="103"/>
        <v>37242.498179169699</v>
      </c>
      <c r="AE310" s="46">
        <f t="shared" si="103"/>
        <v>37012.94260700389</v>
      </c>
      <c r="AF310" s="46">
        <f t="shared" si="103"/>
        <v>36756.988511366413</v>
      </c>
      <c r="AG310" s="46">
        <f t="shared" si="103"/>
        <v>35583.320707070707</v>
      </c>
      <c r="AH310" s="46">
        <f t="shared" si="103"/>
        <v>35435.683890577508</v>
      </c>
      <c r="AI310" s="46">
        <f t="shared" si="103"/>
        <v>34510.453720508165</v>
      </c>
    </row>
    <row r="311" spans="1:35" x14ac:dyDescent="0.25">
      <c r="A311" s="11">
        <f>$A$56</f>
        <v>41</v>
      </c>
      <c r="M311" s="11"/>
      <c r="N311" s="11"/>
      <c r="O311" s="11"/>
      <c r="P311" s="46">
        <f>P$156*P$451</f>
        <v>28896.33279483037</v>
      </c>
      <c r="Q311" s="46">
        <f t="shared" ref="Q311:AI311" si="104">Q$156*Q$451</f>
        <v>29556.319115323855</v>
      </c>
      <c r="R311" s="46">
        <f t="shared" si="104"/>
        <v>30055.774822146614</v>
      </c>
      <c r="S311" s="46">
        <f t="shared" si="104"/>
        <v>30498.619234247817</v>
      </c>
      <c r="T311" s="46">
        <f t="shared" si="104"/>
        <v>31136.694989745094</v>
      </c>
      <c r="U311" s="46">
        <f t="shared" si="104"/>
        <v>31702.428612633401</v>
      </c>
      <c r="V311" s="46">
        <f t="shared" si="104"/>
        <v>31958.904422253923</v>
      </c>
      <c r="W311" s="46">
        <f t="shared" si="104"/>
        <v>33008.753124132185</v>
      </c>
      <c r="X311" s="46">
        <f t="shared" si="104"/>
        <v>34613.125165387668</v>
      </c>
      <c r="Y311" s="46">
        <f t="shared" si="104"/>
        <v>35844.916943521595</v>
      </c>
      <c r="Z311" s="46">
        <f t="shared" si="104"/>
        <v>36617.058530510585</v>
      </c>
      <c r="AA311" s="46">
        <f t="shared" si="104"/>
        <v>38304.346172135047</v>
      </c>
      <c r="AB311" s="46">
        <f t="shared" si="104"/>
        <v>39138.903662234661</v>
      </c>
      <c r="AC311" s="46">
        <f t="shared" si="104"/>
        <v>39184.624505928856</v>
      </c>
      <c r="AD311" s="46">
        <f t="shared" si="104"/>
        <v>38495.958695141984</v>
      </c>
      <c r="AE311" s="46">
        <f t="shared" si="104"/>
        <v>37344.656673114121</v>
      </c>
      <c r="AF311" s="46">
        <f t="shared" si="104"/>
        <v>37124.324127906977</v>
      </c>
      <c r="AG311" s="46">
        <f t="shared" si="104"/>
        <v>36868.468468468469</v>
      </c>
      <c r="AH311" s="46">
        <f t="shared" si="104"/>
        <v>35695.398541614282</v>
      </c>
      <c r="AI311" s="46">
        <f t="shared" si="104"/>
        <v>35538.249684741488</v>
      </c>
    </row>
    <row r="312" spans="1:35" x14ac:dyDescent="0.25">
      <c r="A312" s="11">
        <f>$A$57</f>
        <v>42</v>
      </c>
      <c r="M312" s="11"/>
      <c r="N312" s="11"/>
      <c r="O312" s="11"/>
      <c r="P312" s="46">
        <f>P$157*P$452</f>
        <v>27925.801603206415</v>
      </c>
      <c r="Q312" s="46">
        <f t="shared" ref="Q312:AI312" si="105">Q$157*Q$452</f>
        <v>28915.806451612902</v>
      </c>
      <c r="R312" s="46">
        <f t="shared" si="105"/>
        <v>29411.831916902742</v>
      </c>
      <c r="S312" s="46">
        <f t="shared" si="105"/>
        <v>29950.877192982454</v>
      </c>
      <c r="T312" s="46">
        <f t="shared" si="105"/>
        <v>30458.408886220357</v>
      </c>
      <c r="U312" s="46">
        <f t="shared" si="105"/>
        <v>31152.553253574555</v>
      </c>
      <c r="V312" s="46">
        <f t="shared" si="105"/>
        <v>31792.781609195401</v>
      </c>
      <c r="W312" s="46">
        <f t="shared" si="105"/>
        <v>32049.363274587835</v>
      </c>
      <c r="X312" s="46">
        <f t="shared" si="105"/>
        <v>33089.84232365145</v>
      </c>
      <c r="Y312" s="46">
        <f t="shared" si="105"/>
        <v>34703.40717299578</v>
      </c>
      <c r="Z312" s="46">
        <f t="shared" si="105"/>
        <v>35916.69467787115</v>
      </c>
      <c r="AA312" s="46">
        <f t="shared" si="105"/>
        <v>36697.775571002981</v>
      </c>
      <c r="AB312" s="46">
        <f t="shared" si="105"/>
        <v>38366.336492890994</v>
      </c>
      <c r="AC312" s="46">
        <f t="shared" si="105"/>
        <v>39210.216279069769</v>
      </c>
      <c r="AD312" s="46">
        <f t="shared" si="105"/>
        <v>39265.396383866486</v>
      </c>
      <c r="AE312" s="46">
        <f t="shared" si="105"/>
        <v>38558.778947368424</v>
      </c>
      <c r="AF312" s="46">
        <f t="shared" si="105"/>
        <v>37425.885755603755</v>
      </c>
      <c r="AG312" s="46">
        <f t="shared" si="105"/>
        <v>37206.361661033319</v>
      </c>
      <c r="AH312" s="46">
        <f t="shared" si="105"/>
        <v>36941.021596699829</v>
      </c>
      <c r="AI312" s="46">
        <f t="shared" si="105"/>
        <v>35786.895514908545</v>
      </c>
    </row>
    <row r="313" spans="1:35" x14ac:dyDescent="0.25">
      <c r="A313" s="11">
        <f>$A$58</f>
        <v>43</v>
      </c>
      <c r="M313" s="11"/>
      <c r="N313" s="11"/>
      <c r="O313" s="11"/>
      <c r="P313" s="46">
        <f>P$158*P$453</f>
        <v>28217.255936675461</v>
      </c>
      <c r="Q313" s="46">
        <f t="shared" ref="Q313:AI313" si="106">Q$158*Q$453</f>
        <v>27888.542361574382</v>
      </c>
      <c r="R313" s="46">
        <f t="shared" si="106"/>
        <v>28798.450658952108</v>
      </c>
      <c r="S313" s="46">
        <f t="shared" si="106"/>
        <v>29287.333124412409</v>
      </c>
      <c r="T313" s="46">
        <f t="shared" si="106"/>
        <v>29880.230061349695</v>
      </c>
      <c r="U313" s="46">
        <f t="shared" si="106"/>
        <v>30453.337324154447</v>
      </c>
      <c r="V313" s="46">
        <f t="shared" si="106"/>
        <v>31204.045956951715</v>
      </c>
      <c r="W313" s="46">
        <f t="shared" si="106"/>
        <v>31844.024634775138</v>
      </c>
      <c r="X313" s="46">
        <f t="shared" si="106"/>
        <v>32110.481722867666</v>
      </c>
      <c r="Y313" s="46">
        <f t="shared" si="106"/>
        <v>33159.89793103448</v>
      </c>
      <c r="Z313" s="46">
        <f t="shared" si="106"/>
        <v>34745.219563502498</v>
      </c>
      <c r="AA313" s="46">
        <f t="shared" si="106"/>
        <v>35967.233934467869</v>
      </c>
      <c r="AB313" s="46">
        <f t="shared" si="106"/>
        <v>36748.907875185738</v>
      </c>
      <c r="AC313" s="46">
        <f t="shared" si="106"/>
        <v>38407.829787234041</v>
      </c>
      <c r="AD313" s="46">
        <f t="shared" si="106"/>
        <v>39251.164733178652</v>
      </c>
      <c r="AE313" s="46">
        <f t="shared" si="106"/>
        <v>39306.845513413507</v>
      </c>
      <c r="AF313" s="46">
        <f t="shared" si="106"/>
        <v>38610.032672112022</v>
      </c>
      <c r="AG313" s="46">
        <f t="shared" si="106"/>
        <v>37458.798076923078</v>
      </c>
      <c r="AH313" s="46">
        <f t="shared" si="106"/>
        <v>37257.832369942196</v>
      </c>
      <c r="AI313" s="46">
        <f t="shared" si="106"/>
        <v>36993.223620522745</v>
      </c>
    </row>
    <row r="314" spans="1:35" x14ac:dyDescent="0.25">
      <c r="A314" s="11">
        <f>$A$59</f>
        <v>44</v>
      </c>
      <c r="M314" s="11"/>
      <c r="N314" s="11"/>
      <c r="O314" s="11"/>
      <c r="P314" s="46">
        <f>P$159*P$454</f>
        <v>28074.019900497511</v>
      </c>
      <c r="Q314" s="46">
        <f t="shared" ref="Q314:AI314" si="107">Q$159*Q$454</f>
        <v>28254.703557312256</v>
      </c>
      <c r="R314" s="46">
        <f t="shared" si="107"/>
        <v>27771.482220006645</v>
      </c>
      <c r="S314" s="46">
        <f t="shared" si="107"/>
        <v>28673.610755441743</v>
      </c>
      <c r="T314" s="46">
        <f t="shared" si="107"/>
        <v>29216.143749999999</v>
      </c>
      <c r="U314" s="46">
        <f t="shared" si="107"/>
        <v>29864.899020807832</v>
      </c>
      <c r="V314" s="46">
        <f t="shared" si="107"/>
        <v>30494.402985074626</v>
      </c>
      <c r="W314" s="46">
        <f t="shared" si="107"/>
        <v>31245.023215322115</v>
      </c>
      <c r="X314" s="46">
        <f t="shared" si="107"/>
        <v>31884.83852529294</v>
      </c>
      <c r="Y314" s="46">
        <f t="shared" si="107"/>
        <v>32150.9754028838</v>
      </c>
      <c r="Z314" s="46">
        <f t="shared" si="107"/>
        <v>33200.165152766305</v>
      </c>
      <c r="AA314" s="46">
        <f t="shared" si="107"/>
        <v>34775.754395171869</v>
      </c>
      <c r="AB314" s="46">
        <f t="shared" si="107"/>
        <v>36007.55133079848</v>
      </c>
      <c r="AC314" s="46">
        <f t="shared" si="107"/>
        <v>36779.658922392482</v>
      </c>
      <c r="AD314" s="46">
        <f t="shared" si="107"/>
        <v>38438.680981595091</v>
      </c>
      <c r="AE314" s="46">
        <f t="shared" si="107"/>
        <v>39272.533580361276</v>
      </c>
      <c r="AF314" s="46">
        <f t="shared" si="107"/>
        <v>39337.654662973218</v>
      </c>
      <c r="AG314" s="46">
        <f t="shared" si="107"/>
        <v>38641.299790356396</v>
      </c>
      <c r="AH314" s="46">
        <f t="shared" si="107"/>
        <v>37499.738483685222</v>
      </c>
      <c r="AI314" s="46">
        <f t="shared" si="107"/>
        <v>37289.963950973324</v>
      </c>
    </row>
    <row r="315" spans="1:35" x14ac:dyDescent="0.25">
      <c r="A315" s="11">
        <f>$A$60</f>
        <v>45</v>
      </c>
      <c r="M315" s="11"/>
      <c r="N315" s="11"/>
      <c r="O315" s="11"/>
      <c r="P315" s="46">
        <f>P$160*P$455</f>
        <v>28562.72401433692</v>
      </c>
      <c r="Q315" s="46">
        <f t="shared" ref="Q315:AI315" si="108">Q$160*Q$455</f>
        <v>28083.411725736998</v>
      </c>
      <c r="R315" s="46">
        <f t="shared" si="108"/>
        <v>28146.394088669953</v>
      </c>
      <c r="S315" s="46">
        <f t="shared" si="108"/>
        <v>27627.51655629139</v>
      </c>
      <c r="T315" s="46">
        <f t="shared" si="108"/>
        <v>28572.403323745606</v>
      </c>
      <c r="U315" s="46">
        <f t="shared" si="108"/>
        <v>29161.248049921996</v>
      </c>
      <c r="V315" s="46">
        <f t="shared" si="108"/>
        <v>29884.967919340055</v>
      </c>
      <c r="W315" s="46">
        <f t="shared" si="108"/>
        <v>30514.605067064083</v>
      </c>
      <c r="X315" s="46">
        <f t="shared" si="108"/>
        <v>31255.6505360765</v>
      </c>
      <c r="Y315" s="46">
        <f t="shared" si="108"/>
        <v>31895.248287671235</v>
      </c>
      <c r="Z315" s="46">
        <f t="shared" si="108"/>
        <v>32152.173913043476</v>
      </c>
      <c r="AA315" s="46">
        <f t="shared" si="108"/>
        <v>33201.126992853213</v>
      </c>
      <c r="AB315" s="46">
        <f t="shared" si="108"/>
        <v>34776.768867924526</v>
      </c>
      <c r="AC315" s="46">
        <f t="shared" si="108"/>
        <v>35998.784810126584</v>
      </c>
      <c r="AD315" s="46">
        <f t="shared" si="108"/>
        <v>36771.113305356703</v>
      </c>
      <c r="AE315" s="46">
        <f t="shared" si="108"/>
        <v>38439.302215935881</v>
      </c>
      <c r="AF315" s="46">
        <f t="shared" si="108"/>
        <v>39273.033317908375</v>
      </c>
      <c r="AG315" s="46">
        <f t="shared" si="108"/>
        <v>39319.437399123817</v>
      </c>
      <c r="AH315" s="46">
        <f t="shared" si="108"/>
        <v>38633.289902280128</v>
      </c>
      <c r="AI315" s="46">
        <f t="shared" si="108"/>
        <v>37501.07836089145</v>
      </c>
    </row>
    <row r="316" spans="1:35" x14ac:dyDescent="0.25">
      <c r="A316" s="11">
        <f>$A$61</f>
        <v>46</v>
      </c>
      <c r="M316" s="11"/>
      <c r="N316" s="11"/>
      <c r="O316" s="11"/>
      <c r="P316" s="46">
        <f>P$161*P$456</f>
        <v>29382.783048703353</v>
      </c>
      <c r="Q316" s="46">
        <f t="shared" ref="Q316:AI316" si="109">Q$161*Q$456</f>
        <v>28534.178327367394</v>
      </c>
      <c r="R316" s="46">
        <f t="shared" si="109"/>
        <v>27965.262636273539</v>
      </c>
      <c r="S316" s="46">
        <f t="shared" si="109"/>
        <v>27974.003273322422</v>
      </c>
      <c r="T316" s="46">
        <f t="shared" si="109"/>
        <v>27505.863666446061</v>
      </c>
      <c r="U316" s="46">
        <f t="shared" si="109"/>
        <v>28506.649632705205</v>
      </c>
      <c r="V316" s="46">
        <f t="shared" si="109"/>
        <v>29142.151543498596</v>
      </c>
      <c r="W316" s="46">
        <f t="shared" si="109"/>
        <v>29855.948091603052</v>
      </c>
      <c r="X316" s="46">
        <f t="shared" si="109"/>
        <v>30494.848033373066</v>
      </c>
      <c r="Y316" s="46">
        <f t="shared" si="109"/>
        <v>31236.048667439165</v>
      </c>
      <c r="Z316" s="46">
        <f t="shared" si="109"/>
        <v>31875.46362339515</v>
      </c>
      <c r="AA316" s="46">
        <f t="shared" si="109"/>
        <v>32123.422686230246</v>
      </c>
      <c r="AB316" s="46">
        <f t="shared" si="109"/>
        <v>33172.129120879123</v>
      </c>
      <c r="AC316" s="46">
        <f t="shared" si="109"/>
        <v>34756.929525805608</v>
      </c>
      <c r="AD316" s="46">
        <f t="shared" si="109"/>
        <v>35959.858263730697</v>
      </c>
      <c r="AE316" s="46">
        <f t="shared" si="109"/>
        <v>36732.379072063181</v>
      </c>
      <c r="AF316" s="46">
        <f t="shared" si="109"/>
        <v>38400.650483148718</v>
      </c>
      <c r="AG316" s="46">
        <f t="shared" si="109"/>
        <v>39234.253990284524</v>
      </c>
      <c r="AH316" s="46">
        <f t="shared" si="109"/>
        <v>39280.756108805901</v>
      </c>
      <c r="AI316" s="46">
        <f t="shared" si="109"/>
        <v>38595.022098162364</v>
      </c>
    </row>
    <row r="317" spans="1:35" x14ac:dyDescent="0.25">
      <c r="A317" s="11">
        <f>$A$62</f>
        <v>47</v>
      </c>
      <c r="M317" s="11"/>
      <c r="N317" s="11"/>
      <c r="O317" s="11"/>
      <c r="P317" s="46">
        <f>P$162*P$457</f>
        <v>30425.655088360756</v>
      </c>
      <c r="Q317" s="46">
        <f t="shared" ref="Q317:AI317" si="110">Q$162*Q$457</f>
        <v>29298.492890995261</v>
      </c>
      <c r="R317" s="46">
        <f t="shared" si="110"/>
        <v>28415.571428571428</v>
      </c>
      <c r="S317" s="46">
        <f t="shared" si="110"/>
        <v>27755.396773131379</v>
      </c>
      <c r="T317" s="46">
        <f t="shared" si="110"/>
        <v>27822.436149312376</v>
      </c>
      <c r="U317" s="46">
        <f t="shared" si="110"/>
        <v>27410.294604435618</v>
      </c>
      <c r="V317" s="46">
        <f t="shared" si="110"/>
        <v>28466.615532118889</v>
      </c>
      <c r="W317" s="46">
        <f t="shared" si="110"/>
        <v>29111.475819032759</v>
      </c>
      <c r="X317" s="46">
        <f t="shared" si="110"/>
        <v>29815.875343721356</v>
      </c>
      <c r="Y317" s="46">
        <f t="shared" si="110"/>
        <v>30436.041728763041</v>
      </c>
      <c r="Z317" s="46">
        <f t="shared" si="110"/>
        <v>31187.168936540136</v>
      </c>
      <c r="AA317" s="46">
        <f t="shared" si="110"/>
        <v>31816.621004566208</v>
      </c>
      <c r="AB317" s="46">
        <f t="shared" si="110"/>
        <v>32073.777526821006</v>
      </c>
      <c r="AC317" s="46">
        <f t="shared" si="110"/>
        <v>33122.275975810888</v>
      </c>
      <c r="AD317" s="46">
        <f t="shared" si="110"/>
        <v>34697.326343381392</v>
      </c>
      <c r="AE317" s="46">
        <f t="shared" si="110"/>
        <v>35910.053178019756</v>
      </c>
      <c r="AF317" s="46">
        <f t="shared" si="110"/>
        <v>36682.735802469135</v>
      </c>
      <c r="AG317" s="46">
        <f t="shared" si="110"/>
        <v>38341.348738505068</v>
      </c>
      <c r="AH317" s="46">
        <f t="shared" si="110"/>
        <v>39165.065956954408</v>
      </c>
      <c r="AI317" s="46">
        <f t="shared" si="110"/>
        <v>39221.422970479704</v>
      </c>
    </row>
    <row r="318" spans="1:35" x14ac:dyDescent="0.25">
      <c r="A318" s="11">
        <f>$A$63</f>
        <v>48</v>
      </c>
      <c r="M318" s="11"/>
      <c r="N318" s="11"/>
      <c r="O318" s="11"/>
      <c r="P318" s="46">
        <f>P$163*P$458</f>
        <v>31205.028198278422</v>
      </c>
      <c r="Q318" s="46">
        <f t="shared" ref="Q318:AI318" si="111">Q$163*Q$458</f>
        <v>30405.051766138855</v>
      </c>
      <c r="R318" s="46">
        <f t="shared" si="111"/>
        <v>29188.054241564176</v>
      </c>
      <c r="S318" s="46">
        <f t="shared" si="111"/>
        <v>28186.107512953367</v>
      </c>
      <c r="T318" s="46">
        <f t="shared" si="111"/>
        <v>27592.420844327178</v>
      </c>
      <c r="U318" s="46">
        <f t="shared" si="111"/>
        <v>27696.885245901638</v>
      </c>
      <c r="V318" s="46">
        <f t="shared" si="111"/>
        <v>27350.348027842225</v>
      </c>
      <c r="W318" s="46">
        <f t="shared" si="111"/>
        <v>28396.800000000003</v>
      </c>
      <c r="X318" s="46">
        <f t="shared" si="111"/>
        <v>29032.452358637925</v>
      </c>
      <c r="Y318" s="46">
        <f t="shared" si="111"/>
        <v>29736.726827776078</v>
      </c>
      <c r="Z318" s="46">
        <f t="shared" si="111"/>
        <v>30366.113432835824</v>
      </c>
      <c r="AA318" s="46">
        <f t="shared" si="111"/>
        <v>31098.624891209751</v>
      </c>
      <c r="AB318" s="46">
        <f t="shared" si="111"/>
        <v>31737.600000000002</v>
      </c>
      <c r="AC318" s="46">
        <f t="shared" si="111"/>
        <v>32004.146410401354</v>
      </c>
      <c r="AD318" s="46">
        <f t="shared" si="111"/>
        <v>33033.351678591083</v>
      </c>
      <c r="AE318" s="46">
        <f t="shared" si="111"/>
        <v>34608.449225924953</v>
      </c>
      <c r="AF318" s="46">
        <f t="shared" si="111"/>
        <v>35811.406844106466</v>
      </c>
      <c r="AG318" s="46">
        <f t="shared" si="111"/>
        <v>36584.335145823032</v>
      </c>
      <c r="AH318" s="46">
        <f t="shared" si="111"/>
        <v>38242.802171860247</v>
      </c>
      <c r="AI318" s="46">
        <f t="shared" si="111"/>
        <v>39066.380908248379</v>
      </c>
    </row>
    <row r="319" spans="1:35" x14ac:dyDescent="0.25">
      <c r="A319" s="11">
        <f>$A$64</f>
        <v>49</v>
      </c>
      <c r="M319" s="11"/>
      <c r="N319" s="11"/>
      <c r="O319" s="11"/>
      <c r="P319" s="46">
        <f>P$164*P$459</f>
        <v>31037.323608216731</v>
      </c>
      <c r="Q319" s="46">
        <f t="shared" ref="Q319:AI319" si="112">Q$164*Q$459</f>
        <v>31118.795252225518</v>
      </c>
      <c r="R319" s="46">
        <f t="shared" si="112"/>
        <v>30266.125304136251</v>
      </c>
      <c r="S319" s="46">
        <f t="shared" si="112"/>
        <v>28948.14861460957</v>
      </c>
      <c r="T319" s="46">
        <f t="shared" si="112"/>
        <v>27993.292207792205</v>
      </c>
      <c r="U319" s="46">
        <f t="shared" si="112"/>
        <v>27446.2347107438</v>
      </c>
      <c r="V319" s="46">
        <f t="shared" si="112"/>
        <v>27606.183431952664</v>
      </c>
      <c r="W319" s="46">
        <f t="shared" si="112"/>
        <v>27241.39534883721</v>
      </c>
      <c r="X319" s="46">
        <f t="shared" si="112"/>
        <v>28287.738935214882</v>
      </c>
      <c r="Y319" s="46">
        <f t="shared" si="112"/>
        <v>28923.481527864744</v>
      </c>
      <c r="Z319" s="46">
        <f t="shared" si="112"/>
        <v>29627.624156958922</v>
      </c>
      <c r="AA319" s="46">
        <f t="shared" si="112"/>
        <v>30257.164223751122</v>
      </c>
      <c r="AB319" s="46">
        <f t="shared" si="112"/>
        <v>30998.880488514103</v>
      </c>
      <c r="AC319" s="46">
        <f t="shared" si="112"/>
        <v>31627.915234822452</v>
      </c>
      <c r="AD319" s="46">
        <f t="shared" si="112"/>
        <v>31894.56657223796</v>
      </c>
      <c r="AE319" s="46">
        <f t="shared" si="112"/>
        <v>32923.552123552123</v>
      </c>
      <c r="AF319" s="46">
        <f t="shared" si="112"/>
        <v>34489.424138837756</v>
      </c>
      <c r="AG319" s="46">
        <f t="shared" si="112"/>
        <v>35692.395224790453</v>
      </c>
      <c r="AH319" s="46">
        <f t="shared" si="112"/>
        <v>36465.502724120852</v>
      </c>
      <c r="AI319" s="46">
        <f t="shared" si="112"/>
        <v>38123.585619678335</v>
      </c>
    </row>
    <row r="320" spans="1:35" x14ac:dyDescent="0.25">
      <c r="A320" s="11">
        <f>$A$65</f>
        <v>50</v>
      </c>
      <c r="M320" s="11"/>
      <c r="N320" s="11"/>
      <c r="O320" s="11"/>
      <c r="P320" s="46">
        <f>P$165*P$460</f>
        <v>30306.7143727162</v>
      </c>
      <c r="Q320" s="46">
        <f t="shared" ref="Q320:AI320" si="113">Q$165*Q$460</f>
        <v>30987.472462042275</v>
      </c>
      <c r="R320" s="46">
        <f t="shared" si="113"/>
        <v>30978.677734954046</v>
      </c>
      <c r="S320" s="46">
        <f t="shared" si="113"/>
        <v>30006.616038882141</v>
      </c>
      <c r="T320" s="46">
        <f t="shared" si="113"/>
        <v>28725.663297536325</v>
      </c>
      <c r="U320" s="46">
        <f t="shared" si="113"/>
        <v>27826.99348534202</v>
      </c>
      <c r="V320" s="46">
        <f t="shared" si="113"/>
        <v>27317.014925373136</v>
      </c>
      <c r="W320" s="46">
        <f t="shared" si="113"/>
        <v>27476.959102902372</v>
      </c>
      <c r="X320" s="46">
        <f t="shared" si="113"/>
        <v>27121.52</v>
      </c>
      <c r="Y320" s="46">
        <f t="shared" si="113"/>
        <v>28167.773487773487</v>
      </c>
      <c r="Z320" s="46">
        <f t="shared" si="113"/>
        <v>28793.819095477385</v>
      </c>
      <c r="AA320" s="46">
        <f t="shared" si="113"/>
        <v>29497.822878228781</v>
      </c>
      <c r="AB320" s="46">
        <f t="shared" si="113"/>
        <v>30127.524752475245</v>
      </c>
      <c r="AC320" s="46">
        <f t="shared" si="113"/>
        <v>30869.431321084863</v>
      </c>
      <c r="AD320" s="46">
        <f t="shared" si="113"/>
        <v>31498.242389431358</v>
      </c>
      <c r="AE320" s="46">
        <f t="shared" si="113"/>
        <v>31765.5</v>
      </c>
      <c r="AF320" s="46">
        <f t="shared" si="113"/>
        <v>32784.507743362832</v>
      </c>
      <c r="AG320" s="46">
        <f t="shared" si="113"/>
        <v>34359.688900606379</v>
      </c>
      <c r="AH320" s="46">
        <f t="shared" si="113"/>
        <v>35561.943453897096</v>
      </c>
      <c r="AI320" s="46">
        <f t="shared" si="113"/>
        <v>36335.242115718895</v>
      </c>
    </row>
    <row r="321" spans="1:35" x14ac:dyDescent="0.25">
      <c r="A321" s="11">
        <f>$A$66</f>
        <v>51</v>
      </c>
      <c r="M321" s="11"/>
      <c r="N321" s="11"/>
      <c r="O321" s="11"/>
      <c r="P321" s="46">
        <f>P$166*P$461</f>
        <v>30161.518677281078</v>
      </c>
      <c r="Q321" s="46">
        <f t="shared" ref="Q321:AI321" si="114">Q$166*Q$461</f>
        <v>30182.183978068839</v>
      </c>
      <c r="R321" s="46">
        <f t="shared" si="114"/>
        <v>30818.219708246503</v>
      </c>
      <c r="S321" s="46">
        <f t="shared" si="114"/>
        <v>30708.085358624779</v>
      </c>
      <c r="T321" s="46">
        <f t="shared" si="114"/>
        <v>29782.525160109792</v>
      </c>
      <c r="U321" s="46">
        <f t="shared" si="114"/>
        <v>28548.700063411543</v>
      </c>
      <c r="V321" s="46">
        <f t="shared" si="114"/>
        <v>27677.240026160889</v>
      </c>
      <c r="W321" s="46">
        <f t="shared" si="114"/>
        <v>27177.072927072928</v>
      </c>
      <c r="X321" s="46">
        <f t="shared" si="114"/>
        <v>27327.964250248264</v>
      </c>
      <c r="Y321" s="46">
        <f t="shared" si="114"/>
        <v>26972.63298762128</v>
      </c>
      <c r="Z321" s="46">
        <f t="shared" si="114"/>
        <v>28018.769777203746</v>
      </c>
      <c r="AA321" s="46">
        <f t="shared" si="114"/>
        <v>28653.94388398487</v>
      </c>
      <c r="AB321" s="46">
        <f t="shared" si="114"/>
        <v>29357.833333333332</v>
      </c>
      <c r="AC321" s="46">
        <f t="shared" si="114"/>
        <v>29978.642384105962</v>
      </c>
      <c r="AD321" s="46">
        <f t="shared" si="114"/>
        <v>30720.002926543752</v>
      </c>
      <c r="AE321" s="46">
        <f t="shared" si="114"/>
        <v>31349.325842696628</v>
      </c>
      <c r="AF321" s="46">
        <f t="shared" si="114"/>
        <v>31606.959247648902</v>
      </c>
      <c r="AG321" s="46">
        <f t="shared" si="114"/>
        <v>32635.484049930652</v>
      </c>
      <c r="AH321" s="46">
        <f t="shared" si="114"/>
        <v>34190.936260248607</v>
      </c>
      <c r="AI321" s="46">
        <f t="shared" si="114"/>
        <v>35402.981604496679</v>
      </c>
    </row>
    <row r="322" spans="1:35" x14ac:dyDescent="0.25">
      <c r="A322" s="11">
        <f>$A$67</f>
        <v>52</v>
      </c>
      <c r="M322" s="11"/>
      <c r="N322" s="11"/>
      <c r="O322" s="11"/>
      <c r="P322" s="46">
        <f>P$167*P$462</f>
        <v>29307.750235331034</v>
      </c>
      <c r="Q322" s="46">
        <f t="shared" ref="Q322:AI322" si="115">Q$167*Q$462</f>
        <v>30054.650735294119</v>
      </c>
      <c r="R322" s="46">
        <f t="shared" si="115"/>
        <v>30011.676318195674</v>
      </c>
      <c r="S322" s="46">
        <f t="shared" si="115"/>
        <v>30537.296814528134</v>
      </c>
      <c r="T322" s="46">
        <f t="shared" si="115"/>
        <v>30473.5</v>
      </c>
      <c r="U322" s="46">
        <f t="shared" si="115"/>
        <v>29575.718223583459</v>
      </c>
      <c r="V322" s="46">
        <f t="shared" si="115"/>
        <v>28388.754777070062</v>
      </c>
      <c r="W322" s="46">
        <f t="shared" si="115"/>
        <v>27527.277504105088</v>
      </c>
      <c r="X322" s="46">
        <f t="shared" si="115"/>
        <v>27018.090939485122</v>
      </c>
      <c r="Y322" s="46">
        <f t="shared" si="115"/>
        <v>27178.215353938187</v>
      </c>
      <c r="Z322" s="46">
        <f t="shared" si="115"/>
        <v>26841.780913978495</v>
      </c>
      <c r="AA322" s="46">
        <f t="shared" si="115"/>
        <v>27868.822957198445</v>
      </c>
      <c r="AB322" s="46">
        <f t="shared" si="115"/>
        <v>28495.047468354431</v>
      </c>
      <c r="AC322" s="46">
        <f t="shared" si="115"/>
        <v>29198.791821561339</v>
      </c>
      <c r="AD322" s="46">
        <f t="shared" si="115"/>
        <v>29828.79721970384</v>
      </c>
      <c r="AE322" s="46">
        <f t="shared" si="115"/>
        <v>30561.330396475772</v>
      </c>
      <c r="AF322" s="46">
        <f t="shared" si="115"/>
        <v>31189.676113360325</v>
      </c>
      <c r="AG322" s="46">
        <f t="shared" si="115"/>
        <v>31447.439931350116</v>
      </c>
      <c r="AH322" s="46">
        <f t="shared" si="115"/>
        <v>32475.723830734969</v>
      </c>
      <c r="AI322" s="46">
        <f t="shared" si="115"/>
        <v>34031.220806794059</v>
      </c>
    </row>
    <row r="323" spans="1:35" x14ac:dyDescent="0.25">
      <c r="A323" s="11">
        <f>$A$68</f>
        <v>53</v>
      </c>
      <c r="M323" s="11"/>
      <c r="N323" s="11"/>
      <c r="O323" s="11"/>
      <c r="P323" s="46">
        <f>P$168*P$463</f>
        <v>28567.249679075736</v>
      </c>
      <c r="Q323" s="46">
        <f t="shared" ref="Q323:AI323" si="116">Q$168*Q$463</f>
        <v>29141.300251256282</v>
      </c>
      <c r="R323" s="46">
        <f t="shared" si="116"/>
        <v>29815.318822808094</v>
      </c>
      <c r="S323" s="46">
        <f t="shared" si="116"/>
        <v>29700.243902439026</v>
      </c>
      <c r="T323" s="46">
        <f t="shared" si="116"/>
        <v>30253.587443946188</v>
      </c>
      <c r="U323" s="46">
        <f t="shared" si="116"/>
        <v>30217.609085475196</v>
      </c>
      <c r="V323" s="46">
        <f t="shared" si="116"/>
        <v>29357.533825338254</v>
      </c>
      <c r="W323" s="46">
        <f t="shared" si="116"/>
        <v>28189.766549408378</v>
      </c>
      <c r="X323" s="46">
        <f t="shared" si="116"/>
        <v>27319.274645565449</v>
      </c>
      <c r="Y323" s="46">
        <f t="shared" si="116"/>
        <v>26829.144008056395</v>
      </c>
      <c r="Z323" s="46">
        <f t="shared" si="116"/>
        <v>26989.06875834446</v>
      </c>
      <c r="AA323" s="46">
        <f t="shared" si="116"/>
        <v>26634.812816188871</v>
      </c>
      <c r="AB323" s="46">
        <f t="shared" si="116"/>
        <v>27670.654296875</v>
      </c>
      <c r="AC323" s="46">
        <f t="shared" si="116"/>
        <v>28296.480304955527</v>
      </c>
      <c r="AD323" s="46">
        <f t="shared" si="116"/>
        <v>28999.9315920398</v>
      </c>
      <c r="AE323" s="46">
        <f t="shared" si="116"/>
        <v>29621.08583560813</v>
      </c>
      <c r="AF323" s="46">
        <f t="shared" si="116"/>
        <v>30344.294134983789</v>
      </c>
      <c r="AG323" s="46">
        <f t="shared" si="116"/>
        <v>30972.118398142775</v>
      </c>
      <c r="AH323" s="46">
        <f t="shared" si="116"/>
        <v>31249.115958668197</v>
      </c>
      <c r="AI323" s="46">
        <f t="shared" si="116"/>
        <v>32257.921787709496</v>
      </c>
    </row>
    <row r="324" spans="1:35" x14ac:dyDescent="0.25">
      <c r="A324" s="11">
        <f>$A$69</f>
        <v>54</v>
      </c>
      <c r="M324" s="11"/>
      <c r="N324" s="11"/>
      <c r="O324" s="11"/>
      <c r="P324" s="46">
        <f>P$169*P$464</f>
        <v>28327.599097647435</v>
      </c>
      <c r="Q324" s="46">
        <f t="shared" ref="Q324:AI324" si="117">Q$169*Q$464</f>
        <v>28362.584378013504</v>
      </c>
      <c r="R324" s="46">
        <f t="shared" si="117"/>
        <v>28892.662684690349</v>
      </c>
      <c r="S324" s="46">
        <f t="shared" si="117"/>
        <v>29502.669530530839</v>
      </c>
      <c r="T324" s="46">
        <f t="shared" si="117"/>
        <v>29426.795224977042</v>
      </c>
      <c r="U324" s="46">
        <f t="shared" si="117"/>
        <v>30017.557022809124</v>
      </c>
      <c r="V324" s="46">
        <f t="shared" si="117"/>
        <v>30009.210921092108</v>
      </c>
      <c r="W324" s="46">
        <f t="shared" si="117"/>
        <v>29168.169188020995</v>
      </c>
      <c r="X324" s="46">
        <f t="shared" si="117"/>
        <v>28001.351524879614</v>
      </c>
      <c r="Y324" s="46">
        <f t="shared" si="117"/>
        <v>27159.652432969215</v>
      </c>
      <c r="Z324" s="46">
        <f t="shared" si="117"/>
        <v>26669.54499494439</v>
      </c>
      <c r="AA324" s="46">
        <f t="shared" si="117"/>
        <v>26820.475711892799</v>
      </c>
      <c r="AB324" s="46">
        <f t="shared" si="117"/>
        <v>26485.341909275558</v>
      </c>
      <c r="AC324" s="46">
        <f t="shared" si="117"/>
        <v>27521.042143090493</v>
      </c>
      <c r="AD324" s="46">
        <f t="shared" si="117"/>
        <v>28147.570927637869</v>
      </c>
      <c r="AE324" s="46">
        <f t="shared" si="117"/>
        <v>28841.070202808114</v>
      </c>
      <c r="AF324" s="46">
        <f t="shared" si="117"/>
        <v>29462.446743761411</v>
      </c>
      <c r="AG324" s="46">
        <f t="shared" si="117"/>
        <v>30204.55486542443</v>
      </c>
      <c r="AH324" s="46">
        <f t="shared" si="117"/>
        <v>30823.213973799127</v>
      </c>
      <c r="AI324" s="46">
        <f t="shared" si="117"/>
        <v>31090.572991649871</v>
      </c>
    </row>
    <row r="325" spans="1:35" x14ac:dyDescent="0.25">
      <c r="A325" s="11">
        <f>$A$70</f>
        <v>55</v>
      </c>
      <c r="M325" s="11"/>
      <c r="N325" s="11"/>
      <c r="O325" s="11"/>
      <c r="P325" s="46">
        <f>P$170*P$465</f>
        <v>28485.395408163266</v>
      </c>
      <c r="Q325" s="46">
        <f t="shared" ref="Q325:AI325" si="118">Q$170*Q$465</f>
        <v>28063.416209234743</v>
      </c>
      <c r="R325" s="46">
        <f t="shared" si="118"/>
        <v>28063.179916317993</v>
      </c>
      <c r="S325" s="46">
        <f t="shared" si="118"/>
        <v>28558.168083097262</v>
      </c>
      <c r="T325" s="46">
        <f t="shared" si="118"/>
        <v>29198.891284262398</v>
      </c>
      <c r="U325" s="46">
        <f t="shared" si="118"/>
        <v>29142.021505376346</v>
      </c>
      <c r="V325" s="46">
        <f t="shared" si="118"/>
        <v>29769.099126242843</v>
      </c>
      <c r="W325" s="46">
        <f t="shared" si="118"/>
        <v>29771.520626317375</v>
      </c>
      <c r="X325" s="46">
        <f t="shared" si="118"/>
        <v>28931.359975216852</v>
      </c>
      <c r="Y325" s="46">
        <f t="shared" si="118"/>
        <v>27774.782608695652</v>
      </c>
      <c r="Z325" s="46">
        <f t="shared" si="118"/>
        <v>26942.876120890069</v>
      </c>
      <c r="AA325" s="46">
        <f t="shared" si="118"/>
        <v>26471.741630030436</v>
      </c>
      <c r="AB325" s="46">
        <f t="shared" si="118"/>
        <v>26632.490756302523</v>
      </c>
      <c r="AC325" s="46">
        <f t="shared" si="118"/>
        <v>26297.578125</v>
      </c>
      <c r="AD325" s="46">
        <f t="shared" si="118"/>
        <v>27333.038348082595</v>
      </c>
      <c r="AE325" s="46">
        <f t="shared" si="118"/>
        <v>27959.769747361686</v>
      </c>
      <c r="AF325" s="46">
        <f t="shared" si="118"/>
        <v>28652.976525821596</v>
      </c>
      <c r="AG325" s="46">
        <f t="shared" si="118"/>
        <v>29274.725274725275</v>
      </c>
      <c r="AH325" s="46">
        <f t="shared" si="118"/>
        <v>30017.205576980123</v>
      </c>
      <c r="AI325" s="46">
        <f t="shared" si="118"/>
        <v>30635.421897810222</v>
      </c>
    </row>
    <row r="326" spans="1:35" x14ac:dyDescent="0.25">
      <c r="A326" s="11">
        <f>$A$71</f>
        <v>56</v>
      </c>
      <c r="M326" s="11"/>
      <c r="N326" s="11"/>
      <c r="O326" s="11"/>
      <c r="P326" s="46">
        <f>P$171*P$466</f>
        <v>28777.807319361902</v>
      </c>
      <c r="Q326" s="46">
        <f t="shared" ref="Q326:AI326" si="119">Q$171*Q$466</f>
        <v>28152.547139661234</v>
      </c>
      <c r="R326" s="46">
        <f t="shared" si="119"/>
        <v>27652.548512289777</v>
      </c>
      <c r="S326" s="46">
        <f t="shared" si="119"/>
        <v>27699.110538188848</v>
      </c>
      <c r="T326" s="46">
        <f t="shared" si="119"/>
        <v>28225.483259633605</v>
      </c>
      <c r="U326" s="46">
        <f t="shared" si="119"/>
        <v>28893.227202472954</v>
      </c>
      <c r="V326" s="46">
        <f t="shared" si="119"/>
        <v>28874.190564292323</v>
      </c>
      <c r="W326" s="46">
        <f t="shared" si="119"/>
        <v>29492.899032648125</v>
      </c>
      <c r="X326" s="46">
        <f t="shared" si="119"/>
        <v>29504.543806646525</v>
      </c>
      <c r="Y326" s="46">
        <f t="shared" si="119"/>
        <v>28683.366490519118</v>
      </c>
      <c r="Z326" s="46">
        <f t="shared" si="119"/>
        <v>27537.809369951534</v>
      </c>
      <c r="AA326" s="46">
        <f t="shared" si="119"/>
        <v>26734.581806064645</v>
      </c>
      <c r="AB326" s="46">
        <f t="shared" si="119"/>
        <v>26264.341926729987</v>
      </c>
      <c r="AC326" s="46">
        <f t="shared" si="119"/>
        <v>26425.118004045853</v>
      </c>
      <c r="AD326" s="46">
        <f t="shared" si="119"/>
        <v>26109.366269165246</v>
      </c>
      <c r="AE326" s="46">
        <f t="shared" si="119"/>
        <v>27116.726914229381</v>
      </c>
      <c r="AF326" s="46">
        <f t="shared" si="119"/>
        <v>27752.636305323926</v>
      </c>
      <c r="AG326" s="46">
        <f t="shared" si="119"/>
        <v>28455.266792215942</v>
      </c>
      <c r="AH326" s="46">
        <f t="shared" si="119"/>
        <v>29076.804407713498</v>
      </c>
      <c r="AI326" s="46">
        <f t="shared" si="119"/>
        <v>29810.660321237359</v>
      </c>
    </row>
    <row r="327" spans="1:35" x14ac:dyDescent="0.25">
      <c r="A327" s="11">
        <f>$A$72</f>
        <v>57</v>
      </c>
      <c r="M327" s="11"/>
      <c r="N327" s="11"/>
      <c r="O327" s="11"/>
      <c r="P327" s="46">
        <f>P$172*P$467</f>
        <v>28768.458914728682</v>
      </c>
      <c r="Q327" s="46">
        <f t="shared" ref="Q327:AI327" si="120">Q$172*Q$467</f>
        <v>28414.667503136763</v>
      </c>
      <c r="R327" s="46">
        <f t="shared" si="120"/>
        <v>27739.048991354466</v>
      </c>
      <c r="S327" s="46">
        <f t="shared" si="120"/>
        <v>27287.2367994817</v>
      </c>
      <c r="T327" s="46">
        <f t="shared" si="120"/>
        <v>27365.844113842173</v>
      </c>
      <c r="U327" s="46">
        <f t="shared" si="120"/>
        <v>27910.554675118859</v>
      </c>
      <c r="V327" s="46">
        <f t="shared" si="120"/>
        <v>28587.218604651163</v>
      </c>
      <c r="W327" s="46">
        <f t="shared" si="120"/>
        <v>28578.762759047324</v>
      </c>
      <c r="X327" s="46">
        <f t="shared" si="120"/>
        <v>29206.343238326259</v>
      </c>
      <c r="Y327" s="46">
        <f t="shared" si="120"/>
        <v>29227.927272727273</v>
      </c>
      <c r="Z327" s="46">
        <f t="shared" si="120"/>
        <v>28417.565461346632</v>
      </c>
      <c r="AA327" s="46">
        <f t="shared" si="120"/>
        <v>27291.244329228775</v>
      </c>
      <c r="AB327" s="46">
        <f t="shared" si="120"/>
        <v>26488.900768459738</v>
      </c>
      <c r="AC327" s="46">
        <f t="shared" si="120"/>
        <v>26037.551020408162</v>
      </c>
      <c r="AD327" s="46">
        <f t="shared" si="120"/>
        <v>26199.297059817509</v>
      </c>
      <c r="AE327" s="46">
        <f t="shared" si="120"/>
        <v>25883.842213114753</v>
      </c>
      <c r="AF327" s="46">
        <f t="shared" si="120"/>
        <v>26899.782537067545</v>
      </c>
      <c r="AG327" s="46">
        <f t="shared" si="120"/>
        <v>27535.948553054663</v>
      </c>
      <c r="AH327" s="46">
        <f t="shared" si="120"/>
        <v>28238.137193203274</v>
      </c>
      <c r="AI327" s="46">
        <f t="shared" si="120"/>
        <v>28851.126112304388</v>
      </c>
    </row>
    <row r="328" spans="1:35" x14ac:dyDescent="0.25">
      <c r="A328" s="11">
        <f>$A$73</f>
        <v>58</v>
      </c>
      <c r="M328" s="11"/>
      <c r="N328" s="11"/>
      <c r="O328" s="11"/>
      <c r="P328" s="46">
        <f>P$173*P$468</f>
        <v>28187.951051145279</v>
      </c>
      <c r="Q328" s="46">
        <f t="shared" ref="Q328:AI328" si="121">Q$173*Q$468</f>
        <v>28442.351477449458</v>
      </c>
      <c r="R328" s="46">
        <f t="shared" si="121"/>
        <v>28029.971698113208</v>
      </c>
      <c r="S328" s="46">
        <f t="shared" si="121"/>
        <v>27401.707317073171</v>
      </c>
      <c r="T328" s="46">
        <f t="shared" si="121"/>
        <v>26984.273643158922</v>
      </c>
      <c r="U328" s="46">
        <f t="shared" si="121"/>
        <v>27081.689912422964</v>
      </c>
      <c r="V328" s="46">
        <f t="shared" si="121"/>
        <v>27654.307056579783</v>
      </c>
      <c r="W328" s="46">
        <f t="shared" si="121"/>
        <v>28339.558320373253</v>
      </c>
      <c r="X328" s="46">
        <f t="shared" si="121"/>
        <v>28331.854838709678</v>
      </c>
      <c r="Y328" s="46">
        <f t="shared" si="121"/>
        <v>28959.114963503649</v>
      </c>
      <c r="Z328" s="46">
        <f t="shared" si="121"/>
        <v>28981.804922515952</v>
      </c>
      <c r="AA328" s="46">
        <f t="shared" si="121"/>
        <v>28190.309471709908</v>
      </c>
      <c r="AB328" s="46">
        <f t="shared" si="121"/>
        <v>27084.064327485383</v>
      </c>
      <c r="AC328" s="46">
        <f t="shared" si="121"/>
        <v>26291.694574681849</v>
      </c>
      <c r="AD328" s="46">
        <f t="shared" si="121"/>
        <v>25841.332651670076</v>
      </c>
      <c r="AE328" s="46">
        <f t="shared" si="121"/>
        <v>26011.957994579945</v>
      </c>
      <c r="AF328" s="46">
        <f t="shared" si="121"/>
        <v>25706.724845995894</v>
      </c>
      <c r="AG328" s="46">
        <f t="shared" si="121"/>
        <v>26722.396830637172</v>
      </c>
      <c r="AH328" s="46">
        <f t="shared" si="121"/>
        <v>27349.764819587628</v>
      </c>
      <c r="AI328" s="46">
        <f t="shared" si="121"/>
        <v>28041.768600252206</v>
      </c>
    </row>
    <row r="329" spans="1:35" x14ac:dyDescent="0.25">
      <c r="A329" s="11">
        <f>$A$74</f>
        <v>59</v>
      </c>
      <c r="M329" s="11"/>
      <c r="N329" s="11"/>
      <c r="O329" s="11"/>
      <c r="P329" s="46">
        <f>P$174*P$469</f>
        <v>27036.067488643737</v>
      </c>
      <c r="Q329" s="46">
        <f t="shared" ref="Q329:AI329" si="122">Q$174*Q$469</f>
        <v>27846.706549118389</v>
      </c>
      <c r="R329" s="46">
        <f t="shared" si="122"/>
        <v>28059.475982532749</v>
      </c>
      <c r="S329" s="46">
        <f t="shared" si="122"/>
        <v>27721.86574219981</v>
      </c>
      <c r="T329" s="46">
        <f t="shared" si="122"/>
        <v>27128.258770518183</v>
      </c>
      <c r="U329" s="46">
        <f t="shared" si="122"/>
        <v>26738.983050847455</v>
      </c>
      <c r="V329" s="46">
        <f t="shared" si="122"/>
        <v>26855.134959349594</v>
      </c>
      <c r="W329" s="46">
        <f t="shared" si="122"/>
        <v>27436.57634682818</v>
      </c>
      <c r="X329" s="46">
        <f t="shared" si="122"/>
        <v>28112.834424695979</v>
      </c>
      <c r="Y329" s="46">
        <f t="shared" si="122"/>
        <v>28115.485074626864</v>
      </c>
      <c r="Z329" s="46">
        <f t="shared" si="122"/>
        <v>28751.518292682926</v>
      </c>
      <c r="AA329" s="46">
        <f t="shared" si="122"/>
        <v>28774.331404203473</v>
      </c>
      <c r="AB329" s="46">
        <f t="shared" si="122"/>
        <v>28002.659774436092</v>
      </c>
      <c r="AC329" s="46">
        <f t="shared" si="122"/>
        <v>26897.708333333332</v>
      </c>
      <c r="AD329" s="46">
        <f t="shared" si="122"/>
        <v>26133.865771812081</v>
      </c>
      <c r="AE329" s="46">
        <f t="shared" si="122"/>
        <v>25683.541666666668</v>
      </c>
      <c r="AF329" s="46">
        <f t="shared" si="122"/>
        <v>25864.16694944011</v>
      </c>
      <c r="AG329" s="46">
        <f t="shared" si="122"/>
        <v>25550.167980802195</v>
      </c>
      <c r="AH329" s="46">
        <f t="shared" si="122"/>
        <v>26565.608465608464</v>
      </c>
      <c r="AI329" s="46">
        <f t="shared" si="122"/>
        <v>27192.397547595996</v>
      </c>
    </row>
    <row r="330" spans="1:35" x14ac:dyDescent="0.25">
      <c r="A330" s="11">
        <f>$A$75</f>
        <v>60</v>
      </c>
      <c r="M330" s="11"/>
      <c r="N330" s="11"/>
      <c r="O330" s="11"/>
      <c r="P330" s="46">
        <f>P$175*P$470</f>
        <v>25989.115191986642</v>
      </c>
      <c r="Q330" s="46">
        <f t="shared" ref="Q330:AI330" si="123">Q$175*Q$470</f>
        <v>26674.081433224754</v>
      </c>
      <c r="R330" s="46">
        <f t="shared" si="123"/>
        <v>27451.506632975361</v>
      </c>
      <c r="S330" s="46">
        <f t="shared" si="123"/>
        <v>27709.837347513294</v>
      </c>
      <c r="T330" s="46">
        <f t="shared" si="123"/>
        <v>27417.717356939615</v>
      </c>
      <c r="U330" s="46">
        <f t="shared" si="123"/>
        <v>26853.118140735958</v>
      </c>
      <c r="V330" s="46">
        <f t="shared" si="123"/>
        <v>26483.218954248365</v>
      </c>
      <c r="W330" s="46">
        <f t="shared" si="123"/>
        <v>26617.694063926941</v>
      </c>
      <c r="X330" s="46">
        <f t="shared" si="123"/>
        <v>27180.658357302655</v>
      </c>
      <c r="Y330" s="46">
        <f t="shared" si="123"/>
        <v>27856.67396061269</v>
      </c>
      <c r="Z330" s="46">
        <f t="shared" si="123"/>
        <v>27878.640897755613</v>
      </c>
      <c r="AA330" s="46">
        <f t="shared" si="123"/>
        <v>28505.586797066015</v>
      </c>
      <c r="AB330" s="46">
        <f t="shared" si="123"/>
        <v>28547.236641221374</v>
      </c>
      <c r="AC330" s="46">
        <f t="shared" si="123"/>
        <v>27776.687598116168</v>
      </c>
      <c r="AD330" s="46">
        <f t="shared" si="123"/>
        <v>26700.763209393346</v>
      </c>
      <c r="AE330" s="46">
        <f t="shared" si="123"/>
        <v>25937.93949579832</v>
      </c>
      <c r="AF330" s="46">
        <f t="shared" si="123"/>
        <v>25497.451248717072</v>
      </c>
      <c r="AG330" s="46">
        <f t="shared" si="123"/>
        <v>25678.096532970769</v>
      </c>
      <c r="AH330" s="46">
        <f t="shared" si="123"/>
        <v>25383.090659340662</v>
      </c>
      <c r="AI330" s="46">
        <f t="shared" si="123"/>
        <v>26388.473004306063</v>
      </c>
    </row>
    <row r="331" spans="1:35" x14ac:dyDescent="0.25">
      <c r="A331" s="11">
        <f>$A$76</f>
        <v>61</v>
      </c>
      <c r="M331" s="11"/>
      <c r="N331" s="11"/>
      <c r="O331" s="11"/>
      <c r="P331" s="46">
        <f>P$176*P$471</f>
        <v>25155.692883895132</v>
      </c>
      <c r="Q331" s="46">
        <f t="shared" ref="Q331:AI331" si="124">Q$176*Q$471</f>
        <v>25538.179074446682</v>
      </c>
      <c r="R331" s="46">
        <f t="shared" si="124"/>
        <v>26207.525335076822</v>
      </c>
      <c r="S331" s="46">
        <f t="shared" si="124"/>
        <v>27012.040557667933</v>
      </c>
      <c r="T331" s="46">
        <f t="shared" si="124"/>
        <v>27298.120489488545</v>
      </c>
      <c r="U331" s="46">
        <f t="shared" si="124"/>
        <v>27025.263157894737</v>
      </c>
      <c r="V331" s="46">
        <f t="shared" si="124"/>
        <v>26489.695792880259</v>
      </c>
      <c r="W331" s="46">
        <f t="shared" si="124"/>
        <v>26139.180865006554</v>
      </c>
      <c r="X331" s="46">
        <f t="shared" si="124"/>
        <v>26273.419418110494</v>
      </c>
      <c r="Y331" s="46">
        <f t="shared" si="124"/>
        <v>26846.377322229338</v>
      </c>
      <c r="Z331" s="46">
        <f t="shared" si="124"/>
        <v>27530.654967094953</v>
      </c>
      <c r="AA331" s="46">
        <f t="shared" si="124"/>
        <v>27553.5</v>
      </c>
      <c r="AB331" s="46">
        <f t="shared" si="124"/>
        <v>28171.558958652375</v>
      </c>
      <c r="AC331" s="46">
        <f t="shared" si="124"/>
        <v>28213.356793145653</v>
      </c>
      <c r="AD331" s="46">
        <f t="shared" si="124"/>
        <v>27462.724127083988</v>
      </c>
      <c r="AE331" s="46">
        <f t="shared" si="124"/>
        <v>26406.895424836599</v>
      </c>
      <c r="AF331" s="46">
        <f t="shared" si="124"/>
        <v>25654.0303030303</v>
      </c>
      <c r="AG331" s="46">
        <f t="shared" si="124"/>
        <v>25233.381294964031</v>
      </c>
      <c r="AH331" s="46">
        <f t="shared" si="124"/>
        <v>25422.90673927842</v>
      </c>
      <c r="AI331" s="46">
        <f t="shared" si="124"/>
        <v>25129.460295634239</v>
      </c>
    </row>
    <row r="332" spans="1:35" x14ac:dyDescent="0.25">
      <c r="A332" s="11">
        <f>$A$77</f>
        <v>62</v>
      </c>
      <c r="M332" s="11"/>
      <c r="N332" s="11"/>
      <c r="O332" s="11"/>
      <c r="P332" s="46">
        <f>P$177*P$472</f>
        <v>23412.962169878658</v>
      </c>
      <c r="Q332" s="46">
        <f t="shared" ref="Q332:AI332" si="125">Q$177*Q$472</f>
        <v>24393.479302086896</v>
      </c>
      <c r="R332" s="46">
        <f t="shared" si="125"/>
        <v>24778.63973063973</v>
      </c>
      <c r="S332" s="46">
        <f t="shared" si="125"/>
        <v>25567.086614173229</v>
      </c>
      <c r="T332" s="46">
        <f t="shared" si="125"/>
        <v>26373.289891926255</v>
      </c>
      <c r="U332" s="46">
        <f t="shared" si="125"/>
        <v>26686.934214667926</v>
      </c>
      <c r="V332" s="46">
        <f t="shared" si="125"/>
        <v>26433.577106518285</v>
      </c>
      <c r="W332" s="46">
        <f t="shared" si="125"/>
        <v>25918.624269954573</v>
      </c>
      <c r="X332" s="46">
        <f t="shared" si="125"/>
        <v>25589.293924466336</v>
      </c>
      <c r="Y332" s="46">
        <f t="shared" si="125"/>
        <v>25732.690039318477</v>
      </c>
      <c r="Z332" s="46">
        <f t="shared" si="125"/>
        <v>26304.547206165706</v>
      </c>
      <c r="AA332" s="46">
        <f t="shared" si="125"/>
        <v>26969.723618090455</v>
      </c>
      <c r="AB332" s="46">
        <f t="shared" si="125"/>
        <v>26994.249921703726</v>
      </c>
      <c r="AC332" s="46">
        <f t="shared" si="125"/>
        <v>27602.136279926337</v>
      </c>
      <c r="AD332" s="46">
        <f t="shared" si="125"/>
        <v>27645.557939914161</v>
      </c>
      <c r="AE332" s="46">
        <f t="shared" si="125"/>
        <v>26923.435234793571</v>
      </c>
      <c r="AF332" s="46">
        <f t="shared" si="125"/>
        <v>25906.808510638297</v>
      </c>
      <c r="AG332" s="46">
        <f t="shared" si="125"/>
        <v>25165.016857720839</v>
      </c>
      <c r="AH332" s="46">
        <f t="shared" si="125"/>
        <v>24762.991423670668</v>
      </c>
      <c r="AI332" s="46">
        <f t="shared" si="125"/>
        <v>24943.762781186095</v>
      </c>
    </row>
    <row r="333" spans="1:35" x14ac:dyDescent="0.25">
      <c r="A333" s="11">
        <f>$A$78</f>
        <v>63</v>
      </c>
      <c r="M333" s="11"/>
      <c r="N333" s="11"/>
      <c r="O333" s="11"/>
      <c r="P333" s="46">
        <f>P$178*P$473</f>
        <v>22073.131424375919</v>
      </c>
      <c r="Q333" s="46">
        <f t="shared" ref="Q333:AI333" si="126">Q$178*Q$473</f>
        <v>22617.610333692141</v>
      </c>
      <c r="R333" s="46">
        <f t="shared" si="126"/>
        <v>23557.971811619111</v>
      </c>
      <c r="S333" s="46">
        <f t="shared" si="126"/>
        <v>24010.71017923571</v>
      </c>
      <c r="T333" s="46">
        <f t="shared" si="126"/>
        <v>24789.324991768193</v>
      </c>
      <c r="U333" s="46">
        <f t="shared" si="126"/>
        <v>25594.322169059014</v>
      </c>
      <c r="V333" s="46">
        <f t="shared" si="126"/>
        <v>25906.888818698673</v>
      </c>
      <c r="W333" s="46">
        <f t="shared" si="126"/>
        <v>25674.526315789477</v>
      </c>
      <c r="X333" s="46">
        <f t="shared" si="126"/>
        <v>25188.639322916664</v>
      </c>
      <c r="Y333" s="46">
        <f t="shared" si="126"/>
        <v>24862.77997364954</v>
      </c>
      <c r="Z333" s="46">
        <f t="shared" si="126"/>
        <v>25023.463687150837</v>
      </c>
      <c r="AA333" s="46">
        <f t="shared" si="126"/>
        <v>25567.623953638118</v>
      </c>
      <c r="AB333" s="46">
        <f t="shared" si="126"/>
        <v>26221.921259842518</v>
      </c>
      <c r="AC333" s="46">
        <f t="shared" si="126"/>
        <v>26258.693877551021</v>
      </c>
      <c r="AD333" s="46">
        <f t="shared" si="126"/>
        <v>26856.286153846155</v>
      </c>
      <c r="AE333" s="46">
        <f t="shared" si="126"/>
        <v>26908.740012292561</v>
      </c>
      <c r="AF333" s="46">
        <f t="shared" si="126"/>
        <v>26207.902716361339</v>
      </c>
      <c r="AG333" s="46">
        <f t="shared" si="126"/>
        <v>25221.954739258774</v>
      </c>
      <c r="AH333" s="46">
        <f t="shared" si="126"/>
        <v>24518.16216216216</v>
      </c>
      <c r="AI333" s="46">
        <f t="shared" si="126"/>
        <v>24109.364479560289</v>
      </c>
    </row>
    <row r="334" spans="1:35" x14ac:dyDescent="0.25">
      <c r="A334" s="11">
        <f>$A$79</f>
        <v>64</v>
      </c>
      <c r="M334" s="11"/>
      <c r="N334" s="11"/>
      <c r="O334" s="11"/>
      <c r="P334" s="46">
        <f>P$179*P$474</f>
        <v>20164.764061910155</v>
      </c>
      <c r="Q334" s="46">
        <f t="shared" ref="Q334:AI334" si="127">Q$179*Q$474</f>
        <v>20602.892500923532</v>
      </c>
      <c r="R334" s="46">
        <f t="shared" si="127"/>
        <v>21069.480519480519</v>
      </c>
      <c r="S334" s="46">
        <f t="shared" si="127"/>
        <v>22042.445595854922</v>
      </c>
      <c r="T334" s="46">
        <f t="shared" si="127"/>
        <v>22495.93548387097</v>
      </c>
      <c r="U334" s="46">
        <f t="shared" si="127"/>
        <v>23247.063492063495</v>
      </c>
      <c r="V334" s="46">
        <f t="shared" si="127"/>
        <v>24014.106342088402</v>
      </c>
      <c r="W334" s="46">
        <f t="shared" si="127"/>
        <v>24317.634749524412</v>
      </c>
      <c r="X334" s="46">
        <f t="shared" si="127"/>
        <v>24107.550432276657</v>
      </c>
      <c r="Y334" s="46">
        <f t="shared" si="127"/>
        <v>23663.025155178046</v>
      </c>
      <c r="Z334" s="46">
        <f t="shared" si="127"/>
        <v>23369.219834710744</v>
      </c>
      <c r="AA334" s="46">
        <f t="shared" si="127"/>
        <v>23519.726343554237</v>
      </c>
      <c r="AB334" s="46">
        <f t="shared" si="127"/>
        <v>24035.293927648581</v>
      </c>
      <c r="AC334" s="46">
        <f t="shared" si="127"/>
        <v>24658.107424960504</v>
      </c>
      <c r="AD334" s="46">
        <f t="shared" si="127"/>
        <v>24690.166929133859</v>
      </c>
      <c r="AE334" s="46">
        <f t="shared" si="127"/>
        <v>25257.253086419751</v>
      </c>
      <c r="AF334" s="46">
        <f t="shared" si="127"/>
        <v>25310.604192355117</v>
      </c>
      <c r="AG334" s="46">
        <f t="shared" si="127"/>
        <v>24659.905003166561</v>
      </c>
      <c r="AH334" s="46">
        <f t="shared" si="127"/>
        <v>23727.475345167652</v>
      </c>
      <c r="AI334" s="46">
        <f t="shared" si="127"/>
        <v>23080.704129993228</v>
      </c>
    </row>
    <row r="335" spans="1:35" x14ac:dyDescent="0.25">
      <c r="A335" s="11">
        <f>$A$80</f>
        <v>65</v>
      </c>
      <c r="M335" s="11"/>
      <c r="N335" s="11"/>
      <c r="O335" s="11"/>
      <c r="P335" s="46">
        <f>P$180*P$475</f>
        <v>17063.33853354134</v>
      </c>
      <c r="Q335" s="46">
        <f t="shared" ref="Q335:AI335" si="128">Q$180*Q$475</f>
        <v>17546.332193082479</v>
      </c>
      <c r="R335" s="46">
        <f t="shared" si="128"/>
        <v>17928.226765799256</v>
      </c>
      <c r="S335" s="46">
        <f t="shared" si="128"/>
        <v>18416.806966618289</v>
      </c>
      <c r="T335" s="46">
        <f t="shared" si="128"/>
        <v>19295.125</v>
      </c>
      <c r="U335" s="46">
        <f t="shared" si="128"/>
        <v>19707.235494880544</v>
      </c>
      <c r="V335" s="46">
        <f t="shared" si="128"/>
        <v>20394.616151545364</v>
      </c>
      <c r="W335" s="46">
        <f t="shared" si="128"/>
        <v>21078.918222794593</v>
      </c>
      <c r="X335" s="46">
        <f t="shared" si="128"/>
        <v>21347.480089200384</v>
      </c>
      <c r="Y335" s="46">
        <f t="shared" si="128"/>
        <v>21178.851351351354</v>
      </c>
      <c r="Z335" s="46">
        <f t="shared" si="128"/>
        <v>20790.311679790026</v>
      </c>
      <c r="AA335" s="46">
        <f t="shared" si="128"/>
        <v>20543.856621307667</v>
      </c>
      <c r="AB335" s="46">
        <f t="shared" si="128"/>
        <v>20680.701754385966</v>
      </c>
      <c r="AC335" s="46">
        <f t="shared" si="128"/>
        <v>21139.053177691309</v>
      </c>
      <c r="AD335" s="46">
        <f t="shared" si="128"/>
        <v>21689.184903266731</v>
      </c>
      <c r="AE335" s="46">
        <f t="shared" si="128"/>
        <v>21731.210875750869</v>
      </c>
      <c r="AF335" s="46">
        <f t="shared" si="128"/>
        <v>22244.386617100372</v>
      </c>
      <c r="AG335" s="46">
        <f t="shared" si="128"/>
        <v>22292.607485307763</v>
      </c>
      <c r="AH335" s="46">
        <f t="shared" si="128"/>
        <v>21728.929138862411</v>
      </c>
      <c r="AI335" s="46">
        <f t="shared" si="128"/>
        <v>20920.05277044855</v>
      </c>
    </row>
    <row r="336" spans="1:35" x14ac:dyDescent="0.25">
      <c r="A336" s="11">
        <f>$A$81</f>
        <v>66</v>
      </c>
      <c r="M336" s="11"/>
      <c r="N336" s="11"/>
      <c r="O336" s="11"/>
      <c r="P336" s="46">
        <f>P$181*P$476</f>
        <v>14943.845534995979</v>
      </c>
      <c r="Q336" s="46">
        <f t="shared" ref="Q336:AI336" si="129">Q$181*Q$476</f>
        <v>15310.85332284703</v>
      </c>
      <c r="R336" s="46">
        <f t="shared" si="129"/>
        <v>15777.530627871363</v>
      </c>
      <c r="S336" s="46">
        <f t="shared" si="129"/>
        <v>16198.393859977536</v>
      </c>
      <c r="T336" s="46">
        <f t="shared" si="129"/>
        <v>16658.218978102192</v>
      </c>
      <c r="U336" s="46">
        <f t="shared" si="129"/>
        <v>17456.381418092911</v>
      </c>
      <c r="V336" s="46">
        <f t="shared" si="129"/>
        <v>17845.245451424649</v>
      </c>
      <c r="W336" s="46">
        <f t="shared" si="129"/>
        <v>18470.320855614973</v>
      </c>
      <c r="X336" s="46">
        <f t="shared" si="129"/>
        <v>19105.697636775658</v>
      </c>
      <c r="Y336" s="46">
        <f t="shared" si="129"/>
        <v>19362.255687279718</v>
      </c>
      <c r="Z336" s="46">
        <f t="shared" si="129"/>
        <v>19209.896507115136</v>
      </c>
      <c r="AA336" s="46">
        <f t="shared" si="129"/>
        <v>18870.032981530341</v>
      </c>
      <c r="AB336" s="46">
        <f t="shared" si="129"/>
        <v>18642.228152101401</v>
      </c>
      <c r="AC336" s="46">
        <f t="shared" si="129"/>
        <v>18776.526946107784</v>
      </c>
      <c r="AD336" s="46">
        <f t="shared" si="129"/>
        <v>19196.715542521993</v>
      </c>
      <c r="AE336" s="46">
        <f t="shared" si="129"/>
        <v>19711.360739324409</v>
      </c>
      <c r="AF336" s="46">
        <f t="shared" si="129"/>
        <v>19743.867894569703</v>
      </c>
      <c r="AG336" s="46">
        <f t="shared" si="129"/>
        <v>20206.008089607963</v>
      </c>
      <c r="AH336" s="46">
        <f t="shared" si="129"/>
        <v>20262.416899658278</v>
      </c>
      <c r="AI336" s="46">
        <f t="shared" si="129"/>
        <v>19751.668793873643</v>
      </c>
    </row>
    <row r="337" spans="1:35" x14ac:dyDescent="0.25">
      <c r="A337" s="11">
        <f>$A$82</f>
        <v>67</v>
      </c>
      <c r="M337" s="11"/>
      <c r="N337" s="11"/>
      <c r="O337" s="11"/>
      <c r="P337" s="46">
        <f>P$182*P$477</f>
        <v>12973.708193979934</v>
      </c>
      <c r="Q337" s="46">
        <f t="shared" ref="Q337:AI337" si="130">Q$182*Q$477</f>
        <v>13378.026796589525</v>
      </c>
      <c r="R337" s="46">
        <f t="shared" si="130"/>
        <v>13649.928599761999</v>
      </c>
      <c r="S337" s="46">
        <f t="shared" si="130"/>
        <v>14190.509652509652</v>
      </c>
      <c r="T337" s="46">
        <f t="shared" si="130"/>
        <v>14587.400980761977</v>
      </c>
      <c r="U337" s="46">
        <f t="shared" si="130"/>
        <v>15003.023170283193</v>
      </c>
      <c r="V337" s="46">
        <f t="shared" si="130"/>
        <v>15749.465165376496</v>
      </c>
      <c r="W337" s="46">
        <f t="shared" si="130"/>
        <v>16098.488934993084</v>
      </c>
      <c r="X337" s="46">
        <f t="shared" si="130"/>
        <v>16668.512285425782</v>
      </c>
      <c r="Y337" s="46">
        <f t="shared" si="130"/>
        <v>17232.359843546285</v>
      </c>
      <c r="Z337" s="46">
        <f t="shared" si="130"/>
        <v>17479.922580645161</v>
      </c>
      <c r="AA337" s="46">
        <f t="shared" si="130"/>
        <v>17340.576171875</v>
      </c>
      <c r="AB337" s="46">
        <f t="shared" si="130"/>
        <v>17042.4128775307</v>
      </c>
      <c r="AC337" s="46">
        <f t="shared" si="130"/>
        <v>16855.317220543806</v>
      </c>
      <c r="AD337" s="46">
        <f t="shared" si="130"/>
        <v>16967.710843373494</v>
      </c>
      <c r="AE337" s="46">
        <f t="shared" si="130"/>
        <v>17359.508357915438</v>
      </c>
      <c r="AF337" s="46">
        <f t="shared" si="130"/>
        <v>17826.038461538465</v>
      </c>
      <c r="AG337" s="46">
        <f t="shared" si="130"/>
        <v>17855.632183908048</v>
      </c>
      <c r="AH337" s="46">
        <f t="shared" si="130"/>
        <v>18276.649984360338</v>
      </c>
      <c r="AI337" s="46">
        <f t="shared" si="130"/>
        <v>18334.141161773892</v>
      </c>
    </row>
    <row r="338" spans="1:35" x14ac:dyDescent="0.25">
      <c r="A338" s="11">
        <f>$A$83</f>
        <v>68</v>
      </c>
      <c r="M338" s="11"/>
      <c r="N338" s="11"/>
      <c r="O338" s="11"/>
      <c r="P338" s="46">
        <f>P$183*P$478</f>
        <v>11390.487387772553</v>
      </c>
      <c r="Q338" s="46">
        <f t="shared" ref="Q338:AI338" si="131">Q$183*Q$478</f>
        <v>11575.952682720745</v>
      </c>
      <c r="R338" s="46">
        <f t="shared" si="131"/>
        <v>11936.333059885152</v>
      </c>
      <c r="S338" s="46">
        <f t="shared" si="131"/>
        <v>12230.756908289948</v>
      </c>
      <c r="T338" s="46">
        <f t="shared" si="131"/>
        <v>12714.717569146866</v>
      </c>
      <c r="U338" s="46">
        <f t="shared" si="131"/>
        <v>13083.618721461189</v>
      </c>
      <c r="V338" s="46">
        <f t="shared" si="131"/>
        <v>13472.460111317256</v>
      </c>
      <c r="W338" s="46">
        <f t="shared" si="131"/>
        <v>14141.143059992899</v>
      </c>
      <c r="X338" s="46">
        <f t="shared" si="131"/>
        <v>14465.020920502091</v>
      </c>
      <c r="Y338" s="46">
        <f t="shared" si="131"/>
        <v>14980.29531568228</v>
      </c>
      <c r="Z338" s="46">
        <f t="shared" si="131"/>
        <v>15488.465330266185</v>
      </c>
      <c r="AA338" s="46">
        <f t="shared" si="131"/>
        <v>15707.311443433029</v>
      </c>
      <c r="AB338" s="46">
        <f t="shared" si="131"/>
        <v>15600.393700787401</v>
      </c>
      <c r="AC338" s="46">
        <f t="shared" si="131"/>
        <v>15339.130434782608</v>
      </c>
      <c r="AD338" s="46">
        <f t="shared" si="131"/>
        <v>15161.436781609194</v>
      </c>
      <c r="AE338" s="46">
        <f t="shared" si="131"/>
        <v>15281.375126390292</v>
      </c>
      <c r="AF338" s="46">
        <f t="shared" si="131"/>
        <v>15634.877887788778</v>
      </c>
      <c r="AG338" s="46">
        <f t="shared" si="131"/>
        <v>16050.003226847371</v>
      </c>
      <c r="AH338" s="46">
        <f t="shared" si="131"/>
        <v>16091.22468659595</v>
      </c>
      <c r="AI338" s="46">
        <f t="shared" si="131"/>
        <v>16465.966624685138</v>
      </c>
    </row>
    <row r="339" spans="1:35" x14ac:dyDescent="0.25">
      <c r="A339" s="11">
        <f>$A$84</f>
        <v>69</v>
      </c>
      <c r="M339" s="11"/>
      <c r="N339" s="11"/>
      <c r="O339" s="11"/>
      <c r="P339" s="46">
        <f>P$184*P$479</f>
        <v>9896.9088507265515</v>
      </c>
      <c r="Q339" s="46">
        <f t="shared" ref="Q339:AI339" si="132">Q$184*Q$479</f>
        <v>10108.390307226309</v>
      </c>
      <c r="R339" s="46">
        <f t="shared" si="132"/>
        <v>10282.368533561352</v>
      </c>
      <c r="S339" s="46">
        <f t="shared" si="132"/>
        <v>10649.390294483615</v>
      </c>
      <c r="T339" s="46">
        <f t="shared" si="132"/>
        <v>10916.587044534414</v>
      </c>
      <c r="U339" s="46">
        <f t="shared" si="132"/>
        <v>11364.173228346455</v>
      </c>
      <c r="V339" s="46">
        <f t="shared" si="132"/>
        <v>11699.653979238754</v>
      </c>
      <c r="W339" s="46">
        <f t="shared" si="132"/>
        <v>12045.952023988006</v>
      </c>
      <c r="X339" s="46">
        <f t="shared" si="132"/>
        <v>12646.640372893511</v>
      </c>
      <c r="Y339" s="46">
        <f t="shared" si="132"/>
        <v>12945.676056338029</v>
      </c>
      <c r="Z339" s="46">
        <f t="shared" si="132"/>
        <v>13406.648389307746</v>
      </c>
      <c r="AA339" s="46">
        <f t="shared" si="132"/>
        <v>13878.603185136033</v>
      </c>
      <c r="AB339" s="46">
        <f t="shared" si="132"/>
        <v>14078.477190679356</v>
      </c>
      <c r="AC339" s="46">
        <f t="shared" si="132"/>
        <v>13974.379344587885</v>
      </c>
      <c r="AD339" s="46">
        <f t="shared" si="132"/>
        <v>13739.453441295547</v>
      </c>
      <c r="AE339" s="46">
        <f t="shared" si="132"/>
        <v>13590.896998635744</v>
      </c>
      <c r="AF339" s="46">
        <f t="shared" si="132"/>
        <v>13699.021074099253</v>
      </c>
      <c r="AG339" s="46">
        <f t="shared" si="132"/>
        <v>14023.993344425957</v>
      </c>
      <c r="AH339" s="46">
        <f t="shared" si="132"/>
        <v>14397.703318152244</v>
      </c>
      <c r="AI339" s="46">
        <f t="shared" si="132"/>
        <v>14429.867184969225</v>
      </c>
    </row>
    <row r="340" spans="1:35" x14ac:dyDescent="0.25">
      <c r="A340" s="11">
        <f>$A$85</f>
        <v>70</v>
      </c>
      <c r="M340" s="11"/>
      <c r="N340" s="11"/>
      <c r="O340" s="11"/>
      <c r="P340" s="46">
        <f>P$185*P$480</f>
        <v>8642.2142214221421</v>
      </c>
      <c r="Q340" s="46">
        <f t="shared" ref="Q340:AI340" si="133">Q$185*Q$480</f>
        <v>8752.8571428571431</v>
      </c>
      <c r="R340" s="46">
        <f t="shared" si="133"/>
        <v>8938.9078947368416</v>
      </c>
      <c r="S340" s="46">
        <f t="shared" si="133"/>
        <v>9124.166305760069</v>
      </c>
      <c r="T340" s="46">
        <f t="shared" si="133"/>
        <v>9467.3414531709368</v>
      </c>
      <c r="U340" s="46">
        <f t="shared" si="133"/>
        <v>9711.6557377049176</v>
      </c>
      <c r="V340" s="46">
        <f t="shared" si="133"/>
        <v>10113.529880478089</v>
      </c>
      <c r="W340" s="46">
        <f t="shared" si="133"/>
        <v>10414.533073929961</v>
      </c>
      <c r="X340" s="46">
        <f t="shared" si="133"/>
        <v>10729.003032600456</v>
      </c>
      <c r="Y340" s="46">
        <f t="shared" si="133"/>
        <v>11265.786802030458</v>
      </c>
      <c r="Z340" s="46">
        <f t="shared" si="133"/>
        <v>11530.744037023851</v>
      </c>
      <c r="AA340" s="46">
        <f t="shared" si="133"/>
        <v>11947.616903359889</v>
      </c>
      <c r="AB340" s="46">
        <f t="shared" si="133"/>
        <v>12367.585513078469</v>
      </c>
      <c r="AC340" s="46">
        <f t="shared" si="133"/>
        <v>12544.283819628647</v>
      </c>
      <c r="AD340" s="46">
        <f t="shared" si="133"/>
        <v>12462.364548494983</v>
      </c>
      <c r="AE340" s="46">
        <f t="shared" si="133"/>
        <v>12258.889267461669</v>
      </c>
      <c r="AF340" s="46">
        <f t="shared" si="133"/>
        <v>12134.008264462809</v>
      </c>
      <c r="AG340" s="46">
        <f t="shared" si="133"/>
        <v>12230.43910806175</v>
      </c>
      <c r="AH340" s="46">
        <f t="shared" si="133"/>
        <v>12516.916358750419</v>
      </c>
      <c r="AI340" s="46">
        <f t="shared" si="133"/>
        <v>12849.343401181877</v>
      </c>
    </row>
    <row r="341" spans="1:35" x14ac:dyDescent="0.25">
      <c r="A341" s="11">
        <f>$A$86</f>
        <v>71</v>
      </c>
      <c r="M341" s="11"/>
      <c r="N341" s="11"/>
      <c r="O341" s="11"/>
      <c r="P341" s="46">
        <f>P$186*P$481</f>
        <v>7499.622293873791</v>
      </c>
      <c r="Q341" s="46">
        <f t="shared" ref="Q341:AI341" si="134">Q$186*Q$481</f>
        <v>7615.546410608139</v>
      </c>
      <c r="R341" s="46">
        <f t="shared" si="134"/>
        <v>7716.4897959183672</v>
      </c>
      <c r="S341" s="46">
        <f t="shared" si="134"/>
        <v>7904.6215494211929</v>
      </c>
      <c r="T341" s="46">
        <f t="shared" si="134"/>
        <v>8070.3690685413012</v>
      </c>
      <c r="U341" s="46">
        <f t="shared" si="134"/>
        <v>8375.2640545144804</v>
      </c>
      <c r="V341" s="46">
        <f t="shared" si="134"/>
        <v>8596.2276692978812</v>
      </c>
      <c r="W341" s="46">
        <f t="shared" si="134"/>
        <v>8956.4418416801291</v>
      </c>
      <c r="X341" s="46">
        <f t="shared" si="134"/>
        <v>9228.3320189274436</v>
      </c>
      <c r="Y341" s="46">
        <f t="shared" si="134"/>
        <v>9505.472350230415</v>
      </c>
      <c r="Z341" s="46">
        <f t="shared" si="134"/>
        <v>9989.7172236503866</v>
      </c>
      <c r="AA341" s="46">
        <f t="shared" si="134"/>
        <v>10228.943763518386</v>
      </c>
      <c r="AB341" s="46">
        <f t="shared" si="134"/>
        <v>10598.320476858346</v>
      </c>
      <c r="AC341" s="46">
        <f t="shared" si="134"/>
        <v>10967.600950118764</v>
      </c>
      <c r="AD341" s="46">
        <f t="shared" si="134"/>
        <v>11133.154362416108</v>
      </c>
      <c r="AE341" s="46">
        <f t="shared" si="134"/>
        <v>11059.709066305819</v>
      </c>
      <c r="AF341" s="46">
        <f t="shared" si="134"/>
        <v>10881.46106133701</v>
      </c>
      <c r="AG341" s="46">
        <f t="shared" si="134"/>
        <v>10770.194986072423</v>
      </c>
      <c r="AH341" s="46">
        <f t="shared" si="134"/>
        <v>10854.973985431843</v>
      </c>
      <c r="AI341" s="46">
        <f t="shared" si="134"/>
        <v>11109.042769857433</v>
      </c>
    </row>
    <row r="342" spans="1:35" x14ac:dyDescent="0.25">
      <c r="A342" s="11">
        <f>$A$87</f>
        <v>72</v>
      </c>
      <c r="M342" s="11"/>
      <c r="N342" s="11"/>
      <c r="O342" s="11"/>
      <c r="P342" s="46">
        <f>P$187*P$482</f>
        <v>6510.8255159474675</v>
      </c>
      <c r="Q342" s="46">
        <f t="shared" ref="Q342:AI342" si="135">Q$187*Q$482</f>
        <v>6569.0576652601976</v>
      </c>
      <c r="R342" s="46">
        <f t="shared" si="135"/>
        <v>6647.5523499302008</v>
      </c>
      <c r="S342" s="46">
        <f t="shared" si="135"/>
        <v>6780.0829875518666</v>
      </c>
      <c r="T342" s="46">
        <f t="shared" si="135"/>
        <v>6950.4751131221719</v>
      </c>
      <c r="U342" s="46">
        <f t="shared" si="135"/>
        <v>7106.5446428571431</v>
      </c>
      <c r="V342" s="46">
        <f t="shared" si="135"/>
        <v>7376.261358719169</v>
      </c>
      <c r="W342" s="46">
        <f t="shared" si="135"/>
        <v>7573.4177215189875</v>
      </c>
      <c r="X342" s="46">
        <f t="shared" si="135"/>
        <v>7885.1701517015172</v>
      </c>
      <c r="Y342" s="46">
        <f t="shared" si="135"/>
        <v>8127.8911564625851</v>
      </c>
      <c r="Z342" s="46">
        <f t="shared" si="135"/>
        <v>8380.6586126266557</v>
      </c>
      <c r="AA342" s="46">
        <f t="shared" si="135"/>
        <v>8803.3333333333321</v>
      </c>
      <c r="AB342" s="46">
        <f t="shared" si="135"/>
        <v>9015.9853747714806</v>
      </c>
      <c r="AC342" s="46">
        <f t="shared" si="135"/>
        <v>9348.8055456807688</v>
      </c>
      <c r="AD342" s="46">
        <f t="shared" si="135"/>
        <v>9684.595803233573</v>
      </c>
      <c r="AE342" s="46">
        <f t="shared" si="135"/>
        <v>9823.9564921821893</v>
      </c>
      <c r="AF342" s="46">
        <f t="shared" si="135"/>
        <v>9759.8492117888964</v>
      </c>
      <c r="AG342" s="46">
        <f t="shared" si="135"/>
        <v>9608.9567341242146</v>
      </c>
      <c r="AH342" s="46">
        <f t="shared" si="135"/>
        <v>9514.4307366936901</v>
      </c>
      <c r="AI342" s="46">
        <f t="shared" si="135"/>
        <v>9594.131274131274</v>
      </c>
    </row>
    <row r="343" spans="1:35" x14ac:dyDescent="0.25">
      <c r="A343" s="11">
        <f>$A$88</f>
        <v>73</v>
      </c>
      <c r="M343" s="11"/>
      <c r="N343" s="11"/>
      <c r="O343" s="11"/>
      <c r="P343" s="46">
        <f>P$188*P$483</f>
        <v>5594.6153846153848</v>
      </c>
      <c r="Q343" s="46">
        <f t="shared" ref="Q343:AI343" si="136">Q$188*Q$483</f>
        <v>5670.9425837320568</v>
      </c>
      <c r="R343" s="46">
        <f t="shared" si="136"/>
        <v>5726.9440459110474</v>
      </c>
      <c r="S343" s="46">
        <f t="shared" si="136"/>
        <v>5814.3074003795064</v>
      </c>
      <c r="T343" s="46">
        <f t="shared" si="136"/>
        <v>5923.8233912635033</v>
      </c>
      <c r="U343" s="46">
        <f t="shared" si="136"/>
        <v>6079.147465437788</v>
      </c>
      <c r="V343" s="46">
        <f t="shared" si="136"/>
        <v>6215.6974102680606</v>
      </c>
      <c r="W343" s="46">
        <f t="shared" si="136"/>
        <v>6456.4861294583889</v>
      </c>
      <c r="X343" s="46">
        <f t="shared" si="136"/>
        <v>6629.4420600858366</v>
      </c>
      <c r="Y343" s="46">
        <f t="shared" si="136"/>
        <v>6906.6277615673189</v>
      </c>
      <c r="Z343" s="46">
        <f t="shared" si="136"/>
        <v>7117.2346482309877</v>
      </c>
      <c r="AA343" s="46">
        <f t="shared" si="136"/>
        <v>7344.7762376237624</v>
      </c>
      <c r="AB343" s="46">
        <f t="shared" si="136"/>
        <v>7719.3151721528566</v>
      </c>
      <c r="AC343" s="46">
        <f t="shared" si="136"/>
        <v>7908.6372075751951</v>
      </c>
      <c r="AD343" s="46">
        <f t="shared" si="136"/>
        <v>8199.0400577408891</v>
      </c>
      <c r="AE343" s="46">
        <f t="shared" si="136"/>
        <v>8500.429469273744</v>
      </c>
      <c r="AF343" s="46">
        <f t="shared" si="136"/>
        <v>8621.0003449465348</v>
      </c>
      <c r="AG343" s="46">
        <f t="shared" si="136"/>
        <v>8575.2450469238793</v>
      </c>
      <c r="AH343" s="46">
        <f t="shared" si="136"/>
        <v>8438.7119603680112</v>
      </c>
      <c r="AI343" s="46">
        <f t="shared" si="136"/>
        <v>8350.832440157199</v>
      </c>
    </row>
    <row r="344" spans="1:35" x14ac:dyDescent="0.25">
      <c r="A344" s="11">
        <f>$A$89</f>
        <v>74</v>
      </c>
      <c r="M344" s="11"/>
      <c r="N344" s="11"/>
      <c r="O344" s="11"/>
      <c r="P344" s="46">
        <f>P$189*P$484</f>
        <v>4067.6405797101452</v>
      </c>
      <c r="Q344" s="46">
        <f t="shared" ref="Q344:AI344" si="137">Q$189*Q$484</f>
        <v>4845.6566650270534</v>
      </c>
      <c r="R344" s="46">
        <f t="shared" si="137"/>
        <v>4913.4148727984339</v>
      </c>
      <c r="S344" s="46">
        <f t="shared" si="137"/>
        <v>4965.8036150464095</v>
      </c>
      <c r="T344" s="46">
        <f t="shared" si="137"/>
        <v>5045.6658595641647</v>
      </c>
      <c r="U344" s="46">
        <f t="shared" si="137"/>
        <v>5147.6510067114095</v>
      </c>
      <c r="V344" s="46">
        <f t="shared" si="137"/>
        <v>5284.6027268453217</v>
      </c>
      <c r="W344" s="46">
        <f t="shared" si="137"/>
        <v>5401.5616311399444</v>
      </c>
      <c r="X344" s="46">
        <f t="shared" si="137"/>
        <v>5613.3842010771996</v>
      </c>
      <c r="Y344" s="46">
        <f t="shared" si="137"/>
        <v>5764.2519685039379</v>
      </c>
      <c r="Z344" s="46">
        <f t="shared" si="137"/>
        <v>6007.2132540356833</v>
      </c>
      <c r="AA344" s="46">
        <f t="shared" si="137"/>
        <v>6198.8028169014078</v>
      </c>
      <c r="AB344" s="46">
        <f t="shared" si="137"/>
        <v>6392.5836356307937</v>
      </c>
      <c r="AC344" s="46">
        <f t="shared" si="137"/>
        <v>6721.4786291875234</v>
      </c>
      <c r="AD344" s="46">
        <f t="shared" si="137"/>
        <v>6880.9973554967883</v>
      </c>
      <c r="AE344" s="46">
        <f t="shared" si="137"/>
        <v>7141.6593245227614</v>
      </c>
      <c r="AF344" s="46">
        <f t="shared" si="137"/>
        <v>7402.541711040114</v>
      </c>
      <c r="AG344" s="46">
        <f t="shared" si="137"/>
        <v>7514.0953716690046</v>
      </c>
      <c r="AH344" s="46">
        <f t="shared" si="137"/>
        <v>7472.9070999646765</v>
      </c>
      <c r="AI344" s="46">
        <f t="shared" si="137"/>
        <v>7354.4212796549245</v>
      </c>
    </row>
    <row r="345" spans="1:35" x14ac:dyDescent="0.25">
      <c r="A345" s="11">
        <f>$A$90</f>
        <v>75</v>
      </c>
      <c r="M345" s="11"/>
      <c r="N345" s="11"/>
      <c r="O345" s="11"/>
      <c r="P345" s="46">
        <f>P$190*P$485</f>
        <v>3245.8964646464647</v>
      </c>
      <c r="Q345" s="46">
        <f t="shared" ref="Q345:AI345" si="138">Q$190*Q$485</f>
        <v>3489.5957193816885</v>
      </c>
      <c r="R345" s="46">
        <f t="shared" si="138"/>
        <v>4155.279878971256</v>
      </c>
      <c r="S345" s="46">
        <f t="shared" si="138"/>
        <v>4224.4360902255639</v>
      </c>
      <c r="T345" s="46">
        <f t="shared" si="138"/>
        <v>4267.7338669334667</v>
      </c>
      <c r="U345" s="46">
        <f t="shared" si="138"/>
        <v>4339.9653121902875</v>
      </c>
      <c r="V345" s="46">
        <f t="shared" si="138"/>
        <v>4431.6625796959297</v>
      </c>
      <c r="W345" s="46">
        <f t="shared" si="138"/>
        <v>4550.1586538461534</v>
      </c>
      <c r="X345" s="46">
        <f t="shared" si="138"/>
        <v>4649.7584083372813</v>
      </c>
      <c r="Y345" s="46">
        <f t="shared" si="138"/>
        <v>4842.4311926605506</v>
      </c>
      <c r="Z345" s="46">
        <f t="shared" si="138"/>
        <v>4965.8374274229573</v>
      </c>
      <c r="AA345" s="46">
        <f t="shared" si="138"/>
        <v>5184.7267996530791</v>
      </c>
      <c r="AB345" s="46">
        <f t="shared" si="138"/>
        <v>5347.3795435333896</v>
      </c>
      <c r="AC345" s="46">
        <f t="shared" si="138"/>
        <v>5515.4235197368425</v>
      </c>
      <c r="AD345" s="46">
        <f t="shared" si="138"/>
        <v>5795.7187745483106</v>
      </c>
      <c r="AE345" s="46">
        <f t="shared" si="138"/>
        <v>5942.8378898729306</v>
      </c>
      <c r="AF345" s="46">
        <f t="shared" si="138"/>
        <v>6161.148522259633</v>
      </c>
      <c r="AG345" s="46">
        <f t="shared" si="138"/>
        <v>6391.9016630513379</v>
      </c>
      <c r="AH345" s="46">
        <f t="shared" si="138"/>
        <v>6486.8975365940742</v>
      </c>
      <c r="AI345" s="46">
        <f t="shared" si="138"/>
        <v>6456.965120460266</v>
      </c>
    </row>
    <row r="346" spans="1:35" x14ac:dyDescent="0.25">
      <c r="A346" s="11">
        <f>$A$91</f>
        <v>76</v>
      </c>
      <c r="M346" s="11"/>
      <c r="N346" s="11"/>
      <c r="O346" s="11"/>
      <c r="P346" s="46">
        <f>P$191*P$486</f>
        <v>2644.6464646464647</v>
      </c>
      <c r="Q346" s="46">
        <f t="shared" ref="Q346:AI346" si="139">Q$191*Q$486</f>
        <v>2791.812865497076</v>
      </c>
      <c r="R346" s="46">
        <f t="shared" si="139"/>
        <v>2977.9951100244502</v>
      </c>
      <c r="S346" s="46">
        <f t="shared" si="139"/>
        <v>3565.1529289787454</v>
      </c>
      <c r="T346" s="46">
        <f t="shared" si="139"/>
        <v>3625.5664263645726</v>
      </c>
      <c r="U346" s="46">
        <f t="shared" si="139"/>
        <v>3669.5942475603492</v>
      </c>
      <c r="V346" s="46">
        <f t="shared" si="139"/>
        <v>3725.8952187182099</v>
      </c>
      <c r="W346" s="46">
        <f t="shared" si="139"/>
        <v>3807.394366197183</v>
      </c>
      <c r="X346" s="46">
        <f t="shared" si="139"/>
        <v>3907.3040906850665</v>
      </c>
      <c r="Y346" s="46">
        <f t="shared" si="139"/>
        <v>3993.0131004366808</v>
      </c>
      <c r="Z346" s="46">
        <f t="shared" si="139"/>
        <v>4158.5533114138098</v>
      </c>
      <c r="AA346" s="46">
        <f t="shared" si="139"/>
        <v>4268.2944673068132</v>
      </c>
      <c r="AB346" s="46">
        <f t="shared" si="139"/>
        <v>4461.6681455190774</v>
      </c>
      <c r="AC346" s="46">
        <f t="shared" si="139"/>
        <v>4595.2961521833122</v>
      </c>
      <c r="AD346" s="46">
        <f t="shared" si="139"/>
        <v>4744.6930193439866</v>
      </c>
      <c r="AE346" s="46">
        <f t="shared" si="139"/>
        <v>4986.190285026094</v>
      </c>
      <c r="AF346" s="46">
        <f t="shared" si="139"/>
        <v>5115.7199055861529</v>
      </c>
      <c r="AG346" s="46">
        <f t="shared" si="139"/>
        <v>5309.7058823529405</v>
      </c>
      <c r="AH346" s="46">
        <f t="shared" si="139"/>
        <v>5504.909560723514</v>
      </c>
      <c r="AI346" s="46">
        <f t="shared" si="139"/>
        <v>5588.429872495446</v>
      </c>
    </row>
    <row r="347" spans="1:35" x14ac:dyDescent="0.25">
      <c r="A347" s="11">
        <f>$A$92</f>
        <v>77</v>
      </c>
      <c r="M347" s="11"/>
      <c r="N347" s="11"/>
      <c r="O347" s="11"/>
      <c r="P347" s="46">
        <f>P$192*P$487</f>
        <v>1968.4414556962024</v>
      </c>
      <c r="Q347" s="46">
        <f t="shared" ref="Q347:AI347" si="140">Q$192*Q$487</f>
        <v>2276.8289290681505</v>
      </c>
      <c r="R347" s="46">
        <f t="shared" si="140"/>
        <v>2388.3970489604294</v>
      </c>
      <c r="S347" s="46">
        <f t="shared" si="140"/>
        <v>2558.8524590163934</v>
      </c>
      <c r="T347" s="46">
        <f t="shared" si="140"/>
        <v>3063.5470085470083</v>
      </c>
      <c r="U347" s="46">
        <f t="shared" si="140"/>
        <v>3116.6790450928379</v>
      </c>
      <c r="V347" s="46">
        <f t="shared" si="140"/>
        <v>3151.4119513484929</v>
      </c>
      <c r="W347" s="46">
        <f t="shared" si="140"/>
        <v>3200.9842931937173</v>
      </c>
      <c r="X347" s="46">
        <f t="shared" si="140"/>
        <v>3268.9032591826176</v>
      </c>
      <c r="Y347" s="46">
        <f t="shared" si="140"/>
        <v>3359.9037487335358</v>
      </c>
      <c r="Z347" s="46">
        <f t="shared" si="140"/>
        <v>3439.5211970074815</v>
      </c>
      <c r="AA347" s="46">
        <f t="shared" si="140"/>
        <v>3573.9652677279305</v>
      </c>
      <c r="AB347" s="46">
        <f t="shared" si="140"/>
        <v>3678.798122065728</v>
      </c>
      <c r="AC347" s="46">
        <f t="shared" si="140"/>
        <v>3837.8415300546449</v>
      </c>
      <c r="AD347" s="46">
        <f t="shared" si="140"/>
        <v>3962.0886917960088</v>
      </c>
      <c r="AE347" s="46">
        <f t="shared" si="140"/>
        <v>4082.8965517241377</v>
      </c>
      <c r="AF347" s="46">
        <f t="shared" si="140"/>
        <v>4295.3187988482114</v>
      </c>
      <c r="AG347" s="46">
        <f t="shared" si="140"/>
        <v>4403.166800966962</v>
      </c>
      <c r="AH347" s="46">
        <f t="shared" si="140"/>
        <v>4575.4399687133355</v>
      </c>
      <c r="AI347" s="46">
        <f t="shared" si="140"/>
        <v>4744.2387608613526</v>
      </c>
    </row>
    <row r="348" spans="1:35" x14ac:dyDescent="0.25">
      <c r="A348" s="11">
        <f>$A$93</f>
        <v>78</v>
      </c>
      <c r="M348" s="11"/>
      <c r="N348" s="11"/>
      <c r="O348" s="11"/>
      <c r="P348" s="46">
        <f>P$193*P$488</f>
        <v>1829.9999999999998</v>
      </c>
      <c r="Q348" s="46">
        <f t="shared" ref="Q348:AI348" si="141">Q$193*Q$488</f>
        <v>1674.4827586206895</v>
      </c>
      <c r="R348" s="46">
        <f t="shared" si="141"/>
        <v>1944.3763518385003</v>
      </c>
      <c r="S348" s="46">
        <f t="shared" si="141"/>
        <v>2045.7291666666665</v>
      </c>
      <c r="T348" s="46">
        <f t="shared" si="141"/>
        <v>2179.8955613577023</v>
      </c>
      <c r="U348" s="46">
        <f t="shared" si="141"/>
        <v>2614.0077390823662</v>
      </c>
      <c r="V348" s="46">
        <f t="shared" si="141"/>
        <v>2657.9484366428965</v>
      </c>
      <c r="W348" s="46">
        <f t="shared" si="141"/>
        <v>2693.2459016393441</v>
      </c>
      <c r="X348" s="46">
        <f t="shared" si="141"/>
        <v>2732.5675675675675</v>
      </c>
      <c r="Y348" s="46">
        <f t="shared" si="141"/>
        <v>2793.7179487179487</v>
      </c>
      <c r="Z348" s="46">
        <f t="shared" si="141"/>
        <v>2865.8860428646108</v>
      </c>
      <c r="AA348" s="46">
        <f t="shared" si="141"/>
        <v>2934.0359897172234</v>
      </c>
      <c r="AB348" s="46">
        <f t="shared" si="141"/>
        <v>3060.5121829935356</v>
      </c>
      <c r="AC348" s="46">
        <f t="shared" si="141"/>
        <v>3137.0454545454545</v>
      </c>
      <c r="AD348" s="46">
        <f t="shared" si="141"/>
        <v>3283.6286919831223</v>
      </c>
      <c r="AE348" s="46">
        <f t="shared" si="141"/>
        <v>3380.3377453217709</v>
      </c>
      <c r="AF348" s="46">
        <f t="shared" si="141"/>
        <v>3490.567375886525</v>
      </c>
      <c r="AG348" s="46">
        <f t="shared" si="141"/>
        <v>3673.8900634249471</v>
      </c>
      <c r="AH348" s="46">
        <f t="shared" si="141"/>
        <v>3773.478260869565</v>
      </c>
      <c r="AI348" s="46">
        <f t="shared" si="141"/>
        <v>3914.4395339493772</v>
      </c>
    </row>
    <row r="349" spans="1:35" x14ac:dyDescent="0.25">
      <c r="A349" s="11">
        <f>$A$94</f>
        <v>79</v>
      </c>
      <c r="M349" s="11"/>
      <c r="N349" s="11"/>
      <c r="O349" s="11"/>
      <c r="P349" s="46">
        <f>P$194*P$489</f>
        <v>1478.8253968253969</v>
      </c>
      <c r="Q349" s="46">
        <f t="shared" ref="Q349:AI349" si="142">Q$194*Q$489</f>
        <v>1541.1919504643963</v>
      </c>
      <c r="R349" s="46">
        <f t="shared" si="142"/>
        <v>1410.2905982905984</v>
      </c>
      <c r="S349" s="46">
        <f t="shared" si="142"/>
        <v>1633.8484621155289</v>
      </c>
      <c r="T349" s="46">
        <f t="shared" si="142"/>
        <v>1715.028901734104</v>
      </c>
      <c r="U349" s="46">
        <f t="shared" si="142"/>
        <v>1841.0719131614655</v>
      </c>
      <c r="V349" s="46">
        <f t="shared" si="142"/>
        <v>2204.7072330654419</v>
      </c>
      <c r="W349" s="46">
        <f t="shared" si="142"/>
        <v>2238.1207289293852</v>
      </c>
      <c r="X349" s="46">
        <f t="shared" si="142"/>
        <v>2265.3344671201812</v>
      </c>
      <c r="Y349" s="46">
        <f t="shared" si="142"/>
        <v>2307.208520179372</v>
      </c>
      <c r="Z349" s="46">
        <f t="shared" si="142"/>
        <v>2356.9341449916992</v>
      </c>
      <c r="AA349" s="46">
        <f t="shared" si="142"/>
        <v>2421.3752030319438</v>
      </c>
      <c r="AB349" s="46">
        <f t="shared" si="142"/>
        <v>2479.7658328898351</v>
      </c>
      <c r="AC349" s="46">
        <f t="shared" si="142"/>
        <v>2575.5246913580245</v>
      </c>
      <c r="AD349" s="46">
        <f t="shared" si="142"/>
        <v>2646.3150000000001</v>
      </c>
      <c r="AE349" s="46">
        <f t="shared" si="142"/>
        <v>2769.4721549636806</v>
      </c>
      <c r="AF349" s="46">
        <f t="shared" si="142"/>
        <v>2855.1460885956644</v>
      </c>
      <c r="AG349" s="46">
        <f t="shared" si="142"/>
        <v>2949.3867276887872</v>
      </c>
      <c r="AH349" s="46">
        <f t="shared" si="142"/>
        <v>3102.2590492804188</v>
      </c>
      <c r="AI349" s="46">
        <f t="shared" si="142"/>
        <v>3182.0025619128951</v>
      </c>
    </row>
    <row r="350" spans="1:35" x14ac:dyDescent="0.25">
      <c r="A350" s="11" t="str">
        <f>$A$280</f>
        <v>80 &amp; over</v>
      </c>
      <c r="M350" s="11"/>
      <c r="N350" s="11"/>
      <c r="O350" s="11"/>
      <c r="P350" s="46">
        <f>SUM(P$195:P$210)*P$490</f>
        <v>4197.8400617125226</v>
      </c>
      <c r="Q350" s="46">
        <f t="shared" ref="Q350:AI350" si="143">SUM(Q$195:Q$210)*Q$490</f>
        <v>4619.6581196581201</v>
      </c>
      <c r="R350" s="46">
        <f t="shared" si="143"/>
        <v>4927.9121134619854</v>
      </c>
      <c r="S350" s="46">
        <f t="shared" si="143"/>
        <v>5102.8758317356487</v>
      </c>
      <c r="T350" s="46">
        <f t="shared" si="143"/>
        <v>5382.5205006473889</v>
      </c>
      <c r="U350" s="46">
        <f t="shared" si="143"/>
        <v>5763.4730538922158</v>
      </c>
      <c r="V350" s="46">
        <f t="shared" si="143"/>
        <v>6044.1413942497047</v>
      </c>
      <c r="W350" s="46">
        <f t="shared" si="143"/>
        <v>6619.7382970880944</v>
      </c>
      <c r="X350" s="46">
        <f t="shared" si="143"/>
        <v>7201.0427528675709</v>
      </c>
      <c r="Y350" s="46">
        <f t="shared" si="143"/>
        <v>7580.6693594922099</v>
      </c>
      <c r="Z350" s="46">
        <f t="shared" si="143"/>
        <v>7959.9497013517757</v>
      </c>
      <c r="AA350" s="46">
        <f t="shared" si="143"/>
        <v>8338.2352941176468</v>
      </c>
      <c r="AB350" s="46">
        <f t="shared" si="143"/>
        <v>8617.0240415854441</v>
      </c>
      <c r="AC350" s="46">
        <f t="shared" si="143"/>
        <v>8992.2601264503573</v>
      </c>
      <c r="AD350" s="46">
        <f t="shared" si="143"/>
        <v>9268.0602006688969</v>
      </c>
      <c r="AE350" s="46">
        <f t="shared" si="143"/>
        <v>9638.2978723404249</v>
      </c>
      <c r="AF350" s="46">
        <f t="shared" si="143"/>
        <v>10016.308132305396</v>
      </c>
      <c r="AG350" s="46">
        <f t="shared" si="143"/>
        <v>10300.960384153661</v>
      </c>
      <c r="AH350" s="46">
        <f t="shared" si="143"/>
        <v>10678.608695652174</v>
      </c>
      <c r="AI350" s="46">
        <f t="shared" si="143"/>
        <v>11149.723355502152</v>
      </c>
    </row>
    <row r="351" spans="1:35" x14ac:dyDescent="0.25">
      <c r="A351" s="9" t="str">
        <f>$A$211</f>
        <v>Male total</v>
      </c>
      <c r="M351" s="11"/>
      <c r="N351" s="11"/>
      <c r="O351" s="11"/>
      <c r="P351" s="82">
        <f>SUM(P$285:P$350)</f>
        <v>1547074.4180066157</v>
      </c>
      <c r="Q351" s="82">
        <f t="shared" ref="Q351:AI351" si="144">SUM(Q$285:Q$350)</f>
        <v>1548968.4940829219</v>
      </c>
      <c r="R351" s="82">
        <f t="shared" si="144"/>
        <v>1550262.8904082219</v>
      </c>
      <c r="S351" s="82">
        <f t="shared" si="144"/>
        <v>1554830.4365142589</v>
      </c>
      <c r="T351" s="82">
        <f t="shared" si="144"/>
        <v>1562673.3887613558</v>
      </c>
      <c r="U351" s="82">
        <f t="shared" si="144"/>
        <v>1574025.3943627563</v>
      </c>
      <c r="V351" s="82">
        <f t="shared" si="144"/>
        <v>1588502.7219984788</v>
      </c>
      <c r="W351" s="82">
        <f t="shared" si="144"/>
        <v>1602818.5220894513</v>
      </c>
      <c r="X351" s="82">
        <f t="shared" si="144"/>
        <v>1616904.3094009219</v>
      </c>
      <c r="Y351" s="82">
        <f t="shared" si="144"/>
        <v>1630675.1793380643</v>
      </c>
      <c r="Z351" s="82">
        <f t="shared" si="144"/>
        <v>1644160.2521626716</v>
      </c>
      <c r="AA351" s="82">
        <f t="shared" si="144"/>
        <v>1657375.7921881739</v>
      </c>
      <c r="AB351" s="82">
        <f t="shared" si="144"/>
        <v>1670175.2573815933</v>
      </c>
      <c r="AC351" s="82">
        <f t="shared" si="144"/>
        <v>1682562.902697712</v>
      </c>
      <c r="AD351" s="82">
        <f t="shared" si="144"/>
        <v>1694376.0488832018</v>
      </c>
      <c r="AE351" s="82">
        <f t="shared" si="144"/>
        <v>1705634.1849592275</v>
      </c>
      <c r="AF351" s="82">
        <f t="shared" si="144"/>
        <v>1716565.8170725587</v>
      </c>
      <c r="AG351" s="82">
        <f t="shared" si="144"/>
        <v>1727109.544100303</v>
      </c>
      <c r="AH351" s="82">
        <f t="shared" si="144"/>
        <v>1737586.57558287</v>
      </c>
      <c r="AI351" s="82">
        <f t="shared" si="144"/>
        <v>1747958.7306182554</v>
      </c>
    </row>
    <row r="352" spans="1:35" x14ac:dyDescent="0.25">
      <c r="A352" s="9"/>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row>
    <row r="353" spans="1:35" x14ac:dyDescent="0.25">
      <c r="A353" s="9"/>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row>
    <row r="354" spans="1:35" x14ac:dyDescent="0.25">
      <c r="A354" s="9" t="s">
        <v>17</v>
      </c>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row>
    <row r="355" spans="1:35" x14ac:dyDescent="0.25">
      <c r="A355" s="11">
        <f>$A$30</f>
        <v>15</v>
      </c>
      <c r="M355" s="11"/>
      <c r="N355" s="11"/>
      <c r="O355" s="11"/>
      <c r="P355" s="16">
        <v>0.20919540229885059</v>
      </c>
      <c r="Q355" s="16">
        <v>0.208993853121967</v>
      </c>
      <c r="R355" s="16">
        <v>0.20912193608439342</v>
      </c>
      <c r="S355" s="16">
        <v>0.20755848830233953</v>
      </c>
      <c r="T355" s="16">
        <v>0.20440156768164003</v>
      </c>
      <c r="U355" s="16">
        <v>0.20146198830409356</v>
      </c>
      <c r="V355" s="16">
        <v>0.19876868953386104</v>
      </c>
      <c r="W355" s="16">
        <v>0.19611878859159071</v>
      </c>
      <c r="X355" s="16">
        <v>0.19374815688587438</v>
      </c>
      <c r="Y355" s="16">
        <v>0.19152180542848429</v>
      </c>
      <c r="Z355" s="16">
        <v>0.18934550989345511</v>
      </c>
      <c r="AA355" s="16">
        <v>0.1875</v>
      </c>
      <c r="AB355" s="16">
        <v>0.18551344743276282</v>
      </c>
      <c r="AC355" s="16">
        <v>0.18407024145500156</v>
      </c>
      <c r="AD355" s="16">
        <v>0.18239593263425485</v>
      </c>
      <c r="AE355" s="16">
        <v>0.18089816571790007</v>
      </c>
      <c r="AF355" s="16">
        <v>0.17971014492753623</v>
      </c>
      <c r="AG355" s="16">
        <v>0.17827208252740168</v>
      </c>
      <c r="AH355" s="16">
        <v>0.17732558139534885</v>
      </c>
      <c r="AI355" s="16">
        <v>0.17610877306571707</v>
      </c>
    </row>
    <row r="356" spans="1:35" x14ac:dyDescent="0.25">
      <c r="A356" s="11">
        <f>$A$31</f>
        <v>16</v>
      </c>
      <c r="M356" s="11"/>
      <c r="N356" s="11"/>
      <c r="O356" s="11"/>
      <c r="P356" s="16">
        <v>0.38424124513618679</v>
      </c>
      <c r="Q356" s="16">
        <v>0.38433813892529489</v>
      </c>
      <c r="R356" s="16">
        <v>0.38429353073704536</v>
      </c>
      <c r="S356" s="16">
        <v>0.38212634822804314</v>
      </c>
      <c r="T356" s="16">
        <v>0.37788974510966211</v>
      </c>
      <c r="U356" s="16">
        <v>0.37414358057789693</v>
      </c>
      <c r="V356" s="16">
        <v>0.37033824804856896</v>
      </c>
      <c r="W356" s="16">
        <v>0.36685018835120253</v>
      </c>
      <c r="X356" s="16">
        <v>0.36366279069767443</v>
      </c>
      <c r="Y356" s="16">
        <v>0.36082774701253278</v>
      </c>
      <c r="Z356" s="16">
        <v>0.35793913829466706</v>
      </c>
      <c r="AA356" s="16">
        <v>0.35518796992481205</v>
      </c>
      <c r="AB356" s="16">
        <v>0.35279805352798055</v>
      </c>
      <c r="AC356" s="16">
        <v>0.35064935064935066</v>
      </c>
      <c r="AD356" s="16">
        <v>0.34840507897181788</v>
      </c>
      <c r="AE356" s="16">
        <v>0.34640727957326639</v>
      </c>
      <c r="AF356" s="16">
        <v>0.34478450968144908</v>
      </c>
      <c r="AG356" s="16">
        <v>0.34308426073131953</v>
      </c>
      <c r="AH356" s="16">
        <v>0.34150222788033102</v>
      </c>
      <c r="AI356" s="16">
        <v>0.34024234693877553</v>
      </c>
    </row>
    <row r="357" spans="1:35" x14ac:dyDescent="0.25">
      <c r="A357" s="11">
        <f>$A$32</f>
        <v>17</v>
      </c>
      <c r="M357" s="11"/>
      <c r="N357" s="11"/>
      <c r="O357" s="11"/>
      <c r="P357" s="16">
        <v>0.53982300884955747</v>
      </c>
      <c r="Q357" s="16">
        <v>0.53963118731802007</v>
      </c>
      <c r="R357" s="16">
        <v>0.5400390625</v>
      </c>
      <c r="S357" s="16">
        <v>0.53765156349712828</v>
      </c>
      <c r="T357" s="16">
        <v>0.53345498783454992</v>
      </c>
      <c r="U357" s="16">
        <v>0.52970441908106525</v>
      </c>
      <c r="V357" s="16">
        <v>0.52617647058823525</v>
      </c>
      <c r="W357" s="16">
        <v>0.52240936340279764</v>
      </c>
      <c r="X357" s="16">
        <v>0.51931330472102999</v>
      </c>
      <c r="Y357" s="16">
        <v>0.51636050516647536</v>
      </c>
      <c r="Z357" s="16">
        <v>0.5135290731145653</v>
      </c>
      <c r="AA357" s="16">
        <v>0.51085340469818619</v>
      </c>
      <c r="AB357" s="16">
        <v>0.50861045130641325</v>
      </c>
      <c r="AC357" s="16">
        <v>0.5061543080156109</v>
      </c>
      <c r="AD357" s="16">
        <v>0.50402384500745157</v>
      </c>
      <c r="AE357" s="16">
        <v>0.50198594561564314</v>
      </c>
      <c r="AF357" s="16">
        <v>0.5001547508511297</v>
      </c>
      <c r="AG357" s="16">
        <v>0.4984596426370918</v>
      </c>
      <c r="AH357" s="16">
        <v>0.49702100972091567</v>
      </c>
      <c r="AI357" s="16">
        <v>0.49560577526679223</v>
      </c>
    </row>
    <row r="358" spans="1:35" x14ac:dyDescent="0.25">
      <c r="A358" s="11">
        <f>$A$33</f>
        <v>18</v>
      </c>
      <c r="M358" s="11"/>
      <c r="N358" s="11"/>
      <c r="O358" s="11"/>
      <c r="P358" s="16">
        <v>0.6408360128617363</v>
      </c>
      <c r="Q358" s="16">
        <v>0.64094179202092871</v>
      </c>
      <c r="R358" s="16">
        <v>0.64056482670089854</v>
      </c>
      <c r="S358" s="16">
        <v>0.63876368319381838</v>
      </c>
      <c r="T358" s="16">
        <v>0.63445246313147163</v>
      </c>
      <c r="U358" s="16">
        <v>0.63046080191502096</v>
      </c>
      <c r="V358" s="16">
        <v>0.62690867185249211</v>
      </c>
      <c r="W358" s="16">
        <v>0.623335263462652</v>
      </c>
      <c r="X358" s="16">
        <v>0.62035995500562424</v>
      </c>
      <c r="Y358" s="16">
        <v>0.61724915445321304</v>
      </c>
      <c r="Z358" s="16">
        <v>0.61464517953067577</v>
      </c>
      <c r="AA358" s="16">
        <v>0.61167800453514742</v>
      </c>
      <c r="AB358" s="16">
        <v>0.60948477751756436</v>
      </c>
      <c r="AC358" s="16">
        <v>0.60695499707773237</v>
      </c>
      <c r="AD358" s="16">
        <v>0.60502215657311664</v>
      </c>
      <c r="AE358" s="16">
        <v>0.60310941625110004</v>
      </c>
      <c r="AF358" s="16">
        <v>0.60132291040288632</v>
      </c>
      <c r="AG358" s="16">
        <v>0.5995736906211937</v>
      </c>
      <c r="AH358" s="16">
        <v>0.59806001818732946</v>
      </c>
      <c r="AI358" s="16">
        <v>0.59666975023126734</v>
      </c>
    </row>
    <row r="359" spans="1:35" x14ac:dyDescent="0.25">
      <c r="A359" s="11">
        <f>$A$34</f>
        <v>19</v>
      </c>
      <c r="M359" s="11"/>
      <c r="N359" s="11"/>
      <c r="O359" s="11"/>
      <c r="P359" s="16">
        <v>0.66645826820881526</v>
      </c>
      <c r="Q359" s="16">
        <v>0.66645285439384216</v>
      </c>
      <c r="R359" s="16">
        <v>0.66666666666666663</v>
      </c>
      <c r="S359" s="16">
        <v>0.66465927099841526</v>
      </c>
      <c r="T359" s="16">
        <v>0.66140738403281796</v>
      </c>
      <c r="U359" s="16">
        <v>0.65846153846153843</v>
      </c>
      <c r="V359" s="16">
        <v>0.65521292217327465</v>
      </c>
      <c r="W359" s="16">
        <v>0.65270308519671671</v>
      </c>
      <c r="X359" s="16">
        <v>0.64998578333807222</v>
      </c>
      <c r="Y359" s="16">
        <v>0.64769273279911577</v>
      </c>
      <c r="Z359" s="16">
        <v>0.64525062309609527</v>
      </c>
      <c r="AA359" s="16">
        <v>0.64333333333333331</v>
      </c>
      <c r="AB359" s="16">
        <v>0.64104706209969364</v>
      </c>
      <c r="AC359" s="16">
        <v>0.63926415636677203</v>
      </c>
      <c r="AD359" s="16">
        <v>0.63758967001434719</v>
      </c>
      <c r="AE359" s="16">
        <v>0.63602088167053361</v>
      </c>
      <c r="AF359" s="16">
        <v>0.63450460829493083</v>
      </c>
      <c r="AG359" s="16">
        <v>0.63303834808259585</v>
      </c>
      <c r="AH359" s="16">
        <v>0.63220794741559605</v>
      </c>
      <c r="AI359" s="16">
        <v>0.6308744794765021</v>
      </c>
    </row>
    <row r="360" spans="1:35" x14ac:dyDescent="0.25">
      <c r="A360" s="11">
        <f>$A$35</f>
        <v>20</v>
      </c>
      <c r="M360" s="11"/>
      <c r="N360" s="11"/>
      <c r="O360" s="11"/>
      <c r="P360" s="16">
        <v>0.69057187017001542</v>
      </c>
      <c r="Q360" s="16">
        <v>0.69060256009990639</v>
      </c>
      <c r="R360" s="16">
        <v>0.69066581713921626</v>
      </c>
      <c r="S360" s="16">
        <v>0.68966623876765087</v>
      </c>
      <c r="T360" s="16">
        <v>0.68730456535334583</v>
      </c>
      <c r="U360" s="16">
        <v>0.68555417185554168</v>
      </c>
      <c r="V360" s="16">
        <v>0.68357121166109935</v>
      </c>
      <c r="W360" s="16">
        <v>0.68204235567159854</v>
      </c>
      <c r="X360" s="16">
        <v>0.68036912751677847</v>
      </c>
      <c r="Y360" s="16">
        <v>0.67884237145265525</v>
      </c>
      <c r="Z360" s="16">
        <v>0.67749863462588744</v>
      </c>
      <c r="AA360" s="16">
        <v>0.67597153804050358</v>
      </c>
      <c r="AB360" s="16">
        <v>0.67499313752401868</v>
      </c>
      <c r="AC360" s="16">
        <v>0.67363786461199782</v>
      </c>
      <c r="AD360" s="16">
        <v>0.6726291879613856</v>
      </c>
      <c r="AE360" s="16">
        <v>0.67148526077097503</v>
      </c>
      <c r="AF360" s="16">
        <v>0.67058149527356059</v>
      </c>
      <c r="AG360" s="16">
        <v>0.6698918611269209</v>
      </c>
      <c r="AH360" s="16">
        <v>0.66928904428904434</v>
      </c>
      <c r="AI360" s="16">
        <v>0.66843657817109148</v>
      </c>
    </row>
    <row r="361" spans="1:35" x14ac:dyDescent="0.25">
      <c r="A361" s="11">
        <f>$A$36</f>
        <v>21</v>
      </c>
      <c r="M361" s="11"/>
      <c r="N361" s="11"/>
      <c r="O361" s="11"/>
      <c r="P361" s="16">
        <v>0.72118724344805807</v>
      </c>
      <c r="Q361" s="16">
        <v>0.72122524752475248</v>
      </c>
      <c r="R361" s="16">
        <v>0.72109691492676842</v>
      </c>
      <c r="S361" s="16">
        <v>0.72086376627500792</v>
      </c>
      <c r="T361" s="16">
        <v>0.72006420545746386</v>
      </c>
      <c r="U361" s="16">
        <v>0.71964956195244056</v>
      </c>
      <c r="V361" s="16">
        <v>0.71931464174454829</v>
      </c>
      <c r="W361" s="16">
        <v>0.71893041628684295</v>
      </c>
      <c r="X361" s="16">
        <v>0.71822402785838657</v>
      </c>
      <c r="Y361" s="16">
        <v>0.71796306659205367</v>
      </c>
      <c r="Z361" s="16">
        <v>0.71753794266441817</v>
      </c>
      <c r="AA361" s="16">
        <v>0.71721311475409832</v>
      </c>
      <c r="AB361" s="16">
        <v>0.7168674698795181</v>
      </c>
      <c r="AC361" s="16">
        <v>0.7165613842351003</v>
      </c>
      <c r="AD361" s="16">
        <v>0.71613436123348018</v>
      </c>
      <c r="AE361" s="16">
        <v>0.71619318181818181</v>
      </c>
      <c r="AF361" s="16">
        <v>0.71582529778786164</v>
      </c>
      <c r="AG361" s="16">
        <v>0.7156778446546288</v>
      </c>
      <c r="AH361" s="16">
        <v>0.7153430116709365</v>
      </c>
      <c r="AI361" s="16">
        <v>0.71524336928009324</v>
      </c>
    </row>
    <row r="362" spans="1:35" x14ac:dyDescent="0.25">
      <c r="A362" s="11">
        <f>$A$37</f>
        <v>22</v>
      </c>
      <c r="M362" s="11"/>
      <c r="N362" s="11"/>
      <c r="O362" s="11"/>
      <c r="P362" s="16">
        <v>0.77549140049140053</v>
      </c>
      <c r="Q362" s="16">
        <v>0.7752134049952577</v>
      </c>
      <c r="R362" s="16">
        <v>0.77527047913446678</v>
      </c>
      <c r="S362" s="16">
        <v>0.77573872472783822</v>
      </c>
      <c r="T362" s="16">
        <v>0.77660256410256412</v>
      </c>
      <c r="U362" s="16">
        <v>0.77730956239870341</v>
      </c>
      <c r="V362" s="16">
        <v>0.77826910928616555</v>
      </c>
      <c r="W362" s="16">
        <v>0.77868594781515243</v>
      </c>
      <c r="X362" s="16">
        <v>0.77927651747394233</v>
      </c>
      <c r="Y362" s="16">
        <v>0.77985948477751754</v>
      </c>
      <c r="Z362" s="16">
        <v>0.78053596614950638</v>
      </c>
      <c r="AA362" s="16">
        <v>0.78117913832199548</v>
      </c>
      <c r="AB362" s="16">
        <v>0.78132745800055081</v>
      </c>
      <c r="AC362" s="16">
        <v>0.78216454997239093</v>
      </c>
      <c r="AD362" s="16">
        <v>0.78239202657807305</v>
      </c>
      <c r="AE362" s="16">
        <v>0.78289838978345361</v>
      </c>
      <c r="AF362" s="16">
        <v>0.78315668862790033</v>
      </c>
      <c r="AG362" s="16">
        <v>0.78346681922196793</v>
      </c>
      <c r="AH362" s="16">
        <v>0.78381502890173416</v>
      </c>
      <c r="AI362" s="16">
        <v>0.78409417169107087</v>
      </c>
    </row>
    <row r="363" spans="1:35" x14ac:dyDescent="0.25">
      <c r="A363" s="11">
        <f>$A$38</f>
        <v>23</v>
      </c>
      <c r="M363" s="11"/>
      <c r="N363" s="11"/>
      <c r="O363" s="11"/>
      <c r="P363" s="16">
        <v>0.80574018126888214</v>
      </c>
      <c r="Q363" s="16">
        <v>0.80577750460971109</v>
      </c>
      <c r="R363" s="16">
        <v>0.80580075662042872</v>
      </c>
      <c r="S363" s="16">
        <v>0.80652107043986465</v>
      </c>
      <c r="T363" s="16">
        <v>0.80884184308841844</v>
      </c>
      <c r="U363" s="16">
        <v>0.81039461020211745</v>
      </c>
      <c r="V363" s="16">
        <v>0.81245944192083064</v>
      </c>
      <c r="W363" s="16">
        <v>0.8138432364096081</v>
      </c>
      <c r="X363" s="16">
        <v>0.81529263687853992</v>
      </c>
      <c r="Y363" s="16">
        <v>0.81681497391837987</v>
      </c>
      <c r="Z363" s="16">
        <v>0.81834163492528567</v>
      </c>
      <c r="AA363" s="16">
        <v>0.81959345002823258</v>
      </c>
      <c r="AB363" s="16">
        <v>0.82070921985815604</v>
      </c>
      <c r="AC363" s="16">
        <v>0.82166482910694594</v>
      </c>
      <c r="AD363" s="16">
        <v>0.82287924841116333</v>
      </c>
      <c r="AE363" s="16">
        <v>0.82377389858686612</v>
      </c>
      <c r="AF363" s="16">
        <v>0.82444444444444442</v>
      </c>
      <c r="AG363" s="16">
        <v>0.82540137614678899</v>
      </c>
      <c r="AH363" s="16">
        <v>0.82598740698340012</v>
      </c>
      <c r="AI363" s="16">
        <v>0.82672837720566961</v>
      </c>
    </row>
    <row r="364" spans="1:35" x14ac:dyDescent="0.25">
      <c r="A364" s="11">
        <f>$A$39</f>
        <v>24</v>
      </c>
      <c r="M364" s="11"/>
      <c r="N364" s="11"/>
      <c r="O364" s="11"/>
      <c r="P364" s="16">
        <v>0.81365911098027677</v>
      </c>
      <c r="Q364" s="16">
        <v>0.81367211131276462</v>
      </c>
      <c r="R364" s="16">
        <v>0.81378254211332313</v>
      </c>
      <c r="S364" s="16">
        <v>0.81516290726817042</v>
      </c>
      <c r="T364" s="16">
        <v>0.81829305598042212</v>
      </c>
      <c r="U364" s="16">
        <v>0.82110801609408857</v>
      </c>
      <c r="V364" s="16">
        <v>0.8239234449760765</v>
      </c>
      <c r="W364" s="16">
        <v>0.82650757820058041</v>
      </c>
      <c r="X364" s="16">
        <v>0.8290383406662476</v>
      </c>
      <c r="Y364" s="16">
        <v>0.831351689612015</v>
      </c>
      <c r="Z364" s="16">
        <v>0.83312995729103112</v>
      </c>
      <c r="AA364" s="16">
        <v>0.83508158508158503</v>
      </c>
      <c r="AB364" s="16">
        <v>0.8370786516853933</v>
      </c>
      <c r="AC364" s="16">
        <v>0.83860045146726858</v>
      </c>
      <c r="AD364" s="16">
        <v>0.84037301151947341</v>
      </c>
      <c r="AE364" s="16">
        <v>0.84167124793842774</v>
      </c>
      <c r="AF364" s="16">
        <v>0.8428886438809261</v>
      </c>
      <c r="AG364" s="16">
        <v>0.84438916528468766</v>
      </c>
      <c r="AH364" s="16">
        <v>0.84545195323638433</v>
      </c>
      <c r="AI364" s="16">
        <v>0.84652619589977218</v>
      </c>
    </row>
    <row r="365" spans="1:35" x14ac:dyDescent="0.25">
      <c r="A365" s="11">
        <f>$A$40</f>
        <v>25</v>
      </c>
      <c r="M365" s="11"/>
      <c r="N365" s="11"/>
      <c r="O365" s="11"/>
      <c r="P365" s="16">
        <v>0.81036952162704101</v>
      </c>
      <c r="Q365" s="16">
        <v>0.81030927835051547</v>
      </c>
      <c r="R365" s="16">
        <v>0.81035520770620106</v>
      </c>
      <c r="S365" s="16">
        <v>0.81246200607902741</v>
      </c>
      <c r="T365" s="16">
        <v>0.81615598885793872</v>
      </c>
      <c r="U365" s="16">
        <v>0.82013301088270862</v>
      </c>
      <c r="V365" s="16">
        <v>0.82354740061162079</v>
      </c>
      <c r="W365" s="16">
        <v>0.82671707624448643</v>
      </c>
      <c r="X365" s="16">
        <v>0.82961783439490444</v>
      </c>
      <c r="Y365" s="16">
        <v>0.83266066438994102</v>
      </c>
      <c r="Z365" s="16">
        <v>0.83554868624420398</v>
      </c>
      <c r="AA365" s="16">
        <v>0.83780524570394932</v>
      </c>
      <c r="AB365" s="16">
        <v>0.84010371650821092</v>
      </c>
      <c r="AC365" s="16">
        <v>0.84245623784384549</v>
      </c>
      <c r="AD365" s="16">
        <v>0.84426458275188387</v>
      </c>
      <c r="AE365" s="16">
        <v>0.84613297150610578</v>
      </c>
      <c r="AF365" s="16">
        <v>0.84770193092194723</v>
      </c>
      <c r="AG365" s="16">
        <v>0.84919552767930184</v>
      </c>
      <c r="AH365" s="16">
        <v>0.85097074104457204</v>
      </c>
      <c r="AI365" s="16">
        <v>0.85222786238014669</v>
      </c>
    </row>
    <row r="366" spans="1:35" x14ac:dyDescent="0.25">
      <c r="A366" s="11">
        <f>$A$41</f>
        <v>26</v>
      </c>
      <c r="M366" s="11"/>
      <c r="N366" s="11"/>
      <c r="O366" s="11"/>
      <c r="P366" s="16">
        <v>0.80218242865137102</v>
      </c>
      <c r="Q366" s="16">
        <v>0.8021191294387171</v>
      </c>
      <c r="R366" s="16">
        <v>0.80210772833723654</v>
      </c>
      <c r="S366" s="16">
        <v>0.80435430957351628</v>
      </c>
      <c r="T366" s="16">
        <v>0.80884109916367986</v>
      </c>
      <c r="U366" s="16">
        <v>0.8130130738826391</v>
      </c>
      <c r="V366" s="16">
        <v>0.81699346405228757</v>
      </c>
      <c r="W366" s="16">
        <v>0.82061298076923073</v>
      </c>
      <c r="X366" s="16">
        <v>0.82400247448190533</v>
      </c>
      <c r="Y366" s="16">
        <v>0.8270794246404003</v>
      </c>
      <c r="Z366" s="16">
        <v>0.82987804878048776</v>
      </c>
      <c r="AA366" s="16">
        <v>0.83272616879174255</v>
      </c>
      <c r="AB366" s="16">
        <v>0.83555555555555561</v>
      </c>
      <c r="AC366" s="16">
        <v>0.83791442334939081</v>
      </c>
      <c r="AD366" s="16">
        <v>0.8400765445598688</v>
      </c>
      <c r="AE366" s="16">
        <v>0.84235100247184835</v>
      </c>
      <c r="AF366" s="16">
        <v>0.84424258616083359</v>
      </c>
      <c r="AG366" s="16">
        <v>0.84605087014725566</v>
      </c>
      <c r="AH366" s="16">
        <v>0.84751677852348994</v>
      </c>
      <c r="AI366" s="16">
        <v>0.84925975773889639</v>
      </c>
    </row>
    <row r="367" spans="1:35" x14ac:dyDescent="0.25">
      <c r="A367" s="11">
        <f>$A$42</f>
        <v>27</v>
      </c>
      <c r="M367" s="11"/>
      <c r="N367" s="11"/>
      <c r="O367" s="11"/>
      <c r="P367" s="16">
        <v>0.79521276595744683</v>
      </c>
      <c r="Q367" s="16">
        <v>0.79513694801565116</v>
      </c>
      <c r="R367" s="16">
        <v>0.79493742889647323</v>
      </c>
      <c r="S367" s="16">
        <v>0.79733256016236587</v>
      </c>
      <c r="T367" s="16">
        <v>0.80211081794195249</v>
      </c>
      <c r="U367" s="16">
        <v>0.80622431004110395</v>
      </c>
      <c r="V367" s="16">
        <v>0.81027786077083952</v>
      </c>
      <c r="W367" s="16">
        <v>0.81401459854014602</v>
      </c>
      <c r="X367" s="16">
        <v>0.81748375664500883</v>
      </c>
      <c r="Y367" s="16">
        <v>0.82072318444241876</v>
      </c>
      <c r="Z367" s="16">
        <v>0.82376420018421859</v>
      </c>
      <c r="AA367" s="16">
        <v>0.82684242061114444</v>
      </c>
      <c r="AB367" s="16">
        <v>0.8293556085918854</v>
      </c>
      <c r="AC367" s="16">
        <v>0.83192542965336436</v>
      </c>
      <c r="AD367" s="16">
        <v>0.83440200724839697</v>
      </c>
      <c r="AE367" s="16">
        <v>0.83638320775026909</v>
      </c>
      <c r="AF367" s="16">
        <v>0.83833468505001352</v>
      </c>
      <c r="AG367" s="16">
        <v>0.84008416622830084</v>
      </c>
      <c r="AH367" s="16">
        <v>0.84185556141275697</v>
      </c>
      <c r="AI367" s="16">
        <v>0.84351044144858578</v>
      </c>
    </row>
    <row r="368" spans="1:35" x14ac:dyDescent="0.25">
      <c r="A368" s="11">
        <f>$A$43</f>
        <v>28</v>
      </c>
      <c r="M368" s="11"/>
      <c r="N368" s="11"/>
      <c r="O368" s="11"/>
      <c r="P368" s="16">
        <v>0.78879753340184999</v>
      </c>
      <c r="Q368" s="16">
        <v>0.78863515666489648</v>
      </c>
      <c r="R368" s="16">
        <v>0.7888457269700333</v>
      </c>
      <c r="S368" s="16">
        <v>0.79110360360360366</v>
      </c>
      <c r="T368" s="16">
        <v>0.79561628237973248</v>
      </c>
      <c r="U368" s="16">
        <v>0.8</v>
      </c>
      <c r="V368" s="16">
        <v>0.80409104004609622</v>
      </c>
      <c r="W368" s="16">
        <v>0.80797420111404283</v>
      </c>
      <c r="X368" s="16">
        <v>0.81140728002292917</v>
      </c>
      <c r="Y368" s="16">
        <v>0.8148362793393219</v>
      </c>
      <c r="Z368" s="16">
        <v>0.81788375558867366</v>
      </c>
      <c r="AA368" s="16">
        <v>0.82083709725986154</v>
      </c>
      <c r="AB368" s="16">
        <v>0.82363315696649031</v>
      </c>
      <c r="AC368" s="16">
        <v>0.82611241217798592</v>
      </c>
      <c r="AD368" s="16">
        <v>0.82818753573470549</v>
      </c>
      <c r="AE368" s="16">
        <v>0.83050383351588175</v>
      </c>
      <c r="AF368" s="16">
        <v>0.83253968253968258</v>
      </c>
      <c r="AG368" s="16">
        <v>0.8342189160467588</v>
      </c>
      <c r="AH368" s="16">
        <v>0.83600620796689085</v>
      </c>
      <c r="AI368" s="16">
        <v>0.83773976153447383</v>
      </c>
    </row>
    <row r="369" spans="1:35" x14ac:dyDescent="0.25">
      <c r="A369" s="11">
        <f>$A$44</f>
        <v>29</v>
      </c>
      <c r="M369" s="11"/>
      <c r="N369" s="11"/>
      <c r="O369" s="11"/>
      <c r="P369" s="16">
        <v>0.78361397336014071</v>
      </c>
      <c r="Q369" s="16">
        <v>0.78358974358974354</v>
      </c>
      <c r="R369" s="16">
        <v>0.78369823265629124</v>
      </c>
      <c r="S369" s="16">
        <v>0.78593020060456165</v>
      </c>
      <c r="T369" s="16">
        <v>0.79059474412171504</v>
      </c>
      <c r="U369" s="16">
        <v>0.79502237136465326</v>
      </c>
      <c r="V369" s="16">
        <v>0.79903900508762016</v>
      </c>
      <c r="W369" s="16">
        <v>0.80277306168647422</v>
      </c>
      <c r="X369" s="16">
        <v>0.8065630397236615</v>
      </c>
      <c r="Y369" s="16">
        <v>0.80996621621621623</v>
      </c>
      <c r="Z369" s="16">
        <v>0.81303357996585091</v>
      </c>
      <c r="AA369" s="16">
        <v>0.81597425394967815</v>
      </c>
      <c r="AB369" s="16">
        <v>0.81885342789598103</v>
      </c>
      <c r="AC369" s="16">
        <v>0.8213564213564214</v>
      </c>
      <c r="AD369" s="16">
        <v>0.82379994251221611</v>
      </c>
      <c r="AE369" s="16">
        <v>0.82561078348778438</v>
      </c>
      <c r="AF369" s="16">
        <v>0.82772543741588156</v>
      </c>
      <c r="AG369" s="16">
        <v>0.82982045277127248</v>
      </c>
      <c r="AH369" s="16">
        <v>0.8314606741573034</v>
      </c>
      <c r="AI369" s="16">
        <v>0.83303639602952406</v>
      </c>
    </row>
    <row r="370" spans="1:35" x14ac:dyDescent="0.25">
      <c r="A370" s="11">
        <f>$A$45</f>
        <v>30</v>
      </c>
      <c r="M370" s="11"/>
      <c r="N370" s="11"/>
      <c r="O370" s="11"/>
      <c r="P370" s="16">
        <v>0.77920767095634624</v>
      </c>
      <c r="Q370" s="16">
        <v>0.77928266867318785</v>
      </c>
      <c r="R370" s="16">
        <v>0.77930682976554533</v>
      </c>
      <c r="S370" s="16">
        <v>0.78164225941422594</v>
      </c>
      <c r="T370" s="16">
        <v>0.78648648648648645</v>
      </c>
      <c r="U370" s="16">
        <v>0.79080522306855272</v>
      </c>
      <c r="V370" s="16">
        <v>0.79466739967014843</v>
      </c>
      <c r="W370" s="16">
        <v>0.79861111111111116</v>
      </c>
      <c r="X370" s="16">
        <v>0.8022253129346314</v>
      </c>
      <c r="Y370" s="16">
        <v>0.80571266968325794</v>
      </c>
      <c r="Z370" s="16">
        <v>0.80902297259894829</v>
      </c>
      <c r="AA370" s="16">
        <v>0.81174825174825171</v>
      </c>
      <c r="AB370" s="16">
        <v>0.81465517241379315</v>
      </c>
      <c r="AC370" s="16">
        <v>0.81688914683691238</v>
      </c>
      <c r="AD370" s="16">
        <v>0.81939325205557134</v>
      </c>
      <c r="AE370" s="16">
        <v>0.82180175091781982</v>
      </c>
      <c r="AF370" s="16">
        <v>0.82385422418553289</v>
      </c>
      <c r="AG370" s="16">
        <v>0.82547669491525422</v>
      </c>
      <c r="AH370" s="16">
        <v>0.82714468629961591</v>
      </c>
      <c r="AI370" s="16">
        <v>0.82896090534979427</v>
      </c>
    </row>
    <row r="371" spans="1:35" x14ac:dyDescent="0.25">
      <c r="A371" s="11">
        <f>$A$46</f>
        <v>31</v>
      </c>
      <c r="M371" s="11"/>
      <c r="N371" s="11"/>
      <c r="O371" s="11"/>
      <c r="P371" s="16">
        <v>0.77586206896551724</v>
      </c>
      <c r="Q371" s="16">
        <v>0.77573621948150018</v>
      </c>
      <c r="R371" s="16">
        <v>0.77597807126837781</v>
      </c>
      <c r="S371" s="16">
        <v>0.77817079332996464</v>
      </c>
      <c r="T371" s="16">
        <v>0.78295571575695155</v>
      </c>
      <c r="U371" s="16">
        <v>0.78702472746609942</v>
      </c>
      <c r="V371" s="16">
        <v>0.79127642493979122</v>
      </c>
      <c r="W371" s="16">
        <v>0.79502433747971879</v>
      </c>
      <c r="X371" s="16">
        <v>0.79863387978142075</v>
      </c>
      <c r="Y371" s="16">
        <v>0.80196936542669583</v>
      </c>
      <c r="Z371" s="16">
        <v>0.80533926585094551</v>
      </c>
      <c r="AA371" s="16">
        <v>0.80811105062602073</v>
      </c>
      <c r="AB371" s="16">
        <v>0.81078107810781075</v>
      </c>
      <c r="AC371" s="16">
        <v>0.81332956791866706</v>
      </c>
      <c r="AD371" s="16">
        <v>0.81574443810610386</v>
      </c>
      <c r="AE371" s="16">
        <v>0.81772575250836121</v>
      </c>
      <c r="AF371" s="16">
        <v>0.81982232093281515</v>
      </c>
      <c r="AG371" s="16">
        <v>0.82161281563942434</v>
      </c>
      <c r="AH371" s="16">
        <v>0.82329945269741989</v>
      </c>
      <c r="AI371" s="16">
        <v>0.82496847414880203</v>
      </c>
    </row>
    <row r="372" spans="1:35" x14ac:dyDescent="0.25">
      <c r="A372" s="11">
        <f>$A$47</f>
        <v>32</v>
      </c>
      <c r="M372" s="11"/>
      <c r="N372" s="11"/>
      <c r="O372" s="11"/>
      <c r="P372" s="16">
        <v>0.77420198848770272</v>
      </c>
      <c r="Q372" s="16">
        <v>0.77430284076101119</v>
      </c>
      <c r="R372" s="16">
        <v>0.77416124186279422</v>
      </c>
      <c r="S372" s="16">
        <v>0.77648514851485151</v>
      </c>
      <c r="T372" s="16">
        <v>0.78105473631592104</v>
      </c>
      <c r="U372" s="16">
        <v>0.7853869653767821</v>
      </c>
      <c r="V372" s="16">
        <v>0.7894321766561514</v>
      </c>
      <c r="W372" s="16">
        <v>0.79312169312169312</v>
      </c>
      <c r="X372" s="16">
        <v>0.79684576316492917</v>
      </c>
      <c r="Y372" s="16">
        <v>0.79994600431965446</v>
      </c>
      <c r="Z372" s="16">
        <v>0.8029197080291971</v>
      </c>
      <c r="AA372" s="16">
        <v>0.80576923076923079</v>
      </c>
      <c r="AB372" s="16">
        <v>0.80871670702179177</v>
      </c>
      <c r="AC372" s="16">
        <v>0.81108997010057082</v>
      </c>
      <c r="AD372" s="16">
        <v>0.8133370535714286</v>
      </c>
      <c r="AE372" s="16">
        <v>0.8154929577464789</v>
      </c>
      <c r="AF372" s="16">
        <v>0.81740567336821812</v>
      </c>
      <c r="AG372" s="16">
        <v>0.81947873799725657</v>
      </c>
      <c r="AH372" s="16">
        <v>0.82098765432098764</v>
      </c>
      <c r="AI372" s="16">
        <v>0.82268041237113398</v>
      </c>
    </row>
    <row r="373" spans="1:35" x14ac:dyDescent="0.25">
      <c r="A373" s="11">
        <f>$A$48</f>
        <v>33</v>
      </c>
      <c r="M373" s="11"/>
      <c r="N373" s="11"/>
      <c r="O373" s="11"/>
      <c r="P373" s="16">
        <v>0.77425632471504036</v>
      </c>
      <c r="Q373" s="16">
        <v>0.77406731020088704</v>
      </c>
      <c r="R373" s="16">
        <v>0.77417682136375421</v>
      </c>
      <c r="S373" s="16">
        <v>0.77631251555113212</v>
      </c>
      <c r="T373" s="16">
        <v>0.78072111846946279</v>
      </c>
      <c r="U373" s="16">
        <v>0.78484773458776924</v>
      </c>
      <c r="V373" s="16">
        <v>0.7886506935687263</v>
      </c>
      <c r="W373" s="16">
        <v>0.79250195261650613</v>
      </c>
      <c r="X373" s="16">
        <v>0.79570455735987433</v>
      </c>
      <c r="Y373" s="16">
        <v>0.79888859486636676</v>
      </c>
      <c r="Z373" s="16">
        <v>0.80192461908580592</v>
      </c>
      <c r="AA373" s="16">
        <v>0.80465614128980467</v>
      </c>
      <c r="AB373" s="16">
        <v>0.8072321914083741</v>
      </c>
      <c r="AC373" s="16">
        <v>0.80958721704394143</v>
      </c>
      <c r="AD373" s="16">
        <v>0.81194511702986283</v>
      </c>
      <c r="AE373" s="16">
        <v>0.8139149641082275</v>
      </c>
      <c r="AF373" s="16">
        <v>0.81577480490523968</v>
      </c>
      <c r="AG373" s="16">
        <v>0.81766148814390838</v>
      </c>
      <c r="AH373" s="16">
        <v>0.8191691555796905</v>
      </c>
      <c r="AI373" s="16">
        <v>0.82066950053134968</v>
      </c>
    </row>
    <row r="374" spans="1:35" x14ac:dyDescent="0.25">
      <c r="A374" s="11">
        <f>$A$49</f>
        <v>34</v>
      </c>
      <c r="M374" s="11"/>
      <c r="N374" s="11"/>
      <c r="O374" s="11"/>
      <c r="P374" s="16">
        <v>0.77586206896551724</v>
      </c>
      <c r="Q374" s="16">
        <v>0.77583818232197288</v>
      </c>
      <c r="R374" s="16">
        <v>0.77581733264141151</v>
      </c>
      <c r="S374" s="16">
        <v>0.77780638516992795</v>
      </c>
      <c r="T374" s="16">
        <v>0.78194375925012338</v>
      </c>
      <c r="U374" s="16">
        <v>0.78599221789883267</v>
      </c>
      <c r="V374" s="16">
        <v>0.78964162984781539</v>
      </c>
      <c r="W374" s="16">
        <v>0.79300000000000004</v>
      </c>
      <c r="X374" s="16">
        <v>0.79618163054695568</v>
      </c>
      <c r="Y374" s="16">
        <v>0.79911757072411105</v>
      </c>
      <c r="Z374" s="16">
        <v>0.80204509701101201</v>
      </c>
      <c r="AA374" s="16">
        <v>0.80481991525423724</v>
      </c>
      <c r="AB374" s="16">
        <v>0.80699893955461299</v>
      </c>
      <c r="AC374" s="16">
        <v>0.80931861028817664</v>
      </c>
      <c r="AD374" s="16">
        <v>0.81134564643799467</v>
      </c>
      <c r="AE374" s="16">
        <v>0.81343283582089554</v>
      </c>
      <c r="AF374" s="16">
        <v>0.81514902925895538</v>
      </c>
      <c r="AG374" s="16">
        <v>0.81672646977642838</v>
      </c>
      <c r="AH374" s="16">
        <v>0.818304535637149</v>
      </c>
      <c r="AI374" s="16">
        <v>0.8197955890263583</v>
      </c>
    </row>
    <row r="375" spans="1:35" x14ac:dyDescent="0.25">
      <c r="A375" s="11">
        <f>$A$50</f>
        <v>35</v>
      </c>
      <c r="M375" s="11"/>
      <c r="N375" s="11"/>
      <c r="O375" s="11"/>
      <c r="P375" s="16">
        <v>0.78098229583095369</v>
      </c>
      <c r="Q375" s="16">
        <v>0.78118839763446912</v>
      </c>
      <c r="R375" s="16">
        <v>0.78132745800055081</v>
      </c>
      <c r="S375" s="16">
        <v>0.78324742268041236</v>
      </c>
      <c r="T375" s="16">
        <v>0.78691875319366378</v>
      </c>
      <c r="U375" s="16">
        <v>0.79064642507345739</v>
      </c>
      <c r="V375" s="16">
        <v>0.79406084017382905</v>
      </c>
      <c r="W375" s="16">
        <v>0.79702729044834308</v>
      </c>
      <c r="X375" s="16">
        <v>0.80004961548002973</v>
      </c>
      <c r="Y375" s="16">
        <v>0.80291783977476328</v>
      </c>
      <c r="Z375" s="16">
        <v>0.80556270924542883</v>
      </c>
      <c r="AA375" s="16">
        <v>0.80780234070221069</v>
      </c>
      <c r="AB375" s="16">
        <v>0.81008668242710791</v>
      </c>
      <c r="AC375" s="16">
        <v>0.81225348409150666</v>
      </c>
      <c r="AD375" s="16">
        <v>0.8141025641025641</v>
      </c>
      <c r="AE375" s="16">
        <v>0.81601674954200476</v>
      </c>
      <c r="AF375" s="16">
        <v>0.81760507533703408</v>
      </c>
      <c r="AG375" s="16">
        <v>0.81914316702819956</v>
      </c>
      <c r="AH375" s="16">
        <v>0.82047071702244112</v>
      </c>
      <c r="AI375" s="16">
        <v>0.82195448460508702</v>
      </c>
    </row>
    <row r="376" spans="1:35" x14ac:dyDescent="0.25">
      <c r="A376" s="11">
        <f>$A$51</f>
        <v>36</v>
      </c>
      <c r="M376" s="11"/>
      <c r="N376" s="11"/>
      <c r="O376" s="11"/>
      <c r="P376" s="16">
        <v>0.78925979680696667</v>
      </c>
      <c r="Q376" s="16">
        <v>0.78918918918918923</v>
      </c>
      <c r="R376" s="16">
        <v>0.78919372900335949</v>
      </c>
      <c r="S376" s="16">
        <v>0.79102844638949676</v>
      </c>
      <c r="T376" s="16">
        <v>0.79472741233683131</v>
      </c>
      <c r="U376" s="16">
        <v>0.79802080690180155</v>
      </c>
      <c r="V376" s="16">
        <v>0.8012648990513257</v>
      </c>
      <c r="W376" s="16">
        <v>0.80407673860911266</v>
      </c>
      <c r="X376" s="16">
        <v>0.80682643427741463</v>
      </c>
      <c r="Y376" s="16">
        <v>0.80951207491375066</v>
      </c>
      <c r="Z376" s="16">
        <v>0.81189628876461617</v>
      </c>
      <c r="AA376" s="16">
        <v>0.81411403733060594</v>
      </c>
      <c r="AB376" s="16">
        <v>0.81637396694214881</v>
      </c>
      <c r="AC376" s="16">
        <v>0.81799217731421126</v>
      </c>
      <c r="AD376" s="16">
        <v>0.82010443864229765</v>
      </c>
      <c r="AE376" s="16">
        <v>0.82179793158313441</v>
      </c>
      <c r="AF376" s="16">
        <v>0.82307092751363986</v>
      </c>
      <c r="AG376" s="16">
        <v>0.82445552348464968</v>
      </c>
      <c r="AH376" s="16">
        <v>0.82588805166846069</v>
      </c>
      <c r="AI376" s="16">
        <v>0.8272208638956805</v>
      </c>
    </row>
    <row r="377" spans="1:35" x14ac:dyDescent="0.25">
      <c r="A377" s="11">
        <f>$A$52</f>
        <v>37</v>
      </c>
      <c r="M377" s="11"/>
      <c r="N377" s="11"/>
      <c r="O377" s="11"/>
      <c r="P377" s="16">
        <v>0.79805137289636852</v>
      </c>
      <c r="Q377" s="16">
        <v>0.7983217592592593</v>
      </c>
      <c r="R377" s="16">
        <v>0.79824561403508776</v>
      </c>
      <c r="S377" s="16">
        <v>0.8</v>
      </c>
      <c r="T377" s="16">
        <v>0.80331431676174947</v>
      </c>
      <c r="U377" s="16">
        <v>0.80645981688708035</v>
      </c>
      <c r="V377" s="16">
        <v>0.80937972768532529</v>
      </c>
      <c r="W377" s="16">
        <v>0.81213733075435202</v>
      </c>
      <c r="X377" s="16">
        <v>0.81454112038140647</v>
      </c>
      <c r="Y377" s="16">
        <v>0.81713185755534168</v>
      </c>
      <c r="Z377" s="16">
        <v>0.81925055106539313</v>
      </c>
      <c r="AA377" s="16">
        <v>0.82121212121212117</v>
      </c>
      <c r="AB377" s="16">
        <v>0.82342479674796742</v>
      </c>
      <c r="AC377" s="16">
        <v>0.82525019245573517</v>
      </c>
      <c r="AD377" s="16">
        <v>0.82694300518134711</v>
      </c>
      <c r="AE377" s="16">
        <v>0.82853437094682236</v>
      </c>
      <c r="AF377" s="16">
        <v>0.82982086406743938</v>
      </c>
      <c r="AG377" s="16">
        <v>0.83118224057821377</v>
      </c>
      <c r="AH377" s="16">
        <v>0.83237747653806049</v>
      </c>
      <c r="AI377" s="16">
        <v>0.83346698743651426</v>
      </c>
    </row>
    <row r="378" spans="1:35" x14ac:dyDescent="0.25">
      <c r="A378" s="11">
        <f>$A$53</f>
        <v>38</v>
      </c>
      <c r="M378" s="11"/>
      <c r="N378" s="11"/>
      <c r="O378" s="11"/>
      <c r="P378" s="16">
        <v>0.80631578947368421</v>
      </c>
      <c r="Q378" s="16">
        <v>0.80629967618486897</v>
      </c>
      <c r="R378" s="16">
        <v>0.8059873344847438</v>
      </c>
      <c r="S378" s="16">
        <v>0.80759493670886073</v>
      </c>
      <c r="T378" s="16">
        <v>0.81061653303842962</v>
      </c>
      <c r="U378" s="16">
        <v>0.81366459627329191</v>
      </c>
      <c r="V378" s="16">
        <v>0.8163884673748103</v>
      </c>
      <c r="W378" s="16">
        <v>0.81895687061183553</v>
      </c>
      <c r="X378" s="16">
        <v>0.82130832130832132</v>
      </c>
      <c r="Y378" s="16">
        <v>0.82352941176470584</v>
      </c>
      <c r="Z378" s="16">
        <v>0.82551460028721879</v>
      </c>
      <c r="AA378" s="16">
        <v>0.82772904483430798</v>
      </c>
      <c r="AB378" s="16">
        <v>0.82943983923637277</v>
      </c>
      <c r="AC378" s="16">
        <v>0.83118524134445282</v>
      </c>
      <c r="AD378" s="16">
        <v>0.83261035978565956</v>
      </c>
      <c r="AE378" s="16">
        <v>0.83410613086038121</v>
      </c>
      <c r="AF378" s="16">
        <v>0.83543977302037653</v>
      </c>
      <c r="AG378" s="16">
        <v>0.83656364588789944</v>
      </c>
      <c r="AH378" s="16">
        <v>0.83778234086242298</v>
      </c>
      <c r="AI378" s="16">
        <v>0.83877656817003632</v>
      </c>
    </row>
    <row r="379" spans="1:35" x14ac:dyDescent="0.25">
      <c r="A379" s="11">
        <f>$A$54</f>
        <v>39</v>
      </c>
      <c r="M379" s="11"/>
      <c r="N379" s="11"/>
      <c r="O379" s="11"/>
      <c r="P379" s="16">
        <v>0.8132548776711056</v>
      </c>
      <c r="Q379" s="16">
        <v>0.81349325337331335</v>
      </c>
      <c r="R379" s="16">
        <v>0.81336067975388227</v>
      </c>
      <c r="S379" s="16">
        <v>0.8147724019467506</v>
      </c>
      <c r="T379" s="16">
        <v>0.81780016792611254</v>
      </c>
      <c r="U379" s="16">
        <v>0.82035763411279228</v>
      </c>
      <c r="V379" s="16">
        <v>0.82289707067992479</v>
      </c>
      <c r="W379" s="16">
        <v>0.82527693856998996</v>
      </c>
      <c r="X379" s="16">
        <v>0.82750873689465798</v>
      </c>
      <c r="Y379" s="16">
        <v>0.82950191570881227</v>
      </c>
      <c r="Z379" s="16">
        <v>0.83160132262635811</v>
      </c>
      <c r="AA379" s="16">
        <v>0.83341277407054337</v>
      </c>
      <c r="AB379" s="16">
        <v>0.83507154984234777</v>
      </c>
      <c r="AC379" s="16">
        <v>0.83650000000000002</v>
      </c>
      <c r="AD379" s="16">
        <v>0.8380281690140845</v>
      </c>
      <c r="AE379" s="16">
        <v>0.83925850685627224</v>
      </c>
      <c r="AF379" s="16">
        <v>0.84076923076923082</v>
      </c>
      <c r="AG379" s="16">
        <v>0.84163244353182753</v>
      </c>
      <c r="AH379" s="16">
        <v>0.84284597341673184</v>
      </c>
      <c r="AI379" s="16">
        <v>0.84389371486969855</v>
      </c>
    </row>
    <row r="380" spans="1:35" x14ac:dyDescent="0.25">
      <c r="A380" s="11">
        <f>$A$55</f>
        <v>40</v>
      </c>
      <c r="M380" s="11"/>
      <c r="N380" s="11"/>
      <c r="O380" s="11"/>
      <c r="P380" s="16">
        <v>0.8203125</v>
      </c>
      <c r="Q380" s="16">
        <v>0.82051282051282048</v>
      </c>
      <c r="R380" s="16">
        <v>0.82054344580471783</v>
      </c>
      <c r="S380" s="16">
        <v>0.82162634800349754</v>
      </c>
      <c r="T380" s="16">
        <v>0.82445141065830718</v>
      </c>
      <c r="U380" s="16">
        <v>0.82697130119810536</v>
      </c>
      <c r="V380" s="16">
        <v>0.82936181867981373</v>
      </c>
      <c r="W380" s="16">
        <v>0.83168316831683164</v>
      </c>
      <c r="X380" s="16">
        <v>0.83375125376128389</v>
      </c>
      <c r="Y380" s="16">
        <v>0.83565390353058178</v>
      </c>
      <c r="Z380" s="16">
        <v>0.83774755428298731</v>
      </c>
      <c r="AA380" s="16">
        <v>0.83929411764705886</v>
      </c>
      <c r="AB380" s="16">
        <v>0.84093067426400758</v>
      </c>
      <c r="AC380" s="16">
        <v>0.84243595940067661</v>
      </c>
      <c r="AD380" s="16">
        <v>0.84383561643835614</v>
      </c>
      <c r="AE380" s="16">
        <v>0.84493987975951901</v>
      </c>
      <c r="AF380" s="16">
        <v>0.84623166413758222</v>
      </c>
      <c r="AG380" s="16">
        <v>0.84729315628192037</v>
      </c>
      <c r="AH380" s="16">
        <v>0.84815950920245398</v>
      </c>
      <c r="AI380" s="16">
        <v>0.84920840903192318</v>
      </c>
    </row>
    <row r="381" spans="1:35" x14ac:dyDescent="0.25">
      <c r="A381" s="11">
        <f>$A$56</f>
        <v>41</v>
      </c>
      <c r="M381" s="11"/>
      <c r="N381" s="11"/>
      <c r="O381" s="11"/>
      <c r="P381" s="16">
        <v>0.82664982633407014</v>
      </c>
      <c r="Q381" s="16">
        <v>0.82662924851886499</v>
      </c>
      <c r="R381" s="16">
        <v>0.82646153846153847</v>
      </c>
      <c r="S381" s="16">
        <v>0.82793462109955418</v>
      </c>
      <c r="T381" s="16">
        <v>0.83067092651757191</v>
      </c>
      <c r="U381" s="16">
        <v>0.83300198807157055</v>
      </c>
      <c r="V381" s="16">
        <v>0.83532352124409881</v>
      </c>
      <c r="W381" s="16">
        <v>0.83756483756483757</v>
      </c>
      <c r="X381" s="16">
        <v>0.83969058415577491</v>
      </c>
      <c r="Y381" s="16">
        <v>0.84150000000000003</v>
      </c>
      <c r="Z381" s="16">
        <v>0.84308378780366877</v>
      </c>
      <c r="AA381" s="16">
        <v>0.84490960989533781</v>
      </c>
      <c r="AB381" s="16">
        <v>0.84631628343500709</v>
      </c>
      <c r="AC381" s="16">
        <v>0.84777462121212122</v>
      </c>
      <c r="AD381" s="16">
        <v>0.84919296555046975</v>
      </c>
      <c r="AE381" s="16">
        <v>0.85029791459781534</v>
      </c>
      <c r="AF381" s="16">
        <v>0.85164835164835162</v>
      </c>
      <c r="AG381" s="16">
        <v>0.85274836106908725</v>
      </c>
      <c r="AH381" s="16">
        <v>0.85365232883685416</v>
      </c>
      <c r="AI381" s="16">
        <v>0.85448521916411824</v>
      </c>
    </row>
    <row r="382" spans="1:35" x14ac:dyDescent="0.25">
      <c r="A382" s="11">
        <f>$A$57</f>
        <v>42</v>
      </c>
      <c r="M382" s="11"/>
      <c r="N382" s="11"/>
      <c r="O382" s="11"/>
      <c r="P382" s="16">
        <v>0.8327367393426619</v>
      </c>
      <c r="Q382" s="16">
        <v>0.83270321361058597</v>
      </c>
      <c r="R382" s="16">
        <v>0.83255669462566018</v>
      </c>
      <c r="S382" s="16">
        <v>0.83389518847686184</v>
      </c>
      <c r="T382" s="16">
        <v>0.83634746516454195</v>
      </c>
      <c r="U382" s="16">
        <v>0.83864426419466975</v>
      </c>
      <c r="V382" s="16">
        <v>0.84107648725212469</v>
      </c>
      <c r="W382" s="16">
        <v>0.84321329639889198</v>
      </c>
      <c r="X382" s="16">
        <v>0.84527376736584037</v>
      </c>
      <c r="Y382" s="16">
        <v>0.84721852541921749</v>
      </c>
      <c r="Z382" s="16">
        <v>0.84880239520958078</v>
      </c>
      <c r="AA382" s="16">
        <v>0.85032162295893121</v>
      </c>
      <c r="AB382" s="16">
        <v>0.85185185185185186</v>
      </c>
      <c r="AC382" s="16">
        <v>0.85316159250585477</v>
      </c>
      <c r="AD382" s="16">
        <v>0.85467863894139884</v>
      </c>
      <c r="AE382" s="16">
        <v>0.85573455157489786</v>
      </c>
      <c r="AF382" s="16">
        <v>0.85678889990089202</v>
      </c>
      <c r="AG382" s="16">
        <v>0.85771243458759028</v>
      </c>
      <c r="AH382" s="16">
        <v>0.85886792452830185</v>
      </c>
      <c r="AI382" s="16">
        <v>0.85979171958343914</v>
      </c>
    </row>
    <row r="383" spans="1:35" x14ac:dyDescent="0.25">
      <c r="A383" s="11">
        <f>$A$58</f>
        <v>43</v>
      </c>
      <c r="M383" s="11"/>
      <c r="N383" s="11"/>
      <c r="O383" s="11"/>
      <c r="P383" s="16">
        <v>0.83809214795587283</v>
      </c>
      <c r="Q383" s="16">
        <v>0.83825917505683667</v>
      </c>
      <c r="R383" s="16">
        <v>0.83825376884422109</v>
      </c>
      <c r="S383" s="16">
        <v>0.83962848297213621</v>
      </c>
      <c r="T383" s="16">
        <v>0.84184765983481191</v>
      </c>
      <c r="U383" s="16">
        <v>0.844332642793726</v>
      </c>
      <c r="V383" s="16">
        <v>0.84668787966444892</v>
      </c>
      <c r="W383" s="16">
        <v>0.84865629420084865</v>
      </c>
      <c r="X383" s="16">
        <v>0.85062240663900412</v>
      </c>
      <c r="Y383" s="16">
        <v>0.85232526516181673</v>
      </c>
      <c r="Z383" s="16">
        <v>0.85410576667552485</v>
      </c>
      <c r="AA383" s="16">
        <v>0.85571891353102414</v>
      </c>
      <c r="AB383" s="16">
        <v>0.8569664031620553</v>
      </c>
      <c r="AC383" s="16">
        <v>0.85843016362342894</v>
      </c>
      <c r="AD383" s="16">
        <v>0.85964912280701755</v>
      </c>
      <c r="AE383" s="16">
        <v>0.86098654708520184</v>
      </c>
      <c r="AF383" s="16">
        <v>0.86194477791116442</v>
      </c>
      <c r="AG383" s="16">
        <v>0.86293913904007913</v>
      </c>
      <c r="AH383" s="16">
        <v>0.86386261821801891</v>
      </c>
      <c r="AI383" s="16">
        <v>0.86482412060301506</v>
      </c>
    </row>
    <row r="384" spans="1:35" x14ac:dyDescent="0.25">
      <c r="A384" s="11">
        <f>$A$59</f>
        <v>44</v>
      </c>
      <c r="M384" s="11"/>
      <c r="N384" s="11"/>
      <c r="O384" s="11"/>
      <c r="P384" s="16">
        <v>0.84351519111401507</v>
      </c>
      <c r="Q384" s="16">
        <v>0.84353741496598644</v>
      </c>
      <c r="R384" s="16">
        <v>0.84326424870466321</v>
      </c>
      <c r="S384" s="16">
        <v>0.84470882905447719</v>
      </c>
      <c r="T384" s="16">
        <v>0.84720074234457166</v>
      </c>
      <c r="U384" s="16">
        <v>0.84958728217670432</v>
      </c>
      <c r="V384" s="16">
        <v>0.85152321798284536</v>
      </c>
      <c r="W384" s="16">
        <v>0.85346820809248558</v>
      </c>
      <c r="X384" s="16">
        <v>0.85556811758055396</v>
      </c>
      <c r="Y384" s="16">
        <v>0.8571033720287452</v>
      </c>
      <c r="Z384" s="16">
        <v>0.85892905680891551</v>
      </c>
      <c r="AA384" s="16">
        <v>0.8605577689243028</v>
      </c>
      <c r="AB384" s="16">
        <v>0.86180278884462147</v>
      </c>
      <c r="AC384" s="16">
        <v>0.86320987654320991</v>
      </c>
      <c r="AD384" s="16">
        <v>0.86442284901635458</v>
      </c>
      <c r="AE384" s="16">
        <v>0.86579378068739776</v>
      </c>
      <c r="AF384" s="16">
        <v>0.8665094339622641</v>
      </c>
      <c r="AG384" s="16">
        <v>0.86753059755219586</v>
      </c>
      <c r="AH384" s="16">
        <v>0.86869436201780414</v>
      </c>
      <c r="AI384" s="16">
        <v>0.86943546381497139</v>
      </c>
    </row>
    <row r="385" spans="1:35" x14ac:dyDescent="0.25">
      <c r="A385" s="11">
        <f>$A$60</f>
        <v>45</v>
      </c>
      <c r="M385" s="11"/>
      <c r="N385" s="11"/>
      <c r="O385" s="11"/>
      <c r="P385" s="16">
        <v>0.84909204758922985</v>
      </c>
      <c r="Q385" s="16">
        <v>0.84931506849315064</v>
      </c>
      <c r="R385" s="16">
        <v>0.84911147011308563</v>
      </c>
      <c r="S385" s="16">
        <v>0.85077519379844957</v>
      </c>
      <c r="T385" s="16">
        <v>0.85284909204758919</v>
      </c>
      <c r="U385" s="16">
        <v>0.85524280853696255</v>
      </c>
      <c r="V385" s="16">
        <v>0.85723020483032708</v>
      </c>
      <c r="W385" s="16">
        <v>0.85921325051759834</v>
      </c>
      <c r="X385" s="16">
        <v>0.86123156981786642</v>
      </c>
      <c r="Y385" s="16">
        <v>0.86291690220463535</v>
      </c>
      <c r="Z385" s="16">
        <v>0.86452861487420518</v>
      </c>
      <c r="AA385" s="16">
        <v>0.86599619461810273</v>
      </c>
      <c r="AB385" s="16">
        <v>0.8674634794156707</v>
      </c>
      <c r="AC385" s="16">
        <v>0.86874221668742213</v>
      </c>
      <c r="AD385" s="16">
        <v>0.87009138058779945</v>
      </c>
      <c r="AE385" s="16">
        <v>0.87105949277079875</v>
      </c>
      <c r="AF385" s="16">
        <v>0.87210661678746781</v>
      </c>
      <c r="AG385" s="16">
        <v>0.87331917905166312</v>
      </c>
      <c r="AH385" s="16">
        <v>0.87401007919366447</v>
      </c>
      <c r="AI385" s="16">
        <v>0.87487636003956482</v>
      </c>
    </row>
    <row r="386" spans="1:35" x14ac:dyDescent="0.25">
      <c r="A386" s="11">
        <f>$A$61</f>
        <v>46</v>
      </c>
      <c r="M386" s="11"/>
      <c r="N386" s="11"/>
      <c r="O386" s="11"/>
      <c r="P386" s="16">
        <v>0.85473176612417123</v>
      </c>
      <c r="Q386" s="16">
        <v>0.85459662288930582</v>
      </c>
      <c r="R386" s="16">
        <v>0.85453953791083637</v>
      </c>
      <c r="S386" s="16">
        <v>0.85589941972920691</v>
      </c>
      <c r="T386" s="16">
        <v>0.85838991270611054</v>
      </c>
      <c r="U386" s="16">
        <v>0.86054528361015359</v>
      </c>
      <c r="V386" s="16">
        <v>0.86253869969040242</v>
      </c>
      <c r="W386" s="16">
        <v>0.86474908200734391</v>
      </c>
      <c r="X386" s="16">
        <v>0.86648904677323857</v>
      </c>
      <c r="Y386" s="16">
        <v>0.86834490740740744</v>
      </c>
      <c r="Z386" s="16">
        <v>0.87011884550084895</v>
      </c>
      <c r="AA386" s="16">
        <v>0.87161040398450473</v>
      </c>
      <c r="AB386" s="16">
        <v>0.8726877040261154</v>
      </c>
      <c r="AC386" s="16">
        <v>0.87400318979266345</v>
      </c>
      <c r="AD386" s="16">
        <v>0.87537387836490532</v>
      </c>
      <c r="AE386" s="16">
        <v>0.87642115669797327</v>
      </c>
      <c r="AF386" s="16">
        <v>0.8775800711743772</v>
      </c>
      <c r="AG386" s="16">
        <v>0.87853966768078628</v>
      </c>
      <c r="AH386" s="16">
        <v>0.87936732766761094</v>
      </c>
      <c r="AI386" s="16">
        <v>0.88037472976219078</v>
      </c>
    </row>
    <row r="387" spans="1:35" x14ac:dyDescent="0.25">
      <c r="A387" s="11">
        <f>$A$62</f>
        <v>47</v>
      </c>
      <c r="M387" s="11"/>
      <c r="N387" s="11"/>
      <c r="O387" s="11"/>
      <c r="P387" s="16">
        <v>0.85857691172128725</v>
      </c>
      <c r="Q387" s="16">
        <v>0.85847636254140314</v>
      </c>
      <c r="R387" s="16">
        <v>0.85825788323446772</v>
      </c>
      <c r="S387" s="16">
        <v>0.85969470607340048</v>
      </c>
      <c r="T387" s="16">
        <v>0.86240310077519378</v>
      </c>
      <c r="U387" s="16">
        <v>0.86431347150259064</v>
      </c>
      <c r="V387" s="16">
        <v>0.86656200941915229</v>
      </c>
      <c r="W387" s="16">
        <v>0.86848635235732008</v>
      </c>
      <c r="X387" s="16">
        <v>0.87032495401594112</v>
      </c>
      <c r="Y387" s="16">
        <v>0.87218268090154216</v>
      </c>
      <c r="Z387" s="16">
        <v>0.87391304347826082</v>
      </c>
      <c r="AA387" s="16">
        <v>0.87503542079909324</v>
      </c>
      <c r="AB387" s="16">
        <v>0.87666297117516634</v>
      </c>
      <c r="AC387" s="16">
        <v>0.87792915531335147</v>
      </c>
      <c r="AD387" s="16">
        <v>0.87912673056443025</v>
      </c>
      <c r="AE387" s="16">
        <v>0.88017973040439346</v>
      </c>
      <c r="AF387" s="16">
        <v>0.88118811881188119</v>
      </c>
      <c r="AG387" s="16">
        <v>0.88239486813970069</v>
      </c>
      <c r="AH387" s="16">
        <v>0.88329036794000471</v>
      </c>
      <c r="AI387" s="16">
        <v>0.88392434988179669</v>
      </c>
    </row>
    <row r="388" spans="1:35" x14ac:dyDescent="0.25">
      <c r="A388" s="11">
        <f>$A$63</f>
        <v>48</v>
      </c>
      <c r="M388" s="11"/>
      <c r="N388" s="11"/>
      <c r="O388" s="11"/>
      <c r="P388" s="16">
        <v>0.86060433295324967</v>
      </c>
      <c r="Q388" s="16">
        <v>0.86047197640117989</v>
      </c>
      <c r="R388" s="16">
        <v>0.86075187969924816</v>
      </c>
      <c r="S388" s="16">
        <v>0.86186467103211728</v>
      </c>
      <c r="T388" s="16">
        <v>0.86421361120156304</v>
      </c>
      <c r="U388" s="16">
        <v>0.86629977338944641</v>
      </c>
      <c r="V388" s="16">
        <v>0.86850649350649356</v>
      </c>
      <c r="W388" s="16">
        <v>0.87063267233238906</v>
      </c>
      <c r="X388" s="16">
        <v>0.87251243781094523</v>
      </c>
      <c r="Y388" s="16">
        <v>0.87434715821812592</v>
      </c>
      <c r="Z388" s="16">
        <v>0.87604042806183113</v>
      </c>
      <c r="AA388" s="16">
        <v>0.87768739105171412</v>
      </c>
      <c r="AB388" s="16">
        <v>0.87872763419483102</v>
      </c>
      <c r="AC388" s="16">
        <v>0.88027777777777783</v>
      </c>
      <c r="AD388" s="16">
        <v>0.88148552703440741</v>
      </c>
      <c r="AE388" s="16">
        <v>0.88260405549626464</v>
      </c>
      <c r="AF388" s="16">
        <v>0.88366274706029524</v>
      </c>
      <c r="AG388" s="16">
        <v>0.88442460317460314</v>
      </c>
      <c r="AH388" s="16">
        <v>0.88550345155915255</v>
      </c>
      <c r="AI388" s="16">
        <v>0.88635830007043903</v>
      </c>
    </row>
    <row r="389" spans="1:35" x14ac:dyDescent="0.25">
      <c r="A389" s="11">
        <f>$A$64</f>
        <v>49</v>
      </c>
      <c r="M389" s="11"/>
      <c r="N389" s="11"/>
      <c r="O389" s="11"/>
      <c r="P389" s="16">
        <v>0.86112676056338033</v>
      </c>
      <c r="Q389" s="16">
        <v>0.86096866096866098</v>
      </c>
      <c r="R389" s="16">
        <v>0.86114386792452835</v>
      </c>
      <c r="S389" s="16">
        <v>0.86212075698407931</v>
      </c>
      <c r="T389" s="16">
        <v>0.86491557223264537</v>
      </c>
      <c r="U389" s="16">
        <v>0.86703691604050959</v>
      </c>
      <c r="V389" s="16">
        <v>0.86943812926274766</v>
      </c>
      <c r="W389" s="16">
        <v>0.87137740149788345</v>
      </c>
      <c r="X389" s="16">
        <v>0.87310606060606055</v>
      </c>
      <c r="Y389" s="16">
        <v>0.8749610227627066</v>
      </c>
      <c r="Z389" s="16">
        <v>0.87646333949476274</v>
      </c>
      <c r="AA389" s="16">
        <v>0.87809239940387485</v>
      </c>
      <c r="AB389" s="16">
        <v>0.87969705796679287</v>
      </c>
      <c r="AC389" s="16">
        <v>0.88094559954428941</v>
      </c>
      <c r="AD389" s="16">
        <v>0.8822055137844611</v>
      </c>
      <c r="AE389" s="16">
        <v>0.88338352039419654</v>
      </c>
      <c r="AF389" s="16">
        <v>0.88446108585183203</v>
      </c>
      <c r="AG389" s="16">
        <v>0.88540621865596791</v>
      </c>
      <c r="AH389" s="16">
        <v>0.88637493784186971</v>
      </c>
      <c r="AI389" s="16">
        <v>0.88713910761154857</v>
      </c>
    </row>
    <row r="390" spans="1:35" x14ac:dyDescent="0.25">
      <c r="A390" s="11">
        <f>$A$65</f>
        <v>50</v>
      </c>
      <c r="M390" s="11"/>
      <c r="N390" s="11"/>
      <c r="O390" s="11"/>
      <c r="P390" s="16">
        <v>0.85995881141512209</v>
      </c>
      <c r="Q390" s="16">
        <v>0.86</v>
      </c>
      <c r="R390" s="16">
        <v>0.85986898319567073</v>
      </c>
      <c r="S390" s="16">
        <v>0.86097201767304865</v>
      </c>
      <c r="T390" s="16">
        <v>0.86347197106690776</v>
      </c>
      <c r="U390" s="16">
        <v>0.86601819893316601</v>
      </c>
      <c r="V390" s="16">
        <v>0.86823992133726646</v>
      </c>
      <c r="W390" s="16">
        <v>0.87031606386445093</v>
      </c>
      <c r="X390" s="16">
        <v>0.87226396602417511</v>
      </c>
      <c r="Y390" s="16">
        <v>0.87397086763774545</v>
      </c>
      <c r="Z390" s="16">
        <v>0.87582108226462307</v>
      </c>
      <c r="AA390" s="16">
        <v>0.87731767614338685</v>
      </c>
      <c r="AB390" s="16">
        <v>0.87862481315396113</v>
      </c>
      <c r="AC390" s="16">
        <v>0.8802220274612913</v>
      </c>
      <c r="AD390" s="16">
        <v>0.88146243930305623</v>
      </c>
      <c r="AE390" s="16">
        <v>0.88271432560737229</v>
      </c>
      <c r="AF390" s="16">
        <v>0.8836124073565742</v>
      </c>
      <c r="AG390" s="16">
        <v>0.88468758380262802</v>
      </c>
      <c r="AH390" s="16">
        <v>0.8856209150326797</v>
      </c>
      <c r="AI390" s="16">
        <v>0.88659022931206377</v>
      </c>
    </row>
    <row r="391" spans="1:35" x14ac:dyDescent="0.25">
      <c r="A391" s="11">
        <f>$A$66</f>
        <v>51</v>
      </c>
      <c r="M391" s="11"/>
      <c r="N391" s="11"/>
      <c r="O391" s="11"/>
      <c r="P391" s="16">
        <v>0.85659935616037464</v>
      </c>
      <c r="Q391" s="16">
        <v>0.85672256546042957</v>
      </c>
      <c r="R391" s="16">
        <v>0.85666009574767676</v>
      </c>
      <c r="S391" s="16">
        <v>0.85791571753986329</v>
      </c>
      <c r="T391" s="16">
        <v>0.86052009456264777</v>
      </c>
      <c r="U391" s="16">
        <v>0.86301784094345324</v>
      </c>
      <c r="V391" s="16">
        <v>0.86528171230720807</v>
      </c>
      <c r="W391" s="16">
        <v>0.8674778033541598</v>
      </c>
      <c r="X391" s="16">
        <v>0.86956521739130432</v>
      </c>
      <c r="Y391" s="16">
        <v>0.87151753523434938</v>
      </c>
      <c r="Z391" s="16">
        <v>0.87325285895806859</v>
      </c>
      <c r="AA391" s="16">
        <v>0.87480389080640097</v>
      </c>
      <c r="AB391" s="16">
        <v>0.87631742095474274</v>
      </c>
      <c r="AC391" s="16">
        <v>0.87766116941529237</v>
      </c>
      <c r="AD391" s="16">
        <v>0.87899208907119841</v>
      </c>
      <c r="AE391" s="16">
        <v>0.88026353480378117</v>
      </c>
      <c r="AF391" s="16">
        <v>0.88154578549425933</v>
      </c>
      <c r="AG391" s="16">
        <v>0.88246628131021199</v>
      </c>
      <c r="AH391" s="16">
        <v>0.88330196289325091</v>
      </c>
      <c r="AI391" s="16">
        <v>0.88429543735820515</v>
      </c>
    </row>
    <row r="392" spans="1:35" x14ac:dyDescent="0.25">
      <c r="A392" s="11">
        <f>$A$67</f>
        <v>52</v>
      </c>
      <c r="M392" s="11"/>
      <c r="N392" s="11"/>
      <c r="O392" s="11"/>
      <c r="P392" s="16">
        <v>0.8523710110348941</v>
      </c>
      <c r="Q392" s="16">
        <v>0.852415812591508</v>
      </c>
      <c r="R392" s="16">
        <v>0.85226603884638019</v>
      </c>
      <c r="S392" s="16">
        <v>0.85380281690140847</v>
      </c>
      <c r="T392" s="16">
        <v>0.85636778983438033</v>
      </c>
      <c r="U392" s="16">
        <v>0.85892116182572609</v>
      </c>
      <c r="V392" s="16">
        <v>0.86112795633717409</v>
      </c>
      <c r="W392" s="16">
        <v>0.86332070707070707</v>
      </c>
      <c r="X392" s="16">
        <v>0.86543535620052769</v>
      </c>
      <c r="Y392" s="16">
        <v>0.86725663716814161</v>
      </c>
      <c r="Z392" s="16">
        <v>0.86916502301117682</v>
      </c>
      <c r="AA392" s="16">
        <v>0.870978018477222</v>
      </c>
      <c r="AB392" s="16">
        <v>0.87256135934550028</v>
      </c>
      <c r="AC392" s="16">
        <v>0.87410631022691954</v>
      </c>
      <c r="AD392" s="16">
        <v>0.8752254960914011</v>
      </c>
      <c r="AE392" s="16">
        <v>0.87635829662261377</v>
      </c>
      <c r="AF392" s="16">
        <v>0.87769164513350562</v>
      </c>
      <c r="AG392" s="16">
        <v>0.87900056148231331</v>
      </c>
      <c r="AH392" s="16">
        <v>0.87969094922737312</v>
      </c>
      <c r="AI392" s="16">
        <v>0.88059299191374663</v>
      </c>
    </row>
    <row r="393" spans="1:35" x14ac:dyDescent="0.25">
      <c r="A393" s="11">
        <f>$A$68</f>
        <v>53</v>
      </c>
      <c r="M393" s="11"/>
      <c r="N393" s="11"/>
      <c r="O393" s="11"/>
      <c r="P393" s="16">
        <v>0.84629460201280882</v>
      </c>
      <c r="Q393" s="16">
        <v>0.84631453297523129</v>
      </c>
      <c r="R393" s="16">
        <v>0.84646938177556397</v>
      </c>
      <c r="S393" s="16">
        <v>0.84780688843096852</v>
      </c>
      <c r="T393" s="16">
        <v>0.85060717311493927</v>
      </c>
      <c r="U393" s="16">
        <v>0.85313484111079296</v>
      </c>
      <c r="V393" s="16">
        <v>0.8555720653789004</v>
      </c>
      <c r="W393" s="16">
        <v>0.85801155366372761</v>
      </c>
      <c r="X393" s="16">
        <v>0.86012658227848104</v>
      </c>
      <c r="Y393" s="16">
        <v>0.86214876033057852</v>
      </c>
      <c r="Z393" s="16">
        <v>0.86395004929346042</v>
      </c>
      <c r="AA393" s="16">
        <v>0.8655683690280066</v>
      </c>
      <c r="AB393" s="16">
        <v>0.86717752234993617</v>
      </c>
      <c r="AC393" s="16">
        <v>0.8688111005991801</v>
      </c>
      <c r="AD393" s="16">
        <v>0.87009345794392523</v>
      </c>
      <c r="AE393" s="16">
        <v>0.87164808677312444</v>
      </c>
      <c r="AF393" s="16">
        <v>0.87282896673535471</v>
      </c>
      <c r="AG393" s="16">
        <v>0.87395683453237405</v>
      </c>
      <c r="AH393" s="16">
        <v>0.87482419127988753</v>
      </c>
      <c r="AI393" s="16">
        <v>0.87586397567044516</v>
      </c>
    </row>
    <row r="394" spans="1:35" x14ac:dyDescent="0.25">
      <c r="A394" s="11">
        <f>$A$69</f>
        <v>54</v>
      </c>
      <c r="M394" s="11"/>
      <c r="N394" s="11"/>
      <c r="O394" s="11"/>
      <c r="P394" s="16">
        <v>0.83818069306930698</v>
      </c>
      <c r="Q394" s="16">
        <v>0.83821733821733824</v>
      </c>
      <c r="R394" s="16">
        <v>0.83816064496864739</v>
      </c>
      <c r="S394" s="16">
        <v>0.83968347010550992</v>
      </c>
      <c r="T394" s="16">
        <v>0.84277286135693219</v>
      </c>
      <c r="U394" s="16">
        <v>0.84545711859609396</v>
      </c>
      <c r="V394" s="16">
        <v>0.84791965566714489</v>
      </c>
      <c r="W394" s="16">
        <v>0.85050625372245381</v>
      </c>
      <c r="X394" s="16">
        <v>0.8528336380255942</v>
      </c>
      <c r="Y394" s="16">
        <v>0.85478757133798355</v>
      </c>
      <c r="Z394" s="16">
        <v>0.85690626035110962</v>
      </c>
      <c r="AA394" s="16">
        <v>0.8587421797826803</v>
      </c>
      <c r="AB394" s="16">
        <v>0.86034995047870588</v>
      </c>
      <c r="AC394" s="16">
        <v>0.86180422264875245</v>
      </c>
      <c r="AD394" s="16">
        <v>0.86350710900473937</v>
      </c>
      <c r="AE394" s="16">
        <v>0.86485642946317098</v>
      </c>
      <c r="AF394" s="16">
        <v>0.86598249320857235</v>
      </c>
      <c r="AG394" s="16">
        <v>0.86729578295488052</v>
      </c>
      <c r="AH394" s="16">
        <v>0.86855001441337565</v>
      </c>
      <c r="AI394" s="16">
        <v>0.86925894618202315</v>
      </c>
    </row>
    <row r="395" spans="1:35" x14ac:dyDescent="0.25">
      <c r="A395" s="11">
        <f>$A$70</f>
        <v>55</v>
      </c>
      <c r="M395" s="11"/>
      <c r="N395" s="11"/>
      <c r="O395" s="11"/>
      <c r="P395" s="16">
        <v>0.83013698630136989</v>
      </c>
      <c r="Q395" s="16">
        <v>0.83023543990086746</v>
      </c>
      <c r="R395" s="16">
        <v>0.83012526733883285</v>
      </c>
      <c r="S395" s="16">
        <v>0.83149088736181653</v>
      </c>
      <c r="T395" s="16">
        <v>0.83470346447445687</v>
      </c>
      <c r="U395" s="16">
        <v>0.83747044917257685</v>
      </c>
      <c r="V395" s="16">
        <v>0.84037425574142333</v>
      </c>
      <c r="W395" s="16">
        <v>0.84305835010060359</v>
      </c>
      <c r="X395" s="16">
        <v>0.84521324187294955</v>
      </c>
      <c r="Y395" s="16">
        <v>0.84772657918828198</v>
      </c>
      <c r="Z395" s="16">
        <v>0.84947602413464596</v>
      </c>
      <c r="AA395" s="16">
        <v>0.85140961857379771</v>
      </c>
      <c r="AB395" s="16">
        <v>0.8532805802835477</v>
      </c>
      <c r="AC395" s="16">
        <v>0.85520661157024791</v>
      </c>
      <c r="AD395" s="16">
        <v>0.8565022421524664</v>
      </c>
      <c r="AE395" s="16">
        <v>0.85827269851312871</v>
      </c>
      <c r="AF395" s="16">
        <v>0.859375</v>
      </c>
      <c r="AG395" s="16">
        <v>0.86068298579631308</v>
      </c>
      <c r="AH395" s="16">
        <v>0.86182462356067313</v>
      </c>
      <c r="AI395" s="16">
        <v>0.86291486291486297</v>
      </c>
    </row>
    <row r="396" spans="1:35" x14ac:dyDescent="0.25">
      <c r="A396" s="11">
        <f>$A$71</f>
        <v>56</v>
      </c>
      <c r="M396" s="11"/>
      <c r="N396" s="11"/>
      <c r="O396" s="11"/>
      <c r="P396" s="16">
        <v>0.81944856211088057</v>
      </c>
      <c r="Q396" s="16">
        <v>0.81956720512039016</v>
      </c>
      <c r="R396" s="16">
        <v>0.8195348837209302</v>
      </c>
      <c r="S396" s="16">
        <v>0.82115560990522773</v>
      </c>
      <c r="T396" s="16">
        <v>0.82435667265110713</v>
      </c>
      <c r="U396" s="16">
        <v>0.82740370479270797</v>
      </c>
      <c r="V396" s="16">
        <v>0.83042320213080789</v>
      </c>
      <c r="W396" s="16">
        <v>0.83333333333333337</v>
      </c>
      <c r="X396" s="16">
        <v>0.83568345323741011</v>
      </c>
      <c r="Y396" s="16">
        <v>0.83786204837264855</v>
      </c>
      <c r="Z396" s="16">
        <v>0.83995113011606592</v>
      </c>
      <c r="AA396" s="16">
        <v>0.8423394787031151</v>
      </c>
      <c r="AB396" s="16">
        <v>0.84428950863213814</v>
      </c>
      <c r="AC396" s="16">
        <v>0.84592543714945567</v>
      </c>
      <c r="AD396" s="16">
        <v>0.84750248097915981</v>
      </c>
      <c r="AE396" s="16">
        <v>0.84903846153846152</v>
      </c>
      <c r="AF396" s="16">
        <v>0.85058562836340612</v>
      </c>
      <c r="AG396" s="16">
        <v>0.85178236397748597</v>
      </c>
      <c r="AH396" s="16">
        <v>0.85273661929241007</v>
      </c>
      <c r="AI396" s="16">
        <v>0.85406203840472672</v>
      </c>
    </row>
    <row r="397" spans="1:35" x14ac:dyDescent="0.25">
      <c r="A397" s="11">
        <f>$A$72</f>
        <v>57</v>
      </c>
      <c r="M397" s="11"/>
      <c r="N397" s="11"/>
      <c r="O397" s="11"/>
      <c r="P397" s="16">
        <v>0.80603073354595534</v>
      </c>
      <c r="Q397" s="16">
        <v>0.80605880605880609</v>
      </c>
      <c r="R397" s="16">
        <v>0.8059200488251449</v>
      </c>
      <c r="S397" s="16">
        <v>0.80788330229671013</v>
      </c>
      <c r="T397" s="16">
        <v>0.81144781144781142</v>
      </c>
      <c r="U397" s="16">
        <v>0.81455961653684839</v>
      </c>
      <c r="V397" s="16">
        <v>0.81778039446570505</v>
      </c>
      <c r="W397" s="16">
        <v>0.8204976303317536</v>
      </c>
      <c r="X397" s="16">
        <v>0.82324524012503553</v>
      </c>
      <c r="Y397" s="16">
        <v>0.82546082949308752</v>
      </c>
      <c r="Z397" s="16">
        <v>0.82815301852958756</v>
      </c>
      <c r="AA397" s="16">
        <v>0.83032711708957507</v>
      </c>
      <c r="AB397" s="16">
        <v>0.83237913486005088</v>
      </c>
      <c r="AC397" s="16">
        <v>0.83394221188973761</v>
      </c>
      <c r="AD397" s="16">
        <v>0.83591944536150542</v>
      </c>
      <c r="AE397" s="16">
        <v>0.83752481800132361</v>
      </c>
      <c r="AF397" s="16">
        <v>0.83899935856318153</v>
      </c>
      <c r="AG397" s="16">
        <v>0.84040531982267253</v>
      </c>
      <c r="AH397" s="16">
        <v>0.84172661870503596</v>
      </c>
      <c r="AI397" s="16">
        <v>0.84296520423600607</v>
      </c>
    </row>
    <row r="398" spans="1:35" x14ac:dyDescent="0.25">
      <c r="A398" s="11">
        <f>$A$73</f>
        <v>58</v>
      </c>
      <c r="M398" s="11"/>
      <c r="N398" s="11"/>
      <c r="O398" s="11"/>
      <c r="P398" s="16">
        <v>0.7916298261125847</v>
      </c>
      <c r="Q398" s="16">
        <v>0.79140034863451481</v>
      </c>
      <c r="R398" s="16">
        <v>0.79149315883402738</v>
      </c>
      <c r="S398" s="16">
        <v>0.79346165597311336</v>
      </c>
      <c r="T398" s="16">
        <v>0.79720496894409942</v>
      </c>
      <c r="U398" s="16">
        <v>0.80061255742725879</v>
      </c>
      <c r="V398" s="16">
        <v>0.8039568345323741</v>
      </c>
      <c r="W398" s="16">
        <v>0.80706921944035348</v>
      </c>
      <c r="X398" s="16">
        <v>0.8100177830468287</v>
      </c>
      <c r="Y398" s="16">
        <v>0.81290872903042366</v>
      </c>
      <c r="Z398" s="16">
        <v>0.81550879215912364</v>
      </c>
      <c r="AA398" s="16">
        <v>0.81763826606875933</v>
      </c>
      <c r="AB398" s="16">
        <v>0.8201834862385321</v>
      </c>
      <c r="AC398" s="16">
        <v>0.82214444797963726</v>
      </c>
      <c r="AD398" s="16">
        <v>0.82397874460312193</v>
      </c>
      <c r="AE398" s="16">
        <v>0.826015186530208</v>
      </c>
      <c r="AF398" s="16">
        <v>0.82759761747187288</v>
      </c>
      <c r="AG398" s="16">
        <v>0.82905708787684418</v>
      </c>
      <c r="AH398" s="16">
        <v>0.83027232425585817</v>
      </c>
      <c r="AI398" s="16">
        <v>0.83171723490772598</v>
      </c>
    </row>
    <row r="399" spans="1:35" x14ac:dyDescent="0.25">
      <c r="A399" s="11">
        <f>$A$74</f>
        <v>59</v>
      </c>
      <c r="M399" s="11"/>
      <c r="N399" s="11"/>
      <c r="O399" s="11"/>
      <c r="P399" s="16">
        <v>0.77334542157751585</v>
      </c>
      <c r="Q399" s="16">
        <v>0.77318369757826344</v>
      </c>
      <c r="R399" s="16">
        <v>0.77328288707799764</v>
      </c>
      <c r="S399" s="16">
        <v>0.77546158427635492</v>
      </c>
      <c r="T399" s="16">
        <v>0.77957811066951999</v>
      </c>
      <c r="U399" s="16">
        <v>0.78340584213797393</v>
      </c>
      <c r="V399" s="16">
        <v>0.78731228930432118</v>
      </c>
      <c r="W399" s="16">
        <v>0.7906418716256749</v>
      </c>
      <c r="X399" s="16">
        <v>0.79398762157382852</v>
      </c>
      <c r="Y399" s="16">
        <v>0.79685646500593121</v>
      </c>
      <c r="Z399" s="16">
        <v>0.79971550497866284</v>
      </c>
      <c r="AA399" s="16">
        <v>0.80247981545559399</v>
      </c>
      <c r="AB399" s="16">
        <v>0.80472488038277512</v>
      </c>
      <c r="AC399" s="16">
        <v>0.80703363914373094</v>
      </c>
      <c r="AD399" s="16">
        <v>0.80916030534351147</v>
      </c>
      <c r="AE399" s="16">
        <v>0.81108897742363872</v>
      </c>
      <c r="AF399" s="16">
        <v>0.81320132013201318</v>
      </c>
      <c r="AG399" s="16">
        <v>0.814753556070129</v>
      </c>
      <c r="AH399" s="16">
        <v>0.81602564102564101</v>
      </c>
      <c r="AI399" s="16">
        <v>0.81766381766381768</v>
      </c>
    </row>
    <row r="400" spans="1:35" x14ac:dyDescent="0.25">
      <c r="A400" s="11">
        <f>$A$75</f>
        <v>60</v>
      </c>
      <c r="M400" s="11"/>
      <c r="N400" s="11"/>
      <c r="O400" s="11"/>
      <c r="P400" s="16">
        <v>0.74881516587677721</v>
      </c>
      <c r="Q400" s="16">
        <v>0.74886398061193582</v>
      </c>
      <c r="R400" s="16">
        <v>0.74903817697543651</v>
      </c>
      <c r="S400" s="16">
        <v>0.75138443602448268</v>
      </c>
      <c r="T400" s="16">
        <v>0.75588673621460511</v>
      </c>
      <c r="U400" s="16">
        <v>0.76017130620985007</v>
      </c>
      <c r="V400" s="16">
        <v>0.76430348258706471</v>
      </c>
      <c r="W400" s="16">
        <v>0.7681692732290708</v>
      </c>
      <c r="X400" s="16">
        <v>0.771608643457383</v>
      </c>
      <c r="Y400" s="16">
        <v>0.77499262754349751</v>
      </c>
      <c r="Z400" s="16">
        <v>0.77781073865321859</v>
      </c>
      <c r="AA400" s="16">
        <v>0.78081411898662112</v>
      </c>
      <c r="AB400" s="16">
        <v>0.78338621286414767</v>
      </c>
      <c r="AC400" s="16">
        <v>0.78612025127131324</v>
      </c>
      <c r="AD400" s="16">
        <v>0.78837920489296631</v>
      </c>
      <c r="AE400" s="16">
        <v>0.79039440203562339</v>
      </c>
      <c r="AF400" s="16">
        <v>0.79249667994687911</v>
      </c>
      <c r="AG400" s="16">
        <v>0.79445727482678985</v>
      </c>
      <c r="AH400" s="16">
        <v>0.79596560846560849</v>
      </c>
      <c r="AI400" s="16">
        <v>0.7975008010253124</v>
      </c>
    </row>
    <row r="401" spans="1:35" x14ac:dyDescent="0.25">
      <c r="A401" s="11">
        <f>$A$76</f>
        <v>61</v>
      </c>
      <c r="M401" s="11"/>
      <c r="N401" s="11"/>
      <c r="O401" s="11"/>
      <c r="P401" s="16">
        <v>0.71580302542645635</v>
      </c>
      <c r="Q401" s="16">
        <v>0.71577946768060841</v>
      </c>
      <c r="R401" s="16">
        <v>0.71584699453551914</v>
      </c>
      <c r="S401" s="16">
        <v>0.7186480877557071</v>
      </c>
      <c r="T401" s="16">
        <v>0.72345390898483075</v>
      </c>
      <c r="U401" s="16">
        <v>0.7282219570405728</v>
      </c>
      <c r="V401" s="16">
        <v>0.73247627793082337</v>
      </c>
      <c r="W401" s="16">
        <v>0.73677660236465459</v>
      </c>
      <c r="X401" s="16">
        <v>0.74049079754601232</v>
      </c>
      <c r="Y401" s="16">
        <v>0.74414414414414409</v>
      </c>
      <c r="Z401" s="16">
        <v>0.74749262536873151</v>
      </c>
      <c r="AA401" s="16">
        <v>0.7504451038575668</v>
      </c>
      <c r="AB401" s="16">
        <v>0.75341685649202739</v>
      </c>
      <c r="AC401" s="16">
        <v>0.75620311598384304</v>
      </c>
      <c r="AD401" s="16">
        <v>0.75860005982650314</v>
      </c>
      <c r="AE401" s="16">
        <v>0.76116207951070336</v>
      </c>
      <c r="AF401" s="16">
        <v>0.76311605723370435</v>
      </c>
      <c r="AG401" s="16">
        <v>0.76535014935280454</v>
      </c>
      <c r="AH401" s="16">
        <v>0.76689746125947911</v>
      </c>
      <c r="AI401" s="16">
        <v>0.7686715135492399</v>
      </c>
    </row>
    <row r="402" spans="1:35" x14ac:dyDescent="0.25">
      <c r="A402" s="11">
        <f>$A$77</f>
        <v>62</v>
      </c>
      <c r="M402" s="11"/>
      <c r="N402" s="11"/>
      <c r="O402" s="11"/>
      <c r="P402" s="16">
        <v>0.67301269205076819</v>
      </c>
      <c r="Q402" s="16">
        <v>0.67344961240310075</v>
      </c>
      <c r="R402" s="16">
        <v>0.6734434561626429</v>
      </c>
      <c r="S402" s="16">
        <v>0.67620206938527083</v>
      </c>
      <c r="T402" s="16">
        <v>0.68150786583555956</v>
      </c>
      <c r="U402" s="16">
        <v>0.68633177570093462</v>
      </c>
      <c r="V402" s="16">
        <v>0.69095252314123623</v>
      </c>
      <c r="W402" s="16">
        <v>0.69546568627450978</v>
      </c>
      <c r="X402" s="16">
        <v>0.69956413449564137</v>
      </c>
      <c r="Y402" s="16">
        <v>0.7034080442124655</v>
      </c>
      <c r="Z402" s="16">
        <v>0.70703125</v>
      </c>
      <c r="AA402" s="16">
        <v>0.71044864226682414</v>
      </c>
      <c r="AB402" s="16">
        <v>0.71347980997624705</v>
      </c>
      <c r="AC402" s="16">
        <v>0.7165242165242165</v>
      </c>
      <c r="AD402" s="16">
        <v>0.71911085450346424</v>
      </c>
      <c r="AE402" s="16">
        <v>0.7217235188509874</v>
      </c>
      <c r="AF402" s="16">
        <v>0.7240746405628633</v>
      </c>
      <c r="AG402" s="16">
        <v>0.72623211446740854</v>
      </c>
      <c r="AH402" s="16">
        <v>0.72826808228268081</v>
      </c>
      <c r="AI402" s="16">
        <v>0.72972972972972971</v>
      </c>
    </row>
    <row r="403" spans="1:35" x14ac:dyDescent="0.25">
      <c r="A403" s="11">
        <f>$A$78</f>
        <v>63</v>
      </c>
      <c r="M403" s="11"/>
      <c r="N403" s="11"/>
      <c r="O403" s="11"/>
      <c r="P403" s="16">
        <v>0.61333794056668967</v>
      </c>
      <c r="Q403" s="16">
        <v>0.61301140174379609</v>
      </c>
      <c r="R403" s="16">
        <v>0.61321671525753163</v>
      </c>
      <c r="S403" s="16">
        <v>0.61592356687898087</v>
      </c>
      <c r="T403" s="16">
        <v>0.62145687290460228</v>
      </c>
      <c r="U403" s="16">
        <v>0.62663495838287753</v>
      </c>
      <c r="V403" s="16">
        <v>0.63165593914569929</v>
      </c>
      <c r="W403" s="16">
        <v>0.63636363636363635</v>
      </c>
      <c r="X403" s="16">
        <v>0.64099416999079473</v>
      </c>
      <c r="Y403" s="16">
        <v>0.64495012468827928</v>
      </c>
      <c r="Z403" s="16">
        <v>0.64843269821757832</v>
      </c>
      <c r="AA403" s="16">
        <v>0.65203007518796996</v>
      </c>
      <c r="AB403" s="16">
        <v>0.65543735224586286</v>
      </c>
      <c r="AC403" s="16">
        <v>0.65854383358098068</v>
      </c>
      <c r="AD403" s="16">
        <v>0.66143753565316599</v>
      </c>
      <c r="AE403" s="16">
        <v>0.66396995088124822</v>
      </c>
      <c r="AF403" s="16">
        <v>0.66646706586826343</v>
      </c>
      <c r="AG403" s="16">
        <v>0.66860465116279066</v>
      </c>
      <c r="AH403" s="16">
        <v>0.67080152671755722</v>
      </c>
      <c r="AI403" s="16">
        <v>0.67252820172528205</v>
      </c>
    </row>
    <row r="404" spans="1:35" x14ac:dyDescent="0.25">
      <c r="A404" s="11">
        <f>$A$79</f>
        <v>64</v>
      </c>
      <c r="M404" s="11"/>
      <c r="N404" s="11"/>
      <c r="O404" s="11"/>
      <c r="P404" s="16">
        <v>0.55035460992907803</v>
      </c>
      <c r="Q404" s="16">
        <v>0.55031228313671066</v>
      </c>
      <c r="R404" s="16">
        <v>0.55013458950201888</v>
      </c>
      <c r="S404" s="16">
        <v>0.55346116347091323</v>
      </c>
      <c r="T404" s="16">
        <v>0.55906768837803322</v>
      </c>
      <c r="U404" s="16">
        <v>0.56461961503208069</v>
      </c>
      <c r="V404" s="16">
        <v>0.56959761549925481</v>
      </c>
      <c r="W404" s="16">
        <v>0.57448680351906156</v>
      </c>
      <c r="X404" s="16">
        <v>0.57866347018279896</v>
      </c>
      <c r="Y404" s="16">
        <v>0.58284660313556713</v>
      </c>
      <c r="Z404" s="16">
        <v>0.58682073703935045</v>
      </c>
      <c r="AA404" s="16">
        <v>0.59051724137931039</v>
      </c>
      <c r="AB404" s="16">
        <v>0.59385357035251585</v>
      </c>
      <c r="AC404" s="16">
        <v>0.59709887507400827</v>
      </c>
      <c r="AD404" s="16">
        <v>0.60017862459065197</v>
      </c>
      <c r="AE404" s="16">
        <v>0.60268494715795484</v>
      </c>
      <c r="AF404" s="16">
        <v>0.60532407407407407</v>
      </c>
      <c r="AG404" s="16">
        <v>0.60749625187406298</v>
      </c>
      <c r="AH404" s="16">
        <v>0.60968137254901966</v>
      </c>
      <c r="AI404" s="16">
        <v>0.61158866602992679</v>
      </c>
    </row>
    <row r="405" spans="1:35" x14ac:dyDescent="0.25">
      <c r="A405" s="11">
        <f>$A$80</f>
        <v>65</v>
      </c>
      <c r="M405" s="11"/>
      <c r="N405" s="11"/>
      <c r="O405" s="11"/>
      <c r="P405" s="16">
        <v>0.48558920102152497</v>
      </c>
      <c r="Q405" s="16">
        <v>0.48574483250178191</v>
      </c>
      <c r="R405" s="16">
        <v>0.48536585365853657</v>
      </c>
      <c r="S405" s="16">
        <v>0.48851351351351352</v>
      </c>
      <c r="T405" s="16">
        <v>0.49413298565840941</v>
      </c>
      <c r="U405" s="16">
        <v>0.49983989753442204</v>
      </c>
      <c r="V405" s="16">
        <v>0.50475022984983142</v>
      </c>
      <c r="W405" s="16">
        <v>0.50956365809922299</v>
      </c>
      <c r="X405" s="16">
        <v>0.51411764705882357</v>
      </c>
      <c r="Y405" s="16">
        <v>0.51832932692307687</v>
      </c>
      <c r="Z405" s="16">
        <v>0.52203389830508473</v>
      </c>
      <c r="AA405" s="16">
        <v>0.5258215962441315</v>
      </c>
      <c r="AB405" s="16">
        <v>0.52932098765432101</v>
      </c>
      <c r="AC405" s="16">
        <v>0.53246753246753242</v>
      </c>
      <c r="AD405" s="16">
        <v>0.53544942153663599</v>
      </c>
      <c r="AE405" s="16">
        <v>0.53818615751789978</v>
      </c>
      <c r="AF405" s="16">
        <v>0.54050959060979098</v>
      </c>
      <c r="AG405" s="16">
        <v>0.54305595824876773</v>
      </c>
      <c r="AH405" s="16">
        <v>0.54490838089516369</v>
      </c>
      <c r="AI405" s="16">
        <v>0.54696132596685088</v>
      </c>
    </row>
    <row r="406" spans="1:35" x14ac:dyDescent="0.25">
      <c r="A406" s="11">
        <f>$A$81</f>
        <v>66</v>
      </c>
      <c r="M406" s="11"/>
      <c r="N406" s="11"/>
      <c r="O406" s="11"/>
      <c r="P406" s="16">
        <v>0.41742424242424242</v>
      </c>
      <c r="Q406" s="16">
        <v>0.41746148202494499</v>
      </c>
      <c r="R406" s="16">
        <v>0.41762177650429799</v>
      </c>
      <c r="S406" s="16">
        <v>0.42037101855092757</v>
      </c>
      <c r="T406" s="16">
        <v>0.42590708714818581</v>
      </c>
      <c r="U406" s="16">
        <v>0.43128272251308902</v>
      </c>
      <c r="V406" s="16">
        <v>0.43619414979106397</v>
      </c>
      <c r="W406" s="16">
        <v>0.44078745001537989</v>
      </c>
      <c r="X406" s="16">
        <v>0.44524452445244522</v>
      </c>
      <c r="Y406" s="16">
        <v>0.44923258559622198</v>
      </c>
      <c r="Z406" s="16">
        <v>0.45281881217968045</v>
      </c>
      <c r="AA406" s="16">
        <v>0.45670995670995673</v>
      </c>
      <c r="AB406" s="16">
        <v>0.4599686028257457</v>
      </c>
      <c r="AC406" s="16">
        <v>0.46270504487774683</v>
      </c>
      <c r="AD406" s="16">
        <v>0.46577831617201698</v>
      </c>
      <c r="AE406" s="16">
        <v>0.46831300208271348</v>
      </c>
      <c r="AF406" s="16">
        <v>0.47083457971881543</v>
      </c>
      <c r="AG406" s="16">
        <v>0.47301951779563722</v>
      </c>
      <c r="AH406" s="16">
        <v>0.47499999999999998</v>
      </c>
      <c r="AI406" s="16">
        <v>0.47696476964769646</v>
      </c>
    </row>
    <row r="407" spans="1:35" x14ac:dyDescent="0.25">
      <c r="A407" s="11">
        <f>$A$82</f>
        <v>67</v>
      </c>
      <c r="M407" s="11"/>
      <c r="N407" s="11"/>
      <c r="O407" s="11"/>
      <c r="P407" s="16">
        <v>0.36435331230283913</v>
      </c>
      <c r="Q407" s="16">
        <v>0.36408692337018683</v>
      </c>
      <c r="R407" s="16">
        <v>0.36420664206642067</v>
      </c>
      <c r="S407" s="16">
        <v>0.36694274396831111</v>
      </c>
      <c r="T407" s="16">
        <v>0.37227304714989445</v>
      </c>
      <c r="U407" s="16">
        <v>0.3773006134969325</v>
      </c>
      <c r="V407" s="16">
        <v>0.3817823084511674</v>
      </c>
      <c r="W407" s="16">
        <v>0.38618017436228608</v>
      </c>
      <c r="X407" s="16">
        <v>0.39029666254635353</v>
      </c>
      <c r="Y407" s="16">
        <v>0.39409460680927988</v>
      </c>
      <c r="Z407" s="16">
        <v>0.39745109662122108</v>
      </c>
      <c r="AA407" s="16">
        <v>0.40084771419921283</v>
      </c>
      <c r="AB407" s="16">
        <v>0.40391182862465075</v>
      </c>
      <c r="AC407" s="16">
        <v>0.40687046958714151</v>
      </c>
      <c r="AD407" s="16">
        <v>0.40944392668530599</v>
      </c>
      <c r="AE407" s="16">
        <v>0.41197932502280327</v>
      </c>
      <c r="AF407" s="16">
        <v>0.4144520752463422</v>
      </c>
      <c r="AG407" s="16">
        <v>0.41639147403182225</v>
      </c>
      <c r="AH407" s="16">
        <v>0.41820276497695852</v>
      </c>
      <c r="AI407" s="16">
        <v>0.42023913677456987</v>
      </c>
    </row>
    <row r="408" spans="1:35" x14ac:dyDescent="0.25">
      <c r="A408" s="11">
        <f>$A$83</f>
        <v>68</v>
      </c>
      <c r="M408" s="11"/>
      <c r="N408" s="11"/>
      <c r="O408" s="11"/>
      <c r="P408" s="16">
        <v>0.31516876779178526</v>
      </c>
      <c r="Q408" s="16">
        <v>0.31532962668784748</v>
      </c>
      <c r="R408" s="16">
        <v>0.31516314779270632</v>
      </c>
      <c r="S408" s="16">
        <v>0.31797919762258542</v>
      </c>
      <c r="T408" s="16">
        <v>0.32282608695652176</v>
      </c>
      <c r="U408" s="16">
        <v>0.32731776362349613</v>
      </c>
      <c r="V408" s="16">
        <v>0.33173406442769021</v>
      </c>
      <c r="W408" s="16">
        <v>0.33597883597883599</v>
      </c>
      <c r="X408" s="16">
        <v>0.33961038961038958</v>
      </c>
      <c r="Y408" s="16">
        <v>0.34327430879155019</v>
      </c>
      <c r="Z408" s="16">
        <v>0.34656164798545896</v>
      </c>
      <c r="AA408" s="16">
        <v>0.34952324195470796</v>
      </c>
      <c r="AB408" s="16">
        <v>0.35240413877054172</v>
      </c>
      <c r="AC408" s="16">
        <v>0.35527136618839678</v>
      </c>
      <c r="AD408" s="16">
        <v>0.35782140595313489</v>
      </c>
      <c r="AE408" s="16">
        <v>0.35986267166042446</v>
      </c>
      <c r="AF408" s="16">
        <v>0.36213740458015264</v>
      </c>
      <c r="AG408" s="16">
        <v>0.36401799100449778</v>
      </c>
      <c r="AH408" s="16">
        <v>0.36599336750075367</v>
      </c>
      <c r="AI408" s="16">
        <v>0.36765982065374603</v>
      </c>
    </row>
    <row r="409" spans="1:35" x14ac:dyDescent="0.25">
      <c r="A409" s="11">
        <f>$A$84</f>
        <v>69</v>
      </c>
      <c r="M409" s="11"/>
      <c r="N409" s="11"/>
      <c r="O409" s="11"/>
      <c r="P409" s="16">
        <v>0.27053344623200676</v>
      </c>
      <c r="Q409" s="16">
        <v>0.27071369975389664</v>
      </c>
      <c r="R409" s="16">
        <v>0.27061649319455566</v>
      </c>
      <c r="S409" s="16">
        <v>0.27300850734725446</v>
      </c>
      <c r="T409" s="16">
        <v>0.27748691099476441</v>
      </c>
      <c r="U409" s="16">
        <v>0.28191101385849743</v>
      </c>
      <c r="V409" s="16">
        <v>0.2857142857142857</v>
      </c>
      <c r="W409" s="16">
        <v>0.28941014142807864</v>
      </c>
      <c r="X409" s="16">
        <v>0.29284525790349419</v>
      </c>
      <c r="Y409" s="16">
        <v>0.29630839594903624</v>
      </c>
      <c r="Z409" s="16">
        <v>0.29915598624570178</v>
      </c>
      <c r="AA409" s="16">
        <v>0.30204206034745507</v>
      </c>
      <c r="AB409" s="16">
        <v>0.30476475876535808</v>
      </c>
      <c r="AC409" s="16">
        <v>0.30722154222766218</v>
      </c>
      <c r="AD409" s="16">
        <v>0.30959849435382686</v>
      </c>
      <c r="AE409" s="16">
        <v>0.31168417701368989</v>
      </c>
      <c r="AF409" s="16">
        <v>0.31346093504863509</v>
      </c>
      <c r="AG409" s="16">
        <v>0.3152240638428484</v>
      </c>
      <c r="AH409" s="16">
        <v>0.31705846895720313</v>
      </c>
      <c r="AI409" s="16">
        <v>0.31838836716146623</v>
      </c>
    </row>
    <row r="410" spans="1:35" x14ac:dyDescent="0.25">
      <c r="A410" s="11">
        <f>$A$85</f>
        <v>70</v>
      </c>
      <c r="M410" s="11"/>
      <c r="N410" s="11"/>
      <c r="O410" s="11"/>
      <c r="P410" s="16">
        <v>0.23040885860306645</v>
      </c>
      <c r="Q410" s="16">
        <v>0.23034188034188033</v>
      </c>
      <c r="R410" s="16">
        <v>0.23045097227968556</v>
      </c>
      <c r="S410" s="16">
        <v>0.23253936213161083</v>
      </c>
      <c r="T410" s="16">
        <v>0.23664717348927874</v>
      </c>
      <c r="U410" s="16">
        <v>0.24010554089709762</v>
      </c>
      <c r="V410" s="16">
        <v>0.24366041896361632</v>
      </c>
      <c r="W410" s="16">
        <v>0.24694903086862885</v>
      </c>
      <c r="X410" s="16">
        <v>0.24991310392770247</v>
      </c>
      <c r="Y410" s="16">
        <v>0.2527656721421388</v>
      </c>
      <c r="Z410" s="16">
        <v>0.25534715366897004</v>
      </c>
      <c r="AA410" s="16">
        <v>0.25779036827195467</v>
      </c>
      <c r="AB410" s="16">
        <v>0.26020251610923595</v>
      </c>
      <c r="AC410" s="16">
        <v>0.26244343891402716</v>
      </c>
      <c r="AD410" s="16">
        <v>0.26424391746227288</v>
      </c>
      <c r="AE410" s="16">
        <v>0.26609848484848486</v>
      </c>
      <c r="AF410" s="16">
        <v>0.267777065983344</v>
      </c>
      <c r="AG410" s="16">
        <v>0.26957070707070707</v>
      </c>
      <c r="AH410" s="16">
        <v>0.27076258104353196</v>
      </c>
      <c r="AI410" s="16">
        <v>0.2722036980903304</v>
      </c>
    </row>
    <row r="411" spans="1:35" x14ac:dyDescent="0.25">
      <c r="A411" s="11">
        <f>$A$86</f>
        <v>71</v>
      </c>
      <c r="M411" s="11"/>
      <c r="N411" s="11"/>
      <c r="O411" s="11"/>
      <c r="P411" s="16">
        <v>0.19449378330373002</v>
      </c>
      <c r="Q411" s="16">
        <v>0.19457597933706414</v>
      </c>
      <c r="R411" s="16">
        <v>0.19464825205006475</v>
      </c>
      <c r="S411" s="16">
        <v>0.19632414369256473</v>
      </c>
      <c r="T411" s="16">
        <v>0.19967400162999185</v>
      </c>
      <c r="U411" s="16">
        <v>0.20298977183320221</v>
      </c>
      <c r="V411" s="16">
        <v>0.20578166603271206</v>
      </c>
      <c r="W411" s="16">
        <v>0.20875046347793846</v>
      </c>
      <c r="X411" s="16">
        <v>0.2114409847936278</v>
      </c>
      <c r="Y411" s="16">
        <v>0.2138100245355766</v>
      </c>
      <c r="Z411" s="16">
        <v>0.21628928692125718</v>
      </c>
      <c r="AA411" s="16">
        <v>0.21824212271973467</v>
      </c>
      <c r="AB411" s="16">
        <v>0.22049492385786801</v>
      </c>
      <c r="AC411" s="16">
        <v>0.22232529375386517</v>
      </c>
      <c r="AD411" s="16">
        <v>0.22401215805471125</v>
      </c>
      <c r="AE411" s="16">
        <v>0.22556624263108904</v>
      </c>
      <c r="AF411" s="16">
        <v>0.22702702702702704</v>
      </c>
      <c r="AG411" s="16">
        <v>0.22838709677419355</v>
      </c>
      <c r="AH411" s="16">
        <v>0.22981563890654799</v>
      </c>
      <c r="AI411" s="16">
        <v>0.23096052222567609</v>
      </c>
    </row>
    <row r="412" spans="1:35" x14ac:dyDescent="0.25">
      <c r="A412" s="11">
        <f>$A$87</f>
        <v>72</v>
      </c>
      <c r="M412" s="11"/>
      <c r="N412" s="11"/>
      <c r="O412" s="11"/>
      <c r="P412" s="16">
        <v>0.1630674305861613</v>
      </c>
      <c r="Q412" s="16">
        <v>0.16307277628032346</v>
      </c>
      <c r="R412" s="16">
        <v>0.16275021758050479</v>
      </c>
      <c r="S412" s="16">
        <v>0.16448516579406633</v>
      </c>
      <c r="T412" s="16">
        <v>0.16758125791473197</v>
      </c>
      <c r="U412" s="16">
        <v>0.17044051049814737</v>
      </c>
      <c r="V412" s="16">
        <v>0.17282479141835519</v>
      </c>
      <c r="W412" s="16">
        <v>0.17549923195084485</v>
      </c>
      <c r="X412" s="16">
        <v>0.177836016473231</v>
      </c>
      <c r="Y412" s="16">
        <v>0.17982456140350878</v>
      </c>
      <c r="Z412" s="16">
        <v>0.18181818181818182</v>
      </c>
      <c r="AA412" s="16">
        <v>0.18383356070941337</v>
      </c>
      <c r="AB412" s="16">
        <v>0.18574297188755021</v>
      </c>
      <c r="AC412" s="16">
        <v>0.18720000000000001</v>
      </c>
      <c r="AD412" s="16">
        <v>0.18864982850015591</v>
      </c>
      <c r="AE412" s="16">
        <v>0.19006744328632741</v>
      </c>
      <c r="AF412" s="16">
        <v>0.19142946512355333</v>
      </c>
      <c r="AG412" s="16">
        <v>0.19262820512820514</v>
      </c>
      <c r="AH412" s="16">
        <v>0.19375812743823148</v>
      </c>
      <c r="AI412" s="16">
        <v>0.19474695707879563</v>
      </c>
    </row>
    <row r="413" spans="1:35" x14ac:dyDescent="0.25">
      <c r="A413" s="11">
        <f>$A$88</f>
        <v>73</v>
      </c>
      <c r="M413" s="11"/>
      <c r="N413" s="11"/>
      <c r="O413" s="11"/>
      <c r="P413" s="16">
        <v>0.13544018058690746</v>
      </c>
      <c r="Q413" s="16">
        <v>0.1357142857142857</v>
      </c>
      <c r="R413" s="16">
        <v>0.13557779799818018</v>
      </c>
      <c r="S413" s="16">
        <v>0.13700440528634361</v>
      </c>
      <c r="T413" s="16">
        <v>0.13951434878587196</v>
      </c>
      <c r="U413" s="16">
        <v>0.14224690303289192</v>
      </c>
      <c r="V413" s="16">
        <v>0.14446294754371358</v>
      </c>
      <c r="W413" s="16">
        <v>0.14664523905182805</v>
      </c>
      <c r="X413" s="16">
        <v>0.1487378640776699</v>
      </c>
      <c r="Y413" s="16">
        <v>0.15058645478622776</v>
      </c>
      <c r="Z413" s="16">
        <v>0.15214180206794684</v>
      </c>
      <c r="AA413" s="16">
        <v>0.15403859899928521</v>
      </c>
      <c r="AB413" s="16">
        <v>0.15535652772993455</v>
      </c>
      <c r="AC413" s="16">
        <v>0.15680973301791146</v>
      </c>
      <c r="AD413" s="16">
        <v>0.15831987075928919</v>
      </c>
      <c r="AE413" s="16">
        <v>0.15926975133774002</v>
      </c>
      <c r="AF413" s="16">
        <v>0.16058168316831684</v>
      </c>
      <c r="AG413" s="16">
        <v>0.16161616161616163</v>
      </c>
      <c r="AH413" s="16">
        <v>0.1626252828968639</v>
      </c>
      <c r="AI413" s="16">
        <v>0.16366021646441456</v>
      </c>
    </row>
    <row r="414" spans="1:35" x14ac:dyDescent="0.25">
      <c r="A414" s="11">
        <f>$A$89</f>
        <v>74</v>
      </c>
      <c r="M414" s="11"/>
      <c r="N414" s="11"/>
      <c r="O414" s="11"/>
      <c r="P414" s="16">
        <v>0.11248654467168999</v>
      </c>
      <c r="Q414" s="16">
        <v>0.11228230980751604</v>
      </c>
      <c r="R414" s="16">
        <v>0.11231884057971014</v>
      </c>
      <c r="S414" s="16">
        <v>0.11346863468634687</v>
      </c>
      <c r="T414" s="16">
        <v>0.11567664135774899</v>
      </c>
      <c r="U414" s="16">
        <v>0.11812080536912752</v>
      </c>
      <c r="V414" s="16">
        <v>0.12029424491562095</v>
      </c>
      <c r="W414" s="16">
        <v>0.12188949810206663</v>
      </c>
      <c r="X414" s="16">
        <v>0.12367778681855167</v>
      </c>
      <c r="Y414" s="16">
        <v>0.1253930817610063</v>
      </c>
      <c r="Z414" s="16">
        <v>0.12710566615620214</v>
      </c>
      <c r="AA414" s="16">
        <v>0.12850205453866267</v>
      </c>
      <c r="AB414" s="16">
        <v>0.13010480664980123</v>
      </c>
      <c r="AC414" s="16">
        <v>0.13131313131313133</v>
      </c>
      <c r="AD414" s="16">
        <v>0.1325589340621797</v>
      </c>
      <c r="AE414" s="16">
        <v>0.13357282821685174</v>
      </c>
      <c r="AF414" s="16">
        <v>0.13458479160038181</v>
      </c>
      <c r="AG414" s="16">
        <v>0.13535479837449202</v>
      </c>
      <c r="AH414" s="16">
        <v>0.13647959183673469</v>
      </c>
      <c r="AI414" s="16">
        <v>0.13712047012732614</v>
      </c>
    </row>
    <row r="415" spans="1:35" x14ac:dyDescent="0.25">
      <c r="A415" s="11">
        <f>$A$90</f>
        <v>75</v>
      </c>
      <c r="M415" s="11"/>
      <c r="N415" s="11"/>
      <c r="O415" s="11"/>
      <c r="P415" s="16">
        <v>9.3333333333333338E-2</v>
      </c>
      <c r="Q415" s="16">
        <v>9.354485776805252E-2</v>
      </c>
      <c r="R415" s="16">
        <v>9.3575418994413406E-2</v>
      </c>
      <c r="S415" s="16">
        <v>9.4712643678160915E-2</v>
      </c>
      <c r="T415" s="16">
        <v>9.6910112359550563E-2</v>
      </c>
      <c r="U415" s="16">
        <v>9.8821396192203079E-2</v>
      </c>
      <c r="V415" s="16">
        <v>0.10031774852473899</v>
      </c>
      <c r="W415" s="16">
        <v>0.10223782360684511</v>
      </c>
      <c r="X415" s="16">
        <v>0.10389055151774262</v>
      </c>
      <c r="Y415" s="16">
        <v>0.10556701030927836</v>
      </c>
      <c r="Z415" s="16">
        <v>0.10677290836653386</v>
      </c>
      <c r="AA415" s="16">
        <v>0.10822342901474011</v>
      </c>
      <c r="AB415" s="16">
        <v>0.10938682816048448</v>
      </c>
      <c r="AC415" s="16">
        <v>0.11054172767203514</v>
      </c>
      <c r="AD415" s="16">
        <v>0.11142454160789844</v>
      </c>
      <c r="AE415" s="16">
        <v>0.11241784849533033</v>
      </c>
      <c r="AF415" s="16">
        <v>0.11338842975206612</v>
      </c>
      <c r="AG415" s="16">
        <v>0.11425812681042806</v>
      </c>
      <c r="AH415" s="16">
        <v>0.11508061966487512</v>
      </c>
      <c r="AI415" s="16">
        <v>0.11576910673976137</v>
      </c>
    </row>
    <row r="416" spans="1:35" x14ac:dyDescent="0.25">
      <c r="A416" s="11">
        <f>$A$91</f>
        <v>76</v>
      </c>
      <c r="M416" s="11"/>
      <c r="N416" s="11"/>
      <c r="O416" s="11"/>
      <c r="P416" s="16">
        <v>7.9375000000000001E-2</v>
      </c>
      <c r="Q416" s="16">
        <v>7.9149438865918492E-2</v>
      </c>
      <c r="R416" s="16">
        <v>7.9064587973273939E-2</v>
      </c>
      <c r="S416" s="16">
        <v>8.0056845097110377E-2</v>
      </c>
      <c r="T416" s="16">
        <v>8.1852198316183344E-2</v>
      </c>
      <c r="U416" s="16">
        <v>8.3809523809523806E-2</v>
      </c>
      <c r="V416" s="16">
        <v>8.5714285714285715E-2</v>
      </c>
      <c r="W416" s="16">
        <v>8.7177121771217711E-2</v>
      </c>
      <c r="X416" s="16">
        <v>8.8720463664734725E-2</v>
      </c>
      <c r="Y416" s="16">
        <v>8.9882761615284412E-2</v>
      </c>
      <c r="Z416" s="16">
        <v>9.1289782244556111E-2</v>
      </c>
      <c r="AA416" s="16">
        <v>9.2600080873433077E-2</v>
      </c>
      <c r="AB416" s="16">
        <v>9.3700787401574809E-2</v>
      </c>
      <c r="AC416" s="16">
        <v>9.4433781190019189E-2</v>
      </c>
      <c r="AD416" s="16">
        <v>9.5397178916109868E-2</v>
      </c>
      <c r="AE416" s="16">
        <v>9.6531998569896318E-2</v>
      </c>
      <c r="AF416" s="16">
        <v>9.7124824684431982E-2</v>
      </c>
      <c r="AG416" s="16">
        <v>9.8124581379772272E-2</v>
      </c>
      <c r="AH416" s="16">
        <v>9.8793609390283671E-2</v>
      </c>
      <c r="AI416" s="16">
        <v>9.9295323510570146E-2</v>
      </c>
    </row>
    <row r="417" spans="1:35" x14ac:dyDescent="0.25">
      <c r="A417" s="11">
        <f>$A$92</f>
        <v>77</v>
      </c>
      <c r="M417" s="11"/>
      <c r="N417" s="11"/>
      <c r="O417" s="11"/>
      <c r="P417" s="16">
        <v>6.7663817663817669E-2</v>
      </c>
      <c r="Q417" s="16">
        <v>6.7645181876196558E-2</v>
      </c>
      <c r="R417" s="16">
        <v>6.746987951807229E-2</v>
      </c>
      <c r="S417" s="16">
        <v>6.8710959681998862E-2</v>
      </c>
      <c r="T417" s="16">
        <v>7.0531400966183572E-2</v>
      </c>
      <c r="U417" s="16">
        <v>7.2007629947544116E-2</v>
      </c>
      <c r="V417" s="16">
        <v>7.3265405143134399E-2</v>
      </c>
      <c r="W417" s="16">
        <v>7.5082121069920224E-2</v>
      </c>
      <c r="X417" s="16">
        <v>7.6092062000939403E-2</v>
      </c>
      <c r="Y417" s="16">
        <v>7.7586206896551727E-2</v>
      </c>
      <c r="Z417" s="16">
        <v>7.8656650463985858E-2</v>
      </c>
      <c r="AA417" s="16">
        <v>7.9642248722316872E-2</v>
      </c>
      <c r="AB417" s="16">
        <v>8.1003289473684209E-2</v>
      </c>
      <c r="AC417" s="16">
        <v>8.1632653061224483E-2</v>
      </c>
      <c r="AD417" s="16">
        <v>8.2715567694108469E-2</v>
      </c>
      <c r="AE417" s="16">
        <v>8.3333333333333329E-2</v>
      </c>
      <c r="AF417" s="16">
        <v>8.424110384894698E-2</v>
      </c>
      <c r="AG417" s="16">
        <v>8.5053380782918145E-2</v>
      </c>
      <c r="AH417" s="16">
        <v>8.5685141108466506E-2</v>
      </c>
      <c r="AI417" s="16">
        <v>8.6035737921906025E-2</v>
      </c>
    </row>
    <row r="418" spans="1:35" x14ac:dyDescent="0.25">
      <c r="A418" s="11">
        <f>$A$93</f>
        <v>78</v>
      </c>
      <c r="M418" s="11"/>
      <c r="N418" s="11"/>
      <c r="O418" s="11"/>
      <c r="P418" s="16">
        <v>5.7905009759271306E-2</v>
      </c>
      <c r="Q418" s="16">
        <v>5.7622173595915392E-2</v>
      </c>
      <c r="R418" s="16">
        <v>5.8093994778067884E-2</v>
      </c>
      <c r="S418" s="16">
        <v>5.8533579790511402E-2</v>
      </c>
      <c r="T418" s="16">
        <v>6.039488966318235E-2</v>
      </c>
      <c r="U418" s="16">
        <v>6.1697926949654494E-2</v>
      </c>
      <c r="V418" s="16">
        <v>6.332196785192401E-2</v>
      </c>
      <c r="W418" s="16">
        <v>6.4388311045071811E-2</v>
      </c>
      <c r="X418" s="16">
        <v>6.561302681992337E-2</v>
      </c>
      <c r="Y418" s="16">
        <v>6.708193579300431E-2</v>
      </c>
      <c r="Z418" s="16">
        <v>6.8024062933826929E-2</v>
      </c>
      <c r="AA418" s="16">
        <v>6.8918918918918923E-2</v>
      </c>
      <c r="AB418" s="16">
        <v>6.9878472222222224E-2</v>
      </c>
      <c r="AC418" s="16">
        <v>7.0800167574361125E-2</v>
      </c>
      <c r="AD418" s="16">
        <v>7.1719641401792988E-2</v>
      </c>
      <c r="AE418" s="16">
        <v>7.2279586973788723E-2</v>
      </c>
      <c r="AF418" s="16">
        <v>7.293666026871401E-2</v>
      </c>
      <c r="AG418" s="16">
        <v>7.3540280857354035E-2</v>
      </c>
      <c r="AH418" s="16">
        <v>7.422157856625633E-2</v>
      </c>
      <c r="AI418" s="16">
        <v>7.4688796680497924E-2</v>
      </c>
    </row>
    <row r="419" spans="1:35" x14ac:dyDescent="0.25">
      <c r="A419" s="11">
        <f>$A$94</f>
        <v>79</v>
      </c>
      <c r="M419" s="11"/>
      <c r="N419" s="11"/>
      <c r="O419" s="11"/>
      <c r="P419" s="16">
        <v>4.9450549450549448E-2</v>
      </c>
      <c r="Q419" s="16">
        <v>4.9465240641711233E-2</v>
      </c>
      <c r="R419" s="16">
        <v>4.940119760479042E-2</v>
      </c>
      <c r="S419" s="16">
        <v>5.0234427327528468E-2</v>
      </c>
      <c r="T419" s="16">
        <v>5.1833122629582805E-2</v>
      </c>
      <c r="U419" s="16">
        <v>5.2976190476190475E-2</v>
      </c>
      <c r="V419" s="16">
        <v>5.4628224582701064E-2</v>
      </c>
      <c r="W419" s="16">
        <v>5.5361596009975061E-2</v>
      </c>
      <c r="X419" s="16">
        <v>5.6795131845841784E-2</v>
      </c>
      <c r="Y419" s="16">
        <v>5.7843137254901963E-2</v>
      </c>
      <c r="Z419" s="16">
        <v>5.8823529411764705E-2</v>
      </c>
      <c r="AA419" s="16">
        <v>5.9630856601987692E-2</v>
      </c>
      <c r="AB419" s="16">
        <v>6.0313075506445671E-2</v>
      </c>
      <c r="AC419" s="16">
        <v>6.1197339246119732E-2</v>
      </c>
      <c r="AD419" s="16">
        <v>6.2018819503849444E-2</v>
      </c>
      <c r="AE419" s="16">
        <v>6.2838119017894295E-2</v>
      </c>
      <c r="AF419" s="16">
        <v>6.3234698013781926E-2</v>
      </c>
      <c r="AG419" s="16">
        <v>6.3846455150802978E-2</v>
      </c>
      <c r="AH419" s="16">
        <v>6.4455333584621188E-2</v>
      </c>
      <c r="AI419" s="16">
        <v>6.4968623108157986E-2</v>
      </c>
    </row>
    <row r="420" spans="1:35" x14ac:dyDescent="0.25">
      <c r="A420" s="11" t="s">
        <v>15</v>
      </c>
      <c r="M420" s="11"/>
      <c r="N420" s="11"/>
      <c r="O420" s="11"/>
      <c r="P420" s="16">
        <v>2.419504932067746E-2</v>
      </c>
      <c r="Q420" s="16">
        <v>2.4053452115812918E-2</v>
      </c>
      <c r="R420" s="16">
        <v>2.3886708752772566E-2</v>
      </c>
      <c r="S420" s="16">
        <v>2.4084378373889211E-2</v>
      </c>
      <c r="T420" s="16">
        <v>2.5618445280602035E-2</v>
      </c>
      <c r="U420" s="16">
        <v>2.6147812043374605E-2</v>
      </c>
      <c r="V420" s="16">
        <v>2.7243943744937781E-2</v>
      </c>
      <c r="W420" s="16">
        <v>2.7750797835437768E-2</v>
      </c>
      <c r="X420" s="16">
        <v>2.8884658307621609E-2</v>
      </c>
      <c r="Y420" s="16">
        <v>2.9426496368645128E-2</v>
      </c>
      <c r="Z420" s="16">
        <v>2.9877502240812669E-2</v>
      </c>
      <c r="AA420" s="16">
        <v>3.0374233480428676E-2</v>
      </c>
      <c r="AB420" s="16">
        <v>3.0797998130121542E-2</v>
      </c>
      <c r="AC420" s="16">
        <v>3.1178988532473709E-2</v>
      </c>
      <c r="AD420" s="16">
        <v>3.148326816635353E-2</v>
      </c>
      <c r="AE420" s="16">
        <v>3.1728985648735719E-2</v>
      </c>
      <c r="AF420" s="16">
        <v>3.1947380784590085E-2</v>
      </c>
      <c r="AG420" s="16">
        <v>3.2144150670047084E-2</v>
      </c>
      <c r="AH420" s="16">
        <v>3.2294667015798202E-2</v>
      </c>
      <c r="AI420" s="16">
        <v>3.2797914389033726E-2</v>
      </c>
    </row>
    <row r="421" spans="1:35" x14ac:dyDescent="0.25">
      <c r="A421" s="9" t="str">
        <f>$A$111</f>
        <v>Female total</v>
      </c>
      <c r="M421" s="11"/>
      <c r="N421" s="11"/>
      <c r="O421" s="11"/>
      <c r="P421" s="47">
        <v>0.64740163272715112</v>
      </c>
      <c r="Q421" s="47">
        <v>0.64384041671599379</v>
      </c>
      <c r="R421" s="47">
        <v>0.64009836065573766</v>
      </c>
      <c r="S421" s="47">
        <v>0.63772032521830069</v>
      </c>
      <c r="T421" s="47">
        <v>0.63685644288430598</v>
      </c>
      <c r="U421" s="47">
        <v>0.63567917450945877</v>
      </c>
      <c r="V421" s="47">
        <v>0.63456693229401251</v>
      </c>
      <c r="W421" s="47">
        <v>0.63341221680173809</v>
      </c>
      <c r="X421" s="47">
        <v>0.6323383973266995</v>
      </c>
      <c r="Y421" s="47">
        <v>0.63148139367475464</v>
      </c>
      <c r="Z421" s="47">
        <v>0.63052186562802626</v>
      </c>
      <c r="AA421" s="47">
        <v>0.62959818543533075</v>
      </c>
      <c r="AB421" s="47">
        <v>0.62858122890165191</v>
      </c>
      <c r="AC421" s="47">
        <v>0.62767686147060531</v>
      </c>
      <c r="AD421" s="47">
        <v>0.62678365937859604</v>
      </c>
      <c r="AE421" s="47">
        <v>0.62578454867054667</v>
      </c>
      <c r="AF421" s="47">
        <v>0.62484936713979533</v>
      </c>
      <c r="AG421" s="47">
        <v>0.62391786836623708</v>
      </c>
      <c r="AH421" s="47">
        <v>0.62302966067927901</v>
      </c>
      <c r="AI421" s="47">
        <v>0.62224191965557629</v>
      </c>
    </row>
    <row r="422" spans="1:35" x14ac:dyDescent="0.25">
      <c r="A422" s="9"/>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row>
    <row r="423" spans="1:35" x14ac:dyDescent="0.25">
      <c r="A423" s="9"/>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row>
    <row r="424" spans="1:35" x14ac:dyDescent="0.25">
      <c r="A424" s="9" t="s">
        <v>18</v>
      </c>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row>
    <row r="425" spans="1:35" x14ac:dyDescent="0.25">
      <c r="A425" s="11">
        <f>$A$30</f>
        <v>15</v>
      </c>
      <c r="M425" s="11"/>
      <c r="N425" s="11"/>
      <c r="O425" s="11"/>
      <c r="P425" s="16">
        <v>0.18076441102756893</v>
      </c>
      <c r="Q425" s="16">
        <v>0.17904468412942989</v>
      </c>
      <c r="R425" s="16">
        <v>0.17758923346986541</v>
      </c>
      <c r="S425" s="16">
        <v>0.17630304756479637</v>
      </c>
      <c r="T425" s="16">
        <v>0.17516816143497757</v>
      </c>
      <c r="U425" s="16">
        <v>0.17390102294719381</v>
      </c>
      <c r="V425" s="16">
        <v>0.17284638974073041</v>
      </c>
      <c r="W425" s="16">
        <v>0.1719406328759451</v>
      </c>
      <c r="X425" s="16">
        <v>0.17080745341614906</v>
      </c>
      <c r="Y425" s="16">
        <v>0.16999429549343981</v>
      </c>
      <c r="Z425" s="16">
        <v>0.16919119748499573</v>
      </c>
      <c r="AA425" s="16">
        <v>0.16839677047289503</v>
      </c>
      <c r="AB425" s="16">
        <v>0.1675377468060395</v>
      </c>
      <c r="AC425" s="16">
        <v>0.16686425607587432</v>
      </c>
      <c r="AD425" s="16">
        <v>0.16641946010086028</v>
      </c>
      <c r="AE425" s="16">
        <v>0.16570910190504989</v>
      </c>
      <c r="AF425" s="16">
        <v>0.16514598540145986</v>
      </c>
      <c r="AG425" s="16">
        <v>0.16468797564687976</v>
      </c>
      <c r="AH425" s="16">
        <v>0.16407441293077157</v>
      </c>
      <c r="AI425" s="16">
        <v>0.16391437308868501</v>
      </c>
    </row>
    <row r="426" spans="1:35" x14ac:dyDescent="0.25">
      <c r="A426" s="11">
        <f>$A$31</f>
        <v>16</v>
      </c>
      <c r="M426" s="11"/>
      <c r="N426" s="11"/>
      <c r="O426" s="11"/>
      <c r="P426" s="16">
        <v>0.31895749301892645</v>
      </c>
      <c r="Q426" s="16">
        <v>0.31791184745232887</v>
      </c>
      <c r="R426" s="16">
        <v>0.31667688534641325</v>
      </c>
      <c r="S426" s="16">
        <v>0.31569767441860463</v>
      </c>
      <c r="T426" s="16">
        <v>0.31482525366403608</v>
      </c>
      <c r="U426" s="16">
        <v>0.31419855795895729</v>
      </c>
      <c r="V426" s="16">
        <v>0.31335522714833058</v>
      </c>
      <c r="W426" s="16">
        <v>0.31255172413793103</v>
      </c>
      <c r="X426" s="16">
        <v>0.3117206982543641</v>
      </c>
      <c r="Y426" s="16">
        <v>0.31126012852752166</v>
      </c>
      <c r="Z426" s="16">
        <v>0.31066591422121898</v>
      </c>
      <c r="AA426" s="16">
        <v>0.31023755656108598</v>
      </c>
      <c r="AB426" s="16">
        <v>0.309469480889903</v>
      </c>
      <c r="AC426" s="16">
        <v>0.30901780585870192</v>
      </c>
      <c r="AD426" s="16">
        <v>0.30870712401055411</v>
      </c>
      <c r="AE426" s="16">
        <v>0.30830155470812554</v>
      </c>
      <c r="AF426" s="16">
        <v>0.30792227204783257</v>
      </c>
      <c r="AG426" s="16">
        <v>0.30757666867107636</v>
      </c>
      <c r="AH426" s="16">
        <v>0.30725248269635869</v>
      </c>
      <c r="AI426" s="16">
        <v>0.30690382876092853</v>
      </c>
    </row>
    <row r="427" spans="1:35" x14ac:dyDescent="0.25">
      <c r="A427" s="11">
        <f>$A$32</f>
        <v>17</v>
      </c>
      <c r="M427" s="11"/>
      <c r="N427" s="11"/>
      <c r="O427" s="11"/>
      <c r="P427" s="16">
        <v>0.47253758821724456</v>
      </c>
      <c r="Q427" s="16">
        <v>0.47168059424326836</v>
      </c>
      <c r="R427" s="16">
        <v>0.47113594040968343</v>
      </c>
      <c r="S427" s="16">
        <v>0.47053462940461727</v>
      </c>
      <c r="T427" s="16">
        <v>0.46993127147766323</v>
      </c>
      <c r="U427" s="16">
        <v>0.46916666666666668</v>
      </c>
      <c r="V427" s="16">
        <v>0.46869018321028166</v>
      </c>
      <c r="W427" s="16">
        <v>0.46815974096060442</v>
      </c>
      <c r="X427" s="16">
        <v>0.46789989118607184</v>
      </c>
      <c r="Y427" s="16">
        <v>0.4674863387978142</v>
      </c>
      <c r="Z427" s="16">
        <v>0.46708895621041036</v>
      </c>
      <c r="AA427" s="16">
        <v>0.46675938803894296</v>
      </c>
      <c r="AB427" s="16">
        <v>0.46627647714604237</v>
      </c>
      <c r="AC427" s="16">
        <v>0.46612313747540063</v>
      </c>
      <c r="AD427" s="16">
        <v>0.46560996320407588</v>
      </c>
      <c r="AE427" s="16">
        <v>0.46549234767542591</v>
      </c>
      <c r="AF427" s="16">
        <v>0.46531791907514453</v>
      </c>
      <c r="AG427" s="16">
        <v>0.46495877502944638</v>
      </c>
      <c r="AH427" s="16">
        <v>0.46477205447010067</v>
      </c>
      <c r="AI427" s="16">
        <v>0.46459259259259261</v>
      </c>
    </row>
    <row r="428" spans="1:35" x14ac:dyDescent="0.25">
      <c r="A428" s="11">
        <f>$A$33</f>
        <v>18</v>
      </c>
      <c r="M428" s="11"/>
      <c r="N428" s="11"/>
      <c r="O428" s="11"/>
      <c r="P428" s="16">
        <v>0.6449029873729597</v>
      </c>
      <c r="Q428" s="16">
        <v>0.64453961456102782</v>
      </c>
      <c r="R428" s="16">
        <v>0.64449892736745329</v>
      </c>
      <c r="S428" s="16">
        <v>0.64410413476263395</v>
      </c>
      <c r="T428" s="16">
        <v>0.6437054631828979</v>
      </c>
      <c r="U428" s="16">
        <v>0.64339781328847767</v>
      </c>
      <c r="V428" s="16">
        <v>0.64299319727891158</v>
      </c>
      <c r="W428" s="16">
        <v>0.64264666488079292</v>
      </c>
      <c r="X428" s="16">
        <v>0.64242263951335621</v>
      </c>
      <c r="Y428" s="16">
        <v>0.64232409381663114</v>
      </c>
      <c r="Z428" s="16">
        <v>0.64186295503211988</v>
      </c>
      <c r="AA428" s="16">
        <v>0.64175883463717287</v>
      </c>
      <c r="AB428" s="16">
        <v>0.64151457368564424</v>
      </c>
      <c r="AC428" s="16">
        <v>0.64137554585152834</v>
      </c>
      <c r="AD428" s="16">
        <v>0.64134324249931185</v>
      </c>
      <c r="AE428" s="16">
        <v>0.64117484067608754</v>
      </c>
      <c r="AF428" s="16">
        <v>0.64085899971743432</v>
      </c>
      <c r="AG428" s="16">
        <v>0.64083710407239824</v>
      </c>
      <c r="AH428" s="16">
        <v>0.64065649294558014</v>
      </c>
      <c r="AI428" s="16">
        <v>0.6407064273306311</v>
      </c>
    </row>
    <row r="429" spans="1:35" x14ac:dyDescent="0.25">
      <c r="A429" s="11">
        <f>$A$34</f>
        <v>19</v>
      </c>
      <c r="M429" s="11"/>
      <c r="N429" s="11"/>
      <c r="O429" s="11"/>
      <c r="P429" s="16">
        <v>0.71730825741992355</v>
      </c>
      <c r="Q429" s="16">
        <v>0.71713759213759209</v>
      </c>
      <c r="R429" s="16">
        <v>0.7169640157242213</v>
      </c>
      <c r="S429" s="16">
        <v>0.71682750301568154</v>
      </c>
      <c r="T429" s="16">
        <v>0.71671134941912418</v>
      </c>
      <c r="U429" s="16">
        <v>0.71668112171147735</v>
      </c>
      <c r="V429" s="16">
        <v>0.71631593331511345</v>
      </c>
      <c r="W429" s="16">
        <v>0.71621980355720738</v>
      </c>
      <c r="X429" s="16">
        <v>0.71626569037656906</v>
      </c>
      <c r="Y429" s="16">
        <v>0.71598244255099408</v>
      </c>
      <c r="Z429" s="16">
        <v>0.71610720791048665</v>
      </c>
      <c r="AA429" s="16">
        <v>0.71596550823099037</v>
      </c>
      <c r="AB429" s="16">
        <v>0.71590310689836756</v>
      </c>
      <c r="AC429" s="16">
        <v>0.71565240499601379</v>
      </c>
      <c r="AD429" s="16">
        <v>0.71557922769640481</v>
      </c>
      <c r="AE429" s="16">
        <v>0.71543624161073827</v>
      </c>
      <c r="AF429" s="16">
        <v>0.71548230208051877</v>
      </c>
      <c r="AG429" s="16">
        <v>0.71550537042137152</v>
      </c>
      <c r="AH429" s="16">
        <v>0.71527012127894152</v>
      </c>
      <c r="AI429" s="16">
        <v>0.71548821548821551</v>
      </c>
    </row>
    <row r="430" spans="1:35" x14ac:dyDescent="0.25">
      <c r="A430" s="11">
        <f>$A$35</f>
        <v>20</v>
      </c>
      <c r="M430" s="11"/>
      <c r="N430" s="11"/>
      <c r="O430" s="11"/>
      <c r="P430" s="16">
        <v>0.73289055732024255</v>
      </c>
      <c r="Q430" s="16">
        <v>0.73245227606461083</v>
      </c>
      <c r="R430" s="16">
        <v>0.73268233140067129</v>
      </c>
      <c r="S430" s="16">
        <v>0.73269403655978427</v>
      </c>
      <c r="T430" s="16">
        <v>0.73267915551590845</v>
      </c>
      <c r="U430" s="16">
        <v>0.73237367802585196</v>
      </c>
      <c r="V430" s="16">
        <v>0.73224978614200176</v>
      </c>
      <c r="W430" s="16">
        <v>0.73232595790609822</v>
      </c>
      <c r="X430" s="16">
        <v>0.73230204509701102</v>
      </c>
      <c r="Y430" s="16">
        <v>0.73236889692585894</v>
      </c>
      <c r="Z430" s="16">
        <v>0.73239795918367345</v>
      </c>
      <c r="AA430" s="16">
        <v>0.73220251863274222</v>
      </c>
      <c r="AB430" s="16">
        <v>0.73212903225806447</v>
      </c>
      <c r="AC430" s="16">
        <v>0.73218928757150281</v>
      </c>
      <c r="AD430" s="16">
        <v>0.73228346456692917</v>
      </c>
      <c r="AE430" s="16">
        <v>0.73231659216408096</v>
      </c>
      <c r="AF430" s="16">
        <v>0.73223753976670203</v>
      </c>
      <c r="AG430" s="16">
        <v>0.7323906083244397</v>
      </c>
      <c r="AH430" s="16">
        <v>0.73199238923620547</v>
      </c>
      <c r="AI430" s="16">
        <v>0.73204570184983675</v>
      </c>
    </row>
    <row r="431" spans="1:35" x14ac:dyDescent="0.25">
      <c r="A431" s="11">
        <f>$A$36</f>
        <v>21</v>
      </c>
      <c r="M431" s="11"/>
      <c r="N431" s="11"/>
      <c r="O431" s="11"/>
      <c r="P431" s="16">
        <v>0.77434539570461902</v>
      </c>
      <c r="Q431" s="16">
        <v>0.77421220005782021</v>
      </c>
      <c r="R431" s="16">
        <v>0.77423133235724739</v>
      </c>
      <c r="S431" s="16">
        <v>0.77420333839150224</v>
      </c>
      <c r="T431" s="16">
        <v>0.77432835820895518</v>
      </c>
      <c r="U431" s="16">
        <v>0.77428909952606639</v>
      </c>
      <c r="V431" s="16">
        <v>0.77436347673397721</v>
      </c>
      <c r="W431" s="16">
        <v>0.77436771810173344</v>
      </c>
      <c r="X431" s="16">
        <v>0.77413283140629197</v>
      </c>
      <c r="Y431" s="16">
        <v>0.77423569375489942</v>
      </c>
      <c r="Z431" s="16">
        <v>0.77420185375901129</v>
      </c>
      <c r="AA431" s="16">
        <v>0.77421815408085426</v>
      </c>
      <c r="AB431" s="16">
        <v>0.77427619779656676</v>
      </c>
      <c r="AC431" s="16">
        <v>0.77437612554669411</v>
      </c>
      <c r="AD431" s="16">
        <v>0.77449455676516332</v>
      </c>
      <c r="AE431" s="16">
        <v>0.77426105153021185</v>
      </c>
      <c r="AF431" s="16">
        <v>0.77437106918238996</v>
      </c>
      <c r="AG431" s="16">
        <v>0.77437252311756932</v>
      </c>
      <c r="AH431" s="16">
        <v>0.77452805105025258</v>
      </c>
      <c r="AI431" s="16">
        <v>0.77437703141928493</v>
      </c>
    </row>
    <row r="432" spans="1:35" x14ac:dyDescent="0.25">
      <c r="A432" s="11">
        <f>$A$37</f>
        <v>22</v>
      </c>
      <c r="M432" s="11"/>
      <c r="N432" s="11"/>
      <c r="O432" s="11"/>
      <c r="P432" s="16">
        <v>0.82279202279202279</v>
      </c>
      <c r="Q432" s="16">
        <v>0.82262816735415434</v>
      </c>
      <c r="R432" s="16">
        <v>0.82276657060518732</v>
      </c>
      <c r="S432" s="16">
        <v>0.82265579499126384</v>
      </c>
      <c r="T432" s="16">
        <v>0.82272727272727275</v>
      </c>
      <c r="U432" s="16">
        <v>0.82270560190703224</v>
      </c>
      <c r="V432" s="16">
        <v>0.82259018332347722</v>
      </c>
      <c r="W432" s="16">
        <v>0.82267017236342388</v>
      </c>
      <c r="X432" s="16">
        <v>0.82269503546099287</v>
      </c>
      <c r="Y432" s="16">
        <v>0.82277121374865736</v>
      </c>
      <c r="Z432" s="16">
        <v>0.82254697286012524</v>
      </c>
      <c r="AA432" s="16">
        <v>0.82283363332476211</v>
      </c>
      <c r="AB432" s="16">
        <v>0.8227526663280853</v>
      </c>
      <c r="AC432" s="16">
        <v>0.82271680736761321</v>
      </c>
      <c r="AD432" s="16">
        <v>0.82275879784228101</v>
      </c>
      <c r="AE432" s="16">
        <v>0.8227225672877847</v>
      </c>
      <c r="AF432" s="16">
        <v>0.82266910420475325</v>
      </c>
      <c r="AG432" s="16">
        <v>0.82282125098141845</v>
      </c>
      <c r="AH432" s="16">
        <v>0.8227380638353996</v>
      </c>
      <c r="AI432" s="16">
        <v>0.82267056012742235</v>
      </c>
    </row>
    <row r="433" spans="1:35" x14ac:dyDescent="0.25">
      <c r="A433" s="11">
        <f>$A$38</f>
        <v>23</v>
      </c>
      <c r="M433" s="11"/>
      <c r="N433" s="11"/>
      <c r="O433" s="11"/>
      <c r="P433" s="16">
        <v>0.86278938452851495</v>
      </c>
      <c r="Q433" s="16">
        <v>0.86268912360833572</v>
      </c>
      <c r="R433" s="16">
        <v>0.86259541984732824</v>
      </c>
      <c r="S433" s="16">
        <v>0.8627900315095961</v>
      </c>
      <c r="T433" s="16">
        <v>0.86265969802555165</v>
      </c>
      <c r="U433" s="16">
        <v>0.86283987915407856</v>
      </c>
      <c r="V433" s="16">
        <v>0.86274509803921573</v>
      </c>
      <c r="W433" s="16">
        <v>0.86261792452830188</v>
      </c>
      <c r="X433" s="16">
        <v>0.86276223776223782</v>
      </c>
      <c r="Y433" s="16">
        <v>0.86280056577086284</v>
      </c>
      <c r="Z433" s="16">
        <v>0.86261381896089984</v>
      </c>
      <c r="AA433" s="16">
        <v>0.86257157730348777</v>
      </c>
      <c r="AB433" s="16">
        <v>0.86278532957168508</v>
      </c>
      <c r="AC433" s="16">
        <v>0.86271529888551168</v>
      </c>
      <c r="AD433" s="16">
        <v>0.86272008165348302</v>
      </c>
      <c r="AE433" s="16">
        <v>0.86266974122469897</v>
      </c>
      <c r="AF433" s="16">
        <v>0.86267423851316472</v>
      </c>
      <c r="AG433" s="16">
        <v>0.86272466788226099</v>
      </c>
      <c r="AH433" s="16">
        <v>0.86296006264682845</v>
      </c>
      <c r="AI433" s="16">
        <v>0.86266771902131023</v>
      </c>
    </row>
    <row r="434" spans="1:35" x14ac:dyDescent="0.25">
      <c r="A434" s="11">
        <f>$A$39</f>
        <v>24</v>
      </c>
      <c r="M434" s="11"/>
      <c r="N434" s="11"/>
      <c r="O434" s="11"/>
      <c r="P434" s="16">
        <v>0.8976164680390033</v>
      </c>
      <c r="Q434" s="16">
        <v>0.8975375035380696</v>
      </c>
      <c r="R434" s="16">
        <v>0.89746510965536885</v>
      </c>
      <c r="S434" s="16">
        <v>0.89742840444184691</v>
      </c>
      <c r="T434" s="16">
        <v>0.89756795422031477</v>
      </c>
      <c r="U434" s="16">
        <v>0.89762180974477956</v>
      </c>
      <c r="V434" s="16">
        <v>0.89770669885334942</v>
      </c>
      <c r="W434" s="16">
        <v>0.89732937685459946</v>
      </c>
      <c r="X434" s="16">
        <v>0.8975265017667845</v>
      </c>
      <c r="Y434" s="16">
        <v>0.89758510328775098</v>
      </c>
      <c r="Z434" s="16">
        <v>0.89742865216162759</v>
      </c>
      <c r="AA434" s="16">
        <v>0.89753879079721777</v>
      </c>
      <c r="AB434" s="16">
        <v>0.8975559022360895</v>
      </c>
      <c r="AC434" s="16">
        <v>0.89751473225723799</v>
      </c>
      <c r="AD434" s="16">
        <v>0.89752024291497978</v>
      </c>
      <c r="AE434" s="16">
        <v>0.89752740249808816</v>
      </c>
      <c r="AF434" s="16">
        <v>0.89736370616841565</v>
      </c>
      <c r="AG434" s="16">
        <v>0.89762764311500776</v>
      </c>
      <c r="AH434" s="16">
        <v>0.89747593026281547</v>
      </c>
      <c r="AI434" s="16">
        <v>0.89754953076120958</v>
      </c>
    </row>
    <row r="435" spans="1:35" x14ac:dyDescent="0.25">
      <c r="A435" s="11">
        <f>$A$40</f>
        <v>25</v>
      </c>
      <c r="M435" s="11"/>
      <c r="N435" s="11"/>
      <c r="O435" s="11"/>
      <c r="P435" s="16">
        <v>0.9093097913322632</v>
      </c>
      <c r="Q435" s="16">
        <v>0.90926378701439825</v>
      </c>
      <c r="R435" s="16">
        <v>0.90952784845914614</v>
      </c>
      <c r="S435" s="16">
        <v>0.90919409761634506</v>
      </c>
      <c r="T435" s="16">
        <v>0.90909090909090906</v>
      </c>
      <c r="U435" s="16">
        <v>0.90927246790299576</v>
      </c>
      <c r="V435" s="16">
        <v>0.90919606709080392</v>
      </c>
      <c r="W435" s="16">
        <v>0.90944645006016844</v>
      </c>
      <c r="X435" s="16">
        <v>0.90917159763313604</v>
      </c>
      <c r="Y435" s="16">
        <v>0.90927774515560778</v>
      </c>
      <c r="Z435" s="16">
        <v>0.90919640266898749</v>
      </c>
      <c r="AA435" s="16">
        <v>0.90927021696252464</v>
      </c>
      <c r="AB435" s="16">
        <v>0.9092849519743863</v>
      </c>
      <c r="AC435" s="16">
        <v>0.90923236514522821</v>
      </c>
      <c r="AD435" s="16">
        <v>0.90927676974188598</v>
      </c>
      <c r="AE435" s="16">
        <v>0.90913679959616356</v>
      </c>
      <c r="AF435" s="16">
        <v>0.90922959572845152</v>
      </c>
      <c r="AG435" s="16">
        <v>0.90911411794740871</v>
      </c>
      <c r="AH435" s="16">
        <v>0.9092078189300411</v>
      </c>
      <c r="AI435" s="16">
        <v>0.90916169218790555</v>
      </c>
    </row>
    <row r="436" spans="1:35" x14ac:dyDescent="0.25">
      <c r="A436" s="11">
        <f>$A$41</f>
        <v>26</v>
      </c>
      <c r="M436" s="11"/>
      <c r="N436" s="11"/>
      <c r="O436" s="11"/>
      <c r="P436" s="16">
        <v>0.91798941798941802</v>
      </c>
      <c r="Q436" s="16">
        <v>0.91787439613526567</v>
      </c>
      <c r="R436" s="16">
        <v>0.91777476255088197</v>
      </c>
      <c r="S436" s="16">
        <v>0.91802816901408446</v>
      </c>
      <c r="T436" s="16">
        <v>0.91798642533936647</v>
      </c>
      <c r="U436" s="16">
        <v>0.9178519593613933</v>
      </c>
      <c r="V436" s="16">
        <v>0.91785105173393977</v>
      </c>
      <c r="W436" s="16">
        <v>0.91789109766637855</v>
      </c>
      <c r="X436" s="16">
        <v>0.91791491911324141</v>
      </c>
      <c r="Y436" s="16">
        <v>0.91806660772178017</v>
      </c>
      <c r="Z436" s="16">
        <v>0.91810470897923369</v>
      </c>
      <c r="AA436" s="16">
        <v>0.91791907514450866</v>
      </c>
      <c r="AB436" s="16">
        <v>0.91802358225715885</v>
      </c>
      <c r="AC436" s="16">
        <v>0.91784099973411326</v>
      </c>
      <c r="AD436" s="16">
        <v>0.9178082191780822</v>
      </c>
      <c r="AE436" s="16">
        <v>0.91798267957208357</v>
      </c>
      <c r="AF436" s="16">
        <v>0.91798742138364775</v>
      </c>
      <c r="AG436" s="16">
        <v>0.91789153573238724</v>
      </c>
      <c r="AH436" s="16">
        <v>0.91806615776081424</v>
      </c>
      <c r="AI436" s="16">
        <v>0.91796975134580872</v>
      </c>
    </row>
    <row r="437" spans="1:35" x14ac:dyDescent="0.25">
      <c r="A437" s="11">
        <f>$A$42</f>
        <v>27</v>
      </c>
      <c r="M437" s="11"/>
      <c r="N437" s="11"/>
      <c r="O437" s="11"/>
      <c r="P437" s="16">
        <v>0.92574759249873284</v>
      </c>
      <c r="Q437" s="16">
        <v>0.92567029466418904</v>
      </c>
      <c r="R437" s="16">
        <v>0.92542918454935619</v>
      </c>
      <c r="S437" s="16">
        <v>0.92582566323768278</v>
      </c>
      <c r="T437" s="16">
        <v>0.92560359348680521</v>
      </c>
      <c r="U437" s="16">
        <v>0.92561284868977178</v>
      </c>
      <c r="V437" s="16">
        <v>0.92539039907460963</v>
      </c>
      <c r="W437" s="16">
        <v>0.92551685075049561</v>
      </c>
      <c r="X437" s="16">
        <v>0.92566016073478763</v>
      </c>
      <c r="Y437" s="16">
        <v>0.92539540435690837</v>
      </c>
      <c r="Z437" s="16">
        <v>0.92571931884908987</v>
      </c>
      <c r="AA437" s="16">
        <v>0.92569930069930073</v>
      </c>
      <c r="AB437" s="16">
        <v>0.92571264036855749</v>
      </c>
      <c r="AC437" s="16">
        <v>0.92559440559440564</v>
      </c>
      <c r="AD437" s="16">
        <v>0.92554319024907261</v>
      </c>
      <c r="AE437" s="16">
        <v>0.92555383822771764</v>
      </c>
      <c r="AF437" s="16">
        <v>0.92561563848692563</v>
      </c>
      <c r="AG437" s="16">
        <v>0.9255265797392177</v>
      </c>
      <c r="AH437" s="16">
        <v>0.92548623389744888</v>
      </c>
      <c r="AI437" s="16">
        <v>0.92569109814861783</v>
      </c>
    </row>
    <row r="438" spans="1:35" x14ac:dyDescent="0.25">
      <c r="A438" s="11">
        <f>$A$43</f>
        <v>28</v>
      </c>
      <c r="M438" s="11"/>
      <c r="N438" s="11"/>
      <c r="O438" s="11"/>
      <c r="P438" s="16">
        <v>0.9319592748944624</v>
      </c>
      <c r="Q438" s="16">
        <v>0.93184130213631744</v>
      </c>
      <c r="R438" s="16">
        <v>0.93156498673740051</v>
      </c>
      <c r="S438" s="16">
        <v>0.9317817014446228</v>
      </c>
      <c r="T438" s="16">
        <v>0.93166532149582992</v>
      </c>
      <c r="U438" s="16">
        <v>0.9316596931659693</v>
      </c>
      <c r="V438" s="16">
        <v>0.93169092945128784</v>
      </c>
      <c r="W438" s="16">
        <v>0.93189655172413788</v>
      </c>
      <c r="X438" s="16">
        <v>0.93188854489164086</v>
      </c>
      <c r="Y438" s="16">
        <v>0.93185058454519532</v>
      </c>
      <c r="Z438" s="16">
        <v>0.93153526970954359</v>
      </c>
      <c r="AA438" s="16">
        <v>0.93175853018372701</v>
      </c>
      <c r="AB438" s="16">
        <v>0.93169319826338637</v>
      </c>
      <c r="AC438" s="16">
        <v>0.93163615560640733</v>
      </c>
      <c r="AD438" s="16">
        <v>0.93190661478599224</v>
      </c>
      <c r="AE438" s="16">
        <v>0.93178825388464581</v>
      </c>
      <c r="AF438" s="16">
        <v>0.93186475409836067</v>
      </c>
      <c r="AG438" s="16">
        <v>0.93160020191822313</v>
      </c>
      <c r="AH438" s="16">
        <v>0.93192019950124694</v>
      </c>
      <c r="AI438" s="16">
        <v>0.93192665159507659</v>
      </c>
    </row>
    <row r="439" spans="1:35" x14ac:dyDescent="0.25">
      <c r="A439" s="11">
        <f>$A$44</f>
        <v>29</v>
      </c>
      <c r="M439" s="11"/>
      <c r="N439" s="11"/>
      <c r="O439" s="11"/>
      <c r="P439" s="16">
        <v>0.93699036323202367</v>
      </c>
      <c r="Q439" s="16">
        <v>0.93675298804780871</v>
      </c>
      <c r="R439" s="16">
        <v>0.93680203045685284</v>
      </c>
      <c r="S439" s="16">
        <v>0.93688935833113285</v>
      </c>
      <c r="T439" s="16">
        <v>0.93675575549087065</v>
      </c>
      <c r="U439" s="16">
        <v>0.93691775352675011</v>
      </c>
      <c r="V439" s="16">
        <v>0.93710344827586212</v>
      </c>
      <c r="W439" s="16">
        <v>0.93687707641196016</v>
      </c>
      <c r="X439" s="16">
        <v>0.93666571996591874</v>
      </c>
      <c r="Y439" s="16">
        <v>0.9368391764051196</v>
      </c>
      <c r="Z439" s="16">
        <v>0.93684804059768823</v>
      </c>
      <c r="AA439" s="16">
        <v>0.93702401874633856</v>
      </c>
      <c r="AB439" s="16">
        <v>0.93715768232920149</v>
      </c>
      <c r="AC439" s="16">
        <v>0.93705293276108725</v>
      </c>
      <c r="AD439" s="16">
        <v>0.9369343891402715</v>
      </c>
      <c r="AE439" s="16">
        <v>0.93679582302830444</v>
      </c>
      <c r="AF439" s="16">
        <v>0.93692989314568675</v>
      </c>
      <c r="AG439" s="16">
        <v>0.93688212927756653</v>
      </c>
      <c r="AH439" s="16">
        <v>0.93703148425787108</v>
      </c>
      <c r="AI439" s="16">
        <v>0.93680572698099229</v>
      </c>
    </row>
    <row r="440" spans="1:35" x14ac:dyDescent="0.25">
      <c r="A440" s="11">
        <f>$A$45</f>
        <v>30</v>
      </c>
      <c r="M440" s="11"/>
      <c r="N440" s="11"/>
      <c r="O440" s="11"/>
      <c r="P440" s="16">
        <v>0.94111751440741664</v>
      </c>
      <c r="Q440" s="16">
        <v>0.9410453306911073</v>
      </c>
      <c r="R440" s="16">
        <v>0.94107409249129781</v>
      </c>
      <c r="S440" s="16">
        <v>0.94107233181588268</v>
      </c>
      <c r="T440" s="16">
        <v>0.94094591063496213</v>
      </c>
      <c r="U440" s="16">
        <v>0.94082220476564549</v>
      </c>
      <c r="V440" s="16">
        <v>0.94100605741374765</v>
      </c>
      <c r="W440" s="16">
        <v>0.94080741953082381</v>
      </c>
      <c r="X440" s="16">
        <v>0.94087051738297289</v>
      </c>
      <c r="Y440" s="16">
        <v>0.94102780117944396</v>
      </c>
      <c r="Z440" s="16">
        <v>0.94111172261970277</v>
      </c>
      <c r="AA440" s="16">
        <v>0.94091415830546266</v>
      </c>
      <c r="AB440" s="16">
        <v>0.94095513748191029</v>
      </c>
      <c r="AC440" s="16">
        <v>0.94102564102564101</v>
      </c>
      <c r="AD440" s="16">
        <v>0.94117647058823528</v>
      </c>
      <c r="AE440" s="16">
        <v>0.9410120212468549</v>
      </c>
      <c r="AF440" s="16">
        <v>0.94101658059255233</v>
      </c>
      <c r="AG440" s="16">
        <v>0.94094894275399688</v>
      </c>
      <c r="AH440" s="16">
        <v>0.94102885821831872</v>
      </c>
      <c r="AI440" s="16">
        <v>0.94088548107840708</v>
      </c>
    </row>
    <row r="441" spans="1:35" x14ac:dyDescent="0.25">
      <c r="A441" s="11">
        <f>$A$46</f>
        <v>31</v>
      </c>
      <c r="M441" s="11"/>
      <c r="N441" s="11"/>
      <c r="O441" s="11"/>
      <c r="P441" s="16">
        <v>0.94425543051557181</v>
      </c>
      <c r="Q441" s="16">
        <v>0.94405418966382337</v>
      </c>
      <c r="R441" s="16">
        <v>0.94415616506053868</v>
      </c>
      <c r="S441" s="16">
        <v>0.94430693069306926</v>
      </c>
      <c r="T441" s="16">
        <v>0.94425000000000003</v>
      </c>
      <c r="U441" s="16">
        <v>0.94422927962819525</v>
      </c>
      <c r="V441" s="16">
        <v>0.94411384217335059</v>
      </c>
      <c r="W441" s="16">
        <v>0.94406867845993758</v>
      </c>
      <c r="X441" s="16">
        <v>0.94423491379310343</v>
      </c>
      <c r="Y441" s="16">
        <v>0.94430927277642607</v>
      </c>
      <c r="Z441" s="16">
        <v>0.94401330376940129</v>
      </c>
      <c r="AA441" s="16">
        <v>0.94403694648193426</v>
      </c>
      <c r="AB441" s="16">
        <v>0.94441386901485969</v>
      </c>
      <c r="AC441" s="16">
        <v>0.9443016281062554</v>
      </c>
      <c r="AD441" s="16">
        <v>0.94405397807140845</v>
      </c>
      <c r="AE441" s="16">
        <v>0.94418085403293328</v>
      </c>
      <c r="AF441" s="16">
        <v>0.94426048565121412</v>
      </c>
      <c r="AG441" s="16">
        <v>0.94417606011808908</v>
      </c>
      <c r="AH441" s="16">
        <v>0.9441896024464832</v>
      </c>
      <c r="AI441" s="16">
        <v>0.9441964285714286</v>
      </c>
    </row>
    <row r="442" spans="1:35" x14ac:dyDescent="0.25">
      <c r="A442" s="11">
        <f>$A$47</f>
        <v>32</v>
      </c>
      <c r="M442" s="11"/>
      <c r="N442" s="11"/>
      <c r="O442" s="11"/>
      <c r="P442" s="16">
        <v>0.94629975955116219</v>
      </c>
      <c r="Q442" s="16">
        <v>0.94608741167233712</v>
      </c>
      <c r="R442" s="16">
        <v>0.94623655913978499</v>
      </c>
      <c r="S442" s="16">
        <v>0.94639783624293095</v>
      </c>
      <c r="T442" s="16">
        <v>0.94633668218573874</v>
      </c>
      <c r="U442" s="16">
        <v>0.94630042068794851</v>
      </c>
      <c r="V442" s="16">
        <v>0.94634644864588657</v>
      </c>
      <c r="W442" s="16">
        <v>0.94647887323943658</v>
      </c>
      <c r="X442" s="16">
        <v>0.9464469618949537</v>
      </c>
      <c r="Y442" s="16">
        <v>0.94617639221955774</v>
      </c>
      <c r="Z442" s="16">
        <v>0.94625668449197864</v>
      </c>
      <c r="AA442" s="16">
        <v>0.94654605263157898</v>
      </c>
      <c r="AB442" s="16">
        <v>0.94651975275463585</v>
      </c>
      <c r="AC442" s="16">
        <v>0.9463945578231292</v>
      </c>
      <c r="AD442" s="16">
        <v>0.94635798983625075</v>
      </c>
      <c r="AE442" s="16">
        <v>0.94635908838243465</v>
      </c>
      <c r="AF442" s="16">
        <v>0.94619205298013243</v>
      </c>
      <c r="AG442" s="16">
        <v>0.94624829467939975</v>
      </c>
      <c r="AH442" s="16">
        <v>0.94637642686487922</v>
      </c>
      <c r="AI442" s="16">
        <v>0.94627994955863803</v>
      </c>
    </row>
    <row r="443" spans="1:35" x14ac:dyDescent="0.25">
      <c r="A443" s="11">
        <f>$A$48</f>
        <v>33</v>
      </c>
      <c r="M443" s="11"/>
      <c r="N443" s="11"/>
      <c r="O443" s="11"/>
      <c r="P443" s="16">
        <v>0.94741189427312777</v>
      </c>
      <c r="Q443" s="16">
        <v>0.94739652870493996</v>
      </c>
      <c r="R443" s="16">
        <v>0.94731351069379244</v>
      </c>
      <c r="S443" s="16">
        <v>0.94723743155798901</v>
      </c>
      <c r="T443" s="16">
        <v>0.9472913616398243</v>
      </c>
      <c r="U443" s="16">
        <v>0.94722762645914393</v>
      </c>
      <c r="V443" s="16">
        <v>0.9472003929273084</v>
      </c>
      <c r="W443" s="16">
        <v>0.94727503168567806</v>
      </c>
      <c r="X443" s="16">
        <v>0.94742189484378969</v>
      </c>
      <c r="Y443" s="16">
        <v>0.94713993871297242</v>
      </c>
      <c r="Z443" s="16">
        <v>0.94715984147952448</v>
      </c>
      <c r="AA443" s="16">
        <v>0.94724284199363729</v>
      </c>
      <c r="AB443" s="16">
        <v>0.94702526487367567</v>
      </c>
      <c r="AC443" s="16">
        <v>0.94750865973887555</v>
      </c>
      <c r="AD443" s="16">
        <v>0.94739681683301857</v>
      </c>
      <c r="AE443" s="16">
        <v>0.94713286713286715</v>
      </c>
      <c r="AF443" s="16">
        <v>0.94738292011019287</v>
      </c>
      <c r="AG443" s="16">
        <v>0.94721006564551424</v>
      </c>
      <c r="AH443" s="16">
        <v>0.94725453070056798</v>
      </c>
      <c r="AI443" s="16">
        <v>0.94735456699131348</v>
      </c>
    </row>
    <row r="444" spans="1:35" x14ac:dyDescent="0.25">
      <c r="A444" s="11">
        <f>$A$49</f>
        <v>34</v>
      </c>
      <c r="M444" s="11"/>
      <c r="N444" s="11"/>
      <c r="O444" s="11"/>
      <c r="P444" s="16">
        <v>0.94711123886174187</v>
      </c>
      <c r="Q444" s="16">
        <v>0.94694887300714681</v>
      </c>
      <c r="R444" s="16">
        <v>0.94708854028183997</v>
      </c>
      <c r="S444" s="16">
        <v>0.94709543568464727</v>
      </c>
      <c r="T444" s="16">
        <v>0.94713438735177868</v>
      </c>
      <c r="U444" s="16">
        <v>0.94696052312908696</v>
      </c>
      <c r="V444" s="16">
        <v>0.94689838281438576</v>
      </c>
      <c r="W444" s="16">
        <v>0.9468681452595662</v>
      </c>
      <c r="X444" s="16">
        <v>0.94718309859154926</v>
      </c>
      <c r="Y444" s="16">
        <v>0.94707661290322576</v>
      </c>
      <c r="Z444" s="16">
        <v>0.94704839118317707</v>
      </c>
      <c r="AA444" s="16">
        <v>0.94680293501048218</v>
      </c>
      <c r="AB444" s="16">
        <v>0.94688403891664474</v>
      </c>
      <c r="AC444" s="16">
        <v>0.94692887931034486</v>
      </c>
      <c r="AD444" s="16">
        <v>0.94689564068692211</v>
      </c>
      <c r="AE444" s="16">
        <v>0.9470304975922953</v>
      </c>
      <c r="AF444" s="16">
        <v>0.94703272323904608</v>
      </c>
      <c r="AG444" s="16">
        <v>0.94700901393062009</v>
      </c>
      <c r="AH444" s="16">
        <v>0.94711147274206675</v>
      </c>
      <c r="AI444" s="16">
        <v>0.94715665236051505</v>
      </c>
    </row>
    <row r="445" spans="1:35" x14ac:dyDescent="0.25">
      <c r="A445" s="11">
        <f>$A$50</f>
        <v>35</v>
      </c>
      <c r="M445" s="11"/>
      <c r="N445" s="11"/>
      <c r="O445" s="11"/>
      <c r="P445" s="16">
        <v>0.94599354270619318</v>
      </c>
      <c r="Q445" s="16">
        <v>0.94605451936872309</v>
      </c>
      <c r="R445" s="16">
        <v>0.94608648056923916</v>
      </c>
      <c r="S445" s="16">
        <v>0.94607454401268831</v>
      </c>
      <c r="T445" s="16">
        <v>0.94620334620334623</v>
      </c>
      <c r="U445" s="16">
        <v>0.94628403237674763</v>
      </c>
      <c r="V445" s="16">
        <v>0.94612794612794615</v>
      </c>
      <c r="W445" s="16">
        <v>0.94629585231359381</v>
      </c>
      <c r="X445" s="16">
        <v>0.9460309777347532</v>
      </c>
      <c r="Y445" s="16">
        <v>0.94606741573033704</v>
      </c>
      <c r="Z445" s="16">
        <v>0.94620965724293216</v>
      </c>
      <c r="AA445" s="16">
        <v>0.94617706237424548</v>
      </c>
      <c r="AB445" s="16">
        <v>0.94616384915474638</v>
      </c>
      <c r="AC445" s="16">
        <v>0.94624217118997911</v>
      </c>
      <c r="AD445" s="16">
        <v>0.94600374231488904</v>
      </c>
      <c r="AE445" s="16">
        <v>0.94598846355532251</v>
      </c>
      <c r="AF445" s="16">
        <v>0.9461252653927813</v>
      </c>
      <c r="AG445" s="16">
        <v>0.94635488308115545</v>
      </c>
      <c r="AH445" s="16">
        <v>0.94608507179626122</v>
      </c>
      <c r="AI445" s="16">
        <v>0.94619316653214958</v>
      </c>
    </row>
    <row r="446" spans="1:35" x14ac:dyDescent="0.25">
      <c r="A446" s="11">
        <f>$A$51</f>
        <v>36</v>
      </c>
      <c r="M446" s="11"/>
      <c r="N446" s="11"/>
      <c r="O446" s="11"/>
      <c r="P446" s="16">
        <v>0.94369103773584906</v>
      </c>
      <c r="Q446" s="16">
        <v>0.94374450629944329</v>
      </c>
      <c r="R446" s="16">
        <v>0.94374643061107943</v>
      </c>
      <c r="S446" s="16">
        <v>0.94368879216539714</v>
      </c>
      <c r="T446" s="16">
        <v>0.94383202099737529</v>
      </c>
      <c r="U446" s="16">
        <v>0.94376278118609402</v>
      </c>
      <c r="V446" s="16">
        <v>0.94371345029239762</v>
      </c>
      <c r="W446" s="16">
        <v>0.94360812425328555</v>
      </c>
      <c r="X446" s="16">
        <v>0.94378275369223441</v>
      </c>
      <c r="Y446" s="16">
        <v>0.9437364751142101</v>
      </c>
      <c r="Z446" s="16">
        <v>0.94394841269841268</v>
      </c>
      <c r="AA446" s="16">
        <v>0.9438369781312127</v>
      </c>
      <c r="AB446" s="16">
        <v>0.94379215588308774</v>
      </c>
      <c r="AC446" s="16">
        <v>0.94395661157024791</v>
      </c>
      <c r="AD446" s="16">
        <v>0.94378238341968912</v>
      </c>
      <c r="AE446" s="16">
        <v>0.94375165826479168</v>
      </c>
      <c r="AF446" s="16">
        <v>0.94377928162415403</v>
      </c>
      <c r="AG446" s="16">
        <v>0.94362486828240255</v>
      </c>
      <c r="AH446" s="16">
        <v>0.94376194376194378</v>
      </c>
      <c r="AI446" s="16">
        <v>0.94353320785157302</v>
      </c>
    </row>
    <row r="447" spans="1:35" x14ac:dyDescent="0.25">
      <c r="A447" s="11">
        <f>$A$52</f>
        <v>37</v>
      </c>
      <c r="M447" s="11"/>
      <c r="N447" s="11"/>
      <c r="O447" s="11"/>
      <c r="P447" s="16">
        <v>0.94252531268612272</v>
      </c>
      <c r="Q447" s="16">
        <v>0.94231901118304884</v>
      </c>
      <c r="R447" s="16">
        <v>0.94225721784776906</v>
      </c>
      <c r="S447" s="16">
        <v>0.94236229415105055</v>
      </c>
      <c r="T447" s="16">
        <v>0.94217778978654421</v>
      </c>
      <c r="U447" s="16">
        <v>0.94237288135593222</v>
      </c>
      <c r="V447" s="16">
        <v>0.94234188468376934</v>
      </c>
      <c r="W447" s="16">
        <v>0.9423589246790991</v>
      </c>
      <c r="X447" s="16">
        <v>0.94228028503562944</v>
      </c>
      <c r="Y447" s="16">
        <v>0.94245796826900308</v>
      </c>
      <c r="Z447" s="16">
        <v>0.94216061185468447</v>
      </c>
      <c r="AA447" s="16">
        <v>0.94233612617052731</v>
      </c>
      <c r="AB447" s="16">
        <v>0.94222222222222218</v>
      </c>
      <c r="AC447" s="16">
        <v>0.94240317775571003</v>
      </c>
      <c r="AD447" s="16">
        <v>0.94227809132888662</v>
      </c>
      <c r="AE447" s="16">
        <v>0.94234234234234238</v>
      </c>
      <c r="AF447" s="16">
        <v>0.94227727991565635</v>
      </c>
      <c r="AG447" s="16">
        <v>0.94233255753814327</v>
      </c>
      <c r="AH447" s="16">
        <v>0.94242344935880662</v>
      </c>
      <c r="AI447" s="16">
        <v>0.94226077527785312</v>
      </c>
    </row>
    <row r="448" spans="1:35" x14ac:dyDescent="0.25">
      <c r="A448" s="11">
        <f>$A$53</f>
        <v>38</v>
      </c>
      <c r="M448" s="11"/>
      <c r="N448" s="11"/>
      <c r="O448" s="11"/>
      <c r="P448" s="16">
        <v>0.94115853658536586</v>
      </c>
      <c r="Q448" s="16">
        <v>0.94086181277860326</v>
      </c>
      <c r="R448" s="16">
        <v>0.94110753003222969</v>
      </c>
      <c r="S448" s="16">
        <v>0.94086956521739129</v>
      </c>
      <c r="T448" s="16">
        <v>0.94106034968979135</v>
      </c>
      <c r="U448" s="16">
        <v>0.94067114093959736</v>
      </c>
      <c r="V448" s="16">
        <v>0.94091733609743455</v>
      </c>
      <c r="W448" s="16">
        <v>0.94092400908861396</v>
      </c>
      <c r="X448" s="16">
        <v>0.94076571153383093</v>
      </c>
      <c r="Y448" s="16">
        <v>0.94094023151429251</v>
      </c>
      <c r="Z448" s="16">
        <v>0.94089945844125267</v>
      </c>
      <c r="AA448" s="16">
        <v>0.9410506299025434</v>
      </c>
      <c r="AB448" s="16">
        <v>0.94094584660622393</v>
      </c>
      <c r="AC448" s="16">
        <v>0.94107537441689171</v>
      </c>
      <c r="AD448" s="16">
        <v>0.94101678183613036</v>
      </c>
      <c r="AE448" s="16">
        <v>0.94084650688424276</v>
      </c>
      <c r="AF448" s="16">
        <v>0.94090560245587107</v>
      </c>
      <c r="AG448" s="16">
        <v>0.94106862231534838</v>
      </c>
      <c r="AH448" s="16">
        <v>0.94088923156001025</v>
      </c>
      <c r="AI448" s="16">
        <v>0.94096228868660603</v>
      </c>
    </row>
    <row r="449" spans="1:35" x14ac:dyDescent="0.25">
      <c r="A449" s="11">
        <f>$A$54</f>
        <v>39</v>
      </c>
      <c r="M449" s="11"/>
      <c r="N449" s="11"/>
      <c r="O449" s="11"/>
      <c r="P449" s="16">
        <v>0.93934681181959567</v>
      </c>
      <c r="Q449" s="16">
        <v>0.93974437005477784</v>
      </c>
      <c r="R449" s="16">
        <v>0.93962710861201537</v>
      </c>
      <c r="S449" s="16">
        <v>0.93968531468531469</v>
      </c>
      <c r="T449" s="16">
        <v>0.93976945244956778</v>
      </c>
      <c r="U449" s="16">
        <v>0.93944491169049626</v>
      </c>
      <c r="V449" s="16">
        <v>0.93965287049399204</v>
      </c>
      <c r="W449" s="16">
        <v>0.93943298969072164</v>
      </c>
      <c r="X449" s="16">
        <v>0.93946244662145184</v>
      </c>
      <c r="Y449" s="16">
        <v>0.9396117900790798</v>
      </c>
      <c r="Z449" s="16">
        <v>0.93957206677639316</v>
      </c>
      <c r="AA449" s="16">
        <v>0.93953597375205067</v>
      </c>
      <c r="AB449" s="16">
        <v>0.93945127719962152</v>
      </c>
      <c r="AC449" s="16">
        <v>0.93954168698196006</v>
      </c>
      <c r="AD449" s="16">
        <v>0.93966780654616511</v>
      </c>
      <c r="AE449" s="16">
        <v>0.93960225877731407</v>
      </c>
      <c r="AF449" s="16">
        <v>0.93938625412122745</v>
      </c>
      <c r="AG449" s="16">
        <v>0.93944020356234093</v>
      </c>
      <c r="AH449" s="16">
        <v>0.93932291666666667</v>
      </c>
      <c r="AI449" s="16">
        <v>0.93967280163599187</v>
      </c>
    </row>
    <row r="450" spans="1:35" x14ac:dyDescent="0.25">
      <c r="A450" s="11">
        <f>$A$55</f>
        <v>40</v>
      </c>
      <c r="M450" s="11"/>
      <c r="N450" s="11"/>
      <c r="O450" s="11"/>
      <c r="P450" s="16">
        <v>0.9379746835443038</v>
      </c>
      <c r="Q450" s="16">
        <v>0.93819875776397521</v>
      </c>
      <c r="R450" s="16">
        <v>0.93818181818181823</v>
      </c>
      <c r="S450" s="16">
        <v>0.93818074771857518</v>
      </c>
      <c r="T450" s="16">
        <v>0.93826086956521737</v>
      </c>
      <c r="U450" s="16">
        <v>0.93807339449541283</v>
      </c>
      <c r="V450" s="16">
        <v>0.9383370535714286</v>
      </c>
      <c r="W450" s="16">
        <v>0.93808131809726281</v>
      </c>
      <c r="X450" s="16">
        <v>0.93815755709520143</v>
      </c>
      <c r="Y450" s="16">
        <v>0.93821910955477739</v>
      </c>
      <c r="Z450" s="16">
        <v>0.9381861575178998</v>
      </c>
      <c r="AA450" s="16">
        <v>0.9379536408335285</v>
      </c>
      <c r="AB450" s="16">
        <v>0.93815635939323216</v>
      </c>
      <c r="AC450" s="16">
        <v>0.93828032979976439</v>
      </c>
      <c r="AD450" s="16">
        <v>0.93833454722019904</v>
      </c>
      <c r="AE450" s="16">
        <v>0.9379863813229572</v>
      </c>
      <c r="AF450" s="16">
        <v>0.93815692984600341</v>
      </c>
      <c r="AG450" s="16">
        <v>0.93813131313131315</v>
      </c>
      <c r="AH450" s="16">
        <v>0.93819655521783185</v>
      </c>
      <c r="AI450" s="16">
        <v>0.93829401088929221</v>
      </c>
    </row>
    <row r="451" spans="1:35" x14ac:dyDescent="0.25">
      <c r="A451" s="11">
        <f>$A$56</f>
        <v>41</v>
      </c>
      <c r="M451" s="11"/>
      <c r="N451" s="11"/>
      <c r="O451" s="11"/>
      <c r="P451" s="16">
        <v>0.93667205169628431</v>
      </c>
      <c r="Q451" s="16">
        <v>0.93680884676145337</v>
      </c>
      <c r="R451" s="16">
        <v>0.9369007114135478</v>
      </c>
      <c r="S451" s="16">
        <v>0.93668977992161595</v>
      </c>
      <c r="T451" s="16">
        <v>0.93700556694989745</v>
      </c>
      <c r="U451" s="16">
        <v>0.9368329968272282</v>
      </c>
      <c r="V451" s="16">
        <v>0.93666191155492151</v>
      </c>
      <c r="W451" s="16">
        <v>0.93668425437378511</v>
      </c>
      <c r="X451" s="16">
        <v>0.93675575549087065</v>
      </c>
      <c r="Y451" s="16">
        <v>0.93687707641196016</v>
      </c>
      <c r="Z451" s="16">
        <v>0.9367372353673723</v>
      </c>
      <c r="AA451" s="16">
        <v>0.93699476937708037</v>
      </c>
      <c r="AB451" s="16">
        <v>0.93678563097737344</v>
      </c>
      <c r="AC451" s="16">
        <v>0.93675889328063244</v>
      </c>
      <c r="AD451" s="16">
        <v>0.93686927951185173</v>
      </c>
      <c r="AE451" s="16">
        <v>0.93689555125725343</v>
      </c>
      <c r="AF451" s="16">
        <v>0.93677325581395354</v>
      </c>
      <c r="AG451" s="16">
        <v>0.93693693693693691</v>
      </c>
      <c r="AH451" s="16">
        <v>0.93688710082977122</v>
      </c>
      <c r="AI451" s="16">
        <v>0.93669609079445149</v>
      </c>
    </row>
    <row r="452" spans="1:35" x14ac:dyDescent="0.25">
      <c r="A452" s="11">
        <f>$A$57</f>
        <v>42</v>
      </c>
      <c r="M452" s="11"/>
      <c r="N452" s="11"/>
      <c r="O452" s="11"/>
      <c r="P452" s="16">
        <v>0.93553774215096863</v>
      </c>
      <c r="Q452" s="16">
        <v>0.93548387096774188</v>
      </c>
      <c r="R452" s="16">
        <v>0.93578847969782819</v>
      </c>
      <c r="S452" s="16">
        <v>0.93567251461988299</v>
      </c>
      <c r="T452" s="16">
        <v>0.93545481837286104</v>
      </c>
      <c r="U452" s="16">
        <v>0.93551210971695364</v>
      </c>
      <c r="V452" s="16">
        <v>0.93563218390804592</v>
      </c>
      <c r="W452" s="16">
        <v>0.93547470153496304</v>
      </c>
      <c r="X452" s="16">
        <v>0.93526970954356847</v>
      </c>
      <c r="Y452" s="16">
        <v>0.93565400843881852</v>
      </c>
      <c r="Z452" s="16">
        <v>0.93557422969187676</v>
      </c>
      <c r="AA452" s="16">
        <v>0.93545183714001989</v>
      </c>
      <c r="AB452" s="16">
        <v>0.93530805687203789</v>
      </c>
      <c r="AC452" s="16">
        <v>0.93558139534883722</v>
      </c>
      <c r="AD452" s="16">
        <v>0.93555864626796481</v>
      </c>
      <c r="AE452" s="16">
        <v>0.93543859649122807</v>
      </c>
      <c r="AF452" s="16">
        <v>0.93564714389009396</v>
      </c>
      <c r="AG452" s="16">
        <v>0.93553838725253502</v>
      </c>
      <c r="AH452" s="16">
        <v>0.93545256005823829</v>
      </c>
      <c r="AI452" s="16">
        <v>0.935605111500877</v>
      </c>
    </row>
    <row r="453" spans="1:35" x14ac:dyDescent="0.25">
      <c r="A453" s="11">
        <f>$A$58</f>
        <v>43</v>
      </c>
      <c r="M453" s="11"/>
      <c r="N453" s="11"/>
      <c r="O453" s="11"/>
      <c r="P453" s="16">
        <v>0.93403693931398413</v>
      </c>
      <c r="Q453" s="16">
        <v>0.93428952635090057</v>
      </c>
      <c r="R453" s="16">
        <v>0.93410478945676634</v>
      </c>
      <c r="S453" s="16">
        <v>0.93450329050454406</v>
      </c>
      <c r="T453" s="16">
        <v>0.93404907975460127</v>
      </c>
      <c r="U453" s="16">
        <v>0.9341514516611793</v>
      </c>
      <c r="V453" s="16">
        <v>0.93397324025596273</v>
      </c>
      <c r="W453" s="16">
        <v>0.93411629905471216</v>
      </c>
      <c r="X453" s="16">
        <v>0.93425899688296965</v>
      </c>
      <c r="Y453" s="16">
        <v>0.93434482758620685</v>
      </c>
      <c r="Z453" s="16">
        <v>0.93426242440178808</v>
      </c>
      <c r="AA453" s="16">
        <v>0.9342138684277369</v>
      </c>
      <c r="AB453" s="16">
        <v>0.93437345220406143</v>
      </c>
      <c r="AC453" s="16">
        <v>0.93404255319148932</v>
      </c>
      <c r="AD453" s="16">
        <v>0.93410672853828303</v>
      </c>
      <c r="AE453" s="16">
        <v>0.93432007400555039</v>
      </c>
      <c r="AF453" s="16">
        <v>0.9341890315052509</v>
      </c>
      <c r="AG453" s="16">
        <v>0.9341346153846154</v>
      </c>
      <c r="AH453" s="16">
        <v>0.93424855491329484</v>
      </c>
      <c r="AI453" s="16">
        <v>0.93417231364956432</v>
      </c>
    </row>
    <row r="454" spans="1:35" x14ac:dyDescent="0.25">
      <c r="A454" s="11">
        <f>$A$59</f>
        <v>44</v>
      </c>
      <c r="M454" s="11"/>
      <c r="N454" s="11"/>
      <c r="O454" s="11"/>
      <c r="P454" s="16">
        <v>0.93300165837479265</v>
      </c>
      <c r="Q454" s="16">
        <v>0.93280632411067199</v>
      </c>
      <c r="R454" s="16">
        <v>0.93286806247922893</v>
      </c>
      <c r="S454" s="16">
        <v>0.93277848911651728</v>
      </c>
      <c r="T454" s="16">
        <v>0.93312499999999998</v>
      </c>
      <c r="U454" s="16">
        <v>0.9329865361077111</v>
      </c>
      <c r="V454" s="16">
        <v>0.93283582089552242</v>
      </c>
      <c r="W454" s="16">
        <v>0.93296575739988397</v>
      </c>
      <c r="X454" s="16">
        <v>0.93312374964275502</v>
      </c>
      <c r="Y454" s="16">
        <v>0.93299406276505514</v>
      </c>
      <c r="Z454" s="16">
        <v>0.93311312964492155</v>
      </c>
      <c r="AA454" s="16">
        <v>0.93282602991340857</v>
      </c>
      <c r="AB454" s="16">
        <v>0.93307984790874521</v>
      </c>
      <c r="AC454" s="16">
        <v>0.93302026693030149</v>
      </c>
      <c r="AD454" s="16">
        <v>0.93275129778197263</v>
      </c>
      <c r="AE454" s="16">
        <v>0.93283927744326078</v>
      </c>
      <c r="AF454" s="16">
        <v>0.933056325023084</v>
      </c>
      <c r="AG454" s="16">
        <v>0.93291404612159334</v>
      </c>
      <c r="AH454" s="16">
        <v>0.93306142034548945</v>
      </c>
      <c r="AI454" s="16">
        <v>0.93294881038211963</v>
      </c>
    </row>
    <row r="455" spans="1:35" x14ac:dyDescent="0.25">
      <c r="A455" s="11">
        <f>$A$60</f>
        <v>45</v>
      </c>
      <c r="M455" s="11"/>
      <c r="N455" s="11"/>
      <c r="O455" s="11"/>
      <c r="P455" s="16">
        <v>0.93189964157706096</v>
      </c>
      <c r="Q455" s="16">
        <v>0.9317654852600199</v>
      </c>
      <c r="R455" s="16">
        <v>0.9316912972085386</v>
      </c>
      <c r="S455" s="16">
        <v>0.9317880794701987</v>
      </c>
      <c r="T455" s="16">
        <v>0.93160754234579735</v>
      </c>
      <c r="U455" s="16">
        <v>0.93166926677067086</v>
      </c>
      <c r="V455" s="16">
        <v>0.93186678887870456</v>
      </c>
      <c r="W455" s="16">
        <v>0.93174366616989568</v>
      </c>
      <c r="X455" s="16">
        <v>0.93161402492031298</v>
      </c>
      <c r="Y455" s="16">
        <v>0.93179223744292239</v>
      </c>
      <c r="Z455" s="16">
        <v>0.93167701863354035</v>
      </c>
      <c r="AA455" s="16">
        <v>0.93183067619571192</v>
      </c>
      <c r="AB455" s="16">
        <v>0.93160377358490565</v>
      </c>
      <c r="AC455" s="16">
        <v>0.93164556962025313</v>
      </c>
      <c r="AD455" s="16">
        <v>0.93162182177240183</v>
      </c>
      <c r="AE455" s="16">
        <v>0.93163602074493168</v>
      </c>
      <c r="AF455" s="16">
        <v>0.93174456270245254</v>
      </c>
      <c r="AG455" s="16">
        <v>0.93151948351394975</v>
      </c>
      <c r="AH455" s="16">
        <v>0.9315960912052117</v>
      </c>
      <c r="AI455" s="16">
        <v>0.93170381020848314</v>
      </c>
    </row>
    <row r="456" spans="1:35" x14ac:dyDescent="0.25">
      <c r="A456" s="11">
        <f>$A$61</f>
        <v>46</v>
      </c>
      <c r="M456" s="11"/>
      <c r="N456" s="11"/>
      <c r="O456" s="11"/>
      <c r="P456" s="16">
        <v>0.93042378241619228</v>
      </c>
      <c r="Q456" s="16">
        <v>0.9303612105434429</v>
      </c>
      <c r="R456" s="16">
        <v>0.93062438057482655</v>
      </c>
      <c r="S456" s="16">
        <v>0.93060556464811783</v>
      </c>
      <c r="T456" s="16">
        <v>0.93050959629384511</v>
      </c>
      <c r="U456" s="16">
        <v>0.93037368252954322</v>
      </c>
      <c r="V456" s="16">
        <v>0.93046460866853753</v>
      </c>
      <c r="W456" s="16">
        <v>0.93038167938931293</v>
      </c>
      <c r="X456" s="16">
        <v>0.93057210965435044</v>
      </c>
      <c r="Y456" s="16">
        <v>0.93047508690614134</v>
      </c>
      <c r="Z456" s="16">
        <v>0.9306704707560628</v>
      </c>
      <c r="AA456" s="16">
        <v>0.9303047404063205</v>
      </c>
      <c r="AB456" s="16">
        <v>0.93049450549450552</v>
      </c>
      <c r="AC456" s="16">
        <v>0.93057374901755308</v>
      </c>
      <c r="AD456" s="16">
        <v>0.93039736775499871</v>
      </c>
      <c r="AE456" s="16">
        <v>0.93040473840078974</v>
      </c>
      <c r="AF456" s="16">
        <v>0.93047372142352114</v>
      </c>
      <c r="AG456" s="16">
        <v>0.93060374739764051</v>
      </c>
      <c r="AH456" s="16">
        <v>0.93038266482249887</v>
      </c>
      <c r="AI456" s="16">
        <v>0.93044894161432889</v>
      </c>
    </row>
    <row r="457" spans="1:35" x14ac:dyDescent="0.25">
      <c r="A457" s="11">
        <f>$A$62</f>
        <v>47</v>
      </c>
      <c r="M457" s="11"/>
      <c r="N457" s="11"/>
      <c r="O457" s="11"/>
      <c r="P457" s="16">
        <v>0.92931139549055453</v>
      </c>
      <c r="Q457" s="16">
        <v>0.92922590837282781</v>
      </c>
      <c r="R457" s="16">
        <v>0.92922077922077917</v>
      </c>
      <c r="S457" s="16">
        <v>0.92920645373724065</v>
      </c>
      <c r="T457" s="16">
        <v>0.92927308447937129</v>
      </c>
      <c r="U457" s="16">
        <v>0.92916252896391927</v>
      </c>
      <c r="V457" s="16">
        <v>0.92937040588047304</v>
      </c>
      <c r="W457" s="16">
        <v>0.92948517940717623</v>
      </c>
      <c r="X457" s="16">
        <v>0.9294225481209899</v>
      </c>
      <c r="Y457" s="16">
        <v>0.9290611028315946</v>
      </c>
      <c r="Z457" s="16">
        <v>0.92929585627354394</v>
      </c>
      <c r="AA457" s="16">
        <v>0.92922374429223742</v>
      </c>
      <c r="AB457" s="16">
        <v>0.92913608130999437</v>
      </c>
      <c r="AC457" s="16">
        <v>0.92935678944474986</v>
      </c>
      <c r="AD457" s="16">
        <v>0.92922673656618615</v>
      </c>
      <c r="AE457" s="16">
        <v>0.92934920232970375</v>
      </c>
      <c r="AF457" s="16">
        <v>0.92938271604938272</v>
      </c>
      <c r="AG457" s="16">
        <v>0.92926196651733084</v>
      </c>
      <c r="AH457" s="16">
        <v>0.92918305947697288</v>
      </c>
      <c r="AI457" s="16">
        <v>0.92919741697416969</v>
      </c>
    </row>
    <row r="458" spans="1:35" x14ac:dyDescent="0.25">
      <c r="A458" s="11">
        <f>$A$63</f>
        <v>48</v>
      </c>
      <c r="M458" s="11"/>
      <c r="N458" s="11"/>
      <c r="O458" s="11"/>
      <c r="P458" s="16">
        <v>0.92816859602255863</v>
      </c>
      <c r="Q458" s="16">
        <v>0.92783191230207063</v>
      </c>
      <c r="R458" s="16">
        <v>0.92778303374329862</v>
      </c>
      <c r="S458" s="16">
        <v>0.92778497409326421</v>
      </c>
      <c r="T458" s="16">
        <v>0.92810026385224276</v>
      </c>
      <c r="U458" s="16">
        <v>0.9278688524590164</v>
      </c>
      <c r="V458" s="16">
        <v>0.92807424593967514</v>
      </c>
      <c r="W458" s="16">
        <v>0.92800000000000005</v>
      </c>
      <c r="X458" s="16">
        <v>0.92814745392064979</v>
      </c>
      <c r="Y458" s="16">
        <v>0.92811257265218716</v>
      </c>
      <c r="Z458" s="16">
        <v>0.92805970149253736</v>
      </c>
      <c r="AA458" s="16">
        <v>0.92776327241079204</v>
      </c>
      <c r="AB458" s="16">
        <v>0.92800000000000005</v>
      </c>
      <c r="AC458" s="16">
        <v>0.92792538157150928</v>
      </c>
      <c r="AD458" s="16">
        <v>0.92790313703907545</v>
      </c>
      <c r="AE458" s="16">
        <v>0.92784046182104429</v>
      </c>
      <c r="AF458" s="16">
        <v>0.92775665399239549</v>
      </c>
      <c r="AG458" s="16">
        <v>0.9278299555116164</v>
      </c>
      <c r="AH458" s="16">
        <v>0.92799811142587352</v>
      </c>
      <c r="AI458" s="16">
        <v>0.9279425393883225</v>
      </c>
    </row>
    <row r="459" spans="1:35" x14ac:dyDescent="0.25">
      <c r="A459" s="11">
        <f>$A$64</f>
        <v>49</v>
      </c>
      <c r="M459" s="11"/>
      <c r="N459" s="11"/>
      <c r="O459" s="11"/>
      <c r="P459" s="16">
        <v>0.9267639178326883</v>
      </c>
      <c r="Q459" s="16">
        <v>0.92670623145400588</v>
      </c>
      <c r="R459" s="16">
        <v>0.92670316301703159</v>
      </c>
      <c r="S459" s="16">
        <v>0.92663727959697728</v>
      </c>
      <c r="T459" s="16">
        <v>0.92662337662337657</v>
      </c>
      <c r="U459" s="16">
        <v>0.92661157024793384</v>
      </c>
      <c r="V459" s="16">
        <v>0.92669296515450361</v>
      </c>
      <c r="W459" s="16">
        <v>0.92657807308970097</v>
      </c>
      <c r="X459" s="16">
        <v>0.92655548428479795</v>
      </c>
      <c r="Y459" s="16">
        <v>0.9267376330619912</v>
      </c>
      <c r="Z459" s="16">
        <v>0.92673206621704474</v>
      </c>
      <c r="AA459" s="16">
        <v>0.92671253365240802</v>
      </c>
      <c r="AB459" s="16">
        <v>0.92672288455946494</v>
      </c>
      <c r="AC459" s="16">
        <v>0.92668957617411229</v>
      </c>
      <c r="AD459" s="16">
        <v>0.92662889518413594</v>
      </c>
      <c r="AE459" s="16">
        <v>0.92664092664092668</v>
      </c>
      <c r="AF459" s="16">
        <v>0.92663686563239545</v>
      </c>
      <c r="AG459" s="16">
        <v>0.92659385318770637</v>
      </c>
      <c r="AH459" s="16">
        <v>0.92669638434868751</v>
      </c>
      <c r="AI459" s="16">
        <v>0.92667928098391672</v>
      </c>
    </row>
    <row r="460" spans="1:35" x14ac:dyDescent="0.25">
      <c r="A460" s="11">
        <f>$A$65</f>
        <v>50</v>
      </c>
      <c r="M460" s="11"/>
      <c r="N460" s="11"/>
      <c r="O460" s="11"/>
      <c r="P460" s="16">
        <v>0.92539585870889163</v>
      </c>
      <c r="Q460" s="16">
        <v>0.92527537957725514</v>
      </c>
      <c r="R460" s="16">
        <v>0.92528906018381263</v>
      </c>
      <c r="S460" s="16">
        <v>0.92527339003645204</v>
      </c>
      <c r="T460" s="16">
        <v>0.92514213518635502</v>
      </c>
      <c r="U460" s="16">
        <v>0.92540716612377849</v>
      </c>
      <c r="V460" s="16">
        <v>0.92537313432835822</v>
      </c>
      <c r="W460" s="16">
        <v>0.92546174142480209</v>
      </c>
      <c r="X460" s="16">
        <v>0.92533333333333334</v>
      </c>
      <c r="Y460" s="16">
        <v>0.92535392535392536</v>
      </c>
      <c r="Z460" s="16">
        <v>0.92525125628140703</v>
      </c>
      <c r="AA460" s="16">
        <v>0.92527675276752763</v>
      </c>
      <c r="AB460" s="16">
        <v>0.92529252925292527</v>
      </c>
      <c r="AC460" s="16">
        <v>0.92534266550014577</v>
      </c>
      <c r="AD460" s="16">
        <v>0.92533026995979317</v>
      </c>
      <c r="AE460" s="16">
        <v>0.92556818181818179</v>
      </c>
      <c r="AF460" s="16">
        <v>0.92533185840707965</v>
      </c>
      <c r="AG460" s="16">
        <v>0.92538887424202476</v>
      </c>
      <c r="AH460" s="16">
        <v>0.92536933265410082</v>
      </c>
      <c r="AI460" s="16">
        <v>0.92550285572386393</v>
      </c>
    </row>
    <row r="461" spans="1:35" x14ac:dyDescent="0.25">
      <c r="A461" s="11">
        <f>$A$66</f>
        <v>51</v>
      </c>
      <c r="M461" s="11"/>
      <c r="N461" s="11"/>
      <c r="O461" s="11"/>
      <c r="P461" s="16">
        <v>0.92406613594611142</v>
      </c>
      <c r="Q461" s="16">
        <v>0.92385013706975327</v>
      </c>
      <c r="R461" s="16">
        <v>0.92408454897290859</v>
      </c>
      <c r="S461" s="16">
        <v>0.92382928275044462</v>
      </c>
      <c r="T461" s="16">
        <v>0.92406221408966149</v>
      </c>
      <c r="U461" s="16">
        <v>0.92390615091946737</v>
      </c>
      <c r="V461" s="16">
        <v>0.92380640941792025</v>
      </c>
      <c r="W461" s="16">
        <v>0.92407592407592409</v>
      </c>
      <c r="X461" s="16">
        <v>0.92386626944720296</v>
      </c>
      <c r="Y461" s="16">
        <v>0.92372030779524927</v>
      </c>
      <c r="Z461" s="16">
        <v>0.92379722311914758</v>
      </c>
      <c r="AA461" s="16">
        <v>0.92402269861286257</v>
      </c>
      <c r="AB461" s="16">
        <v>0.92407407407407405</v>
      </c>
      <c r="AC461" s="16">
        <v>0.92384105960264906</v>
      </c>
      <c r="AD461" s="16">
        <v>0.92390986245244366</v>
      </c>
      <c r="AE461" s="16">
        <v>0.92394122731201378</v>
      </c>
      <c r="AF461" s="16">
        <v>0.92390994585351949</v>
      </c>
      <c r="AG461" s="16">
        <v>0.92399445214979192</v>
      </c>
      <c r="AH461" s="16">
        <v>0.9238296746892356</v>
      </c>
      <c r="AI461" s="16">
        <v>0.92411854879918243</v>
      </c>
    </row>
    <row r="462" spans="1:35" x14ac:dyDescent="0.25">
      <c r="A462" s="11">
        <f>$A$67</f>
        <v>52</v>
      </c>
      <c r="M462" s="11"/>
      <c r="N462" s="11"/>
      <c r="O462" s="11"/>
      <c r="P462" s="16">
        <v>0.92249764668967682</v>
      </c>
      <c r="Q462" s="16">
        <v>0.92248774509803921</v>
      </c>
      <c r="R462" s="16">
        <v>0.92258457787259984</v>
      </c>
      <c r="S462" s="16">
        <v>0.92229830306638882</v>
      </c>
      <c r="T462" s="16">
        <v>0.92232142857142863</v>
      </c>
      <c r="U462" s="16">
        <v>0.92251148545176109</v>
      </c>
      <c r="V462" s="16">
        <v>0.92261146496815283</v>
      </c>
      <c r="W462" s="16">
        <v>0.92249589490968797</v>
      </c>
      <c r="X462" s="16">
        <v>0.9224339685723838</v>
      </c>
      <c r="Y462" s="16">
        <v>0.92223330009970095</v>
      </c>
      <c r="Z462" s="16">
        <v>0.92271505376344087</v>
      </c>
      <c r="AA462" s="16">
        <v>0.9225032425421531</v>
      </c>
      <c r="AB462" s="16">
        <v>0.92246835443037978</v>
      </c>
      <c r="AC462" s="16">
        <v>0.92255266418835191</v>
      </c>
      <c r="AD462" s="16">
        <v>0.92263523723179208</v>
      </c>
      <c r="AE462" s="16">
        <v>0.92246696035242293</v>
      </c>
      <c r="AF462" s="16">
        <v>0.92249855407750148</v>
      </c>
      <c r="AG462" s="16">
        <v>0.92248283752860416</v>
      </c>
      <c r="AH462" s="16">
        <v>0.92260579064587978</v>
      </c>
      <c r="AI462" s="16">
        <v>0.92250530785562634</v>
      </c>
    </row>
    <row r="463" spans="1:35" x14ac:dyDescent="0.25">
      <c r="A463" s="11">
        <f>$A$68</f>
        <v>53</v>
      </c>
      <c r="M463" s="11"/>
      <c r="N463" s="11"/>
      <c r="O463" s="11"/>
      <c r="P463" s="16">
        <v>0.91944801026957634</v>
      </c>
      <c r="Q463" s="16">
        <v>0.91928391959798994</v>
      </c>
      <c r="R463" s="16">
        <v>0.91937461679950949</v>
      </c>
      <c r="S463" s="16">
        <v>0.91951219512195126</v>
      </c>
      <c r="T463" s="16">
        <v>0.91928251121076232</v>
      </c>
      <c r="U463" s="16">
        <v>0.91930663478780639</v>
      </c>
      <c r="V463" s="16">
        <v>0.9194341943419434</v>
      </c>
      <c r="W463" s="16">
        <v>0.91973137192196996</v>
      </c>
      <c r="X463" s="16">
        <v>0.91922189251566111</v>
      </c>
      <c r="Y463" s="16">
        <v>0.919436052366566</v>
      </c>
      <c r="Z463" s="16">
        <v>0.91955941255006679</v>
      </c>
      <c r="AA463" s="16">
        <v>0.91939291736930862</v>
      </c>
      <c r="AB463" s="16">
        <v>0.91959635416666663</v>
      </c>
      <c r="AC463" s="16">
        <v>0.91931385006353239</v>
      </c>
      <c r="AD463" s="16">
        <v>0.91946517412935325</v>
      </c>
      <c r="AE463" s="16">
        <v>0.91962390051562026</v>
      </c>
      <c r="AF463" s="16">
        <v>0.91924550545240202</v>
      </c>
      <c r="AG463" s="16">
        <v>0.91932675565873478</v>
      </c>
      <c r="AH463" s="16">
        <v>0.91963260619977039</v>
      </c>
      <c r="AI463" s="16">
        <v>0.9195530726256983</v>
      </c>
    </row>
    <row r="464" spans="1:35" x14ac:dyDescent="0.25">
      <c r="A464" s="11">
        <f>$A$69</f>
        <v>54</v>
      </c>
      <c r="M464" s="11"/>
      <c r="N464" s="11"/>
      <c r="O464" s="11"/>
      <c r="P464" s="16">
        <v>0.91556558169513369</v>
      </c>
      <c r="Q464" s="16">
        <v>0.9161041465766635</v>
      </c>
      <c r="R464" s="16">
        <v>0.91606413077648541</v>
      </c>
      <c r="S464" s="16">
        <v>0.91623197299785208</v>
      </c>
      <c r="T464" s="16">
        <v>0.91643709825528008</v>
      </c>
      <c r="U464" s="16">
        <v>0.91656662665066024</v>
      </c>
      <c r="V464" s="16">
        <v>0.91659165916591656</v>
      </c>
      <c r="W464" s="16">
        <v>0.91694967582587217</v>
      </c>
      <c r="X464" s="16">
        <v>0.91717495987158904</v>
      </c>
      <c r="Y464" s="16">
        <v>0.91724594505130752</v>
      </c>
      <c r="Z464" s="16">
        <v>0.91742500842601959</v>
      </c>
      <c r="AA464" s="16">
        <v>0.91725293132328312</v>
      </c>
      <c r="AB464" s="16">
        <v>0.91740013540961407</v>
      </c>
      <c r="AC464" s="16">
        <v>0.91767396275726887</v>
      </c>
      <c r="AD464" s="16">
        <v>0.91775581766018488</v>
      </c>
      <c r="AE464" s="16">
        <v>0.91762870514820594</v>
      </c>
      <c r="AF464" s="16">
        <v>0.91783323189287891</v>
      </c>
      <c r="AG464" s="16">
        <v>0.91807157645666959</v>
      </c>
      <c r="AH464" s="16">
        <v>0.91790393013100435</v>
      </c>
      <c r="AI464" s="16">
        <v>0.91793838180247622</v>
      </c>
    </row>
    <row r="465" spans="1:35" x14ac:dyDescent="0.25">
      <c r="A465" s="11">
        <f>$A$70</f>
        <v>55</v>
      </c>
      <c r="M465" s="11"/>
      <c r="N465" s="11"/>
      <c r="O465" s="11"/>
      <c r="P465" s="16">
        <v>0.91007653061224492</v>
      </c>
      <c r="Q465" s="16">
        <v>0.91055860510171138</v>
      </c>
      <c r="R465" s="16">
        <v>0.91084647570003219</v>
      </c>
      <c r="S465" s="16">
        <v>0.9112370160528801</v>
      </c>
      <c r="T465" s="16">
        <v>0.91161071758546353</v>
      </c>
      <c r="U465" s="16">
        <v>0.91182795698924735</v>
      </c>
      <c r="V465" s="16">
        <v>0.91232298885206387</v>
      </c>
      <c r="W465" s="16">
        <v>0.91267690454682326</v>
      </c>
      <c r="X465" s="16">
        <v>0.91294919454770751</v>
      </c>
      <c r="Y465" s="16">
        <v>0.91304347826086951</v>
      </c>
      <c r="Z465" s="16">
        <v>0.913317834606443</v>
      </c>
      <c r="AA465" s="16">
        <v>0.9137639499492729</v>
      </c>
      <c r="AB465" s="16">
        <v>0.91394957983193281</v>
      </c>
      <c r="AC465" s="16">
        <v>0.9140625</v>
      </c>
      <c r="AD465" s="16">
        <v>0.91445427728613571</v>
      </c>
      <c r="AE465" s="16">
        <v>0.91461464662615921</v>
      </c>
      <c r="AF465" s="16">
        <v>0.9145539906103286</v>
      </c>
      <c r="AG465" s="16">
        <v>0.9148351648351648</v>
      </c>
      <c r="AH465" s="16">
        <v>0.91515870661524767</v>
      </c>
      <c r="AI465" s="16">
        <v>0.91503649635036499</v>
      </c>
    </row>
    <row r="466" spans="1:35" x14ac:dyDescent="0.25">
      <c r="A466" s="11">
        <f>$A$71</f>
        <v>56</v>
      </c>
      <c r="M466" s="11"/>
      <c r="N466" s="11"/>
      <c r="O466" s="11"/>
      <c r="P466" s="16">
        <v>0.90240850797622774</v>
      </c>
      <c r="Q466" s="16">
        <v>0.90348354106743367</v>
      </c>
      <c r="R466" s="16">
        <v>0.90426908150064678</v>
      </c>
      <c r="S466" s="16">
        <v>0.90460844344183045</v>
      </c>
      <c r="T466" s="16">
        <v>0.9052432090966519</v>
      </c>
      <c r="U466" s="16">
        <v>0.90602782071097376</v>
      </c>
      <c r="V466" s="16">
        <v>0.90656799259944498</v>
      </c>
      <c r="W466" s="16">
        <v>0.90719467956469169</v>
      </c>
      <c r="X466" s="16">
        <v>0.90755287009063446</v>
      </c>
      <c r="Y466" s="16">
        <v>0.90798880944979798</v>
      </c>
      <c r="Z466" s="16">
        <v>0.90823909531502423</v>
      </c>
      <c r="AA466" s="16">
        <v>0.90903032322559152</v>
      </c>
      <c r="AB466" s="16">
        <v>0.90943012211668928</v>
      </c>
      <c r="AC466" s="16">
        <v>0.90964261631827381</v>
      </c>
      <c r="AD466" s="16">
        <v>0.9100511073253833</v>
      </c>
      <c r="AE466" s="16">
        <v>0.90995727900098589</v>
      </c>
      <c r="AF466" s="16">
        <v>0.9105195638229634</v>
      </c>
      <c r="AG466" s="16">
        <v>0.91086001255492777</v>
      </c>
      <c r="AH466" s="16">
        <v>0.91092745638200179</v>
      </c>
      <c r="AI466" s="16">
        <v>0.91136228435455091</v>
      </c>
    </row>
    <row r="467" spans="1:35" x14ac:dyDescent="0.25">
      <c r="A467" s="11">
        <f>$A$72</f>
        <v>57</v>
      </c>
      <c r="M467" s="11"/>
      <c r="N467" s="11"/>
      <c r="O467" s="11"/>
      <c r="P467" s="16">
        <v>0.89426356589147282</v>
      </c>
      <c r="Q467" s="16">
        <v>0.89523212045169387</v>
      </c>
      <c r="R467" s="16">
        <v>0.89625360230547546</v>
      </c>
      <c r="S467" s="16">
        <v>0.89731130547457083</v>
      </c>
      <c r="T467" s="16">
        <v>0.89812419146183697</v>
      </c>
      <c r="U467" s="16">
        <v>0.89889064976228206</v>
      </c>
      <c r="V467" s="16">
        <v>0.89953488372093027</v>
      </c>
      <c r="W467" s="16">
        <v>0.90040210330961956</v>
      </c>
      <c r="X467" s="16">
        <v>0.90115221346270469</v>
      </c>
      <c r="Y467" s="16">
        <v>0.90181818181818185</v>
      </c>
      <c r="Z467" s="16">
        <v>0.902431421446384</v>
      </c>
      <c r="AA467" s="16">
        <v>0.90278677900194426</v>
      </c>
      <c r="AB467" s="16">
        <v>0.90344136318075507</v>
      </c>
      <c r="AC467" s="16">
        <v>0.90408163265306118</v>
      </c>
      <c r="AD467" s="16">
        <v>0.90435958093950664</v>
      </c>
      <c r="AE467" s="16">
        <v>0.90471311475409832</v>
      </c>
      <c r="AF467" s="16">
        <v>0.90510708401976936</v>
      </c>
      <c r="AG467" s="16">
        <v>0.90578778135048232</v>
      </c>
      <c r="AH467" s="16">
        <v>0.90623033354310889</v>
      </c>
      <c r="AI467" s="16">
        <v>0.90641301012580544</v>
      </c>
    </row>
    <row r="468" spans="1:35" x14ac:dyDescent="0.25">
      <c r="A468" s="11">
        <f>$A$73</f>
        <v>58</v>
      </c>
      <c r="M468" s="11"/>
      <c r="N468" s="11"/>
      <c r="O468" s="11"/>
      <c r="P468" s="16">
        <v>0.88641355506746156</v>
      </c>
      <c r="Q468" s="16">
        <v>0.88771384136858478</v>
      </c>
      <c r="R468" s="16">
        <v>0.88899371069182387</v>
      </c>
      <c r="S468" s="16">
        <v>0.8902439024390244</v>
      </c>
      <c r="T468" s="16">
        <v>0.89145271368215795</v>
      </c>
      <c r="U468" s="16">
        <v>0.892312682452157</v>
      </c>
      <c r="V468" s="16">
        <v>0.89351557533375714</v>
      </c>
      <c r="W468" s="16">
        <v>0.89455676516329707</v>
      </c>
      <c r="X468" s="16">
        <v>0.89516129032258063</v>
      </c>
      <c r="Y468" s="16">
        <v>0.89628953771289532</v>
      </c>
      <c r="Z468" s="16">
        <v>0.89699179580674571</v>
      </c>
      <c r="AA468" s="16">
        <v>0.89778055642388244</v>
      </c>
      <c r="AB468" s="16">
        <v>0.89831059129304747</v>
      </c>
      <c r="AC468" s="16">
        <v>0.89886135298057601</v>
      </c>
      <c r="AD468" s="16">
        <v>0.89945466939331975</v>
      </c>
      <c r="AE468" s="16">
        <v>0.90006775067750677</v>
      </c>
      <c r="AF468" s="16">
        <v>0.90041067761806981</v>
      </c>
      <c r="AG468" s="16">
        <v>0.90095741168702537</v>
      </c>
      <c r="AH468" s="16">
        <v>0.9017396907216495</v>
      </c>
      <c r="AI468" s="16">
        <v>0.90195460277427486</v>
      </c>
    </row>
    <row r="469" spans="1:35" x14ac:dyDescent="0.25">
      <c r="A469" s="11">
        <f>$A$74</f>
        <v>59</v>
      </c>
      <c r="M469" s="11"/>
      <c r="N469" s="11"/>
      <c r="O469" s="11"/>
      <c r="P469" s="16">
        <v>0.87865022712524332</v>
      </c>
      <c r="Q469" s="16">
        <v>0.88066750629722923</v>
      </c>
      <c r="R469" s="16">
        <v>0.88209606986899558</v>
      </c>
      <c r="S469" s="16">
        <v>0.88370627166719196</v>
      </c>
      <c r="T469" s="16">
        <v>0.88509816543289344</v>
      </c>
      <c r="U469" s="16">
        <v>0.88657105606258146</v>
      </c>
      <c r="V469" s="16">
        <v>0.88747967479674794</v>
      </c>
      <c r="W469" s="16">
        <v>0.88906598661141223</v>
      </c>
      <c r="X469" s="16">
        <v>0.88992828188338013</v>
      </c>
      <c r="Y469" s="16">
        <v>0.89085820895522383</v>
      </c>
      <c r="Z469" s="16">
        <v>0.89207317073170733</v>
      </c>
      <c r="AA469" s="16">
        <v>0.89278099299421265</v>
      </c>
      <c r="AB469" s="16">
        <v>0.89379699248120303</v>
      </c>
      <c r="AC469" s="16">
        <v>0.89420572916666663</v>
      </c>
      <c r="AD469" s="16">
        <v>0.89530201342281879</v>
      </c>
      <c r="AE469" s="16">
        <v>0.89583333333333337</v>
      </c>
      <c r="AF469" s="16">
        <v>0.89650492025788941</v>
      </c>
      <c r="AG469" s="16">
        <v>0.89681179293794999</v>
      </c>
      <c r="AH469" s="16">
        <v>0.89748677248677244</v>
      </c>
      <c r="AI469" s="16">
        <v>0.89803162310422713</v>
      </c>
    </row>
    <row r="470" spans="1:35" x14ac:dyDescent="0.25">
      <c r="A470" s="11">
        <f>$A$75</f>
        <v>60</v>
      </c>
      <c r="M470" s="11"/>
      <c r="N470" s="11"/>
      <c r="O470" s="11"/>
      <c r="P470" s="16">
        <v>0.86978297161936557</v>
      </c>
      <c r="Q470" s="16">
        <v>0.87198697068403908</v>
      </c>
      <c r="R470" s="16">
        <v>0.87397346809854703</v>
      </c>
      <c r="S470" s="16">
        <v>0.87550828902095712</v>
      </c>
      <c r="T470" s="16">
        <v>0.87764780271893772</v>
      </c>
      <c r="U470" s="16">
        <v>0.87927695287282115</v>
      </c>
      <c r="V470" s="16">
        <v>0.88071895424836599</v>
      </c>
      <c r="W470" s="16">
        <v>0.88225701239399867</v>
      </c>
      <c r="X470" s="16">
        <v>0.88334931287951424</v>
      </c>
      <c r="Y470" s="16">
        <v>0.88433885589246641</v>
      </c>
      <c r="Z470" s="16">
        <v>0.88559850374064841</v>
      </c>
      <c r="AA470" s="16">
        <v>0.88691931540342295</v>
      </c>
      <c r="AB470" s="16">
        <v>0.88793893129770995</v>
      </c>
      <c r="AC470" s="16">
        <v>0.88885400313971741</v>
      </c>
      <c r="AD470" s="16">
        <v>0.88943248532289632</v>
      </c>
      <c r="AE470" s="16">
        <v>0.8904201680672269</v>
      </c>
      <c r="AF470" s="16">
        <v>0.89120766335956214</v>
      </c>
      <c r="AG470" s="16">
        <v>0.89191026512576477</v>
      </c>
      <c r="AH470" s="16">
        <v>0.89251373626373631</v>
      </c>
      <c r="AI470" s="16">
        <v>0.89301093077177873</v>
      </c>
    </row>
    <row r="471" spans="1:35" x14ac:dyDescent="0.25">
      <c r="A471" s="11">
        <f>$A$76</f>
        <v>61</v>
      </c>
      <c r="M471" s="11"/>
      <c r="N471" s="11"/>
      <c r="O471" s="11"/>
      <c r="P471" s="16">
        <v>0.85767790262172283</v>
      </c>
      <c r="Q471" s="16">
        <v>0.86016096579476864</v>
      </c>
      <c r="R471" s="16">
        <v>0.86237332461588756</v>
      </c>
      <c r="S471" s="16">
        <v>0.86438529784537388</v>
      </c>
      <c r="T471" s="16">
        <v>0.86633197364292436</v>
      </c>
      <c r="U471" s="16">
        <v>0.86842105263157898</v>
      </c>
      <c r="V471" s="16">
        <v>0.87022653721682852</v>
      </c>
      <c r="W471" s="16">
        <v>0.8718872870249017</v>
      </c>
      <c r="X471" s="16">
        <v>0.87316116377901276</v>
      </c>
      <c r="Y471" s="16">
        <v>0.87475976937860345</v>
      </c>
      <c r="Z471" s="16">
        <v>0.87621435286743965</v>
      </c>
      <c r="AA471" s="16">
        <v>0.87749999999999995</v>
      </c>
      <c r="AB471" s="16">
        <v>0.87871362940275655</v>
      </c>
      <c r="AC471" s="16">
        <v>0.87974296205630353</v>
      </c>
      <c r="AD471" s="16">
        <v>0.88078011953444479</v>
      </c>
      <c r="AE471" s="16">
        <v>0.88169934640522873</v>
      </c>
      <c r="AF471" s="16">
        <v>0.88249158249158244</v>
      </c>
      <c r="AG471" s="16">
        <v>0.88352175402535116</v>
      </c>
      <c r="AH471" s="16">
        <v>0.88427501701837985</v>
      </c>
      <c r="AI471" s="16">
        <v>0.8848401512547267</v>
      </c>
    </row>
    <row r="472" spans="1:35" x14ac:dyDescent="0.25">
      <c r="A472" s="11">
        <f>$A$77</f>
        <v>62</v>
      </c>
      <c r="M472" s="11"/>
      <c r="N472" s="11"/>
      <c r="O472" s="11"/>
      <c r="P472" s="16">
        <v>0.83797287651677377</v>
      </c>
      <c r="Q472" s="16">
        <v>0.84057475196715703</v>
      </c>
      <c r="R472" s="16">
        <v>0.84309764309764312</v>
      </c>
      <c r="S472" s="16">
        <v>0.84547244094488194</v>
      </c>
      <c r="T472" s="16">
        <v>0.84774316592498411</v>
      </c>
      <c r="U472" s="16">
        <v>0.85017311929493233</v>
      </c>
      <c r="V472" s="16">
        <v>0.85214626391096981</v>
      </c>
      <c r="W472" s="16">
        <v>0.85399091499026603</v>
      </c>
      <c r="X472" s="16">
        <v>0.85582922824302132</v>
      </c>
      <c r="Y472" s="16">
        <v>0.85747051114023587</v>
      </c>
      <c r="Z472" s="16">
        <v>0.859344894026975</v>
      </c>
      <c r="AA472" s="16">
        <v>0.86055276381909551</v>
      </c>
      <c r="AB472" s="16">
        <v>0.86188537425618539</v>
      </c>
      <c r="AC472" s="16">
        <v>0.86310620012277472</v>
      </c>
      <c r="AD472" s="16">
        <v>0.86419374616799505</v>
      </c>
      <c r="AE472" s="16">
        <v>0.865427040655531</v>
      </c>
      <c r="AF472" s="16">
        <v>0.86644844517184938</v>
      </c>
      <c r="AG472" s="16">
        <v>0.86716115981119357</v>
      </c>
      <c r="AH472" s="16">
        <v>0.86826758147512861</v>
      </c>
      <c r="AI472" s="16">
        <v>0.86912065439672803</v>
      </c>
    </row>
    <row r="473" spans="1:35" x14ac:dyDescent="0.25">
      <c r="A473" s="11">
        <f>$A$78</f>
        <v>63</v>
      </c>
      <c r="M473" s="11"/>
      <c r="N473" s="11"/>
      <c r="O473" s="11"/>
      <c r="P473" s="16">
        <v>0.81240822320117478</v>
      </c>
      <c r="Q473" s="16">
        <v>0.81593110871905272</v>
      </c>
      <c r="R473" s="16">
        <v>0.81883808869027153</v>
      </c>
      <c r="S473" s="16">
        <v>0.82144064930672978</v>
      </c>
      <c r="T473" s="16">
        <v>0.82383931511359898</v>
      </c>
      <c r="U473" s="16">
        <v>0.82615629984051042</v>
      </c>
      <c r="V473" s="16">
        <v>0.82849020846494004</v>
      </c>
      <c r="W473" s="16">
        <v>0.83062200956937804</v>
      </c>
      <c r="X473" s="16">
        <v>0.83268229166666663</v>
      </c>
      <c r="Y473" s="16">
        <v>0.83432147562582348</v>
      </c>
      <c r="Z473" s="16">
        <v>0.8363457114689451</v>
      </c>
      <c r="AA473" s="16">
        <v>0.83773341918866706</v>
      </c>
      <c r="AB473" s="16">
        <v>0.83937007874015745</v>
      </c>
      <c r="AC473" s="16">
        <v>0.84081632653061222</v>
      </c>
      <c r="AD473" s="16">
        <v>0.84215384615384614</v>
      </c>
      <c r="AE473" s="16">
        <v>0.84326982175783649</v>
      </c>
      <c r="AF473" s="16">
        <v>0.84459886291850916</v>
      </c>
      <c r="AG473" s="16">
        <v>0.84552312233519189</v>
      </c>
      <c r="AH473" s="16">
        <v>0.84662162162162158</v>
      </c>
      <c r="AI473" s="16">
        <v>0.84713156990724836</v>
      </c>
    </row>
    <row r="474" spans="1:35" x14ac:dyDescent="0.25">
      <c r="A474" s="11">
        <f>$A$79</f>
        <v>64</v>
      </c>
      <c r="M474" s="11"/>
      <c r="N474" s="11"/>
      <c r="O474" s="11"/>
      <c r="P474" s="16">
        <v>0.76179690449226123</v>
      </c>
      <c r="Q474" s="16">
        <v>0.76505356483191722</v>
      </c>
      <c r="R474" s="16">
        <v>0.76839826839826841</v>
      </c>
      <c r="S474" s="16">
        <v>0.77098445595854925</v>
      </c>
      <c r="T474" s="16">
        <v>0.77385398981324283</v>
      </c>
      <c r="U474" s="16">
        <v>0.77645502645502651</v>
      </c>
      <c r="V474" s="16">
        <v>0.77866752081998714</v>
      </c>
      <c r="W474" s="16">
        <v>0.78091312618896636</v>
      </c>
      <c r="X474" s="16">
        <v>0.78322126160742878</v>
      </c>
      <c r="Y474" s="16">
        <v>0.78536426004573667</v>
      </c>
      <c r="Z474" s="16">
        <v>0.78710743801652894</v>
      </c>
      <c r="AA474" s="16">
        <v>0.78898780085723708</v>
      </c>
      <c r="AB474" s="16">
        <v>0.79037467700258401</v>
      </c>
      <c r="AC474" s="16">
        <v>0.79210110584518167</v>
      </c>
      <c r="AD474" s="16">
        <v>0.79338582677165359</v>
      </c>
      <c r="AE474" s="16">
        <v>0.79475308641975306</v>
      </c>
      <c r="AF474" s="16">
        <v>0.79593094944512943</v>
      </c>
      <c r="AG474" s="16">
        <v>0.79702343255224828</v>
      </c>
      <c r="AH474" s="16">
        <v>0.79783037475345164</v>
      </c>
      <c r="AI474" s="16">
        <v>0.79891672308733919</v>
      </c>
    </row>
    <row r="475" spans="1:35" x14ac:dyDescent="0.25">
      <c r="A475" s="11">
        <f>$A$80</f>
        <v>65</v>
      </c>
      <c r="M475" s="11"/>
      <c r="N475" s="11"/>
      <c r="O475" s="11"/>
      <c r="P475" s="16">
        <v>0.66653666146645862</v>
      </c>
      <c r="Q475" s="16">
        <v>0.669707335613835</v>
      </c>
      <c r="R475" s="16">
        <v>0.67323420074349438</v>
      </c>
      <c r="S475" s="16">
        <v>0.6763425253991292</v>
      </c>
      <c r="T475" s="16">
        <v>0.6791666666666667</v>
      </c>
      <c r="U475" s="16">
        <v>0.68191126279863479</v>
      </c>
      <c r="V475" s="16">
        <v>0.68461282818212033</v>
      </c>
      <c r="W475" s="16">
        <v>0.68705730843528656</v>
      </c>
      <c r="X475" s="16">
        <v>0.68907295316979933</v>
      </c>
      <c r="Y475" s="16">
        <v>0.69144144144144148</v>
      </c>
      <c r="Z475" s="16">
        <v>0.69324146981627299</v>
      </c>
      <c r="AA475" s="16">
        <v>0.69498838367075999</v>
      </c>
      <c r="AB475" s="16">
        <v>0.69678914266799075</v>
      </c>
      <c r="AC475" s="16">
        <v>0.69811932555123213</v>
      </c>
      <c r="AD475" s="16">
        <v>0.69965112591182999</v>
      </c>
      <c r="AE475" s="16">
        <v>0.70123300663926647</v>
      </c>
      <c r="AF475" s="16">
        <v>0.70260223048327142</v>
      </c>
      <c r="AG475" s="16">
        <v>0.70368079183420973</v>
      </c>
      <c r="AH475" s="16">
        <v>0.70479822052748653</v>
      </c>
      <c r="AI475" s="16">
        <v>0.70580474934036941</v>
      </c>
    </row>
    <row r="476" spans="1:35" x14ac:dyDescent="0.25">
      <c r="A476" s="11">
        <f>$A$81</f>
        <v>66</v>
      </c>
      <c r="M476" s="11"/>
      <c r="N476" s="11"/>
      <c r="O476" s="11"/>
      <c r="P476" s="16">
        <v>0.60257441673370882</v>
      </c>
      <c r="Q476" s="16">
        <v>0.60637042862760515</v>
      </c>
      <c r="R476" s="16">
        <v>0.60987748851454826</v>
      </c>
      <c r="S476" s="16">
        <v>0.61287907150879817</v>
      </c>
      <c r="T476" s="16">
        <v>0.61605839416058394</v>
      </c>
      <c r="U476" s="16">
        <v>0.61858190709046457</v>
      </c>
      <c r="V476" s="16">
        <v>0.62135255750085827</v>
      </c>
      <c r="W476" s="16">
        <v>0.62399732620320858</v>
      </c>
      <c r="X476" s="16">
        <v>0.62641631595985758</v>
      </c>
      <c r="Y476" s="16">
        <v>0.62864466517141937</v>
      </c>
      <c r="Z476" s="16">
        <v>0.63065976714100902</v>
      </c>
      <c r="AA476" s="16">
        <v>0.63258575197889177</v>
      </c>
      <c r="AB476" s="16">
        <v>0.6340893929286191</v>
      </c>
      <c r="AC476" s="16">
        <v>0.63606121091151036</v>
      </c>
      <c r="AD476" s="16">
        <v>0.63734115347018572</v>
      </c>
      <c r="AE476" s="16">
        <v>0.63894200127469725</v>
      </c>
      <c r="AF476" s="16">
        <v>0.64020323912353128</v>
      </c>
      <c r="AG476" s="16">
        <v>0.64125700062227753</v>
      </c>
      <c r="AH476" s="16">
        <v>0.64243553898726313</v>
      </c>
      <c r="AI476" s="16">
        <v>0.64358647096362476</v>
      </c>
    </row>
    <row r="477" spans="1:35" x14ac:dyDescent="0.25">
      <c r="A477" s="11">
        <f>$A$82</f>
        <v>67</v>
      </c>
      <c r="M477" s="11"/>
      <c r="N477" s="11"/>
      <c r="O477" s="11"/>
      <c r="P477" s="16">
        <v>0.54306020066889638</v>
      </c>
      <c r="Q477" s="16">
        <v>0.54648802273650021</v>
      </c>
      <c r="R477" s="16">
        <v>0.55017850059500195</v>
      </c>
      <c r="S477" s="16">
        <v>0.55366795366795363</v>
      </c>
      <c r="T477" s="16">
        <v>0.55677102980007542</v>
      </c>
      <c r="U477" s="16">
        <v>0.55939683707245313</v>
      </c>
      <c r="V477" s="16">
        <v>0.56228008444757216</v>
      </c>
      <c r="W477" s="16">
        <v>0.56466113416320884</v>
      </c>
      <c r="X477" s="16">
        <v>0.56714910804442953</v>
      </c>
      <c r="Y477" s="16">
        <v>0.56910039113428945</v>
      </c>
      <c r="Z477" s="16">
        <v>0.57161290322580649</v>
      </c>
      <c r="AA477" s="16">
        <v>0.5732421875</v>
      </c>
      <c r="AB477" s="16">
        <v>0.57517424493859937</v>
      </c>
      <c r="AC477" s="16">
        <v>0.57703927492447127</v>
      </c>
      <c r="AD477" s="16">
        <v>0.57831325301204817</v>
      </c>
      <c r="AE477" s="16">
        <v>0.57980989839396924</v>
      </c>
      <c r="AF477" s="16">
        <v>0.58141025641025645</v>
      </c>
      <c r="AG477" s="16">
        <v>0.58237547892720309</v>
      </c>
      <c r="AH477" s="16">
        <v>0.58335939943697213</v>
      </c>
      <c r="AI477" s="16">
        <v>0.58463460337289197</v>
      </c>
    </row>
    <row r="478" spans="1:35" x14ac:dyDescent="0.25">
      <c r="A478" s="11">
        <f>$A$83</f>
        <v>68</v>
      </c>
      <c r="M478" s="11"/>
      <c r="N478" s="11"/>
      <c r="O478" s="11"/>
      <c r="P478" s="16">
        <v>0.48781530568619069</v>
      </c>
      <c r="Q478" s="16">
        <v>0.49133924799324041</v>
      </c>
      <c r="R478" s="16">
        <v>0.49466776045939292</v>
      </c>
      <c r="S478" s="16">
        <v>0.49819783740488588</v>
      </c>
      <c r="T478" s="16">
        <v>0.50097389949357229</v>
      </c>
      <c r="U478" s="16">
        <v>0.50418569254185697</v>
      </c>
      <c r="V478" s="16">
        <v>0.50686456400742119</v>
      </c>
      <c r="W478" s="16">
        <v>0.50940717074902375</v>
      </c>
      <c r="X478" s="16">
        <v>0.51185495118549507</v>
      </c>
      <c r="Y478" s="16">
        <v>0.51425661914460286</v>
      </c>
      <c r="Z478" s="16">
        <v>0.5159382188629642</v>
      </c>
      <c r="AA478" s="16">
        <v>0.51788036410923277</v>
      </c>
      <c r="AB478" s="16">
        <v>0.52001312335958005</v>
      </c>
      <c r="AC478" s="16">
        <v>0.52173913043478259</v>
      </c>
      <c r="AD478" s="16">
        <v>0.52298850574712641</v>
      </c>
      <c r="AE478" s="16">
        <v>0.52477249747219412</v>
      </c>
      <c r="AF478" s="16">
        <v>0.52607260726072602</v>
      </c>
      <c r="AG478" s="16">
        <v>0.52726686027750891</v>
      </c>
      <c r="AH478" s="16">
        <v>0.52844744455159109</v>
      </c>
      <c r="AI478" s="16">
        <v>0.52928211586901763</v>
      </c>
    </row>
    <row r="479" spans="1:35" x14ac:dyDescent="0.25">
      <c r="A479" s="11">
        <f>$A$84</f>
        <v>69</v>
      </c>
      <c r="M479" s="11"/>
      <c r="N479" s="11"/>
      <c r="O479" s="11"/>
      <c r="P479" s="16">
        <v>0.43637164244826065</v>
      </c>
      <c r="Q479" s="16">
        <v>0.44006923409779314</v>
      </c>
      <c r="R479" s="16">
        <v>0.44377939290294999</v>
      </c>
      <c r="S479" s="16">
        <v>0.44670261302364161</v>
      </c>
      <c r="T479" s="16">
        <v>0.44979757085020244</v>
      </c>
      <c r="U479" s="16">
        <v>0.452755905511811</v>
      </c>
      <c r="V479" s="16">
        <v>0.45559400230680508</v>
      </c>
      <c r="W479" s="16">
        <v>0.45802098950524739</v>
      </c>
      <c r="X479" s="16">
        <v>0.46038006453926139</v>
      </c>
      <c r="Y479" s="16">
        <v>0.46267605633802816</v>
      </c>
      <c r="Z479" s="16">
        <v>0.46470185058259084</v>
      </c>
      <c r="AA479" s="16">
        <v>0.46682149966821501</v>
      </c>
      <c r="AB479" s="16">
        <v>0.46865769609451918</v>
      </c>
      <c r="AC479" s="16">
        <v>0.47004303210857334</v>
      </c>
      <c r="AD479" s="16">
        <v>0.47165991902834009</v>
      </c>
      <c r="AE479" s="16">
        <v>0.47305593451568895</v>
      </c>
      <c r="AF479" s="16">
        <v>0.47450713800135963</v>
      </c>
      <c r="AG479" s="16">
        <v>0.47587354409317806</v>
      </c>
      <c r="AH479" s="16">
        <v>0.47690305790500975</v>
      </c>
      <c r="AI479" s="16">
        <v>0.47781017168772272</v>
      </c>
    </row>
    <row r="480" spans="1:35" x14ac:dyDescent="0.25">
      <c r="A480" s="11">
        <f>$A$85</f>
        <v>70</v>
      </c>
      <c r="M480" s="11"/>
      <c r="N480" s="11"/>
      <c r="O480" s="11"/>
      <c r="P480" s="16">
        <v>0.3892889288928893</v>
      </c>
      <c r="Q480" s="16">
        <v>0.39285714285714285</v>
      </c>
      <c r="R480" s="16">
        <v>0.39605263157894738</v>
      </c>
      <c r="S480" s="16">
        <v>0.39930705933304461</v>
      </c>
      <c r="T480" s="16">
        <v>0.40235195296094078</v>
      </c>
      <c r="U480" s="16">
        <v>0.40532786885245903</v>
      </c>
      <c r="V480" s="16">
        <v>0.40796812749003986</v>
      </c>
      <c r="W480" s="16">
        <v>0.41050583657587547</v>
      </c>
      <c r="X480" s="16">
        <v>0.41281273692191056</v>
      </c>
      <c r="Y480" s="16">
        <v>0.41479332849891226</v>
      </c>
      <c r="Z480" s="16">
        <v>0.41687433250266998</v>
      </c>
      <c r="AA480" s="16">
        <v>0.41877381364738481</v>
      </c>
      <c r="AB480" s="16">
        <v>0.42052313883299797</v>
      </c>
      <c r="AC480" s="16">
        <v>0.42208222811671087</v>
      </c>
      <c r="AD480" s="16">
        <v>0.42374581939799333</v>
      </c>
      <c r="AE480" s="16">
        <v>0.42521294718909708</v>
      </c>
      <c r="AF480" s="16">
        <v>0.42665289256198347</v>
      </c>
      <c r="AG480" s="16">
        <v>0.42778730703259005</v>
      </c>
      <c r="AH480" s="16">
        <v>0.42895532415183069</v>
      </c>
      <c r="AI480" s="16">
        <v>0.42974392646093235</v>
      </c>
    </row>
    <row r="481" spans="1:35" x14ac:dyDescent="0.25">
      <c r="A481" s="11">
        <f>$A$86</f>
        <v>71</v>
      </c>
      <c r="M481" s="11"/>
      <c r="N481" s="11"/>
      <c r="O481" s="11"/>
      <c r="P481" s="16">
        <v>0.34592353754030403</v>
      </c>
      <c r="Q481" s="16">
        <v>0.34933699131229995</v>
      </c>
      <c r="R481" s="16">
        <v>0.35283446712018141</v>
      </c>
      <c r="S481" s="16">
        <v>0.35574354407836151</v>
      </c>
      <c r="T481" s="16">
        <v>0.35852372583479791</v>
      </c>
      <c r="U481" s="16">
        <v>0.36115843270868825</v>
      </c>
      <c r="V481" s="16">
        <v>0.36393851267137517</v>
      </c>
      <c r="W481" s="16">
        <v>0.36631663974151857</v>
      </c>
      <c r="X481" s="16">
        <v>0.36869085173501576</v>
      </c>
      <c r="Y481" s="16">
        <v>0.3705837173579109</v>
      </c>
      <c r="Z481" s="16">
        <v>0.37275064267352187</v>
      </c>
      <c r="AA481" s="16">
        <v>0.37454938716654651</v>
      </c>
      <c r="AB481" s="16">
        <v>0.37622720897615708</v>
      </c>
      <c r="AC481" s="16">
        <v>0.37767220902612825</v>
      </c>
      <c r="AD481" s="16">
        <v>0.37919463087248323</v>
      </c>
      <c r="AE481" s="16">
        <v>0.38058186738836264</v>
      </c>
      <c r="AF481" s="16">
        <v>0.38180565127498278</v>
      </c>
      <c r="AG481" s="16">
        <v>0.38300835654596099</v>
      </c>
      <c r="AH481" s="16">
        <v>0.38397502601456818</v>
      </c>
      <c r="AI481" s="16">
        <v>0.38492871690427699</v>
      </c>
    </row>
    <row r="482" spans="1:35" x14ac:dyDescent="0.25">
      <c r="A482" s="11">
        <f>$A$87</f>
        <v>72</v>
      </c>
      <c r="M482" s="11"/>
      <c r="N482" s="11"/>
      <c r="O482" s="11"/>
      <c r="P482" s="16">
        <v>0.30581613508442779</v>
      </c>
      <c r="Q482" s="16">
        <v>0.30942334739803096</v>
      </c>
      <c r="R482" s="16">
        <v>0.31223825034899955</v>
      </c>
      <c r="S482" s="16">
        <v>0.31535269709543567</v>
      </c>
      <c r="T482" s="16">
        <v>0.3180995475113122</v>
      </c>
      <c r="U482" s="16">
        <v>0.32098214285714288</v>
      </c>
      <c r="V482" s="16">
        <v>0.32323669407183037</v>
      </c>
      <c r="W482" s="16">
        <v>0.32573839662447257</v>
      </c>
      <c r="X482" s="16">
        <v>0.32759327593275933</v>
      </c>
      <c r="Y482" s="16">
        <v>0.32973189275710285</v>
      </c>
      <c r="Z482" s="16">
        <v>0.33164458300857363</v>
      </c>
      <c r="AA482" s="16">
        <v>0.33333333333333331</v>
      </c>
      <c r="AB482" s="16">
        <v>0.33491773308957951</v>
      </c>
      <c r="AC482" s="16">
        <v>0.33665126199786705</v>
      </c>
      <c r="AD482" s="16">
        <v>0.33814929480564154</v>
      </c>
      <c r="AE482" s="16">
        <v>0.33922501699524132</v>
      </c>
      <c r="AF482" s="16">
        <v>0.34030157642220699</v>
      </c>
      <c r="AG482" s="16">
        <v>0.34159106769016051</v>
      </c>
      <c r="AH482" s="16">
        <v>0.34261543884384915</v>
      </c>
      <c r="AI482" s="16">
        <v>0.34362934362934361</v>
      </c>
    </row>
    <row r="483" spans="1:35" x14ac:dyDescent="0.25">
      <c r="A483" s="11">
        <f>$A$88</f>
        <v>73</v>
      </c>
      <c r="M483" s="11"/>
      <c r="N483" s="11"/>
      <c r="O483" s="11"/>
      <c r="P483" s="16">
        <v>0.26923076923076922</v>
      </c>
      <c r="Q483" s="16">
        <v>0.27224880382775118</v>
      </c>
      <c r="R483" s="16">
        <v>0.27546628407460544</v>
      </c>
      <c r="S483" s="16">
        <v>0.27846299810246677</v>
      </c>
      <c r="T483" s="16">
        <v>0.28088304368248002</v>
      </c>
      <c r="U483" s="16">
        <v>0.28341013824884792</v>
      </c>
      <c r="V483" s="16">
        <v>0.28577919127669243</v>
      </c>
      <c r="W483" s="16">
        <v>0.28797886393659183</v>
      </c>
      <c r="X483" s="16">
        <v>0.29012875536480687</v>
      </c>
      <c r="Y483" s="16">
        <v>0.29178824510212586</v>
      </c>
      <c r="Z483" s="16">
        <v>0.2936152907686051</v>
      </c>
      <c r="AA483" s="16">
        <v>0.29544554455445543</v>
      </c>
      <c r="AB483" s="16">
        <v>0.29701097237987134</v>
      </c>
      <c r="AC483" s="16">
        <v>0.29855180096546602</v>
      </c>
      <c r="AD483" s="16">
        <v>0.29989173583543849</v>
      </c>
      <c r="AE483" s="16">
        <v>0.30132681564245811</v>
      </c>
      <c r="AF483" s="16">
        <v>0.30217316315971027</v>
      </c>
      <c r="AG483" s="16">
        <v>0.30344108446298229</v>
      </c>
      <c r="AH483" s="16">
        <v>0.3043170559094126</v>
      </c>
      <c r="AI483" s="16">
        <v>0.30510896748838873</v>
      </c>
    </row>
    <row r="484" spans="1:35" x14ac:dyDescent="0.25">
      <c r="A484" s="11">
        <f>$A$89</f>
        <v>74</v>
      </c>
      <c r="M484" s="11"/>
      <c r="N484" s="11"/>
      <c r="O484" s="11"/>
      <c r="P484" s="16">
        <v>0.23594202898550726</v>
      </c>
      <c r="Q484" s="16">
        <v>0.23905558288243975</v>
      </c>
      <c r="R484" s="16">
        <v>0.24168297455968688</v>
      </c>
      <c r="S484" s="16">
        <v>0.24425989252564728</v>
      </c>
      <c r="T484" s="16">
        <v>0.24697336561743341</v>
      </c>
      <c r="U484" s="16">
        <v>0.24928092042186001</v>
      </c>
      <c r="V484" s="16">
        <v>0.25152797367183827</v>
      </c>
      <c r="W484" s="16">
        <v>0.25347544022242818</v>
      </c>
      <c r="X484" s="16">
        <v>0.25538599640933574</v>
      </c>
      <c r="Y484" s="16">
        <v>0.2572178477690289</v>
      </c>
      <c r="Z484" s="16">
        <v>0.25870858113848766</v>
      </c>
      <c r="AA484" s="16">
        <v>0.26056338028169013</v>
      </c>
      <c r="AB484" s="16">
        <v>0.26199113260781942</v>
      </c>
      <c r="AC484" s="16">
        <v>0.26338082402772428</v>
      </c>
      <c r="AD484" s="16">
        <v>0.26445032111824707</v>
      </c>
      <c r="AE484" s="16">
        <v>0.26578560939794421</v>
      </c>
      <c r="AF484" s="16">
        <v>0.26695065672701457</v>
      </c>
      <c r="AG484" s="16">
        <v>0.26788218793828894</v>
      </c>
      <c r="AH484" s="16">
        <v>0.26880960791239844</v>
      </c>
      <c r="AI484" s="16">
        <v>0.26959022286125089</v>
      </c>
    </row>
    <row r="485" spans="1:35" x14ac:dyDescent="0.25">
      <c r="A485" s="11">
        <f>$A$90</f>
        <v>75</v>
      </c>
      <c r="M485" s="11"/>
      <c r="N485" s="11"/>
      <c r="O485" s="11"/>
      <c r="P485" s="16">
        <v>0.20517676767676768</v>
      </c>
      <c r="Q485" s="16">
        <v>0.20808561236623069</v>
      </c>
      <c r="R485" s="16">
        <v>0.2102874432677761</v>
      </c>
      <c r="S485" s="16">
        <v>0.21303258145363407</v>
      </c>
      <c r="T485" s="16">
        <v>0.21510755377688845</v>
      </c>
      <c r="U485" s="16">
        <v>0.21754212091179387</v>
      </c>
      <c r="V485" s="16">
        <v>0.21971554683668465</v>
      </c>
      <c r="W485" s="16">
        <v>0.22163461538461537</v>
      </c>
      <c r="X485" s="16">
        <v>0.22311700615821886</v>
      </c>
      <c r="Y485" s="16">
        <v>0.22522935779816514</v>
      </c>
      <c r="Z485" s="16">
        <v>0.2264403751674855</v>
      </c>
      <c r="AA485" s="16">
        <v>0.22810060711188204</v>
      </c>
      <c r="AB485" s="16">
        <v>0.22950126796280643</v>
      </c>
      <c r="AC485" s="16">
        <v>0.23067434210526316</v>
      </c>
      <c r="AD485" s="16">
        <v>0.23173605655930871</v>
      </c>
      <c r="AE485" s="16">
        <v>0.23296110897189065</v>
      </c>
      <c r="AF485" s="16">
        <v>0.2338196782641227</v>
      </c>
      <c r="AG485" s="16">
        <v>0.23499638467100506</v>
      </c>
      <c r="AH485" s="16">
        <v>0.23563013209568012</v>
      </c>
      <c r="AI485" s="16">
        <v>0.23660553757641137</v>
      </c>
    </row>
    <row r="486" spans="1:35" x14ac:dyDescent="0.25">
      <c r="A486" s="11">
        <f>$A$91</f>
        <v>76</v>
      </c>
      <c r="M486" s="11"/>
      <c r="N486" s="11"/>
      <c r="O486" s="11"/>
      <c r="P486" s="16">
        <v>0.17845117845117844</v>
      </c>
      <c r="Q486" s="16">
        <v>0.18128654970760233</v>
      </c>
      <c r="R486" s="16">
        <v>0.18337408312958436</v>
      </c>
      <c r="S486" s="16">
        <v>0.18558838776568171</v>
      </c>
      <c r="T486" s="16">
        <v>0.18795056642636457</v>
      </c>
      <c r="U486" s="16">
        <v>0.19003595274781715</v>
      </c>
      <c r="V486" s="16">
        <v>0.19175991861648017</v>
      </c>
      <c r="W486" s="16">
        <v>0.19366197183098591</v>
      </c>
      <c r="X486" s="16">
        <v>0.19517003449975356</v>
      </c>
      <c r="Y486" s="16">
        <v>0.1965065502183406</v>
      </c>
      <c r="Z486" s="16">
        <v>0.1982151244715829</v>
      </c>
      <c r="AA486" s="16">
        <v>0.19935985368084133</v>
      </c>
      <c r="AB486" s="16">
        <v>0.20097604259094942</v>
      </c>
      <c r="AC486" s="16">
        <v>0.20190229139645482</v>
      </c>
      <c r="AD486" s="16">
        <v>0.20311185870479395</v>
      </c>
      <c r="AE486" s="16">
        <v>0.20393416298675232</v>
      </c>
      <c r="AF486" s="16">
        <v>0.2049567269866247</v>
      </c>
      <c r="AG486" s="16">
        <v>0.20588235294117646</v>
      </c>
      <c r="AH486" s="16">
        <v>0.20671834625322996</v>
      </c>
      <c r="AI486" s="16">
        <v>0.20728597449908925</v>
      </c>
    </row>
    <row r="487" spans="1:35" x14ac:dyDescent="0.25">
      <c r="A487" s="11">
        <f>$A$92</f>
        <v>77</v>
      </c>
      <c r="M487" s="11"/>
      <c r="N487" s="11"/>
      <c r="O487" s="11"/>
      <c r="P487" s="16">
        <v>0.15585443037974683</v>
      </c>
      <c r="Q487" s="16">
        <v>0.15855354659248957</v>
      </c>
      <c r="R487" s="16">
        <v>0.1602951039570758</v>
      </c>
      <c r="S487" s="16">
        <v>0.16267339218158891</v>
      </c>
      <c r="T487" s="16">
        <v>0.16452991452991453</v>
      </c>
      <c r="U487" s="16">
        <v>0.16657824933687002</v>
      </c>
      <c r="V487" s="16">
        <v>0.16816499206768906</v>
      </c>
      <c r="W487" s="16">
        <v>0.16963350785340314</v>
      </c>
      <c r="X487" s="16">
        <v>0.17123642007242629</v>
      </c>
      <c r="Y487" s="16">
        <v>0.17274569402228976</v>
      </c>
      <c r="Z487" s="16">
        <v>0.17406483790523691</v>
      </c>
      <c r="AA487" s="16">
        <v>0.17510853835021709</v>
      </c>
      <c r="AB487" s="16">
        <v>0.17652582159624414</v>
      </c>
      <c r="AC487" s="16">
        <v>0.17759562841530055</v>
      </c>
      <c r="AD487" s="16">
        <v>0.17871396895787139</v>
      </c>
      <c r="AE487" s="16">
        <v>0.1793103448275862</v>
      </c>
      <c r="AF487" s="16">
        <v>0.18017276840806254</v>
      </c>
      <c r="AG487" s="16">
        <v>0.18090249798549557</v>
      </c>
      <c r="AH487" s="16">
        <v>0.18185373484552209</v>
      </c>
      <c r="AI487" s="16">
        <v>0.18247072157159047</v>
      </c>
    </row>
    <row r="488" spans="1:35" x14ac:dyDescent="0.25">
      <c r="A488" s="11">
        <f>$A$93</f>
        <v>78</v>
      </c>
      <c r="M488" s="11"/>
      <c r="N488" s="11"/>
      <c r="O488" s="11"/>
      <c r="P488" s="16">
        <v>0.13595839524517087</v>
      </c>
      <c r="Q488" s="16">
        <v>0.13793103448275862</v>
      </c>
      <c r="R488" s="16">
        <v>0.14059120403749098</v>
      </c>
      <c r="S488" s="16">
        <v>0.1423611111111111</v>
      </c>
      <c r="T488" s="16">
        <v>0.14360313315926893</v>
      </c>
      <c r="U488" s="16">
        <v>0.14538419016030957</v>
      </c>
      <c r="V488" s="16">
        <v>0.14701042238069117</v>
      </c>
      <c r="W488" s="16">
        <v>0.14863387978142076</v>
      </c>
      <c r="X488" s="16">
        <v>0.14972972972972973</v>
      </c>
      <c r="Y488" s="16">
        <v>0.15117521367521367</v>
      </c>
      <c r="Z488" s="16">
        <v>0.15211709357030842</v>
      </c>
      <c r="AA488" s="16">
        <v>0.1532133676092545</v>
      </c>
      <c r="AB488" s="16">
        <v>0.15464942814520138</v>
      </c>
      <c r="AC488" s="16">
        <v>0.15522243713733075</v>
      </c>
      <c r="AD488" s="16">
        <v>0.15658696671354899</v>
      </c>
      <c r="AE488" s="16">
        <v>0.15700593336376084</v>
      </c>
      <c r="AF488" s="16">
        <v>0.15780141843971632</v>
      </c>
      <c r="AG488" s="16">
        <v>0.15856236786469344</v>
      </c>
      <c r="AH488" s="16">
        <v>0.15942028985507245</v>
      </c>
      <c r="AI488" s="16">
        <v>0.15990357573322619</v>
      </c>
    </row>
    <row r="489" spans="1:35" x14ac:dyDescent="0.25">
      <c r="A489" s="11">
        <f>$A$94</f>
        <v>79</v>
      </c>
      <c r="M489" s="11"/>
      <c r="N489" s="11"/>
      <c r="O489" s="11"/>
      <c r="P489" s="16">
        <v>0.11746031746031746</v>
      </c>
      <c r="Q489" s="16">
        <v>0.11919504643962849</v>
      </c>
      <c r="R489" s="16">
        <v>0.12136752136752137</v>
      </c>
      <c r="S489" s="16">
        <v>0.12303075768942236</v>
      </c>
      <c r="T489" s="16">
        <v>0.12427745664739884</v>
      </c>
      <c r="U489" s="16">
        <v>0.12618724559023067</v>
      </c>
      <c r="V489" s="16">
        <v>0.12743972445464982</v>
      </c>
      <c r="W489" s="16">
        <v>0.12870159453302962</v>
      </c>
      <c r="X489" s="16">
        <v>0.12981859410430838</v>
      </c>
      <c r="Y489" s="16">
        <v>0.1311659192825112</v>
      </c>
      <c r="Z489" s="16">
        <v>0.13226342003320421</v>
      </c>
      <c r="AA489" s="16">
        <v>0.13318895506226314</v>
      </c>
      <c r="AB489" s="16">
        <v>0.1341138903672166</v>
      </c>
      <c r="AC489" s="16">
        <v>0.13477366255144033</v>
      </c>
      <c r="AD489" s="16">
        <v>0.13550000000000001</v>
      </c>
      <c r="AE489" s="16">
        <v>0.13656174334140436</v>
      </c>
      <c r="AF489" s="16">
        <v>0.13713477851083883</v>
      </c>
      <c r="AG489" s="16">
        <v>0.13775743707093821</v>
      </c>
      <c r="AH489" s="16">
        <v>0.13824683820322722</v>
      </c>
      <c r="AI489" s="16">
        <v>0.13877028181041845</v>
      </c>
    </row>
    <row r="490" spans="1:35" x14ac:dyDescent="0.25">
      <c r="A490" s="11" t="str">
        <f>$A$280</f>
        <v>80 &amp; over</v>
      </c>
      <c r="M490" s="11"/>
      <c r="N490" s="11"/>
      <c r="O490" s="11"/>
      <c r="P490" s="16">
        <v>5.3998457186937514E-2</v>
      </c>
      <c r="Q490" s="16">
        <v>5.6166056166056168E-2</v>
      </c>
      <c r="R490" s="16">
        <v>5.6963496861195069E-2</v>
      </c>
      <c r="S490" s="16">
        <v>5.7516634712980713E-2</v>
      </c>
      <c r="T490" s="16">
        <v>5.826499784203712E-2</v>
      </c>
      <c r="U490" s="16">
        <v>5.9880239520958084E-2</v>
      </c>
      <c r="V490" s="16">
        <v>6.0063016935801496E-2</v>
      </c>
      <c r="W490" s="16">
        <v>6.1739771470696647E-2</v>
      </c>
      <c r="X490" s="16">
        <v>6.3434132777198476E-2</v>
      </c>
      <c r="Y490" s="16">
        <v>6.3473744950952107E-2</v>
      </c>
      <c r="Z490" s="16">
        <v>6.3659226658283552E-2</v>
      </c>
      <c r="AA490" s="16">
        <v>6.3938618925831206E-2</v>
      </c>
      <c r="AB490" s="16">
        <v>6.3533318893942675E-2</v>
      </c>
      <c r="AC490" s="16">
        <v>6.3919961092197594E-2</v>
      </c>
      <c r="AD490" s="16">
        <v>6.354515050167224E-2</v>
      </c>
      <c r="AE490" s="16">
        <v>6.3829787234042548E-2</v>
      </c>
      <c r="AF490" s="16">
        <v>6.4038796319323549E-2</v>
      </c>
      <c r="AG490" s="16">
        <v>6.3625450180072027E-2</v>
      </c>
      <c r="AH490" s="16">
        <v>6.3768115942028983E-2</v>
      </c>
      <c r="AI490" s="16">
        <v>6.4270943944559331E-2</v>
      </c>
    </row>
    <row r="491" spans="1:35" x14ac:dyDescent="0.25">
      <c r="A491" s="9" t="str">
        <f>$A$211</f>
        <v>Male total</v>
      </c>
      <c r="M491" s="11"/>
      <c r="N491" s="11"/>
      <c r="O491" s="11"/>
      <c r="P491" s="47">
        <v>0.76181927284174078</v>
      </c>
      <c r="Q491" s="47">
        <v>0.75980726840021073</v>
      </c>
      <c r="R491" s="47">
        <v>0.7573853498577422</v>
      </c>
      <c r="S491" s="47">
        <v>0.75483271818073583</v>
      </c>
      <c r="T491" s="47">
        <v>0.7521321310026422</v>
      </c>
      <c r="U491" s="47">
        <v>0.74958571421940201</v>
      </c>
      <c r="V491" s="47">
        <v>0.74723737906368926</v>
      </c>
      <c r="W491" s="47">
        <v>0.74504855160788974</v>
      </c>
      <c r="X491" s="47">
        <v>0.74303505431739281</v>
      </c>
      <c r="Y491" s="47">
        <v>0.74114774655813398</v>
      </c>
      <c r="Z491" s="47">
        <v>0.73935328291132307</v>
      </c>
      <c r="AA491" s="47">
        <v>0.73770719490970016</v>
      </c>
      <c r="AB491" s="47">
        <v>0.73615075134967844</v>
      </c>
      <c r="AC491" s="47">
        <v>0.73479427549194987</v>
      </c>
      <c r="AD491" s="47">
        <v>0.733354161301354</v>
      </c>
      <c r="AE491" s="47">
        <v>0.73206943618687148</v>
      </c>
      <c r="AF491" s="47">
        <v>0.73078009470798366</v>
      </c>
      <c r="AG491" s="47">
        <v>0.72945444052845276</v>
      </c>
      <c r="AH491" s="47">
        <v>0.72822164210250662</v>
      </c>
      <c r="AI491" s="47">
        <v>0.72709064612584506</v>
      </c>
    </row>
  </sheetData>
  <hyperlinks>
    <hyperlink ref="B2" r:id="rId1" xr:uid="{2E98E41F-AD90-43E8-83EE-DE108437B07D}"/>
    <hyperlink ref="K2" r:id="rId2" xr:uid="{2386C4A1-696E-496B-B6F2-85F661937B42}"/>
    <hyperlink ref="B3" r:id="rId3" xr:uid="{D2F7BC1E-3A2F-45C0-8240-1B4E5C69DE81}"/>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6144-5CB6-48A8-A2EB-366F64FB6315}">
  <dimension ref="A1:AI310"/>
  <sheetViews>
    <sheetView workbookViewId="0">
      <pane xSplit="1" ySplit="13" topLeftCell="P14" activePane="bottomRight" state="frozen"/>
      <selection pane="topRight" activeCell="B1" sqref="B1"/>
      <selection pane="bottomLeft" activeCell="A14" sqref="A14"/>
      <selection pane="bottomRight"/>
    </sheetView>
  </sheetViews>
  <sheetFormatPr defaultColWidth="9.140625" defaultRowHeight="15" x14ac:dyDescent="0.25"/>
  <cols>
    <col min="1" max="1" width="30.7109375" style="71" customWidth="1"/>
    <col min="2" max="35" width="10.140625" style="71" bestFit="1" customWidth="1"/>
    <col min="36" max="16384" width="9.140625" style="71"/>
  </cols>
  <sheetData>
    <row r="1" spans="1:35" x14ac:dyDescent="0.25">
      <c r="A1" s="9" t="s">
        <v>88</v>
      </c>
    </row>
    <row r="2" spans="1:35" x14ac:dyDescent="0.25">
      <c r="A2" s="9" t="s">
        <v>3</v>
      </c>
      <c r="B2" s="13" t="s">
        <v>24</v>
      </c>
      <c r="C2" s="13" t="s">
        <v>25</v>
      </c>
      <c r="D2" s="13" t="s">
        <v>26</v>
      </c>
      <c r="E2" s="13" t="s">
        <v>27</v>
      </c>
      <c r="F2" s="13" t="s">
        <v>28</v>
      </c>
      <c r="G2" s="13" t="s">
        <v>29</v>
      </c>
      <c r="H2" s="13" t="s">
        <v>30</v>
      </c>
      <c r="I2" s="13" t="s">
        <v>31</v>
      </c>
      <c r="J2" s="13" t="s">
        <v>32</v>
      </c>
      <c r="K2" s="13" t="s">
        <v>33</v>
      </c>
      <c r="L2" s="13" t="s">
        <v>34</v>
      </c>
      <c r="M2" s="13" t="s">
        <v>35</v>
      </c>
      <c r="N2" s="13" t="s">
        <v>36</v>
      </c>
      <c r="O2" s="13" t="s">
        <v>37</v>
      </c>
      <c r="P2" s="13" t="s">
        <v>38</v>
      </c>
      <c r="Q2" s="13" t="s">
        <v>39</v>
      </c>
      <c r="R2" s="13" t="s">
        <v>40</v>
      </c>
      <c r="S2" s="13" t="s">
        <v>41</v>
      </c>
      <c r="T2" s="13" t="s">
        <v>42</v>
      </c>
      <c r="U2" s="13" t="s">
        <v>43</v>
      </c>
      <c r="V2" s="13" t="s">
        <v>44</v>
      </c>
      <c r="W2" s="13" t="s">
        <v>45</v>
      </c>
      <c r="X2" s="13" t="s">
        <v>46</v>
      </c>
      <c r="Y2" s="13" t="s">
        <v>47</v>
      </c>
      <c r="Z2" s="13" t="s">
        <v>48</v>
      </c>
      <c r="AA2" s="13" t="s">
        <v>49</v>
      </c>
      <c r="AB2" s="13" t="s">
        <v>50</v>
      </c>
      <c r="AC2" s="13" t="s">
        <v>51</v>
      </c>
      <c r="AD2" s="13" t="s">
        <v>52</v>
      </c>
      <c r="AE2" s="13" t="s">
        <v>53</v>
      </c>
      <c r="AF2" s="13" t="s">
        <v>54</v>
      </c>
      <c r="AG2" s="13" t="s">
        <v>55</v>
      </c>
      <c r="AH2" s="13" t="s">
        <v>56</v>
      </c>
      <c r="AI2" s="13" t="s">
        <v>57</v>
      </c>
    </row>
    <row r="3" spans="1:35" x14ac:dyDescent="0.25">
      <c r="A3" s="11"/>
      <c r="B3" s="9">
        <v>2006</v>
      </c>
      <c r="C3" s="9">
        <v>2007</v>
      </c>
      <c r="D3" s="9">
        <v>2008</v>
      </c>
      <c r="E3" s="9">
        <v>2009</v>
      </c>
      <c r="F3" s="9">
        <v>2010</v>
      </c>
      <c r="G3" s="9">
        <v>2011</v>
      </c>
      <c r="H3" s="9">
        <v>2012</v>
      </c>
      <c r="I3" s="9">
        <v>2013</v>
      </c>
      <c r="J3" s="9">
        <v>2014</v>
      </c>
      <c r="K3" s="9">
        <v>2015</v>
      </c>
      <c r="L3" s="9">
        <v>2016</v>
      </c>
      <c r="M3" s="9">
        <v>2017</v>
      </c>
      <c r="N3" s="9">
        <v>2018</v>
      </c>
      <c r="O3" s="9">
        <v>2019</v>
      </c>
      <c r="P3" s="9">
        <v>2020</v>
      </c>
      <c r="Q3" s="9">
        <v>2021</v>
      </c>
      <c r="R3" s="9">
        <v>2022</v>
      </c>
      <c r="S3" s="9">
        <v>2023</v>
      </c>
      <c r="T3" s="9">
        <v>2024</v>
      </c>
      <c r="U3" s="9">
        <v>2025</v>
      </c>
      <c r="V3" s="9">
        <v>2026</v>
      </c>
      <c r="W3" s="9">
        <v>2027</v>
      </c>
      <c r="X3" s="9">
        <v>2028</v>
      </c>
      <c r="Y3" s="9">
        <v>2029</v>
      </c>
      <c r="Z3" s="9">
        <v>2030</v>
      </c>
      <c r="AA3" s="9">
        <v>2031</v>
      </c>
      <c r="AB3" s="9">
        <v>2032</v>
      </c>
      <c r="AC3" s="9">
        <v>2033</v>
      </c>
      <c r="AD3" s="9">
        <v>2034</v>
      </c>
      <c r="AE3" s="9">
        <v>2035</v>
      </c>
      <c r="AF3" s="9">
        <v>2036</v>
      </c>
      <c r="AG3" s="9">
        <v>2037</v>
      </c>
      <c r="AH3" s="9">
        <v>2038</v>
      </c>
      <c r="AI3" s="9">
        <v>2039</v>
      </c>
    </row>
    <row r="4" spans="1:35" x14ac:dyDescent="0.25">
      <c r="A4" s="9" t="s">
        <v>4</v>
      </c>
      <c r="B4" s="83">
        <f>SUM(B$15:B$110,B$115:B$210)/1000000</f>
        <v>4.1669000000000009</v>
      </c>
      <c r="C4" s="83">
        <f>SUM(C$15:C$110,C$115:C$210)/1000000</f>
        <v>4.2119999999999989</v>
      </c>
      <c r="D4" s="83">
        <f t="shared" ref="D4:AI4" si="0">SUM(D$15:D$110,D$115:D$210)/1000000</f>
        <v>4.248899999999999</v>
      </c>
      <c r="E4" s="83">
        <f t="shared" si="0"/>
        <v>4.286500000000002</v>
      </c>
      <c r="F4" s="83">
        <f t="shared" si="0"/>
        <v>4.3364999999999965</v>
      </c>
      <c r="G4" s="83">
        <f t="shared" si="0"/>
        <v>4.3758000000000008</v>
      </c>
      <c r="H4" s="83">
        <f t="shared" si="0"/>
        <v>4.4014999999999986</v>
      </c>
      <c r="I4" s="83">
        <f t="shared" si="0"/>
        <v>4.4298999999999955</v>
      </c>
      <c r="J4" s="83">
        <f t="shared" si="0"/>
        <v>4.4881999999999991</v>
      </c>
      <c r="K4" s="83">
        <f t="shared" si="0"/>
        <v>4.5764999999999993</v>
      </c>
      <c r="L4" s="83">
        <f t="shared" si="0"/>
        <v>4.6772000000000018</v>
      </c>
      <c r="M4" s="83">
        <f t="shared" si="0"/>
        <v>4.7797000000000001</v>
      </c>
      <c r="N4" s="83">
        <f t="shared" si="0"/>
        <v>4.870600000000004</v>
      </c>
      <c r="O4" s="83">
        <f t="shared" si="0"/>
        <v>4.9516999999999971</v>
      </c>
      <c r="P4" s="83">
        <f t="shared" si="0"/>
        <v>5.0551000000000057</v>
      </c>
      <c r="Q4" s="83">
        <f t="shared" si="0"/>
        <v>5.1054000000000013</v>
      </c>
      <c r="R4" s="83">
        <f t="shared" si="0"/>
        <v>5.1158999999999981</v>
      </c>
      <c r="S4" s="83">
        <f t="shared" si="0"/>
        <v>5.1860999999999979</v>
      </c>
      <c r="T4" s="83">
        <f t="shared" si="0"/>
        <v>5.3128000000000037</v>
      </c>
      <c r="U4" s="83">
        <f t="shared" si="0"/>
        <v>5.3654999999999955</v>
      </c>
      <c r="V4" s="83">
        <f t="shared" si="0"/>
        <v>5.4256999999999982</v>
      </c>
      <c r="W4" s="83">
        <f t="shared" si="0"/>
        <v>5.4906999999999995</v>
      </c>
      <c r="X4" s="83">
        <f t="shared" si="0"/>
        <v>5.5563999999999982</v>
      </c>
      <c r="Y4" s="83">
        <f t="shared" si="0"/>
        <v>5.6223999999999945</v>
      </c>
      <c r="Z4" s="83">
        <f t="shared" si="0"/>
        <v>5.6789399842283812</v>
      </c>
      <c r="AA4" s="83">
        <f t="shared" si="0"/>
        <v>5.7330099702091672</v>
      </c>
      <c r="AB4" s="83">
        <f t="shared" si="0"/>
        <v>5.7845499579423549</v>
      </c>
      <c r="AC4" s="83">
        <f t="shared" si="0"/>
        <v>5.8338099474279437</v>
      </c>
      <c r="AD4" s="83">
        <f t="shared" si="0"/>
        <v>5.8805699386659311</v>
      </c>
      <c r="AE4" s="83">
        <f t="shared" si="0"/>
        <v>5.9250499316563232</v>
      </c>
      <c r="AF4" s="83">
        <f t="shared" si="0"/>
        <v>5.9671399263991196</v>
      </c>
      <c r="AG4" s="83">
        <f t="shared" si="0"/>
        <v>6.0070199228943109</v>
      </c>
      <c r="AH4" s="83">
        <f t="shared" si="0"/>
        <v>6.0447099211419113</v>
      </c>
      <c r="AI4" s="83">
        <f t="shared" si="0"/>
        <v>6.0802299211419113</v>
      </c>
    </row>
    <row r="5" spans="1:35" x14ac:dyDescent="0.25">
      <c r="A5" s="10" t="s">
        <v>5</v>
      </c>
      <c r="B5" s="11"/>
      <c r="C5" s="18">
        <f>C$4/B$4-1</f>
        <v>1.0823393889941579E-2</v>
      </c>
      <c r="D5" s="18">
        <f t="shared" ref="D5:AI5" si="1">D$4/C$4-1</f>
        <v>8.7606837606837296E-3</v>
      </c>
      <c r="E5" s="18">
        <f t="shared" si="1"/>
        <v>8.849349243334359E-3</v>
      </c>
      <c r="F5" s="18">
        <f t="shared" si="1"/>
        <v>1.166452816983421E-2</v>
      </c>
      <c r="G5" s="18">
        <f t="shared" si="1"/>
        <v>9.0626080940860998E-3</v>
      </c>
      <c r="H5" s="18">
        <f t="shared" si="1"/>
        <v>5.8732117555642116E-3</v>
      </c>
      <c r="I5" s="18">
        <f t="shared" si="1"/>
        <v>6.4523457912069038E-3</v>
      </c>
      <c r="J5" s="18">
        <f t="shared" si="1"/>
        <v>1.3160567958645508E-2</v>
      </c>
      <c r="K5" s="18">
        <f t="shared" si="1"/>
        <v>1.9673811327481028E-2</v>
      </c>
      <c r="L5" s="18">
        <f t="shared" si="1"/>
        <v>2.2003714629083904E-2</v>
      </c>
      <c r="M5" s="18">
        <f t="shared" si="1"/>
        <v>2.1914820832976689E-2</v>
      </c>
      <c r="N5" s="18">
        <f t="shared" si="1"/>
        <v>1.9017929995607252E-2</v>
      </c>
      <c r="O5" s="18">
        <f t="shared" si="1"/>
        <v>1.6650925963945573E-2</v>
      </c>
      <c r="P5" s="18">
        <f t="shared" si="1"/>
        <v>2.0881717389989118E-2</v>
      </c>
      <c r="Q5" s="18">
        <f t="shared" si="1"/>
        <v>9.9503471741400062E-3</v>
      </c>
      <c r="R5" s="18">
        <f t="shared" si="1"/>
        <v>2.0566459043360741E-3</v>
      </c>
      <c r="S5" s="18">
        <f t="shared" si="1"/>
        <v>1.3721925760863174E-2</v>
      </c>
      <c r="T5" s="18">
        <f t="shared" si="1"/>
        <v>2.4430689728313304E-2</v>
      </c>
      <c r="U5" s="18">
        <f t="shared" si="1"/>
        <v>9.9194398433954944E-3</v>
      </c>
      <c r="V5" s="18">
        <f t="shared" si="1"/>
        <v>1.1219830397913189E-2</v>
      </c>
      <c r="W5" s="18">
        <f t="shared" si="1"/>
        <v>1.1980021011114061E-2</v>
      </c>
      <c r="X5" s="18">
        <f t="shared" si="1"/>
        <v>1.1965687435117278E-2</v>
      </c>
      <c r="Y5" s="18">
        <f t="shared" si="1"/>
        <v>1.187819451443306E-2</v>
      </c>
      <c r="Z5" s="18">
        <f t="shared" si="1"/>
        <v>1.0056200951263916E-2</v>
      </c>
      <c r="AA5" s="18">
        <f t="shared" si="1"/>
        <v>9.5211405880233357E-3</v>
      </c>
      <c r="AB5" s="18">
        <f t="shared" si="1"/>
        <v>8.9900397873035054E-3</v>
      </c>
      <c r="AC5" s="18">
        <f t="shared" si="1"/>
        <v>8.5157859891853427E-3</v>
      </c>
      <c r="AD5" s="18">
        <f t="shared" si="1"/>
        <v>8.0153436021006552E-3</v>
      </c>
      <c r="AE5" s="18">
        <f t="shared" si="1"/>
        <v>7.5638915027482767E-3</v>
      </c>
      <c r="AF5" s="18">
        <f t="shared" si="1"/>
        <v>7.1037367158575115E-3</v>
      </c>
      <c r="AG5" s="18">
        <f t="shared" si="1"/>
        <v>6.6832681966713103E-3</v>
      </c>
      <c r="AH5" s="18">
        <f t="shared" si="1"/>
        <v>6.274325494402655E-3</v>
      </c>
      <c r="AI5" s="18">
        <f t="shared" si="1"/>
        <v>5.8762125004154786E-3</v>
      </c>
    </row>
    <row r="6" spans="1:35" x14ac:dyDescent="0.25">
      <c r="A6" s="9" t="s">
        <v>6</v>
      </c>
      <c r="B6" s="83">
        <f>SUM(B$30:B$110,B$130:B$210)/1000000</f>
        <v>3.2251000000000007</v>
      </c>
      <c r="C6" s="83">
        <f t="shared" ref="C6:AI6" si="2">SUM(C$30:C$110,C$130:C$210)/1000000</f>
        <v>3.2726000000000006</v>
      </c>
      <c r="D6" s="83">
        <f t="shared" si="2"/>
        <v>3.304600000000002</v>
      </c>
      <c r="E6" s="83">
        <f t="shared" si="2"/>
        <v>3.3357999999999994</v>
      </c>
      <c r="F6" s="83">
        <f t="shared" si="2"/>
        <v>3.3766999999999987</v>
      </c>
      <c r="G6" s="83">
        <f t="shared" si="2"/>
        <v>3.4115999999999986</v>
      </c>
      <c r="H6" s="83">
        <f t="shared" si="2"/>
        <v>3.4369999999999994</v>
      </c>
      <c r="I6" s="83">
        <f t="shared" si="2"/>
        <v>3.4639000000000015</v>
      </c>
      <c r="J6" s="83">
        <f t="shared" si="2"/>
        <v>3.515299999999999</v>
      </c>
      <c r="K6" s="83">
        <f t="shared" si="2"/>
        <v>3.5958000000000006</v>
      </c>
      <c r="L6" s="83">
        <f t="shared" si="2"/>
        <v>3.6897000000000011</v>
      </c>
      <c r="M6" s="83">
        <f t="shared" si="2"/>
        <v>3.7874000000000008</v>
      </c>
      <c r="N6" s="83">
        <f t="shared" si="2"/>
        <v>3.8690999999999995</v>
      </c>
      <c r="O6" s="83">
        <f t="shared" si="2"/>
        <v>3.9465999999999997</v>
      </c>
      <c r="P6" s="83">
        <f t="shared" si="2"/>
        <v>4.033599999999999</v>
      </c>
      <c r="Q6" s="83">
        <f t="shared" si="2"/>
        <v>4.0892000000000017</v>
      </c>
      <c r="R6" s="83">
        <f t="shared" si="2"/>
        <v>4.1008000000000031</v>
      </c>
      <c r="S6" s="83">
        <f t="shared" si="2"/>
        <v>4.1555000000000017</v>
      </c>
      <c r="T6" s="83">
        <f t="shared" si="2"/>
        <v>4.2751000000000019</v>
      </c>
      <c r="U6" s="83">
        <f t="shared" si="2"/>
        <v>4.3324999999999996</v>
      </c>
      <c r="V6" s="83">
        <f t="shared" si="2"/>
        <v>4.3881999999999985</v>
      </c>
      <c r="W6" s="83">
        <f t="shared" si="2"/>
        <v>4.4468000000000005</v>
      </c>
      <c r="X6" s="83">
        <f t="shared" si="2"/>
        <v>4.5060000000000002</v>
      </c>
      <c r="Y6" s="83">
        <f t="shared" si="2"/>
        <v>4.565299999999997</v>
      </c>
      <c r="Z6" s="83">
        <f t="shared" si="2"/>
        <v>4.6218546614438196</v>
      </c>
      <c r="AA6" s="83">
        <f t="shared" si="2"/>
        <v>4.6757910271716598</v>
      </c>
      <c r="AB6" s="83">
        <f t="shared" si="2"/>
        <v>4.7275390971835201</v>
      </c>
      <c r="AC6" s="83">
        <f t="shared" si="2"/>
        <v>4.7758688714793971</v>
      </c>
      <c r="AD6" s="83">
        <f t="shared" si="2"/>
        <v>4.8216203500592956</v>
      </c>
      <c r="AE6" s="83">
        <f t="shared" si="2"/>
        <v>4.8645335329232191</v>
      </c>
      <c r="AF6" s="83">
        <f t="shared" si="2"/>
        <v>4.9064484200711576</v>
      </c>
      <c r="AG6" s="83">
        <f t="shared" si="2"/>
        <v>4.9466650115031152</v>
      </c>
      <c r="AH6" s="83">
        <f t="shared" si="2"/>
        <v>4.983293307219097</v>
      </c>
      <c r="AI6" s="83">
        <f t="shared" si="2"/>
        <v>5.0178433072190973</v>
      </c>
    </row>
    <row r="7" spans="1:35" x14ac:dyDescent="0.25">
      <c r="A7" s="9" t="s">
        <v>89</v>
      </c>
      <c r="B7" s="83">
        <f>SUM(B$15:B$29,B$115:B$129)/1000000</f>
        <v>0.94179999999999986</v>
      </c>
      <c r="C7" s="83">
        <f t="shared" ref="C7:AI7" si="3">SUM(C$15:C$29,C$115:C$129)/1000000</f>
        <v>0.93940000000000012</v>
      </c>
      <c r="D7" s="83">
        <f t="shared" si="3"/>
        <v>0.94430000000000036</v>
      </c>
      <c r="E7" s="83">
        <f t="shared" si="3"/>
        <v>0.95069999999999988</v>
      </c>
      <c r="F7" s="83">
        <f t="shared" si="3"/>
        <v>0.95979999999999999</v>
      </c>
      <c r="G7" s="83">
        <f t="shared" si="3"/>
        <v>0.96419999999999995</v>
      </c>
      <c r="H7" s="83">
        <f t="shared" si="3"/>
        <v>0.96450000000000058</v>
      </c>
      <c r="I7" s="83">
        <f t="shared" si="3"/>
        <v>0.96599999999999997</v>
      </c>
      <c r="J7" s="83">
        <f t="shared" si="3"/>
        <v>0.97289999999999954</v>
      </c>
      <c r="K7" s="83">
        <f t="shared" si="3"/>
        <v>0.98070000000000024</v>
      </c>
      <c r="L7" s="83">
        <f t="shared" si="3"/>
        <v>0.98750000000000027</v>
      </c>
      <c r="M7" s="83">
        <f t="shared" si="3"/>
        <v>0.9923000000000004</v>
      </c>
      <c r="N7" s="83">
        <f t="shared" si="3"/>
        <v>1.0015000000000007</v>
      </c>
      <c r="O7" s="83">
        <f t="shared" si="3"/>
        <v>1.0050999999999997</v>
      </c>
      <c r="P7" s="83">
        <f t="shared" si="3"/>
        <v>1.0215000000000005</v>
      </c>
      <c r="Q7" s="83">
        <f t="shared" si="3"/>
        <v>1.0161999999999995</v>
      </c>
      <c r="R7" s="83">
        <f t="shared" si="3"/>
        <v>1.0150999999999997</v>
      </c>
      <c r="S7" s="83">
        <f t="shared" si="3"/>
        <v>1.0306000000000008</v>
      </c>
      <c r="T7" s="83">
        <f t="shared" si="3"/>
        <v>1.0377000000000003</v>
      </c>
      <c r="U7" s="83">
        <f t="shared" si="3"/>
        <v>1.0330000000000004</v>
      </c>
      <c r="V7" s="83">
        <f t="shared" si="3"/>
        <v>1.0375000000000005</v>
      </c>
      <c r="W7" s="83">
        <f t="shared" si="3"/>
        <v>1.0438999999999992</v>
      </c>
      <c r="X7" s="83">
        <f t="shared" si="3"/>
        <v>1.0503999999999996</v>
      </c>
      <c r="Y7" s="83">
        <f t="shared" si="3"/>
        <v>1.057099999999999</v>
      </c>
      <c r="Z7" s="83">
        <f t="shared" si="3"/>
        <v>1.0570853227845625</v>
      </c>
      <c r="AA7" s="83">
        <f t="shared" si="3"/>
        <v>1.0572189430375079</v>
      </c>
      <c r="AB7" s="83">
        <f t="shared" si="3"/>
        <v>1.0570108607588347</v>
      </c>
      <c r="AC7" s="83">
        <f t="shared" si="3"/>
        <v>1.0579410759485439</v>
      </c>
      <c r="AD7" s="83">
        <f t="shared" si="3"/>
        <v>1.0589495886066347</v>
      </c>
      <c r="AE7" s="83">
        <f t="shared" si="3"/>
        <v>1.0605163987331074</v>
      </c>
      <c r="AF7" s="83">
        <f t="shared" si="3"/>
        <v>1.0606915063279621</v>
      </c>
      <c r="AG7" s="83">
        <f t="shared" si="3"/>
        <v>1.0603549113911981</v>
      </c>
      <c r="AH7" s="83">
        <f t="shared" si="3"/>
        <v>1.0614166139228163</v>
      </c>
      <c r="AI7" s="83">
        <f t="shared" si="3"/>
        <v>1.0623866139228162</v>
      </c>
    </row>
    <row r="8" spans="1:35" x14ac:dyDescent="0.25">
      <c r="A8" s="9" t="s">
        <v>90</v>
      </c>
      <c r="B8" s="11"/>
      <c r="C8" s="11"/>
      <c r="D8" s="11"/>
      <c r="E8" s="11"/>
      <c r="F8" s="11"/>
      <c r="G8" s="11"/>
      <c r="H8" s="11"/>
      <c r="I8" s="11"/>
      <c r="J8" s="11"/>
      <c r="K8" s="11"/>
      <c r="L8" s="11"/>
      <c r="M8" s="11"/>
      <c r="N8" s="11"/>
      <c r="O8" s="11"/>
      <c r="P8" s="11"/>
      <c r="Q8" s="11"/>
      <c r="R8" s="11"/>
      <c r="S8" s="89">
        <f>'Economic Forecasts'!U$17</f>
        <v>112.8</v>
      </c>
      <c r="T8" s="89">
        <f>'Economic Forecasts'!V$17</f>
        <v>70.3</v>
      </c>
      <c r="U8" s="89">
        <f>'Economic Forecasts'!W$17</f>
        <v>32.9</v>
      </c>
      <c r="V8" s="89">
        <f>'Economic Forecasts'!X$17</f>
        <v>38.200000000000003</v>
      </c>
      <c r="W8" s="89">
        <f>'Economic Forecasts'!Y$17</f>
        <v>39.5</v>
      </c>
      <c r="X8" s="89">
        <f>'Economic Forecasts'!Z$17</f>
        <v>39.9</v>
      </c>
      <c r="Y8" s="89">
        <f>'Economic Forecasts'!AA$17</f>
        <v>40</v>
      </c>
      <c r="Z8" s="90">
        <f t="shared" ref="Z8:AI8" si="4">MAX(Y$8-1.5,25)</f>
        <v>38.5</v>
      </c>
      <c r="AA8" s="90">
        <f t="shared" si="4"/>
        <v>37</v>
      </c>
      <c r="AB8" s="90">
        <f t="shared" si="4"/>
        <v>35.5</v>
      </c>
      <c r="AC8" s="90">
        <f t="shared" si="4"/>
        <v>34</v>
      </c>
      <c r="AD8" s="90">
        <f t="shared" si="4"/>
        <v>32.5</v>
      </c>
      <c r="AE8" s="90">
        <f t="shared" si="4"/>
        <v>31</v>
      </c>
      <c r="AF8" s="90">
        <f t="shared" si="4"/>
        <v>29.5</v>
      </c>
      <c r="AG8" s="90">
        <f t="shared" si="4"/>
        <v>28</v>
      </c>
      <c r="AH8" s="90">
        <f t="shared" si="4"/>
        <v>26.5</v>
      </c>
      <c r="AI8" s="90">
        <f t="shared" si="4"/>
        <v>25</v>
      </c>
    </row>
    <row r="9" spans="1:35" x14ac:dyDescent="0.25">
      <c r="A9" s="9" t="s">
        <v>91</v>
      </c>
      <c r="B9" s="11"/>
      <c r="C9" s="11"/>
      <c r="D9" s="11"/>
      <c r="E9" s="11"/>
      <c r="F9" s="11"/>
      <c r="G9" s="11"/>
      <c r="H9" s="11"/>
      <c r="I9" s="11"/>
      <c r="J9" s="11"/>
      <c r="K9" s="11"/>
      <c r="L9" s="11"/>
      <c r="M9" s="11"/>
      <c r="N9" s="11"/>
      <c r="O9" s="11"/>
      <c r="P9" s="11"/>
      <c r="Q9" s="11"/>
      <c r="R9" s="11"/>
      <c r="S9" s="89">
        <v>-2</v>
      </c>
      <c r="T9" s="89">
        <v>7</v>
      </c>
      <c r="U9" s="89">
        <v>16</v>
      </c>
      <c r="V9" s="89">
        <v>25</v>
      </c>
      <c r="W9" s="89">
        <v>25</v>
      </c>
      <c r="X9" s="89">
        <v>25</v>
      </c>
      <c r="Y9" s="89">
        <v>25</v>
      </c>
      <c r="Z9" s="90">
        <v>25</v>
      </c>
      <c r="AA9" s="90">
        <v>25</v>
      </c>
      <c r="AB9" s="90">
        <v>25</v>
      </c>
      <c r="AC9" s="90">
        <v>25</v>
      </c>
      <c r="AD9" s="90">
        <v>25</v>
      </c>
      <c r="AE9" s="90">
        <v>25</v>
      </c>
      <c r="AF9" s="90">
        <v>25</v>
      </c>
      <c r="AG9" s="90">
        <v>25</v>
      </c>
      <c r="AH9" s="90">
        <v>25</v>
      </c>
      <c r="AI9" s="90">
        <v>25</v>
      </c>
    </row>
    <row r="10" spans="1:35" x14ac:dyDescent="0.25">
      <c r="A10" s="9" t="s">
        <v>92</v>
      </c>
    </row>
    <row r="11" spans="1:35" x14ac:dyDescent="0.25">
      <c r="A11" s="9" t="s">
        <v>93</v>
      </c>
      <c r="B11" s="85" t="s">
        <v>96</v>
      </c>
      <c r="C11" s="85" t="s">
        <v>97</v>
      </c>
      <c r="D11" s="85" t="s">
        <v>98</v>
      </c>
      <c r="E11" s="85" t="s">
        <v>99</v>
      </c>
      <c r="F11" s="85" t="s">
        <v>100</v>
      </c>
      <c r="G11" s="85" t="s">
        <v>101</v>
      </c>
      <c r="H11" s="85" t="s">
        <v>102</v>
      </c>
      <c r="I11" s="85" t="s">
        <v>103</v>
      </c>
      <c r="J11" s="85" t="s">
        <v>104</v>
      </c>
      <c r="K11" s="85" t="s">
        <v>105</v>
      </c>
      <c r="L11" s="85" t="s">
        <v>106</v>
      </c>
      <c r="M11" s="85" t="s">
        <v>107</v>
      </c>
      <c r="N11" s="85" t="s">
        <v>108</v>
      </c>
      <c r="O11" s="85" t="s">
        <v>109</v>
      </c>
      <c r="P11" s="85" t="s">
        <v>110</v>
      </c>
      <c r="Q11" s="85" t="s">
        <v>111</v>
      </c>
      <c r="R11" s="85" t="s">
        <v>112</v>
      </c>
      <c r="S11" s="85" t="s">
        <v>113</v>
      </c>
      <c r="T11" s="85" t="s">
        <v>114</v>
      </c>
      <c r="U11" s="85" t="s">
        <v>115</v>
      </c>
    </row>
    <row r="12" spans="1:35" x14ac:dyDescent="0.25">
      <c r="A12" s="9" t="s">
        <v>94</v>
      </c>
      <c r="B12" s="31">
        <v>2.617084044480952E-2</v>
      </c>
      <c r="C12" s="31">
        <v>4.0528333611919543E-2</v>
      </c>
      <c r="D12" s="31">
        <v>3.9461240361292498E-2</v>
      </c>
      <c r="E12" s="31">
        <v>5.5910568340908656E-2</v>
      </c>
      <c r="F12" s="31">
        <v>-9.1093081768448131E-3</v>
      </c>
      <c r="G12" s="31">
        <v>0.10220301262898308</v>
      </c>
      <c r="H12" s="31">
        <v>0.10331338864538535</v>
      </c>
      <c r="I12" s="31">
        <v>6.4025473975948738E-2</v>
      </c>
      <c r="J12" s="31">
        <v>3.5691358092069178E-2</v>
      </c>
      <c r="K12" s="31">
        <v>8.8650697580679554E-3</v>
      </c>
      <c r="L12" s="31">
        <v>2.6432503746090861E-3</v>
      </c>
      <c r="M12" s="31">
        <v>1.1313661697050866E-2</v>
      </c>
      <c r="N12" s="31">
        <v>1.628308021216554E-2</v>
      </c>
      <c r="O12" s="31">
        <v>8.3929602891396494E-3</v>
      </c>
      <c r="P12" s="31">
        <v>3.4590859072972809E-3</v>
      </c>
      <c r="Q12" s="31">
        <v>1.8975889528244924E-3</v>
      </c>
      <c r="R12" s="31">
        <v>1.056567800797395E-3</v>
      </c>
      <c r="S12" s="31">
        <v>3.650897146212287E-4</v>
      </c>
      <c r="T12" s="31">
        <v>3.3988736998875023E-4</v>
      </c>
      <c r="U12" s="28">
        <f>SUM($B$12:$T$12)</f>
        <v>0.51281115000103417</v>
      </c>
    </row>
    <row r="13" spans="1:35" x14ac:dyDescent="0.25">
      <c r="A13" s="9" t="s">
        <v>95</v>
      </c>
      <c r="B13" s="31">
        <v>2.9826007723902044E-2</v>
      </c>
      <c r="C13" s="31">
        <v>4.3505620179797817E-2</v>
      </c>
      <c r="D13" s="31">
        <v>4.1642978757050662E-2</v>
      </c>
      <c r="E13" s="31">
        <v>6.9327401386497428E-2</v>
      </c>
      <c r="F13" s="31">
        <v>-1.3676199347828004E-2</v>
      </c>
      <c r="G13" s="31">
        <v>4.6887181883378197E-2</v>
      </c>
      <c r="H13" s="31">
        <v>9.5154185116587783E-2</v>
      </c>
      <c r="I13" s="31">
        <v>7.0435027967647071E-2</v>
      </c>
      <c r="J13" s="31">
        <v>4.6388342402754551E-2</v>
      </c>
      <c r="K13" s="31">
        <v>1.7966265449959443E-2</v>
      </c>
      <c r="L13" s="31">
        <v>4.3805312261377249E-3</v>
      </c>
      <c r="M13" s="31">
        <v>5.2829626755166977E-3</v>
      </c>
      <c r="N13" s="31">
        <v>1.3637063837410665E-2</v>
      </c>
      <c r="O13" s="31">
        <v>9.4316972113221865E-3</v>
      </c>
      <c r="P13" s="31">
        <v>3.8930177755840921E-3</v>
      </c>
      <c r="Q13" s="31">
        <v>1.7630814682514709E-3</v>
      </c>
      <c r="R13" s="31">
        <v>5.8112139980662279E-4</v>
      </c>
      <c r="S13" s="31">
        <v>4.3821248347853889E-4</v>
      </c>
      <c r="T13" s="31">
        <v>3.2318213373837756E-4</v>
      </c>
      <c r="U13" s="28">
        <f>SUM($B$13:$T$13)</f>
        <v>0.48718768173099342</v>
      </c>
    </row>
    <row r="14" spans="1:35" x14ac:dyDescent="0.25">
      <c r="A14" s="9" t="s">
        <v>9</v>
      </c>
    </row>
    <row r="15" spans="1:35" x14ac:dyDescent="0.25">
      <c r="A15" s="11">
        <v>0</v>
      </c>
      <c r="B15" s="44">
        <f>'Statistics NZ'!B$15*('Economic Forecasts'!D$10-'Economic Forecasts'!D$9)*1000000/SUM('Statistics NZ'!B$15:B$29,'Statistics NZ'!B$115:B$129)</f>
        <v>30650.829102452975</v>
      </c>
      <c r="C15" s="44">
        <f>'Statistics NZ'!C$15*('Economic Forecasts'!E$10-'Economic Forecasts'!E$9)*1000000/SUM('Statistics NZ'!C$15:C$29,'Statistics NZ'!C$115:C$129)</f>
        <v>31861.395714125436</v>
      </c>
      <c r="D15" s="44">
        <f>'Statistics NZ'!D$15*('Economic Forecasts'!F$10-'Economic Forecasts'!F$9)*1000000/SUM('Statistics NZ'!D$15:D$29,'Statistics NZ'!D$115:D$129)</f>
        <v>33068.584382083958</v>
      </c>
      <c r="E15" s="44">
        <f>'Statistics NZ'!E$15*('Economic Forecasts'!G$10-'Economic Forecasts'!G$9)*1000000/SUM('Statistics NZ'!E$15:E$29,'Statistics NZ'!E$115:E$129)</f>
        <v>32524.83576723334</v>
      </c>
      <c r="F15" s="44">
        <f>'Statistics NZ'!F$15*('Economic Forecasts'!H$10-'Economic Forecasts'!H$9)*1000000/SUM('Statistics NZ'!F$15:F$29,'Statistics NZ'!F$115:F$129)</f>
        <v>33302.462175435503</v>
      </c>
      <c r="G15" s="44">
        <f>'Statistics NZ'!G$15*('Economic Forecasts'!I$10-'Economic Forecasts'!I$9)*1000000/SUM('Statistics NZ'!G$15:G$29,'Statistics NZ'!G$115:G$129)</f>
        <v>32471.383865335836</v>
      </c>
      <c r="H15" s="44">
        <f>'Statistics NZ'!H$15*('Economic Forecasts'!J$10-'Economic Forecasts'!J$9)*1000000/SUM('Statistics NZ'!H$15:H$29,'Statistics NZ'!H$115:H$129)</f>
        <v>31676.130181026823</v>
      </c>
      <c r="I15" s="44">
        <f>'Statistics NZ'!I$15*('Economic Forecasts'!K$10-'Economic Forecasts'!K$9)*1000000/SUM('Statistics NZ'!I$15:I$29,'Statistics NZ'!I$115:I$129)</f>
        <v>31218.895454395395</v>
      </c>
      <c r="J15" s="44">
        <f>'Statistics NZ'!J$15*('Economic Forecasts'!L$10-'Economic Forecasts'!L$9)*1000000/SUM('Statistics NZ'!J$15:J$29,'Statistics NZ'!J$115:J$129)</f>
        <v>30295.413015103473</v>
      </c>
      <c r="K15" s="44">
        <f>'Statistics NZ'!K$15*('Economic Forecasts'!M$10-'Economic Forecasts'!M$9)*1000000/SUM('Statistics NZ'!K$15:K$29,'Statistics NZ'!K$115:K$129)</f>
        <v>30529.459149702565</v>
      </c>
      <c r="L15" s="44">
        <f>'Statistics NZ'!L$15*('Economic Forecasts'!N$10-'Economic Forecasts'!N$9)*1000000/SUM('Statistics NZ'!L$15:L$29,'Statistics NZ'!L$115:L$129)</f>
        <v>30747.901840756211</v>
      </c>
      <c r="M15" s="44">
        <f>'Statistics NZ'!M$15*('Economic Forecasts'!O$10-'Economic Forecasts'!O$9)*1000000/SUM('Statistics NZ'!M$15:M$29,'Statistics NZ'!M$115:M$129)</f>
        <v>31193.743795565901</v>
      </c>
      <c r="N15" s="44">
        <f>'Statistics NZ'!N$15*('Economic Forecasts'!P$10-'Economic Forecasts'!P$9)*1000000/SUM('Statistics NZ'!N$15:N$29,'Statistics NZ'!N$115:N$129)</f>
        <v>30686.128456263817</v>
      </c>
      <c r="O15" s="44">
        <f>'Statistics NZ'!O$15*('Economic Forecasts'!Q$10-'Economic Forecasts'!Q$9)*1000000/SUM('Statistics NZ'!O$15:O$29,'Statistics NZ'!O$115:O$129)</f>
        <v>30383.981339107318</v>
      </c>
      <c r="P15" s="44">
        <f>'Statistics NZ'!P$15*('Economic Forecasts'!R$10-'Economic Forecasts'!R$9)*1000000/SUM('Statistics NZ'!P$15:P$29,'Statistics NZ'!P$115:P$129)</f>
        <v>30769.091078413127</v>
      </c>
      <c r="Q15" s="44">
        <f>'Statistics NZ'!Q$15*('Economic Forecasts'!S$10-'Economic Forecasts'!S$9)*1000000/SUM('Statistics NZ'!Q$15:Q$29,'Statistics NZ'!Q$115:Q$129)</f>
        <v>31107.949004049911</v>
      </c>
      <c r="R15" s="44">
        <f>'Statistics NZ'!R$15*('Economic Forecasts'!T$10-'Economic Forecasts'!T$9)*1000000/SUM('Statistics NZ'!R$15:R$29,'Statistics NZ'!R$115:R$129)</f>
        <v>31676.521414806972</v>
      </c>
      <c r="S15" s="45">
        <f>SUM('Statistics NZ'!S$15,$B$12/5*(S$8-S$9)*1000)*('Economic Forecasts'!U$10-'Economic Forecasts'!U$9)*1000000/SUM('Statistics NZ'!S$15:S$29,'Statistics NZ'!S$115:S$129,SUM($B$12:$D$13)*(S$8-S$9)*1000)</f>
        <v>30926.39681550625</v>
      </c>
      <c r="T15" s="45">
        <f>SUM('Statistics NZ'!T$15,$B$12/5*(T$8-T$9)*1000)*('Economic Forecasts'!V$10-'Economic Forecasts'!V$9)*1000000/SUM('Statistics NZ'!T$15:T$29,'Statistics NZ'!T$115:T$129,SUM($B$12:$D$13)*(T$8-T$9)*1000)</f>
        <v>31391.690725009499</v>
      </c>
      <c r="U15" s="45">
        <f>SUM('Statistics NZ'!U$15,$B$12/5*(U$8-U$9)*1000)*('Economic Forecasts'!W$10-'Economic Forecasts'!W$9)*1000000/SUM('Statistics NZ'!U$15:U$29,'Statistics NZ'!U$115:U$129,SUM($B$12:$D$13)*(U$8-U$9)*1000)</f>
        <v>31521.006343612167</v>
      </c>
      <c r="V15" s="45">
        <f>SUM('Statistics NZ'!V$15,$B$12/5*(V$8-V$9)*1000)*('Economic Forecasts'!X$10-'Economic Forecasts'!X$9)*1000000/SUM('Statistics NZ'!V$15:V$29,'Statistics NZ'!V$115:V$129,SUM($B$12:$D$13)*(V$8-V$9)*1000)</f>
        <v>31855.204931224758</v>
      </c>
      <c r="W15" s="45">
        <f>SUM('Statistics NZ'!W$15,$B$12/5*(W$8-W$9)*1000)*('Economic Forecasts'!Y$10-'Economic Forecasts'!Y$9)*1000000/SUM('Statistics NZ'!W$15:W$29,'Statistics NZ'!W$115:W$129,SUM($B$12:$D$13)*(W$8-W$9)*1000)</f>
        <v>32209.347059064654</v>
      </c>
      <c r="X15" s="45">
        <f>SUM('Statistics NZ'!X$15,$B$12/5*(X$8-X$9)*1000)*('Economic Forecasts'!Z$10-'Economic Forecasts'!Z$9)*1000000/SUM('Statistics NZ'!X$15:X$29,'Statistics NZ'!X$115:X$129,SUM($B$12:$D$13)*(X$8-X$9)*1000)</f>
        <v>32547.484854052524</v>
      </c>
      <c r="Y15" s="45">
        <f>SUM('Statistics NZ'!Y$15,$B$12/5*(Y$8-Y$9)*1000)*('Economic Forecasts'!AA$10-'Economic Forecasts'!AA$9)*1000000/SUM('Statistics NZ'!Y$15:Y$29,'Statistics NZ'!Y$115:Y$129,SUM($B$12:$D$13)*(Y$8-Y$9)*1000)</f>
        <v>32831.430477486254</v>
      </c>
      <c r="Z15" s="46">
        <f>SUM(Y$15,'Statistics NZ'!Z$15-'Statistics NZ'!Y$15,$B$12/5*(Z$8-Z$9)*1000)</f>
        <v>32872.091746687242</v>
      </c>
      <c r="AA15" s="46">
        <f>SUM(Z$15,'Statistics NZ'!AA$15-'Statistics NZ'!Z$15,$B$12/5*(AA$8-AA$9)*1000)</f>
        <v>32904.901763754788</v>
      </c>
      <c r="AB15" s="46">
        <f>SUM(AA$15,'Statistics NZ'!AB$15-'Statistics NZ'!AA$15,$B$12/5*(AB$8-AB$9)*1000)</f>
        <v>32949.860528688885</v>
      </c>
      <c r="AC15" s="46">
        <f>SUM(AB$15,'Statistics NZ'!AC$15-'Statistics NZ'!AB$15,$B$12/5*(AC$8-AC$9)*1000)</f>
        <v>32996.968041489541</v>
      </c>
      <c r="AD15" s="46">
        <f>SUM(AC$15,'Statistics NZ'!AD$15-'Statistics NZ'!AC$15,$B$12/5*(AD$8-AD$9)*1000)</f>
        <v>33066.224302156756</v>
      </c>
      <c r="AE15" s="46">
        <f>SUM(AD$15,'Statistics NZ'!AE$15-'Statistics NZ'!AD$15,$B$12/5*(AE$8-AE$9)*1000)</f>
        <v>33157.629310690529</v>
      </c>
      <c r="AF15" s="46">
        <f>SUM(AE$15,'Statistics NZ'!AF$15-'Statistics NZ'!AE$15,$B$12/5*(AF$8-AF$9)*1000)</f>
        <v>33271.18306709086</v>
      </c>
      <c r="AG15" s="46">
        <f>SUM(AF$15,'Statistics NZ'!AG$15-'Statistics NZ'!AF$15,$B$12/5*(AG$8-AG$9)*1000)</f>
        <v>33396.885571357743</v>
      </c>
      <c r="AH15" s="46">
        <f>SUM(AG$15,'Statistics NZ'!AH$15-'Statistics NZ'!AG$15,$B$12/5*(AH$8-AH$9)*1000)</f>
        <v>33534.736823491185</v>
      </c>
      <c r="AI15" s="46">
        <f>SUM(AH$15,'Statistics NZ'!AI$15-'Statistics NZ'!AH$15,$B$12/5*(AI$8-AI$9)*1000)</f>
        <v>33674.736823491185</v>
      </c>
    </row>
    <row r="16" spans="1:35" x14ac:dyDescent="0.25">
      <c r="A16" s="11">
        <v>1</v>
      </c>
      <c r="B16" s="44">
        <f>'Statistics NZ'!B$16*('Economic Forecasts'!D$10-'Economic Forecasts'!D$9)*1000000/SUM('Statistics NZ'!B$15:B$29,'Statistics NZ'!B$115:B$129)</f>
        <v>29675.430874356931</v>
      </c>
      <c r="C16" s="44">
        <f>'Statistics NZ'!C$16*('Economic Forecasts'!E$10-'Economic Forecasts'!E$9)*1000000/SUM('Statistics NZ'!C$15:C$29,'Statistics NZ'!C$115:C$129)</f>
        <v>30406.92247279255</v>
      </c>
      <c r="D16" s="44">
        <f>'Statistics NZ'!D$16*('Economic Forecasts'!F$10-'Economic Forecasts'!F$9)*1000000/SUM('Statistics NZ'!D$15:D$29,'Statistics NZ'!D$115:D$129)</f>
        <v>31750.480731650125</v>
      </c>
      <c r="E16" s="44">
        <f>'Statistics NZ'!E$16*('Economic Forecasts'!G$10-'Economic Forecasts'!G$9)*1000000/SUM('Statistics NZ'!E$15:E$29,'Statistics NZ'!E$115:E$129)</f>
        <v>32978.47441075946</v>
      </c>
      <c r="F16" s="44">
        <f>'Statistics NZ'!F$16*('Economic Forecasts'!H$10-'Economic Forecasts'!H$9)*1000000/SUM('Statistics NZ'!F$15:F$29,'Statistics NZ'!F$115:F$129)</f>
        <v>32573.211178893122</v>
      </c>
      <c r="G16" s="44">
        <f>'Statistics NZ'!G$16*('Economic Forecasts'!I$10-'Economic Forecasts'!I$9)*1000000/SUM('Statistics NZ'!G$15:G$29,'Statistics NZ'!G$115:G$129)</f>
        <v>33307.784036630757</v>
      </c>
      <c r="H16" s="44">
        <f>'Statistics NZ'!H$16*('Economic Forecasts'!J$10-'Economic Forecasts'!J$9)*1000000/SUM('Statistics NZ'!H$15:H$29,'Statistics NZ'!H$115:H$129)</f>
        <v>32481.814884426436</v>
      </c>
      <c r="I16" s="44">
        <f>'Statistics NZ'!I$16*('Economic Forecasts'!K$10-'Economic Forecasts'!K$9)*1000000/SUM('Statistics NZ'!I$15:I$29,'Statistics NZ'!I$115:I$129)</f>
        <v>31835.407519889075</v>
      </c>
      <c r="J16" s="44">
        <f>'Statistics NZ'!J$16*('Economic Forecasts'!L$10-'Economic Forecasts'!L$9)*1000000/SUM('Statistics NZ'!J$15:J$29,'Statistics NZ'!J$115:J$129)</f>
        <v>31490.58253172609</v>
      </c>
      <c r="K16" s="44">
        <f>'Statistics NZ'!K$16*('Economic Forecasts'!M$10-'Economic Forecasts'!M$9)*1000000/SUM('Statistics NZ'!K$15:K$29,'Statistics NZ'!K$115:K$129)</f>
        <v>30690.027833870005</v>
      </c>
      <c r="L16" s="44">
        <f>'Statistics NZ'!L$16*('Economic Forecasts'!N$10-'Economic Forecasts'!N$9)*1000000/SUM('Statistics NZ'!L$15:L$29,'Statistics NZ'!L$115:L$129)</f>
        <v>30865.382535528119</v>
      </c>
      <c r="M16" s="44">
        <f>'Statistics NZ'!M$16*('Economic Forecasts'!O$10-'Economic Forecasts'!O$9)*1000000/SUM('Statistics NZ'!M$15:M$29,'Statistics NZ'!M$115:M$129)</f>
        <v>30759.467566153951</v>
      </c>
      <c r="N16" s="44">
        <f>'Statistics NZ'!N$16*('Economic Forecasts'!P$10-'Economic Forecasts'!P$9)*1000000/SUM('Statistics NZ'!N$15:N$29,'Statistics NZ'!N$115:N$129)</f>
        <v>31342.176719811527</v>
      </c>
      <c r="O16" s="44">
        <f>'Statistics NZ'!O$16*('Economic Forecasts'!Q$10-'Economic Forecasts'!Q$9)*1000000/SUM('Statistics NZ'!O$15:O$29,'Statistics NZ'!O$115:O$129)</f>
        <v>30646.818547923125</v>
      </c>
      <c r="P16" s="44">
        <f>'Statistics NZ'!P$16*('Economic Forecasts'!R$10-'Economic Forecasts'!R$9)*1000000/SUM('Statistics NZ'!P$15:P$29,'Statistics NZ'!P$115:P$129)</f>
        <v>30726.811324268969</v>
      </c>
      <c r="Q16" s="44">
        <f>'Statistics NZ'!Q$16*('Economic Forecasts'!S$10-'Economic Forecasts'!S$9)*1000000/SUM('Statistics NZ'!Q$15:Q$29,'Statistics NZ'!Q$115:Q$129)</f>
        <v>30698.495743449861</v>
      </c>
      <c r="R16" s="44">
        <f>'Statistics NZ'!R$16*('Economic Forecasts'!T$10-'Economic Forecasts'!T$9)*1000000/SUM('Statistics NZ'!R$15:R$29,'Statistics NZ'!R$115:R$129)</f>
        <v>31119.132425768203</v>
      </c>
      <c r="S16" s="45">
        <f>SUM('Statistics NZ'!S$16,$B$12/5*(S$8-S$9)*1000)*('Economic Forecasts'!U$10-'Economic Forecasts'!U$9)*1000000/SUM('Statistics NZ'!S$15:S$29,'Statistics NZ'!S$115:S$129,SUM($B$12:$D$13)*(S$8-S$9)*1000)</f>
        <v>32113.413828516736</v>
      </c>
      <c r="T16" s="45">
        <f>SUM('Statistics NZ'!T$16,$B$12/5*(T$8-T$9)*1000)*('Economic Forecasts'!V$10-'Economic Forecasts'!V$9)*1000000/SUM('Statistics NZ'!T$15:T$29,'Statistics NZ'!T$115:T$129,SUM($B$12:$D$13)*(T$8-T$9)*1000)</f>
        <v>31380.89998479544</v>
      </c>
      <c r="U16" s="45">
        <f>SUM('Statistics NZ'!U$16,$B$12/5*(U$8-U$9)*1000)*('Economic Forecasts'!W$10-'Economic Forecasts'!W$9)*1000000/SUM('Statistics NZ'!U$15:U$29,'Statistics NZ'!U$115:U$129,SUM($B$12:$D$13)*(U$8-U$9)*1000)</f>
        <v>31542.897103843694</v>
      </c>
      <c r="V16" s="45">
        <f>SUM('Statistics NZ'!V$16,$B$12/5*(V$8-V$9)*1000)*('Economic Forecasts'!X$10-'Economic Forecasts'!X$9)*1000000/SUM('Statistics NZ'!V$15:V$29,'Statistics NZ'!V$115:V$129,SUM($B$12:$D$13)*(V$8-V$9)*1000)</f>
        <v>31877.334983827288</v>
      </c>
      <c r="W16" s="45">
        <f>SUM('Statistics NZ'!W$16,$B$12/5*(W$8-W$9)*1000)*('Economic Forecasts'!Y$10-'Economic Forecasts'!Y$9)*1000000/SUM('Statistics NZ'!W$15:W$29,'Statistics NZ'!W$115:W$129,SUM($B$12:$D$13)*(W$8-W$9)*1000)</f>
        <v>32254.104182745912</v>
      </c>
      <c r="X16" s="45">
        <f>SUM('Statistics NZ'!X$16,$B$12/5*(X$8-X$9)*1000)*('Economic Forecasts'!Z$10-'Economic Forecasts'!Z$9)*1000000/SUM('Statistics NZ'!X$15:X$29,'Statistics NZ'!X$115:X$129,SUM($B$12:$D$13)*(X$8-X$9)*1000)</f>
        <v>32604.053779909304</v>
      </c>
      <c r="Y16" s="45">
        <f>SUM('Statistics NZ'!Y$16,$B$12/5*(Y$8-Y$9)*1000)*('Economic Forecasts'!AA$10-'Economic Forecasts'!AA$9)*1000000/SUM('Statistics NZ'!Y$15:Y$29,'Statistics NZ'!Y$115:Y$129,SUM($B$12:$D$13)*(Y$8-Y$9)*1000)</f>
        <v>32899.975633648624</v>
      </c>
      <c r="Z16" s="46">
        <f>SUM(Y$16,'Statistics NZ'!Z$16-'Statistics NZ'!Y$16,$B$12/5*(Z$8-Z$9)*1000)</f>
        <v>32940.636902849612</v>
      </c>
      <c r="AA16" s="46">
        <f>SUM(Z$16,'Statistics NZ'!AA$16-'Statistics NZ'!Z$16,$B$12/5*(AA$8-AA$9)*1000)</f>
        <v>32973.446919917158</v>
      </c>
      <c r="AB16" s="46">
        <f>SUM(AA$16,'Statistics NZ'!AB$16-'Statistics NZ'!AA$16,$B$12/5*(AB$8-AB$9)*1000)</f>
        <v>32998.405684851256</v>
      </c>
      <c r="AC16" s="46">
        <f>SUM(AB$16,'Statistics NZ'!AC$16-'Statistics NZ'!AB$16,$B$12/5*(AC$8-AC$9)*1000)</f>
        <v>33035.513197651911</v>
      </c>
      <c r="AD16" s="46">
        <f>SUM(AC$16,'Statistics NZ'!AD$16-'Statistics NZ'!AC$16,$B$12/5*(AD$8-AD$9)*1000)</f>
        <v>33084.769458319126</v>
      </c>
      <c r="AE16" s="46">
        <f>SUM(AD$16,'Statistics NZ'!AE$16-'Statistics NZ'!AD$16,$B$12/5*(AE$8-AE$9)*1000)</f>
        <v>33146.174466852899</v>
      </c>
      <c r="AF16" s="46">
        <f>SUM(AE$16,'Statistics NZ'!AF$16-'Statistics NZ'!AE$16,$B$12/5*(AF$8-AF$9)*1000)</f>
        <v>33229.728223253231</v>
      </c>
      <c r="AG16" s="46">
        <f>SUM(AF$16,'Statistics NZ'!AG$16-'Statistics NZ'!AF$16,$B$12/5*(AG$8-AG$9)*1000)</f>
        <v>33325.430727520114</v>
      </c>
      <c r="AH16" s="46">
        <f>SUM(AG$16,'Statistics NZ'!AH$16-'Statistics NZ'!AG$16,$B$12/5*(AH$8-AH$9)*1000)</f>
        <v>33443.281979653555</v>
      </c>
      <c r="AI16" s="46">
        <f>SUM(AH$16,'Statistics NZ'!AI$16-'Statistics NZ'!AH$16,$B$12/5*(AI$8-AI$9)*1000)</f>
        <v>33573.281979653555</v>
      </c>
    </row>
    <row r="17" spans="1:35" x14ac:dyDescent="0.25">
      <c r="A17" s="11">
        <v>2</v>
      </c>
      <c r="B17" s="44">
        <f>'Statistics NZ'!B$17*('Economic Forecasts'!D$10-'Economic Forecasts'!D$9)*1000000/SUM('Statistics NZ'!B$15:B$29,'Statistics NZ'!B$115:B$129)</f>
        <v>29876.871812768073</v>
      </c>
      <c r="C17" s="44">
        <f>'Statistics NZ'!C$17*('Economic Forecasts'!E$10-'Economic Forecasts'!E$9)*1000000/SUM('Statistics NZ'!C$15:C$29,'Statistics NZ'!C$115:C$129)</f>
        <v>29616.447885111636</v>
      </c>
      <c r="D17" s="44">
        <f>'Statistics NZ'!D$17*('Economic Forecasts'!F$10-'Economic Forecasts'!F$9)*1000000/SUM('Statistics NZ'!D$15:D$29,'Statistics NZ'!D$115:D$129)</f>
        <v>30442.921910419765</v>
      </c>
      <c r="E17" s="44">
        <f>'Statistics NZ'!E$17*('Economic Forecasts'!G$10-'Economic Forecasts'!G$9)*1000000/SUM('Statistics NZ'!E$15:E$29,'Statistics NZ'!E$115:E$129)</f>
        <v>31881.301877580005</v>
      </c>
      <c r="F17" s="44">
        <f>'Statistics NZ'!F$17*('Economic Forecasts'!H$10-'Economic Forecasts'!H$9)*1000000/SUM('Statistics NZ'!F$15:F$29,'Statistics NZ'!F$115:F$129)</f>
        <v>33122.791640055497</v>
      </c>
      <c r="G17" s="44">
        <f>'Statistics NZ'!G$17*('Economic Forecasts'!I$10-'Economic Forecasts'!I$9)*1000000/SUM('Statistics NZ'!G$15:G$29,'Statistics NZ'!G$115:G$129)</f>
        <v>32577.257304740255</v>
      </c>
      <c r="H17" s="44">
        <f>'Statistics NZ'!H$17*('Economic Forecasts'!J$10-'Economic Forecasts'!J$9)*1000000/SUM('Statistics NZ'!H$15:H$29,'Statistics NZ'!H$115:H$129)</f>
        <v>33192.089557160311</v>
      </c>
      <c r="I17" s="44">
        <f>'Statistics NZ'!I$17*('Economic Forecasts'!K$10-'Economic Forecasts'!K$9)*1000000/SUM('Statistics NZ'!I$15:I$29,'Statistics NZ'!I$115:I$129)</f>
        <v>32505.067177235658</v>
      </c>
      <c r="J17" s="44">
        <f>'Statistics NZ'!J$17*('Economic Forecasts'!L$10-'Economic Forecasts'!L$9)*1000000/SUM('Statistics NZ'!J$15:J$29,'Statistics NZ'!J$115:J$129)</f>
        <v>32173.536541224719</v>
      </c>
      <c r="K17" s="44">
        <f>'Statistics NZ'!K$17*('Economic Forecasts'!M$10-'Economic Forecasts'!M$9)*1000000/SUM('Statistics NZ'!K$15:K$29,'Statistics NZ'!K$115:K$129)</f>
        <v>31995.986465098515</v>
      </c>
      <c r="L17" s="44">
        <f>'Statistics NZ'!L$17*('Economic Forecasts'!N$10-'Economic Forecasts'!N$9)*1000000/SUM('Statistics NZ'!L$15:L$29,'Statistics NZ'!L$115:L$129)</f>
        <v>31036.263546105434</v>
      </c>
      <c r="M17" s="44">
        <f>'Statistics NZ'!M$17*('Economic Forecasts'!O$10-'Economic Forecasts'!O$9)*1000000/SUM('Statistics NZ'!M$15:M$29,'Statistics NZ'!M$115:M$129)</f>
        <v>31214.928001878681</v>
      </c>
      <c r="N17" s="44">
        <f>'Statistics NZ'!N$17*('Economic Forecasts'!P$10-'Economic Forecasts'!P$9)*1000000/SUM('Statistics NZ'!N$15:N$29,'Statistics NZ'!N$115:N$129)</f>
        <v>31183.455365727405</v>
      </c>
      <c r="O17" s="44">
        <f>'Statistics NZ'!O$17*('Economic Forecasts'!Q$10-'Economic Forecasts'!Q$9)*1000000/SUM('Statistics NZ'!O$15:O$29,'Statistics NZ'!O$115:O$129)</f>
        <v>31572.005522954772</v>
      </c>
      <c r="P17" s="44">
        <f>'Statistics NZ'!P$17*('Economic Forecasts'!R$10-'Economic Forecasts'!R$9)*1000000/SUM('Statistics NZ'!P$15:P$29,'Statistics NZ'!P$115:P$129)</f>
        <v>31308.157943751179</v>
      </c>
      <c r="Q17" s="44">
        <f>'Statistics NZ'!Q$17*('Economic Forecasts'!S$10-'Economic Forecasts'!S$9)*1000000/SUM('Statistics NZ'!Q$15:Q$29,'Statistics NZ'!Q$115:Q$129)</f>
        <v>30708.994545003708</v>
      </c>
      <c r="R17" s="44">
        <f>'Statistics NZ'!R$17*('Economic Forecasts'!T$10-'Economic Forecasts'!T$9)*1000000/SUM('Statistics NZ'!R$15:R$29,'Statistics NZ'!R$115:R$129)</f>
        <v>30877.246638072134</v>
      </c>
      <c r="S17" s="45">
        <f>SUM('Statistics NZ'!S$17,$B$12/5*(S$8-S$9)*1000)*('Economic Forecasts'!U$10-'Economic Forecasts'!U$9)*1000000/SUM('Statistics NZ'!S$15:S$29,'Statistics NZ'!S$115:S$129,SUM($B$12:$D$13)*(S$8-S$9)*1000)</f>
        <v>31640.707938379815</v>
      </c>
      <c r="T17" s="45">
        <f>SUM('Statistics NZ'!T$17,$B$12/5*(T$8-T$9)*1000)*('Economic Forecasts'!V$10-'Economic Forecasts'!V$9)*1000000/SUM('Statistics NZ'!T$15:T$29,'Statistics NZ'!T$115:T$129,SUM($B$12:$D$13)*(T$8-T$9)*1000)</f>
        <v>32686.579550696562</v>
      </c>
      <c r="U17" s="45">
        <f>SUM('Statistics NZ'!U$17,$B$12/5*(U$8-U$9)*1000)*('Economic Forecasts'!W$10-'Economic Forecasts'!W$9)*1000000/SUM('Statistics NZ'!U$15:U$29,'Statistics NZ'!U$115:U$129,SUM($B$12:$D$13)*(U$8-U$9)*1000)</f>
        <v>31630.460144769797</v>
      </c>
      <c r="V17" s="45">
        <f>SUM('Statistics NZ'!V$17,$B$12/5*(V$8-V$9)*1000)*('Economic Forecasts'!X$10-'Economic Forecasts'!X$9)*1000000/SUM('Statistics NZ'!V$15:V$29,'Statistics NZ'!V$115:V$129,SUM($B$12:$D$13)*(V$8-V$9)*1000)</f>
        <v>32010.115299442466</v>
      </c>
      <c r="W17" s="45">
        <f>SUM('Statistics NZ'!W$17,$B$12/5*(W$8-W$9)*1000)*('Economic Forecasts'!Y$10-'Economic Forecasts'!Y$9)*1000000/SUM('Statistics NZ'!W$15:W$29,'Statistics NZ'!W$115:W$129,SUM($B$12:$D$13)*(W$8-W$9)*1000)</f>
        <v>32388.37555378969</v>
      </c>
      <c r="X17" s="45">
        <f>SUM('Statistics NZ'!X$17,$B$12/5*(X$8-X$9)*1000)*('Economic Forecasts'!Z$10-'Economic Forecasts'!Z$9)*1000000/SUM('Statistics NZ'!X$15:X$29,'Statistics NZ'!X$115:X$129,SUM($B$12:$D$13)*(X$8-X$9)*1000)</f>
        <v>32762.446772308296</v>
      </c>
      <c r="Y17" s="45">
        <f>SUM('Statistics NZ'!Y$17,$B$12/5*(Y$8-Y$9)*1000)*('Economic Forecasts'!AA$10-'Economic Forecasts'!AA$9)*1000000/SUM('Statistics NZ'!Y$15:Y$29,'Statistics NZ'!Y$115:Y$129,SUM($B$12:$D$13)*(Y$8-Y$9)*1000)</f>
        <v>33071.338524054561</v>
      </c>
      <c r="Z17" s="46">
        <f>SUM(Y$17,'Statistics NZ'!Z$17-'Statistics NZ'!Y$17,$B$12/5*(Z$8-Z$9)*1000)</f>
        <v>33121.999793255549</v>
      </c>
      <c r="AA17" s="46">
        <f>SUM(Z$17,'Statistics NZ'!AA$17-'Statistics NZ'!Z$17,$B$12/5*(AA$8-AA$9)*1000)</f>
        <v>33154.809810323095</v>
      </c>
      <c r="AB17" s="46">
        <f>SUM(AA$17,'Statistics NZ'!AB$17-'Statistics NZ'!AA$17,$B$12/5*(AB$8-AB$9)*1000)</f>
        <v>33179.768575257192</v>
      </c>
      <c r="AC17" s="46">
        <f>SUM(AB$17,'Statistics NZ'!AC$17-'Statistics NZ'!AB$17,$B$12/5*(AC$8-AC$9)*1000)</f>
        <v>33196.876088057848</v>
      </c>
      <c r="AD17" s="46">
        <f>SUM(AC$17,'Statistics NZ'!AD$17-'Statistics NZ'!AC$17,$B$12/5*(AD$8-AD$9)*1000)</f>
        <v>33226.132348725063</v>
      </c>
      <c r="AE17" s="46">
        <f>SUM(AD$17,'Statistics NZ'!AE$17-'Statistics NZ'!AD$17,$B$12/5*(AE$8-AE$9)*1000)</f>
        <v>33267.537357258836</v>
      </c>
      <c r="AF17" s="46">
        <f>SUM(AE$17,'Statistics NZ'!AF$17-'Statistics NZ'!AE$17,$B$12/5*(AF$8-AF$9)*1000)</f>
        <v>33321.091113659168</v>
      </c>
      <c r="AG17" s="46">
        <f>SUM(AF$17,'Statistics NZ'!AG$17-'Statistics NZ'!AF$17,$B$12/5*(AG$8-AG$9)*1000)</f>
        <v>33396.793617926051</v>
      </c>
      <c r="AH17" s="46">
        <f>SUM(AG$17,'Statistics NZ'!AH$17-'Statistics NZ'!AG$17,$B$12/5*(AH$8-AH$9)*1000)</f>
        <v>33484.644870059492</v>
      </c>
      <c r="AI17" s="46">
        <f>SUM(AH$17,'Statistics NZ'!AI$17-'Statistics NZ'!AH$17,$B$12/5*(AI$8-AI$9)*1000)</f>
        <v>33604.644870059492</v>
      </c>
    </row>
    <row r="18" spans="1:35" x14ac:dyDescent="0.25">
      <c r="A18" s="11">
        <v>3</v>
      </c>
      <c r="B18" s="44">
        <f>'Statistics NZ'!B$18*('Economic Forecasts'!D$10-'Economic Forecasts'!D$9)*1000000/SUM('Statistics NZ'!B$15:B$29,'Statistics NZ'!B$115:B$129)</f>
        <v>28954.484357938112</v>
      </c>
      <c r="C18" s="44">
        <f>'Statistics NZ'!C$18*('Economic Forecasts'!E$10-'Economic Forecasts'!E$9)*1000000/SUM('Statistics NZ'!C$15:C$29,'Statistics NZ'!C$115:C$129)</f>
        <v>29785.082463816896</v>
      </c>
      <c r="D18" s="44">
        <f>'Statistics NZ'!D$18*('Economic Forecasts'!F$10-'Economic Forecasts'!F$9)*1000000/SUM('Statistics NZ'!D$15:D$29,'Statistics NZ'!D$115:D$129)</f>
        <v>29620.425232549056</v>
      </c>
      <c r="E18" s="44">
        <f>'Statistics NZ'!E$18*('Economic Forecasts'!G$10-'Economic Forecasts'!G$9)*1000000/SUM('Statistics NZ'!E$15:E$29,'Statistics NZ'!E$115:E$129)</f>
        <v>30499.286475209727</v>
      </c>
      <c r="F18" s="44">
        <f>'Statistics NZ'!F$18*('Economic Forecasts'!H$10-'Economic Forecasts'!H$9)*1000000/SUM('Statistics NZ'!F$15:F$29,'Statistics NZ'!F$115:F$129)</f>
        <v>32002.49300768604</v>
      </c>
      <c r="G18" s="44">
        <f>'Statistics NZ'!G$18*('Economic Forecasts'!I$10-'Economic Forecasts'!I$9)*1000000/SUM('Statistics NZ'!G$15:G$29,'Statistics NZ'!G$115:G$129)</f>
        <v>33127.799189643243</v>
      </c>
      <c r="H18" s="44">
        <f>'Statistics NZ'!H$18*('Economic Forecasts'!J$10-'Economic Forecasts'!J$9)*1000000/SUM('Statistics NZ'!H$15:H$29,'Statistics NZ'!H$115:H$129)</f>
        <v>32513.618227981686</v>
      </c>
      <c r="I18" s="44">
        <f>'Statistics NZ'!I$18*('Economic Forecasts'!K$10-'Economic Forecasts'!K$9)*1000000/SUM('Statistics NZ'!I$15:I$29,'Statistics NZ'!I$115:I$129)</f>
        <v>33291.651536658625</v>
      </c>
      <c r="J18" s="44">
        <f>'Statistics NZ'!J$18*('Economic Forecasts'!L$10-'Economic Forecasts'!L$9)*1000000/SUM('Statistics NZ'!J$15:J$29,'Statistics NZ'!J$115:J$129)</f>
        <v>32792.46361233286</v>
      </c>
      <c r="K18" s="44">
        <f>'Statistics NZ'!K$18*('Economic Forecasts'!M$10-'Economic Forecasts'!M$9)*1000000/SUM('Statistics NZ'!K$15:K$29,'Statistics NZ'!K$115:K$129)</f>
        <v>32574.033728101298</v>
      </c>
      <c r="L18" s="44">
        <f>'Statistics NZ'!L$18*('Economic Forecasts'!N$10-'Economic Forecasts'!N$9)*1000000/SUM('Statistics NZ'!L$15:L$29,'Statistics NZ'!L$115:L$129)</f>
        <v>32531.47238865697</v>
      </c>
      <c r="M18" s="44">
        <f>'Statistics NZ'!M$18*('Economic Forecasts'!O$10-'Economic Forecasts'!O$9)*1000000/SUM('Statistics NZ'!M$15:M$29,'Statistics NZ'!M$115:M$129)</f>
        <v>31363.217446068127</v>
      </c>
      <c r="N18" s="44">
        <f>'Statistics NZ'!N$18*('Economic Forecasts'!P$10-'Economic Forecasts'!P$9)*1000000/SUM('Statistics NZ'!N$15:N$29,'Statistics NZ'!N$115:N$129)</f>
        <v>31776.015087641463</v>
      </c>
      <c r="O18" s="44">
        <f>'Statistics NZ'!O$18*('Economic Forecasts'!Q$10-'Economic Forecasts'!Q$9)*1000000/SUM('Statistics NZ'!O$15:O$29,'Statistics NZ'!O$115:O$129)</f>
        <v>31508.924592838979</v>
      </c>
      <c r="P18" s="44">
        <f>'Statistics NZ'!P$18*('Economic Forecasts'!R$10-'Economic Forecasts'!R$9)*1000000/SUM('Statistics NZ'!P$15:P$29,'Statistics NZ'!P$115:P$129)</f>
        <v>32333.441981747081</v>
      </c>
      <c r="Q18" s="44">
        <f>'Statistics NZ'!Q$18*('Economic Forecasts'!S$10-'Economic Forecasts'!S$9)*1000000/SUM('Statistics NZ'!Q$15:Q$29,'Statistics NZ'!Q$115:Q$129)</f>
        <v>31296.927432019162</v>
      </c>
      <c r="R18" s="44">
        <f>'Statistics NZ'!R$18*('Economic Forecasts'!T$10-'Economic Forecasts'!T$9)*1000000/SUM('Statistics NZ'!R$15:R$29,'Statistics NZ'!R$115:R$129)</f>
        <v>30982.414371853032</v>
      </c>
      <c r="S18" s="45">
        <f>SUM('Statistics NZ'!S$18,$B$12/5*(S$8-S$9)*1000)*('Economic Forecasts'!U$10-'Economic Forecasts'!U$9)*1000000/SUM('Statistics NZ'!S$15:S$29,'Statistics NZ'!S$115:S$129,SUM($B$12:$D$13)*(S$8-S$9)*1000)</f>
        <v>31409.607280979544</v>
      </c>
      <c r="T18" s="45">
        <f>SUM('Statistics NZ'!T$18,$B$12/5*(T$8-T$9)*1000)*('Economic Forecasts'!V$10-'Economic Forecasts'!V$9)*1000000/SUM('Statistics NZ'!T$15:T$29,'Statistics NZ'!T$115:T$129,SUM($B$12:$D$13)*(T$8-T$9)*1000)</f>
        <v>32222.577721492031</v>
      </c>
      <c r="U18" s="45">
        <f>SUM('Statistics NZ'!U$18,$B$12/5*(U$8-U$9)*1000)*('Economic Forecasts'!W$10-'Economic Forecasts'!W$9)*1000000/SUM('Statistics NZ'!U$15:U$29,'Statistics NZ'!U$115:U$129,SUM($B$12:$D$13)*(U$8-U$9)*1000)</f>
        <v>32976.741899008644</v>
      </c>
      <c r="V18" s="45">
        <f>SUM('Statistics NZ'!V$18,$B$12/5*(V$8-V$9)*1000)*('Economic Forecasts'!X$10-'Economic Forecasts'!X$9)*1000000/SUM('Statistics NZ'!V$15:V$29,'Statistics NZ'!V$115:V$129,SUM($B$12:$D$13)*(V$8-V$9)*1000)</f>
        <v>32120.765562455115</v>
      </c>
      <c r="W18" s="45">
        <f>SUM('Statistics NZ'!W$18,$B$12/5*(W$8-W$9)*1000)*('Economic Forecasts'!Y$10-'Economic Forecasts'!Y$9)*1000000/SUM('Statistics NZ'!W$15:W$29,'Statistics NZ'!W$115:W$129,SUM($B$12:$D$13)*(W$8-W$9)*1000)</f>
        <v>32533.836205753785</v>
      </c>
      <c r="X18" s="45">
        <f>SUM('Statistics NZ'!X$18,$B$12/5*(X$8-X$9)*1000)*('Economic Forecasts'!Z$10-'Economic Forecasts'!Z$9)*1000000/SUM('Statistics NZ'!X$15:X$29,'Statistics NZ'!X$115:X$129,SUM($B$12:$D$13)*(X$8-X$9)*1000)</f>
        <v>32920.839764707285</v>
      </c>
      <c r="Y18" s="45">
        <f>SUM('Statistics NZ'!Y$18,$B$12/5*(Y$8-Y$9)*1000)*('Economic Forecasts'!AA$10-'Economic Forecasts'!AA$9)*1000000/SUM('Statistics NZ'!Y$15:Y$29,'Statistics NZ'!Y$115:Y$129,SUM($B$12:$D$13)*(Y$8-Y$9)*1000)</f>
        <v>33242.701414460491</v>
      </c>
      <c r="Z18" s="46">
        <f>SUM(Y$18,'Statistics NZ'!Z$18-'Statistics NZ'!Y$18,$B$12/5*(Z$8-Z$9)*1000)</f>
        <v>33313.362683661479</v>
      </c>
      <c r="AA18" s="46">
        <f>SUM(Z$18,'Statistics NZ'!AA$18-'Statistics NZ'!Z$18,$B$12/5*(AA$8-AA$9)*1000)</f>
        <v>33356.172700729025</v>
      </c>
      <c r="AB18" s="46">
        <f>SUM(AA$18,'Statistics NZ'!AB$18-'Statistics NZ'!AA$18,$B$12/5*(AB$8-AB$9)*1000)</f>
        <v>33381.131465663122</v>
      </c>
      <c r="AC18" s="46">
        <f>SUM(AB$18,'Statistics NZ'!AC$18-'Statistics NZ'!AB$18,$B$12/5*(AC$8-AC$9)*1000)</f>
        <v>33398.238978463778</v>
      </c>
      <c r="AD18" s="46">
        <f>SUM(AC$18,'Statistics NZ'!AD$18-'Statistics NZ'!AC$18,$B$12/5*(AD$8-AD$9)*1000)</f>
        <v>33407.495239130993</v>
      </c>
      <c r="AE18" s="46">
        <f>SUM(AD$18,'Statistics NZ'!AE$18-'Statistics NZ'!AD$18,$B$12/5*(AE$8-AE$9)*1000)</f>
        <v>33428.900247664766</v>
      </c>
      <c r="AF18" s="46">
        <f>SUM(AE$18,'Statistics NZ'!AF$18-'Statistics NZ'!AE$18,$B$12/5*(AF$8-AF$9)*1000)</f>
        <v>33452.454004065097</v>
      </c>
      <c r="AG18" s="46">
        <f>SUM(AF$18,'Statistics NZ'!AG$18-'Statistics NZ'!AF$18,$B$12/5*(AG$8-AG$9)*1000)</f>
        <v>33498.15650833198</v>
      </c>
      <c r="AH18" s="46">
        <f>SUM(AG$18,'Statistics NZ'!AH$18-'Statistics NZ'!AG$18,$B$12/5*(AH$8-AH$9)*1000)</f>
        <v>33566.007760465422</v>
      </c>
      <c r="AI18" s="46">
        <f>SUM(AH$18,'Statistics NZ'!AI$18-'Statistics NZ'!AH$18,$B$12/5*(AI$8-AI$9)*1000)</f>
        <v>33656.007760465422</v>
      </c>
    </row>
    <row r="19" spans="1:35" x14ac:dyDescent="0.25">
      <c r="A19" s="11">
        <v>4</v>
      </c>
      <c r="B19" s="44">
        <f>'Statistics NZ'!B$19*('Economic Forecasts'!D$10-'Economic Forecasts'!D$9)*1000000/SUM('Statistics NZ'!B$15:B$29,'Statistics NZ'!B$115:B$129)</f>
        <v>29049.903749817076</v>
      </c>
      <c r="C19" s="44">
        <f>'Statistics NZ'!C$19*('Economic Forecasts'!E$10-'Economic Forecasts'!E$9)*1000000/SUM('Statistics NZ'!C$15:C$29,'Statistics NZ'!C$115:C$129)</f>
        <v>28941.909570290587</v>
      </c>
      <c r="D19" s="44">
        <f>'Statistics NZ'!D$19*('Economic Forecasts'!F$10-'Economic Forecasts'!F$9)*1000000/SUM('Statistics NZ'!D$15:D$29,'Statistics NZ'!D$115:D$129)</f>
        <v>29852.411475025408</v>
      </c>
      <c r="E19" s="44">
        <f>'Statistics NZ'!E$19*('Economic Forecasts'!G$10-'Economic Forecasts'!G$9)*1000000/SUM('Statistics NZ'!E$15:E$29,'Statistics NZ'!E$115:E$129)</f>
        <v>29739.705490700871</v>
      </c>
      <c r="F19" s="44">
        <f>'Statistics NZ'!F$19*('Economic Forecasts'!H$10-'Economic Forecasts'!H$9)*1000000/SUM('Statistics NZ'!F$15:F$29,'Statistics NZ'!F$115:F$129)</f>
        <v>30681.386129891867</v>
      </c>
      <c r="G19" s="44">
        <f>'Statistics NZ'!G$19*('Economic Forecasts'!I$10-'Economic Forecasts'!I$9)*1000000/SUM('Statistics NZ'!G$15:G$29,'Statistics NZ'!G$115:G$129)</f>
        <v>32026.71541983727</v>
      </c>
      <c r="H19" s="44">
        <f>'Statistics NZ'!H$19*('Economic Forecasts'!J$10-'Economic Forecasts'!J$9)*1000000/SUM('Statistics NZ'!H$15:H$29,'Statistics NZ'!H$115:H$129)</f>
        <v>33011.870610347229</v>
      </c>
      <c r="I19" s="44">
        <f>'Statistics NZ'!I$19*('Economic Forecasts'!K$10-'Economic Forecasts'!K$9)*1000000/SUM('Statistics NZ'!I$15:I$29,'Statistics NZ'!I$115:I$129)</f>
        <v>32473.178622123916</v>
      </c>
      <c r="J19" s="44">
        <f>'Statistics NZ'!J$19*('Economic Forecasts'!L$10-'Economic Forecasts'!L$9)*1000000/SUM('Statistics NZ'!J$15:J$29,'Statistics NZ'!J$115:J$129)</f>
        <v>33571.458029417234</v>
      </c>
      <c r="K19" s="44">
        <f>'Statistics NZ'!K$19*('Economic Forecasts'!M$10-'Economic Forecasts'!M$9)*1000000/SUM('Statistics NZ'!K$15:K$29,'Statistics NZ'!K$115:K$129)</f>
        <v>33227.013043715553</v>
      </c>
      <c r="L19" s="44">
        <f>'Statistics NZ'!L$19*('Economic Forecasts'!N$10-'Economic Forecasts'!N$9)*1000000/SUM('Statistics NZ'!L$15:L$29,'Statistics NZ'!L$115:L$129)</f>
        <v>32980.03504142243</v>
      </c>
      <c r="M19" s="44">
        <f>'Statistics NZ'!M$19*('Economic Forecasts'!O$10-'Economic Forecasts'!O$9)*1000000/SUM('Statistics NZ'!M$15:M$29,'Statistics NZ'!M$115:M$129)</f>
        <v>32814.335578493432</v>
      </c>
      <c r="N19" s="44">
        <f>'Statistics NZ'!N$19*('Economic Forecasts'!P$10-'Economic Forecasts'!P$9)*1000000/SUM('Statistics NZ'!N$15:N$29,'Statistics NZ'!N$115:N$129)</f>
        <v>31850.08505288072</v>
      </c>
      <c r="O19" s="44">
        <f>'Statistics NZ'!O$19*('Economic Forecasts'!Q$10-'Economic Forecasts'!Q$9)*1000000/SUM('Statistics NZ'!O$15:O$29,'Statistics NZ'!O$115:O$129)</f>
        <v>32087.166452233756</v>
      </c>
      <c r="P19" s="44">
        <f>'Statistics NZ'!P$19*('Economic Forecasts'!R$10-'Economic Forecasts'!R$9)*1000000/SUM('Statistics NZ'!P$15:P$29,'Statistics NZ'!P$115:P$129)</f>
        <v>32248.882473458762</v>
      </c>
      <c r="Q19" s="44">
        <f>'Statistics NZ'!Q$19*('Economic Forecasts'!S$10-'Economic Forecasts'!S$9)*1000000/SUM('Statistics NZ'!Q$15:Q$29,'Statistics NZ'!Q$115:Q$129)</f>
        <v>32304.812381188516</v>
      </c>
      <c r="R19" s="44">
        <f>'Statistics NZ'!R$19*('Economic Forecasts'!T$10-'Economic Forecasts'!T$9)*1000000/SUM('Statistics NZ'!R$15:R$29,'Statistics NZ'!R$115:R$129)</f>
        <v>31518.769814135623</v>
      </c>
      <c r="S19" s="45">
        <f>SUM('Statistics NZ'!S$19,$B$12/5*(S$8-S$9)*1000)*('Economic Forecasts'!U$10-'Economic Forecasts'!U$9)*1000000/SUM('Statistics NZ'!S$15:S$29,'Statistics NZ'!S$115:S$129,SUM($B$12:$D$13)*(S$8-S$9)*1000)</f>
        <v>31535.662185016059</v>
      </c>
      <c r="T19" s="45">
        <f>SUM('Statistics NZ'!T$19,$B$12/5*(T$8-T$9)*1000)*('Economic Forecasts'!V$10-'Economic Forecasts'!V$9)*1000000/SUM('Statistics NZ'!T$15:T$29,'Statistics NZ'!T$115:T$129,SUM($B$12:$D$13)*(T$8-T$9)*1000)</f>
        <v>32006.762917210854</v>
      </c>
      <c r="U19" s="45">
        <f>SUM('Statistics NZ'!U$19,$B$12/5*(U$8-U$9)*1000)*('Economic Forecasts'!W$10-'Economic Forecasts'!W$9)*1000000/SUM('Statistics NZ'!U$15:U$29,'Statistics NZ'!U$115:U$129,SUM($B$12:$D$13)*(U$8-U$9)*1000)</f>
        <v>32527.981314262361</v>
      </c>
      <c r="V19" s="45">
        <f>SUM('Statistics NZ'!V$19,$B$12/5*(V$8-V$9)*1000)*('Economic Forecasts'!X$10-'Economic Forecasts'!X$9)*1000000/SUM('Statistics NZ'!V$15:V$29,'Statistics NZ'!V$115:V$129,SUM($B$12:$D$13)*(V$8-V$9)*1000)</f>
        <v>33492.828823811964</v>
      </c>
      <c r="W19" s="45">
        <f>SUM('Statistics NZ'!W$19,$B$12/5*(W$8-W$9)*1000)*('Economic Forecasts'!Y$10-'Economic Forecasts'!Y$9)*1000000/SUM('Statistics NZ'!W$15:W$29,'Statistics NZ'!W$115:W$129,SUM($B$12:$D$13)*(W$8-W$9)*1000)</f>
        <v>32668.107576797564</v>
      </c>
      <c r="X19" s="45">
        <f>SUM('Statistics NZ'!X$19,$B$12/5*(X$8-X$9)*1000)*('Economic Forecasts'!Z$10-'Economic Forecasts'!Z$9)*1000000/SUM('Statistics NZ'!X$15:X$29,'Statistics NZ'!X$115:X$129,SUM($B$12:$D$13)*(X$8-X$9)*1000)</f>
        <v>33090.546542277632</v>
      </c>
      <c r="Y19" s="45">
        <f>SUM('Statistics NZ'!Y$19,$B$12/5*(Y$8-Y$9)*1000)*('Economic Forecasts'!AA$10-'Economic Forecasts'!AA$9)*1000000/SUM('Statistics NZ'!Y$15:Y$29,'Statistics NZ'!Y$115:Y$129,SUM($B$12:$D$13)*(Y$8-Y$9)*1000)</f>
        <v>33425.488497560153</v>
      </c>
      <c r="Z19" s="46">
        <f>SUM(Y$19,'Statistics NZ'!Z$19-'Statistics NZ'!Y$19,$B$12/5*(Z$8-Z$9)*1000)</f>
        <v>33506.14976676114</v>
      </c>
      <c r="AA19" s="46">
        <f>SUM(Z$19,'Statistics NZ'!AA$19-'Statistics NZ'!Z$19,$B$12/5*(AA$8-AA$9)*1000)</f>
        <v>33568.959783828686</v>
      </c>
      <c r="AB19" s="46">
        <f>SUM(AA$19,'Statistics NZ'!AB$19-'Statistics NZ'!AA$19,$B$12/5*(AB$8-AB$9)*1000)</f>
        <v>33603.918548762784</v>
      </c>
      <c r="AC19" s="46">
        <f>SUM(AB$19,'Statistics NZ'!AC$19-'Statistics NZ'!AB$19,$B$12/5*(AC$8-AC$9)*1000)</f>
        <v>33621.02606156344</v>
      </c>
      <c r="AD19" s="46">
        <f>SUM(AC$19,'Statistics NZ'!AD$19-'Statistics NZ'!AC$19,$B$12/5*(AD$8-AD$9)*1000)</f>
        <v>33620.282322230654</v>
      </c>
      <c r="AE19" s="46">
        <f>SUM(AD$19,'Statistics NZ'!AE$19-'Statistics NZ'!AD$19,$B$12/5*(AE$8-AE$9)*1000)</f>
        <v>33631.687330764427</v>
      </c>
      <c r="AF19" s="46">
        <f>SUM(AE$19,'Statistics NZ'!AF$19-'Statistics NZ'!AE$19,$B$12/5*(AF$8-AF$9)*1000)</f>
        <v>33645.241087164759</v>
      </c>
      <c r="AG19" s="46">
        <f>SUM(AF$19,'Statistics NZ'!AG$19-'Statistics NZ'!AF$19,$B$12/5*(AG$8-AG$9)*1000)</f>
        <v>33660.943591431642</v>
      </c>
      <c r="AH19" s="46">
        <f>SUM(AG$19,'Statistics NZ'!AH$19-'Statistics NZ'!AG$19,$B$12/5*(AH$8-AH$9)*1000)</f>
        <v>33698.794843565083</v>
      </c>
      <c r="AI19" s="46">
        <f>SUM(AH$19,'Statistics NZ'!AI$19-'Statistics NZ'!AH$19,$B$12/5*(AI$8-AI$9)*1000)</f>
        <v>33758.794843565083</v>
      </c>
    </row>
    <row r="20" spans="1:35" x14ac:dyDescent="0.25">
      <c r="A20" s="11">
        <v>5</v>
      </c>
      <c r="B20" s="44">
        <f>'Statistics NZ'!B$20*('Economic Forecasts'!D$10-'Economic Forecasts'!D$9)*1000000/SUM('Statistics NZ'!B$15:B$29,'Statistics NZ'!B$115:B$129)</f>
        <v>30078.312751179208</v>
      </c>
      <c r="C20" s="44">
        <f>'Statistics NZ'!C$20*('Economic Forecasts'!E$10-'Economic Forecasts'!E$9)*1000000/SUM('Statistics NZ'!C$15:C$29,'Statistics NZ'!C$115:C$129)</f>
        <v>29142.163132503087</v>
      </c>
      <c r="D20" s="44">
        <f>'Statistics NZ'!D$20*('Economic Forecasts'!F$10-'Economic Forecasts'!F$9)*1000000/SUM('Statistics NZ'!D$15:D$29,'Statistics NZ'!D$115:D$129)</f>
        <v>29114.273430782465</v>
      </c>
      <c r="E20" s="44">
        <f>'Statistics NZ'!E$20*('Economic Forecasts'!G$10-'Economic Forecasts'!G$9)*1000000/SUM('Statistics NZ'!E$15:E$29,'Statistics NZ'!E$115:E$129)</f>
        <v>29971.79968041191</v>
      </c>
      <c r="F20" s="44">
        <f>'Statistics NZ'!F$20*('Economic Forecasts'!H$10-'Economic Forecasts'!H$9)*1000000/SUM('Statistics NZ'!F$15:F$29,'Statistics NZ'!F$115:F$129)</f>
        <v>29930.997423304776</v>
      </c>
      <c r="G20" s="44">
        <f>'Statistics NZ'!G$20*('Economic Forecasts'!I$10-'Economic Forecasts'!I$9)*1000000/SUM('Statistics NZ'!G$15:G$29,'Statistics NZ'!G$115:G$129)</f>
        <v>30756.234146984221</v>
      </c>
      <c r="H20" s="44">
        <f>'Statistics NZ'!H$20*('Economic Forecasts'!J$10-'Economic Forecasts'!J$9)*1000000/SUM('Statistics NZ'!H$15:H$29,'Statistics NZ'!H$115:H$129)</f>
        <v>31930.556929468807</v>
      </c>
      <c r="I20" s="44">
        <f>'Statistics NZ'!I$20*('Economic Forecasts'!K$10-'Economic Forecasts'!K$9)*1000000/SUM('Statistics NZ'!I$15:I$29,'Statistics NZ'!I$115:I$129)</f>
        <v>33047.17261413527</v>
      </c>
      <c r="J20" s="44">
        <f>'Statistics NZ'!J$20*('Economic Forecasts'!L$10-'Economic Forecasts'!L$9)*1000000/SUM('Statistics NZ'!J$15:J$29,'Statistics NZ'!J$115:J$129)</f>
        <v>32760.450143137608</v>
      </c>
      <c r="K20" s="44">
        <f>'Statistics NZ'!K$20*('Economic Forecasts'!M$10-'Economic Forecasts'!M$9)*1000000/SUM('Statistics NZ'!K$15:K$29,'Statistics NZ'!K$115:K$129)</f>
        <v>33954.924411941283</v>
      </c>
      <c r="L20" s="44">
        <f>'Statistics NZ'!L$20*('Economic Forecasts'!N$10-'Economic Forecasts'!N$9)*1000000/SUM('Statistics NZ'!L$15:L$29,'Statistics NZ'!L$115:L$129)</f>
        <v>33535.398325798713</v>
      </c>
      <c r="M20" s="44">
        <f>'Statistics NZ'!M$20*('Economic Forecasts'!O$10-'Economic Forecasts'!O$9)*1000000/SUM('Statistics NZ'!M$15:M$29,'Statistics NZ'!M$115:M$129)</f>
        <v>33248.611807905392</v>
      </c>
      <c r="N20" s="44">
        <f>'Statistics NZ'!N$20*('Economic Forecasts'!P$10-'Economic Forecasts'!P$9)*1000000/SUM('Statistics NZ'!N$15:N$29,'Statistics NZ'!N$115:N$129)</f>
        <v>33299.740086849044</v>
      </c>
      <c r="O20" s="44">
        <f>'Statistics NZ'!O$20*('Economic Forecasts'!Q$10-'Economic Forecasts'!Q$9)*1000000/SUM('Statistics NZ'!O$15:O$29,'Statistics NZ'!O$115:O$129)</f>
        <v>32150.247382349546</v>
      </c>
      <c r="P20" s="44">
        <f>'Statistics NZ'!P$20*('Economic Forecasts'!R$10-'Economic Forecasts'!R$9)*1000000/SUM('Statistics NZ'!P$15:P$29,'Statistics NZ'!P$115:P$129)</f>
        <v>32777.379400260776</v>
      </c>
      <c r="Q20" s="44">
        <f>'Statistics NZ'!Q$20*('Economic Forecasts'!S$10-'Economic Forecasts'!S$9)*1000000/SUM('Statistics NZ'!Q$15:Q$29,'Statistics NZ'!Q$115:Q$129)</f>
        <v>32157.829159434652</v>
      </c>
      <c r="R20" s="44">
        <f>'Statistics NZ'!R$20*('Economic Forecasts'!T$10-'Economic Forecasts'!T$9)*1000000/SUM('Statistics NZ'!R$15:R$29,'Statistics NZ'!R$115:R$129)</f>
        <v>32496.829738297984</v>
      </c>
      <c r="S20" s="45">
        <f>SUM('Statistics NZ'!S$20,$C$12/5*(S$8-S$9)*1000)*('Economic Forecasts'!U$10-'Economic Forecasts'!U$9)*1000000/SUM('Statistics NZ'!S$15:S$29,'Statistics NZ'!S$115:S$129,SUM($B$12:$D$13)*(S$8-S$9)*1000)</f>
        <v>32417.676797512213</v>
      </c>
      <c r="T20" s="45">
        <f>SUM('Statistics NZ'!T$20,$C$12/5*(T$8-T$9)*1000)*('Economic Forecasts'!V$10-'Economic Forecasts'!V$9)*1000000/SUM('Statistics NZ'!T$15:T$29,'Statistics NZ'!T$115:T$129,SUM($B$12:$D$13)*(T$8-T$9)*1000)</f>
        <v>32332.390621056085</v>
      </c>
      <c r="U20" s="45">
        <f>SUM('Statistics NZ'!U$20,$C$12/5*(U$8-U$9)*1000)*('Economic Forecasts'!W$10-'Economic Forecasts'!W$9)*1000000/SUM('Statistics NZ'!U$15:U$29,'Statistics NZ'!U$115:U$129,SUM($B$12:$D$13)*(U$8-U$9)*1000)</f>
        <v>32351.244430266874</v>
      </c>
      <c r="V20" s="45">
        <f>SUM('Statistics NZ'!V$20,$C$12/5*(V$8-V$9)*1000)*('Economic Forecasts'!X$10-'Economic Forecasts'!X$9)*1000000/SUM('Statistics NZ'!V$15:V$29,'Statistics NZ'!V$115:V$129,SUM($B$12:$D$13)*(V$8-V$9)*1000)</f>
        <v>33070.038353590615</v>
      </c>
      <c r="W20" s="45">
        <f>SUM('Statistics NZ'!W$20,$C$12/5*(W$8-W$9)*1000)*('Economic Forecasts'!Y$10-'Economic Forecasts'!Y$9)*1000000/SUM('Statistics NZ'!W$15:W$29,'Statistics NZ'!W$115:W$129,SUM($B$12:$D$13)*(W$8-W$9)*1000)</f>
        <v>34102.16691798051</v>
      </c>
      <c r="X20" s="45">
        <f>SUM('Statistics NZ'!X$20,$C$12/5*(X$8-X$9)*1000)*('Economic Forecasts'!Z$10-'Economic Forecasts'!Z$9)*1000000/SUM('Statistics NZ'!X$15:X$29,'Statistics NZ'!X$115:X$129,SUM($B$12:$D$13)*(X$8-X$9)*1000)</f>
        <v>33263.404581963536</v>
      </c>
      <c r="Y20" s="45">
        <f>SUM('Statistics NZ'!Y$20,$C$12/5*(Y$8-Y$9)*1000)*('Economic Forecasts'!AA$10-'Economic Forecasts'!AA$9)*1000000/SUM('Statistics NZ'!Y$15:Y$29,'Statistics NZ'!Y$115:Y$129,SUM($B$12:$D$13)*(Y$8-Y$9)*1000)</f>
        <v>33634.634025834341</v>
      </c>
      <c r="Z20" s="46">
        <f>SUM(Y$20,'Statistics NZ'!Z$20-'Statistics NZ'!Y$20,$C$12/5*(Z$8-Z$9)*1000)</f>
        <v>33764.060526586523</v>
      </c>
      <c r="AA20" s="46">
        <f>SUM(Z$20,'Statistics NZ'!AA$20-'Statistics NZ'!Z$20,$C$12/5*(AA$8-AA$9)*1000)</f>
        <v>33861.328527255129</v>
      </c>
      <c r="AB20" s="46">
        <f>SUM(AA$20,'Statistics NZ'!AB$20-'Statistics NZ'!AA$20,$C$12/5*(AB$8-AB$9)*1000)</f>
        <v>33946.438027840159</v>
      </c>
      <c r="AC20" s="46">
        <f>SUM(AB$20,'Statistics NZ'!AC$20-'Statistics NZ'!AB$20,$C$12/5*(AC$8-AC$9)*1000)</f>
        <v>33999.389028341611</v>
      </c>
      <c r="AD20" s="46">
        <f>SUM(AC$20,'Statistics NZ'!AD$20-'Statistics NZ'!AC$20,$C$12/5*(AD$8-AD$9)*1000)</f>
        <v>34030.181528759487</v>
      </c>
      <c r="AE20" s="46">
        <f>SUM(AD$20,'Statistics NZ'!AE$20-'Statistics NZ'!AD$20,$C$12/5*(AE$8-AE$9)*1000)</f>
        <v>34048.815529093794</v>
      </c>
      <c r="AF20" s="46">
        <f>SUM(AE$20,'Statistics NZ'!AF$20-'Statistics NZ'!AE$20,$C$12/5*(AF$8-AF$9)*1000)</f>
        <v>34055.291029344524</v>
      </c>
      <c r="AG20" s="46">
        <f>SUM(AF$20,'Statistics NZ'!AG$20-'Statistics NZ'!AF$20,$C$12/5*(AG$8-AG$9)*1000)</f>
        <v>34069.608029511677</v>
      </c>
      <c r="AH20" s="46">
        <f>SUM(AG$20,'Statistics NZ'!AH$20-'Statistics NZ'!AG$20,$C$12/5*(AH$8-AH$9)*1000)</f>
        <v>34081.766529595254</v>
      </c>
      <c r="AI20" s="46">
        <f>SUM(AH$20,'Statistics NZ'!AI$20-'Statistics NZ'!AH$20,$C$12/5*(AI$8-AI$9)*1000)</f>
        <v>34121.766529595254</v>
      </c>
    </row>
    <row r="21" spans="1:35" x14ac:dyDescent="0.25">
      <c r="A21" s="11">
        <v>6</v>
      </c>
      <c r="B21" s="44">
        <f>'Statistics NZ'!B$21*('Economic Forecasts'!D$10-'Economic Forecasts'!D$9)*1000000/SUM('Statistics NZ'!B$15:B$29,'Statistics NZ'!B$115:B$129)</f>
        <v>30650.829102452975</v>
      </c>
      <c r="C21" s="44">
        <f>'Statistics NZ'!C$21*('Economic Forecasts'!E$10-'Economic Forecasts'!E$9)*1000000/SUM('Statistics NZ'!C$15:C$29,'Statistics NZ'!C$115:C$129)</f>
        <v>30164.510265903737</v>
      </c>
      <c r="D21" s="44">
        <f>'Statistics NZ'!D$21*('Economic Forecasts'!F$10-'Economic Forecasts'!F$9)*1000000/SUM('Statistics NZ'!D$15:D$29,'Statistics NZ'!D$115:D$129)</f>
        <v>29377.894160869229</v>
      </c>
      <c r="E21" s="44">
        <f>'Statistics NZ'!E$21*('Economic Forecasts'!G$10-'Economic Forecasts'!G$9)*1000000/SUM('Statistics NZ'!E$15:E$29,'Statistics NZ'!E$115:E$129)</f>
        <v>29296.616583070703</v>
      </c>
      <c r="F21" s="44">
        <f>'Statistics NZ'!F$21*('Economic Forecasts'!H$10-'Economic Forecasts'!H$9)*1000000/SUM('Statistics NZ'!F$15:F$29,'Statistics NZ'!F$115:F$129)</f>
        <v>30174.081088818904</v>
      </c>
      <c r="G21" s="44">
        <f>'Statistics NZ'!G$21*('Economic Forecasts'!I$10-'Economic Forecasts'!I$9)*1000000/SUM('Statistics NZ'!G$15:G$29,'Statistics NZ'!G$115:G$129)</f>
        <v>29951.59600751062</v>
      </c>
      <c r="H21" s="44">
        <f>'Statistics NZ'!H$21*('Economic Forecasts'!J$10-'Economic Forecasts'!J$9)*1000000/SUM('Statistics NZ'!H$15:H$29,'Statistics NZ'!H$115:H$129)</f>
        <v>30637.220958222068</v>
      </c>
      <c r="I21" s="44">
        <f>'Statistics NZ'!I$21*('Economic Forecasts'!K$10-'Economic Forecasts'!K$9)*1000000/SUM('Statistics NZ'!I$15:I$29,'Statistics NZ'!I$115:I$129)</f>
        <v>31941.702703594881</v>
      </c>
      <c r="J21" s="44">
        <f>'Statistics NZ'!J$21*('Economic Forecasts'!L$10-'Economic Forecasts'!L$9)*1000000/SUM('Statistics NZ'!J$15:J$29,'Statistics NZ'!J$115:J$129)</f>
        <v>33272.665650261581</v>
      </c>
      <c r="K21" s="44">
        <f>'Statistics NZ'!K$21*('Economic Forecasts'!M$10-'Economic Forecasts'!M$9)*1000000/SUM('Statistics NZ'!K$15:K$29,'Statistics NZ'!K$115:K$129)</f>
        <v>33045.035201659121</v>
      </c>
      <c r="L21" s="44">
        <f>'Statistics NZ'!L$21*('Economic Forecasts'!N$10-'Economic Forecasts'!N$9)*1000000/SUM('Statistics NZ'!L$15:L$29,'Statistics NZ'!L$115:L$129)</f>
        <v>34165.522052302578</v>
      </c>
      <c r="M21" s="44">
        <f>'Statistics NZ'!M$21*('Economic Forecasts'!O$10-'Economic Forecasts'!O$9)*1000000/SUM('Statistics NZ'!M$15:M$29,'Statistics NZ'!M$115:M$129)</f>
        <v>33629.927521535392</v>
      </c>
      <c r="N21" s="44">
        <f>'Statistics NZ'!N$21*('Economic Forecasts'!P$10-'Economic Forecasts'!P$9)*1000000/SUM('Statistics NZ'!N$15:N$29,'Statistics NZ'!N$115:N$129)</f>
        <v>33680.671336650943</v>
      </c>
      <c r="O21" s="44">
        <f>'Statistics NZ'!O$21*('Economic Forecasts'!Q$10-'Economic Forecasts'!Q$9)*1000000/SUM('Statistics NZ'!O$15:O$29,'Statistics NZ'!O$115:O$129)</f>
        <v>33527.514356544372</v>
      </c>
      <c r="P21" s="44">
        <f>'Statistics NZ'!P$21*('Economic Forecasts'!R$10-'Economic Forecasts'!R$9)*1000000/SUM('Statistics NZ'!P$15:P$29,'Statistics NZ'!P$115:P$129)</f>
        <v>32840.799031477014</v>
      </c>
      <c r="Q21" s="44">
        <f>'Statistics NZ'!Q$21*('Economic Forecasts'!S$10-'Economic Forecasts'!S$9)*1000000/SUM('Statistics NZ'!Q$15:Q$29,'Statistics NZ'!Q$115:Q$129)</f>
        <v>32672.270435573173</v>
      </c>
      <c r="R21" s="44">
        <f>'Statistics NZ'!R$21*('Economic Forecasts'!T$10-'Economic Forecasts'!T$9)*1000000/SUM('Statistics NZ'!R$15:R$29,'Statistics NZ'!R$115:R$129)</f>
        <v>32328.561364248548</v>
      </c>
      <c r="S21" s="45">
        <f>SUM('Statistics NZ'!S$21,$C$12/5*(S$8-S$9)*1000)*('Economic Forecasts'!U$10-'Economic Forecasts'!U$9)*1000000/SUM('Statistics NZ'!S$15:S$29,'Statistics NZ'!S$115:S$129,SUM($B$12:$D$13)*(S$8-S$9)*1000)</f>
        <v>33394.602303795182</v>
      </c>
      <c r="T21" s="45">
        <f>SUM('Statistics NZ'!T$21,$C$12/5*(T$8-T$9)*1000)*('Economic Forecasts'!V$10-'Economic Forecasts'!V$9)*1000000/SUM('Statistics NZ'!T$15:T$29,'Statistics NZ'!T$115:T$129,SUM($B$12:$D$13)*(T$8-T$9)*1000)</f>
        <v>32861.136891544971</v>
      </c>
      <c r="U21" s="45">
        <f>SUM('Statistics NZ'!U$21,$C$12/5*(U$8-U$9)*1000)*('Economic Forecasts'!W$10-'Economic Forecasts'!W$9)*1000000/SUM('Statistics NZ'!U$15:U$29,'Statistics NZ'!U$115:U$129,SUM($B$12:$D$13)*(U$8-U$9)*1000)</f>
        <v>32460.698231424503</v>
      </c>
      <c r="V21" s="45">
        <f>SUM('Statistics NZ'!V$21,$C$12/5*(V$8-V$9)*1000)*('Economic Forecasts'!X$10-'Economic Forecasts'!X$9)*1000000/SUM('Statistics NZ'!V$15:V$29,'Statistics NZ'!V$115:V$129,SUM($B$12:$D$13)*(V$8-V$9)*1000)</f>
        <v>32826.607774962788</v>
      </c>
      <c r="W21" s="45">
        <f>SUM('Statistics NZ'!W$21,$C$12/5*(W$8-W$9)*1000)*('Economic Forecasts'!Y$10-'Economic Forecasts'!Y$9)*1000000/SUM('Statistics NZ'!W$15:W$29,'Statistics NZ'!W$115:W$129,SUM($B$12:$D$13)*(W$8-W$9)*1000)</f>
        <v>33609.838557486655</v>
      </c>
      <c r="X21" s="45">
        <f>SUM('Statistics NZ'!X$21,$C$12/5*(X$8-X$9)*1000)*('Economic Forecasts'!Z$10-'Economic Forecasts'!Z$9)*1000000/SUM('Statistics NZ'!X$15:X$29,'Statistics NZ'!X$115:X$129,SUM($B$12:$D$13)*(X$8-X$9)*1000)</f>
        <v>34643.68637286903</v>
      </c>
      <c r="Y21" s="45">
        <f>SUM('Statistics NZ'!Y$21,$C$12/5*(Y$8-Y$9)*1000)*('Economic Forecasts'!AA$10-'Economic Forecasts'!AA$9)*1000000/SUM('Statistics NZ'!Y$15:Y$29,'Statistics NZ'!Y$115:Y$129,SUM($B$12:$D$13)*(Y$8-Y$9)*1000)</f>
        <v>33737.451760077907</v>
      </c>
      <c r="Z21" s="46">
        <f>SUM(Y$21,'Statistics NZ'!Z$21-'Statistics NZ'!Y$21,$C$12/5*(Z$8-Z$9)*1000)</f>
        <v>33896.87826083009</v>
      </c>
      <c r="AA21" s="46">
        <f>SUM(Z$21,'Statistics NZ'!AA$21-'Statistics NZ'!Z$21,$C$12/5*(AA$8-AA$9)*1000)</f>
        <v>34014.146261498696</v>
      </c>
      <c r="AB21" s="46">
        <f>SUM(AA$21,'Statistics NZ'!AB$21-'Statistics NZ'!AA$21,$C$12/5*(AB$8-AB$9)*1000)</f>
        <v>34099.255762083725</v>
      </c>
      <c r="AC21" s="46">
        <f>SUM(AB$21,'Statistics NZ'!AC$21-'Statistics NZ'!AB$21,$C$12/5*(AC$8-AC$9)*1000)</f>
        <v>34172.206762585178</v>
      </c>
      <c r="AD21" s="46">
        <f>SUM(AC$21,'Statistics NZ'!AD$21-'Statistics NZ'!AC$21,$C$12/5*(AD$8-AD$9)*1000)</f>
        <v>34212.999263003054</v>
      </c>
      <c r="AE21" s="46">
        <f>SUM(AD$21,'Statistics NZ'!AE$21-'Statistics NZ'!AD$21,$C$12/5*(AE$8-AE$9)*1000)</f>
        <v>34231.63326333736</v>
      </c>
      <c r="AF21" s="46">
        <f>SUM(AE$21,'Statistics NZ'!AF$21-'Statistics NZ'!AE$21,$C$12/5*(AF$8-AF$9)*1000)</f>
        <v>34238.10876358809</v>
      </c>
      <c r="AG21" s="46">
        <f>SUM(AF$21,'Statistics NZ'!AG$21-'Statistics NZ'!AF$21,$C$12/5*(AG$8-AG$9)*1000)</f>
        <v>34232.425763755244</v>
      </c>
      <c r="AH21" s="46">
        <f>SUM(AG$21,'Statistics NZ'!AH$21-'Statistics NZ'!AG$21,$C$12/5*(AH$8-AH$9)*1000)</f>
        <v>34234.58426383882</v>
      </c>
      <c r="AI21" s="46">
        <f>SUM(AH$21,'Statistics NZ'!AI$21-'Statistics NZ'!AH$21,$C$12/5*(AI$8-AI$9)*1000)</f>
        <v>34234.58426383882</v>
      </c>
    </row>
    <row r="22" spans="1:35" x14ac:dyDescent="0.25">
      <c r="A22" s="11">
        <v>7</v>
      </c>
      <c r="B22" s="44">
        <f>'Statistics NZ'!B$22*('Economic Forecasts'!D$10-'Economic Forecasts'!D$9)*1000000/SUM('Statistics NZ'!B$15:B$29,'Statistics NZ'!B$115:B$129)</f>
        <v>29664.828719703717</v>
      </c>
      <c r="C22" s="44">
        <f>'Statistics NZ'!C$22*('Economic Forecasts'!E$10-'Economic Forecasts'!E$9)*1000000/SUM('Statistics NZ'!C$15:C$29,'Statistics NZ'!C$115:C$129)</f>
        <v>30733.651969033996</v>
      </c>
      <c r="D22" s="44">
        <f>'Statistics NZ'!D$22*('Economic Forecasts'!F$10-'Economic Forecasts'!F$9)*1000000/SUM('Statistics NZ'!D$15:D$29,'Statistics NZ'!D$115:D$129)</f>
        <v>30326.928789181587</v>
      </c>
      <c r="E22" s="44">
        <f>'Statistics NZ'!E$22*('Economic Forecasts'!G$10-'Economic Forecasts'!G$9)*1000000/SUM('Statistics NZ'!E$15:E$29,'Statistics NZ'!E$115:E$129)</f>
        <v>29528.710772781742</v>
      </c>
      <c r="F22" s="44">
        <f>'Statistics NZ'!F$22*('Economic Forecasts'!H$10-'Economic Forecasts'!H$9)*1000000/SUM('Statistics NZ'!F$15:F$29,'Statistics NZ'!F$115:F$129)</f>
        <v>29434.261237254166</v>
      </c>
      <c r="G22" s="44">
        <f>'Statistics NZ'!G$22*('Economic Forecasts'!I$10-'Economic Forecasts'!I$9)*1000000/SUM('Statistics NZ'!G$15:G$29,'Statistics NZ'!G$115:G$129)</f>
        <v>30279.803669664328</v>
      </c>
      <c r="H22" s="44">
        <f>'Statistics NZ'!H$22*('Economic Forecasts'!J$10-'Economic Forecasts'!J$9)*1000000/SUM('Statistics NZ'!H$15:H$29,'Statistics NZ'!H$115:H$129)</f>
        <v>29895.142941932947</v>
      </c>
      <c r="I22" s="44">
        <f>'Statistics NZ'!I$22*('Economic Forecasts'!K$10-'Economic Forecasts'!K$9)*1000000/SUM('Statistics NZ'!I$15:I$29,'Statistics NZ'!I$115:I$129)</f>
        <v>30602.383388901719</v>
      </c>
      <c r="J22" s="44">
        <f>'Statistics NZ'!J$22*('Economic Forecasts'!L$10-'Economic Forecasts'!L$9)*1000000/SUM('Statistics NZ'!J$15:J$29,'Statistics NZ'!J$115:J$129)</f>
        <v>32173.536541224719</v>
      </c>
      <c r="K22" s="44">
        <f>'Statistics NZ'!K$22*('Economic Forecasts'!M$10-'Economic Forecasts'!M$9)*1000000/SUM('Statistics NZ'!K$15:K$29,'Statistics NZ'!K$115:K$129)</f>
        <v>33516.036675216943</v>
      </c>
      <c r="L22" s="44">
        <f>'Statistics NZ'!L$22*('Economic Forecasts'!N$10-'Economic Forecasts'!N$9)*1000000/SUM('Statistics NZ'!L$15:L$29,'Statistics NZ'!L$115:L$129)</f>
        <v>33193.636304644075</v>
      </c>
      <c r="M22" s="44">
        <f>'Statistics NZ'!M$22*('Economic Forecasts'!O$10-'Economic Forecasts'!O$9)*1000000/SUM('Statistics NZ'!M$15:M$29,'Statistics NZ'!M$115:M$129)</f>
        <v>34180.716885667629</v>
      </c>
      <c r="N22" s="44">
        <f>'Statistics NZ'!N$22*('Economic Forecasts'!P$10-'Economic Forecasts'!P$9)*1000000/SUM('Statistics NZ'!N$15:N$29,'Statistics NZ'!N$115:N$129)</f>
        <v>33913.462655974319</v>
      </c>
      <c r="O22" s="44">
        <f>'Statistics NZ'!O$22*('Economic Forecasts'!Q$10-'Economic Forecasts'!Q$9)*1000000/SUM('Statistics NZ'!O$15:O$29,'Statistics NZ'!O$115:O$129)</f>
        <v>33832.405518770713</v>
      </c>
      <c r="P22" s="44">
        <f>'Statistics NZ'!P$22*('Economic Forecasts'!R$10-'Economic Forecasts'!R$9)*1000000/SUM('Statistics NZ'!P$15:P$29,'Statistics NZ'!P$115:P$129)</f>
        <v>34204.321102626207</v>
      </c>
      <c r="Q22" s="44">
        <f>'Statistics NZ'!Q$22*('Economic Forecasts'!S$10-'Economic Forecasts'!S$9)*1000000/SUM('Statistics NZ'!Q$15:Q$29,'Statistics NZ'!Q$115:Q$129)</f>
        <v>32756.260848003953</v>
      </c>
      <c r="R22" s="44">
        <f>'Statistics NZ'!R$22*('Economic Forecasts'!T$10-'Economic Forecasts'!T$9)*1000000/SUM('Statistics NZ'!R$15:R$29,'Statistics NZ'!R$115:R$129)</f>
        <v>32822.849713018775</v>
      </c>
      <c r="S22" s="45">
        <f>SUM('Statistics NZ'!S$22,$C$12/5*(S$8-S$9)*1000)*('Economic Forecasts'!U$10-'Economic Forecasts'!U$9)*1000000/SUM('Statistics NZ'!S$15:S$29,'Statistics NZ'!S$115:S$129,SUM($B$12:$D$13)*(S$8-S$9)*1000)</f>
        <v>33226.529098413164</v>
      </c>
      <c r="T22" s="45">
        <f>SUM('Statistics NZ'!T$22,$C$12/5*(T$8-T$9)*1000)*('Economic Forecasts'!V$10-'Economic Forecasts'!V$9)*1000000/SUM('Statistics NZ'!T$15:T$29,'Statistics NZ'!T$115:T$129,SUM($B$12:$D$13)*(T$8-T$9)*1000)</f>
        <v>33864.675731452444</v>
      </c>
      <c r="U22" s="45">
        <f>SUM('Statistics NZ'!U$22,$C$12/5*(U$8-U$9)*1000)*('Economic Forecasts'!W$10-'Economic Forecasts'!W$9)*1000000/SUM('Statistics NZ'!U$15:U$29,'Statistics NZ'!U$115:U$129,SUM($B$12:$D$13)*(U$8-U$9)*1000)</f>
        <v>33007.967237212652</v>
      </c>
      <c r="V22" s="45">
        <f>SUM('Statistics NZ'!V$22,$C$12/5*(V$8-V$9)*1000)*('Economic Forecasts'!X$10-'Economic Forecasts'!X$9)*1000000/SUM('Statistics NZ'!V$15:V$29,'Statistics NZ'!V$115:V$129,SUM($B$12:$D$13)*(V$8-V$9)*1000)</f>
        <v>32937.258037975436</v>
      </c>
      <c r="W22" s="45">
        <f>SUM('Statistics NZ'!W$22,$C$12/5*(W$8-W$9)*1000)*('Economic Forecasts'!Y$10-'Economic Forecasts'!Y$9)*1000000/SUM('Statistics NZ'!W$15:W$29,'Statistics NZ'!W$115:W$129,SUM($B$12:$D$13)*(W$8-W$9)*1000)</f>
        <v>33352.485096319419</v>
      </c>
      <c r="X22" s="45">
        <f>SUM('Statistics NZ'!X$22,$C$12/5*(X$8-X$9)*1000)*('Economic Forecasts'!Z$10-'Economic Forecasts'!Z$9)*1000000/SUM('Statistics NZ'!X$15:X$29,'Statistics NZ'!X$115:X$129,SUM($B$12:$D$13)*(X$8-X$9)*1000)</f>
        <v>34134.566040157988</v>
      </c>
      <c r="Y22" s="45">
        <f>SUM('Statistics NZ'!Y$22,$C$12/5*(Y$8-Y$9)*1000)*('Economic Forecasts'!AA$10-'Economic Forecasts'!AA$9)*1000000/SUM('Statistics NZ'!Y$15:Y$29,'Statistics NZ'!Y$115:Y$129,SUM($B$12:$D$13)*(Y$8-Y$9)*1000)</f>
        <v>35131.203268712816</v>
      </c>
      <c r="Z22" s="46">
        <f>SUM(Y$22,'Statistics NZ'!Z$22-'Statistics NZ'!Y$22,$C$12/5*(Z$8-Z$9)*1000)</f>
        <v>34160.629769464998</v>
      </c>
      <c r="AA22" s="46">
        <f>SUM(Z$22,'Statistics NZ'!AA$22-'Statistics NZ'!Z$22,$C$12/5*(AA$8-AA$9)*1000)</f>
        <v>34297.897770133604</v>
      </c>
      <c r="AB22" s="46">
        <f>SUM(AA$22,'Statistics NZ'!AB$22-'Statistics NZ'!AA$22,$C$12/5*(AB$8-AB$9)*1000)</f>
        <v>34403.007270718634</v>
      </c>
      <c r="AC22" s="46">
        <f>SUM(AB$22,'Statistics NZ'!AC$22-'Statistics NZ'!AB$22,$C$12/5*(AC$8-AC$9)*1000)</f>
        <v>34475.958271220086</v>
      </c>
      <c r="AD22" s="46">
        <f>SUM(AC$22,'Statistics NZ'!AD$22-'Statistics NZ'!AC$22,$C$12/5*(AD$8-AD$9)*1000)</f>
        <v>34536.750771637962</v>
      </c>
      <c r="AE22" s="46">
        <f>SUM(AD$22,'Statistics NZ'!AE$22-'Statistics NZ'!AD$22,$C$12/5*(AE$8-AE$9)*1000)</f>
        <v>34565.384771972269</v>
      </c>
      <c r="AF22" s="46">
        <f>SUM(AE$22,'Statistics NZ'!AF$22-'Statistics NZ'!AE$22,$C$12/5*(AF$8-AF$9)*1000)</f>
        <v>34571.860272222999</v>
      </c>
      <c r="AG22" s="46">
        <f>SUM(AF$22,'Statistics NZ'!AG$22-'Statistics NZ'!AF$22,$C$12/5*(AG$8-AG$9)*1000)</f>
        <v>34566.177272390152</v>
      </c>
      <c r="AH22" s="46">
        <f>SUM(AG$22,'Statistics NZ'!AH$22-'Statistics NZ'!AG$22,$C$12/5*(AH$8-AH$9)*1000)</f>
        <v>34548.335772473729</v>
      </c>
      <c r="AI22" s="46">
        <f>SUM(AH$22,'Statistics NZ'!AI$22-'Statistics NZ'!AH$22,$C$12/5*(AI$8-AI$9)*1000)</f>
        <v>34538.335772473729</v>
      </c>
    </row>
    <row r="23" spans="1:35" x14ac:dyDescent="0.25">
      <c r="A23" s="11">
        <v>8</v>
      </c>
      <c r="B23" s="44">
        <f>'Statistics NZ'!B$23*('Economic Forecasts'!D$10-'Economic Forecasts'!D$9)*1000000/SUM('Statistics NZ'!B$15:B$29,'Statistics NZ'!B$115:B$129)</f>
        <v>30343.366617509662</v>
      </c>
      <c r="C23" s="44">
        <f>'Statistics NZ'!C$23*('Economic Forecasts'!E$10-'Economic Forecasts'!E$9)*1000000/SUM('Statistics NZ'!C$15:C$29,'Statistics NZ'!C$115:C$129)</f>
        <v>29753.46348030966</v>
      </c>
      <c r="D23" s="44">
        <f>'Statistics NZ'!D$23*('Economic Forecasts'!F$10-'Economic Forecasts'!F$9)*1000000/SUM('Statistics NZ'!D$15:D$29,'Statistics NZ'!D$115:D$129)</f>
        <v>30938.528882982886</v>
      </c>
      <c r="E23" s="44">
        <f>'Statistics NZ'!E$23*('Economic Forecasts'!G$10-'Economic Forecasts'!G$9)*1000000/SUM('Statistics NZ'!E$15:E$29,'Statistics NZ'!E$115:E$129)</f>
        <v>30541.485418793553</v>
      </c>
      <c r="F23" s="44">
        <f>'Statistics NZ'!F$23*('Economic Forecasts'!H$10-'Economic Forecasts'!H$9)*1000000/SUM('Statistics NZ'!F$15:F$29,'Statistics NZ'!F$115:F$129)</f>
        <v>29719.620322857711</v>
      </c>
      <c r="G23" s="44">
        <f>'Statistics NZ'!G$23*('Economic Forecasts'!I$10-'Economic Forecasts'!I$9)*1000000/SUM('Statistics NZ'!G$15:G$29,'Statistics NZ'!G$115:G$129)</f>
        <v>29549.276937773826</v>
      </c>
      <c r="H23" s="44">
        <f>'Statistics NZ'!H$23*('Economic Forecasts'!J$10-'Economic Forecasts'!J$9)*1000000/SUM('Statistics NZ'!H$15:H$29,'Statistics NZ'!H$115:H$129)</f>
        <v>30202.575262967013</v>
      </c>
      <c r="I23" s="44">
        <f>'Statistics NZ'!I$23*('Economic Forecasts'!K$10-'Economic Forecasts'!K$9)*1000000/SUM('Statistics NZ'!I$15:I$29,'Statistics NZ'!I$115:I$129)</f>
        <v>29911.464694813978</v>
      </c>
      <c r="J23" s="44">
        <f>'Statistics NZ'!J$23*('Economic Forecasts'!L$10-'Economic Forecasts'!L$9)*1000000/SUM('Statistics NZ'!J$15:J$29,'Statistics NZ'!J$115:J$129)</f>
        <v>30850.313147821114</v>
      </c>
      <c r="K23" s="44">
        <f>'Statistics NZ'!K$23*('Economic Forecasts'!M$10-'Economic Forecasts'!M$9)*1000000/SUM('Statistics NZ'!K$15:K$29,'Statistics NZ'!K$115:K$129)</f>
        <v>32456.283359711841</v>
      </c>
      <c r="L23" s="44">
        <f>'Statistics NZ'!L$23*('Economic Forecasts'!N$10-'Economic Forecasts'!N$9)*1000000/SUM('Statistics NZ'!L$15:L$29,'Statistics NZ'!L$115:L$129)</f>
        <v>33706.279336376036</v>
      </c>
      <c r="M23" s="44">
        <f>'Statistics NZ'!M$23*('Economic Forecasts'!O$10-'Economic Forecasts'!O$9)*1000000/SUM('Statistics NZ'!M$15:M$29,'Statistics NZ'!M$115:M$129)</f>
        <v>33238.019704749</v>
      </c>
      <c r="N23" s="44">
        <f>'Statistics NZ'!N$23*('Economic Forecasts'!P$10-'Economic Forecasts'!P$9)*1000000/SUM('Statistics NZ'!N$15:N$29,'Statistics NZ'!N$115:N$129)</f>
        <v>34389.626718226689</v>
      </c>
      <c r="O23" s="44">
        <f>'Statistics NZ'!O$23*('Economic Forecasts'!Q$10-'Economic Forecasts'!Q$9)*1000000/SUM('Statistics NZ'!O$15:O$29,'Statistics NZ'!O$115:O$129)</f>
        <v>34126.78319264442</v>
      </c>
      <c r="P23" s="44">
        <f>'Statistics NZ'!P$23*('Economic Forecasts'!R$10-'Economic Forecasts'!R$9)*1000000/SUM('Statistics NZ'!P$15:P$29,'Statistics NZ'!P$115:P$129)</f>
        <v>34500.27938163533</v>
      </c>
      <c r="Q23" s="44">
        <f>'Statistics NZ'!Q$23*('Economic Forecasts'!S$10-'Economic Forecasts'!S$9)*1000000/SUM('Statistics NZ'!Q$15:Q$29,'Statistics NZ'!Q$115:Q$129)</f>
        <v>34121.105050004116</v>
      </c>
      <c r="R23" s="44">
        <f>'Statistics NZ'!R$23*('Economic Forecasts'!T$10-'Economic Forecasts'!T$9)*1000000/SUM('Statistics NZ'!R$15:R$29,'Statistics NZ'!R$115:R$129)</f>
        <v>32917.500673421586</v>
      </c>
      <c r="S23" s="45">
        <f>SUM('Statistics NZ'!S$23,$C$12/5*(S$8-S$9)*1000)*('Economic Forecasts'!U$10-'Economic Forecasts'!U$9)*1000000/SUM('Statistics NZ'!S$15:S$29,'Statistics NZ'!S$115:S$129,SUM($B$12:$D$13)*(S$8-S$9)*1000)</f>
        <v>33720.244139222836</v>
      </c>
      <c r="T23" s="45">
        <f>SUM('Statistics NZ'!T$23,$C$12/5*(T$8-T$9)*1000)*('Economic Forecasts'!V$10-'Economic Forecasts'!V$9)*1000000/SUM('Statistics NZ'!T$15:T$29,'Statistics NZ'!T$115:T$129,SUM($B$12:$D$13)*(T$8-T$9)*1000)</f>
        <v>33692.023888027499</v>
      </c>
      <c r="U23" s="45">
        <f>SUM('Statistics NZ'!U$23,$C$12/5*(U$8-U$9)*1000)*('Economic Forecasts'!W$10-'Economic Forecasts'!W$9)*1000000/SUM('Statistics NZ'!U$15:U$29,'Statistics NZ'!U$115:U$129,SUM($B$12:$D$13)*(U$8-U$9)*1000)</f>
        <v>34014.942207862841</v>
      </c>
      <c r="V23" s="45">
        <f>SUM('Statistics NZ'!V$23,$C$12/5*(V$8-V$9)*1000)*('Economic Forecasts'!X$10-'Economic Forecasts'!X$9)*1000000/SUM('Statistics NZ'!V$15:V$29,'Statistics NZ'!V$115:V$129,SUM($B$12:$D$13)*(V$8-V$9)*1000)</f>
        <v>33468.379300436158</v>
      </c>
      <c r="W23" s="45">
        <f>SUM('Statistics NZ'!W$23,$C$12/5*(W$8-W$9)*1000)*('Economic Forecasts'!Y$10-'Economic Forecasts'!Y$9)*1000000/SUM('Statistics NZ'!W$15:W$29,'Statistics NZ'!W$115:W$129,SUM($B$12:$D$13)*(W$8-W$9)*1000)</f>
        <v>33453.188624602248</v>
      </c>
      <c r="X23" s="45">
        <f>SUM('Statistics NZ'!X$23,$C$12/5*(X$8-X$9)*1000)*('Economic Forecasts'!Z$10-'Economic Forecasts'!Z$9)*1000000/SUM('Statistics NZ'!X$15:X$29,'Statistics NZ'!X$115:X$129,SUM($B$12:$D$13)*(X$8-X$9)*1000)</f>
        <v>33863.035196045428</v>
      </c>
      <c r="Y23" s="45">
        <f>SUM('Statistics NZ'!Y$23,$C$12/5*(Y$8-Y$9)*1000)*('Economic Forecasts'!AA$10-'Economic Forecasts'!AA$9)*1000000/SUM('Statistics NZ'!Y$15:Y$29,'Statistics NZ'!Y$115:Y$129,SUM($B$12:$D$13)*(Y$8-Y$9)*1000)</f>
        <v>34605.690404801288</v>
      </c>
      <c r="Z23" s="46">
        <f>SUM(Y$23,'Statistics NZ'!Z$23-'Statistics NZ'!Y$23,$C$12/5*(Z$8-Z$9)*1000)</f>
        <v>35295.11690555347</v>
      </c>
      <c r="AA23" s="46">
        <f>SUM(Z$23,'Statistics NZ'!AA$23-'Statistics NZ'!Z$23,$C$12/5*(AA$8-AA$9)*1000)</f>
        <v>34312.384906222076</v>
      </c>
      <c r="AB23" s="46">
        <f>SUM(AA$23,'Statistics NZ'!AB$23-'Statistics NZ'!AA$23,$C$12/5*(AB$8-AB$9)*1000)</f>
        <v>34437.494406807105</v>
      </c>
      <c r="AC23" s="46">
        <f>SUM(AB$23,'Statistics NZ'!AC$23-'Statistics NZ'!AB$23,$C$12/5*(AC$8-AC$9)*1000)</f>
        <v>34530.445407308558</v>
      </c>
      <c r="AD23" s="46">
        <f>SUM(AC$23,'Statistics NZ'!AD$23-'Statistics NZ'!AC$23,$C$12/5*(AD$8-AD$9)*1000)</f>
        <v>34591.237907726434</v>
      </c>
      <c r="AE23" s="46">
        <f>SUM(AD$23,'Statistics NZ'!AE$23-'Statistics NZ'!AD$23,$C$12/5*(AE$8-AE$9)*1000)</f>
        <v>34639.871908060741</v>
      </c>
      <c r="AF23" s="46">
        <f>SUM(AE$23,'Statistics NZ'!AF$23-'Statistics NZ'!AE$23,$C$12/5*(AF$8-AF$9)*1000)</f>
        <v>34656.347408311471</v>
      </c>
      <c r="AG23" s="46">
        <f>SUM(AF$23,'Statistics NZ'!AG$23-'Statistics NZ'!AF$23,$C$12/5*(AG$8-AG$9)*1000)</f>
        <v>34650.664408478624</v>
      </c>
      <c r="AH23" s="46">
        <f>SUM(AG$23,'Statistics NZ'!AH$23-'Statistics NZ'!AG$23,$C$12/5*(AH$8-AH$9)*1000)</f>
        <v>34632.822908562201</v>
      </c>
      <c r="AI23" s="46">
        <f>SUM(AH$23,'Statistics NZ'!AI$23-'Statistics NZ'!AH$23,$C$12/5*(AI$8-AI$9)*1000)</f>
        <v>34602.822908562201</v>
      </c>
    </row>
    <row r="24" spans="1:35" x14ac:dyDescent="0.25">
      <c r="A24" s="11">
        <v>9</v>
      </c>
      <c r="B24" s="44">
        <f>'Statistics NZ'!B$24*('Economic Forecasts'!D$10-'Economic Forecasts'!D$9)*1000000/SUM('Statistics NZ'!B$15:B$29,'Statistics NZ'!B$115:B$129)</f>
        <v>30502.398937307931</v>
      </c>
      <c r="C24" s="44">
        <f>'Statistics NZ'!C$24*('Economic Forecasts'!E$10-'Economic Forecasts'!E$9)*1000000/SUM('Statistics NZ'!C$15:C$29,'Statistics NZ'!C$115:C$129)</f>
        <v>30470.160439807023</v>
      </c>
      <c r="D24" s="44">
        <f>'Statistics NZ'!D$24*('Economic Forecasts'!F$10-'Economic Forecasts'!F$9)*1000000/SUM('Statistics NZ'!D$15:D$29,'Statistics NZ'!D$115:D$129)</f>
        <v>29936.770108653174</v>
      </c>
      <c r="E24" s="44">
        <f>'Statistics NZ'!E$24*('Economic Forecasts'!G$10-'Economic Forecasts'!G$9)*1000000/SUM('Statistics NZ'!E$15:E$29,'Statistics NZ'!E$115:E$129)</f>
        <v>31174.46957255093</v>
      </c>
      <c r="F24" s="44">
        <f>'Statistics NZ'!F$24*('Economic Forecasts'!H$10-'Economic Forecasts'!H$9)*1000000/SUM('Statistics NZ'!F$15:F$29,'Statistics NZ'!F$115:F$129)</f>
        <v>30808.212390160108</v>
      </c>
      <c r="G24" s="44">
        <f>'Statistics NZ'!G$24*('Economic Forecasts'!I$10-'Economic Forecasts'!I$9)*1000000/SUM('Statistics NZ'!G$15:G$29,'Statistics NZ'!G$115:G$129)</f>
        <v>29866.897255987085</v>
      </c>
      <c r="H24" s="44">
        <f>'Statistics NZ'!H$24*('Economic Forecasts'!J$10-'Economic Forecasts'!J$9)*1000000/SUM('Statistics NZ'!H$15:H$29,'Statistics NZ'!H$115:H$129)</f>
        <v>29524.103933788389</v>
      </c>
      <c r="I24" s="44">
        <f>'Statistics NZ'!I$24*('Economic Forecasts'!K$10-'Economic Forecasts'!K$9)*1000000/SUM('Statistics NZ'!I$15:I$29,'Statistics NZ'!I$115:I$129)</f>
        <v>30219.720727560813</v>
      </c>
      <c r="J24" s="44">
        <f>'Statistics NZ'!J$24*('Economic Forecasts'!L$10-'Economic Forecasts'!L$9)*1000000/SUM('Statistics NZ'!J$15:J$29,'Statistics NZ'!J$115:J$129)</f>
        <v>30188.701451119312</v>
      </c>
      <c r="K24" s="44">
        <f>'Statistics NZ'!K$24*('Economic Forecasts'!M$10-'Economic Forecasts'!M$9)*1000000/SUM('Statistics NZ'!K$15:K$29,'Statistics NZ'!K$115:K$129)</f>
        <v>31171.733886372323</v>
      </c>
      <c r="L24" s="44">
        <f>'Statistics NZ'!L$24*('Economic Forecasts'!N$10-'Economic Forecasts'!N$9)*1000000/SUM('Statistics NZ'!L$15:L$29,'Statistics NZ'!L$115:L$129)</f>
        <v>32670.313209751042</v>
      </c>
      <c r="M24" s="44">
        <f>'Statistics NZ'!M$24*('Economic Forecasts'!O$10-'Economic Forecasts'!O$9)*1000000/SUM('Statistics NZ'!M$15:M$29,'Statistics NZ'!M$115:M$129)</f>
        <v>33788.809068881237</v>
      </c>
      <c r="N24" s="44">
        <f>'Statistics NZ'!N$24*('Economic Forecasts'!P$10-'Economic Forecasts'!P$9)*1000000/SUM('Statistics NZ'!N$15:N$29,'Statistics NZ'!N$115:N$129)</f>
        <v>33479.62428814439</v>
      </c>
      <c r="O24" s="44">
        <f>'Statistics NZ'!O$24*('Economic Forecasts'!Q$10-'Economic Forecasts'!Q$9)*1000000/SUM('Statistics NZ'!O$15:O$29,'Statistics NZ'!O$115:O$129)</f>
        <v>34494.755284986553</v>
      </c>
      <c r="P24" s="44">
        <f>'Statistics NZ'!P$24*('Economic Forecasts'!R$10-'Economic Forecasts'!R$9)*1000000/SUM('Statistics NZ'!P$15:P$29,'Statistics NZ'!P$115:P$129)</f>
        <v>34785.667722108417</v>
      </c>
      <c r="Q24" s="44">
        <f>'Statistics NZ'!Q$24*('Economic Forecasts'!S$10-'Economic Forecasts'!S$9)*1000000/SUM('Statistics NZ'!Q$15:Q$29,'Statistics NZ'!Q$115:Q$129)</f>
        <v>34383.57508885031</v>
      </c>
      <c r="R24" s="44">
        <f>'Statistics NZ'!R$24*('Economic Forecasts'!T$10-'Economic Forecasts'!T$9)*1000000/SUM('Statistics NZ'!R$15:R$29,'Statistics NZ'!R$115:R$129)</f>
        <v>34263.647665817101</v>
      </c>
      <c r="S24" s="45">
        <f>SUM('Statistics NZ'!S$24,$C$12/5*(S$8-S$9)*1000)*('Economic Forecasts'!U$10-'Economic Forecasts'!U$9)*1000000/SUM('Statistics NZ'!S$15:S$29,'Statistics NZ'!S$115:S$129,SUM($B$12:$D$13)*(S$8-S$9)*1000)</f>
        <v>33814.785317250222</v>
      </c>
      <c r="T24" s="45">
        <f>SUM('Statistics NZ'!T$24,$C$12/5*(T$8-T$9)*1000)*('Economic Forecasts'!V$10-'Economic Forecasts'!V$9)*1000000/SUM('Statistics NZ'!T$15:T$29,'Statistics NZ'!T$115:T$129,SUM($B$12:$D$13)*(T$8-T$9)*1000)</f>
        <v>34199.188678088271</v>
      </c>
      <c r="U24" s="45">
        <f>SUM('Statistics NZ'!U$24,$C$12/5*(U$8-U$9)*1000)*('Economic Forecasts'!W$10-'Economic Forecasts'!W$9)*1000000/SUM('Statistics NZ'!U$15:U$29,'Statistics NZ'!U$115:U$129,SUM($B$12:$D$13)*(U$8-U$9)*1000)</f>
        <v>33828.87074589487</v>
      </c>
      <c r="V24" s="45">
        <f>SUM('Statistics NZ'!V$24,$C$12/5*(V$8-V$9)*1000)*('Economic Forecasts'!X$10-'Economic Forecasts'!X$9)*1000000/SUM('Statistics NZ'!V$15:V$29,'Statistics NZ'!V$115:V$129,SUM($B$12:$D$13)*(V$8-V$9)*1000)</f>
        <v>34475.296693851262</v>
      </c>
      <c r="W24" s="45">
        <f>SUM('Statistics NZ'!W$24,$C$12/5*(W$8-W$9)*1000)*('Economic Forecasts'!Y$10-'Economic Forecasts'!Y$9)*1000000/SUM('Statistics NZ'!W$15:W$29,'Statistics NZ'!W$115:W$129,SUM($B$12:$D$13)*(W$8-W$9)*1000)</f>
        <v>33979.084827857041</v>
      </c>
      <c r="X24" s="45">
        <f>SUM('Statistics NZ'!X$24,$C$12/5*(X$8-X$9)*1000)*('Economic Forecasts'!Z$10-'Economic Forecasts'!Z$9)*1000000/SUM('Statistics NZ'!X$15:X$29,'Statistics NZ'!X$115:X$129,SUM($B$12:$D$13)*(X$8-X$9)*1000)</f>
        <v>33953.545477416279</v>
      </c>
      <c r="Y24" s="45">
        <f>SUM('Statistics NZ'!Y$24,$C$12/5*(Y$8-Y$9)*1000)*('Economic Forecasts'!AA$10-'Economic Forecasts'!AA$9)*1000000/SUM('Statistics NZ'!Y$15:Y$29,'Statistics NZ'!Y$115:Y$129,SUM($B$12:$D$13)*(Y$8-Y$9)*1000)</f>
        <v>34320.085587458074</v>
      </c>
      <c r="Z24" s="46">
        <f>SUM(Y$24,'Statistics NZ'!Z$24-'Statistics NZ'!Y$24,$C$12/5*(Z$8-Z$9)*1000)</f>
        <v>34789.512088210256</v>
      </c>
      <c r="AA24" s="46">
        <f>SUM(Z$24,'Statistics NZ'!AA$24-'Statistics NZ'!Z$24,$C$12/5*(AA$8-AA$9)*1000)</f>
        <v>35466.780088878862</v>
      </c>
      <c r="AB24" s="46">
        <f>SUM(AA$24,'Statistics NZ'!AB$24-'Statistics NZ'!AA$24,$C$12/5*(AB$8-AB$9)*1000)</f>
        <v>34471.889589463892</v>
      </c>
      <c r="AC24" s="46">
        <f>SUM(AB$24,'Statistics NZ'!AC$24-'Statistics NZ'!AB$24,$C$12/5*(AC$8-AC$9)*1000)</f>
        <v>34584.840589965344</v>
      </c>
      <c r="AD24" s="46">
        <f>SUM(AC$24,'Statistics NZ'!AD$24-'Statistics NZ'!AC$24,$C$12/5*(AD$8-AD$9)*1000)</f>
        <v>34665.63309038322</v>
      </c>
      <c r="AE24" s="46">
        <f>SUM(AD$24,'Statistics NZ'!AE$24-'Statistics NZ'!AD$24,$C$12/5*(AE$8-AE$9)*1000)</f>
        <v>34714.267090717527</v>
      </c>
      <c r="AF24" s="46">
        <f>SUM(AE$24,'Statistics NZ'!AF$24-'Statistics NZ'!AE$24,$C$12/5*(AF$8-AF$9)*1000)</f>
        <v>34750.742590968257</v>
      </c>
      <c r="AG24" s="46">
        <f>SUM(AF$24,'Statistics NZ'!AG$24-'Statistics NZ'!AF$24,$C$12/5*(AG$8-AG$9)*1000)</f>
        <v>34755.05959113541</v>
      </c>
      <c r="AH24" s="46">
        <f>SUM(AG$24,'Statistics NZ'!AH$24-'Statistics NZ'!AG$24,$C$12/5*(AH$8-AH$9)*1000)</f>
        <v>34737.218091218987</v>
      </c>
      <c r="AI24" s="46">
        <f>SUM(AH$24,'Statistics NZ'!AI$24-'Statistics NZ'!AH$24,$C$12/5*(AI$8-AI$9)*1000)</f>
        <v>34707.218091218987</v>
      </c>
    </row>
    <row r="25" spans="1:35" x14ac:dyDescent="0.25">
      <c r="A25" s="11">
        <v>10</v>
      </c>
      <c r="B25" s="44">
        <f>'Statistics NZ'!B$25*('Economic Forecasts'!D$10-'Economic Forecasts'!D$9)*1000000/SUM('Statistics NZ'!B$15:B$29,'Statistics NZ'!B$115:B$129)</f>
        <v>31011.302360662386</v>
      </c>
      <c r="C25" s="44">
        <f>'Statistics NZ'!C$25*('Economic Forecasts'!E$10-'Economic Forecasts'!E$9)*1000000/SUM('Statistics NZ'!C$15:C$29,'Statistics NZ'!C$115:C$129)</f>
        <v>30554.477729159658</v>
      </c>
      <c r="D25" s="44">
        <f>'Statistics NZ'!D$25*('Economic Forecasts'!F$10-'Economic Forecasts'!F$9)*1000000/SUM('Statistics NZ'!D$15:D$29,'Statistics NZ'!D$115:D$129)</f>
        <v>30674.908152896118</v>
      </c>
      <c r="E25" s="44">
        <f>'Statistics NZ'!E$25*('Economic Forecasts'!G$10-'Economic Forecasts'!G$9)*1000000/SUM('Statistics NZ'!E$15:E$29,'Statistics NZ'!E$115:E$129)</f>
        <v>30119.495982955297</v>
      </c>
      <c r="F25" s="44">
        <f>'Statistics NZ'!F$25*('Economic Forecasts'!H$10-'Economic Forecasts'!H$9)*1000000/SUM('Statistics NZ'!F$15:F$29,'Statistics NZ'!F$115:F$129)</f>
        <v>31463.481401546018</v>
      </c>
      <c r="G25" s="44">
        <f>'Statistics NZ'!G$25*('Economic Forecasts'!I$10-'Economic Forecasts'!I$9)*1000000/SUM('Statistics NZ'!G$15:G$29,'Statistics NZ'!G$115:G$129)</f>
        <v>31031.505089435712</v>
      </c>
      <c r="H25" s="44">
        <f>'Statistics NZ'!H$25*('Economic Forecasts'!J$10-'Economic Forecasts'!J$9)*1000000/SUM('Statistics NZ'!H$15:H$29,'Statistics NZ'!H$115:H$129)</f>
        <v>29905.744056451364</v>
      </c>
      <c r="I25" s="44">
        <f>'Statistics NZ'!I$25*('Economic Forecasts'!K$10-'Economic Forecasts'!K$9)*1000000/SUM('Statistics NZ'!I$15:I$29,'Statistics NZ'!I$115:I$129)</f>
        <v>29656.356253920039</v>
      </c>
      <c r="J25" s="44">
        <f>'Statistics NZ'!J$25*('Economic Forecasts'!L$10-'Economic Forecasts'!L$9)*1000000/SUM('Statistics NZ'!J$15:J$29,'Statistics NZ'!J$115:J$129)</f>
        <v>30455.480361079721</v>
      </c>
      <c r="K25" s="44">
        <f>'Statistics NZ'!K$25*('Economic Forecasts'!M$10-'Economic Forecasts'!M$9)*1000000/SUM('Statistics NZ'!K$15:K$29,'Statistics NZ'!K$115:K$129)</f>
        <v>30540.163728647061</v>
      </c>
      <c r="L25" s="44">
        <f>'Statistics NZ'!L$25*('Economic Forecasts'!N$10-'Economic Forecasts'!N$9)*1000000/SUM('Statistics NZ'!L$15:L$29,'Statistics NZ'!L$115:L$129)</f>
        <v>31431.425883065484</v>
      </c>
      <c r="M25" s="44">
        <f>'Statistics NZ'!M$25*('Economic Forecasts'!O$10-'Economic Forecasts'!O$9)*1000000/SUM('Statistics NZ'!M$15:M$29,'Statistics NZ'!M$115:M$129)</f>
        <v>32782.55926902427</v>
      </c>
      <c r="N25" s="44">
        <f>'Statistics NZ'!N$25*('Economic Forecasts'!P$10-'Economic Forecasts'!P$9)*1000000/SUM('Statistics NZ'!N$15:N$29,'Statistics NZ'!N$115:N$129)</f>
        <v>33998.114044819187</v>
      </c>
      <c r="O25" s="44">
        <f>'Statistics NZ'!O$25*('Economic Forecasts'!Q$10-'Economic Forecasts'!Q$9)*1000000/SUM('Statistics NZ'!O$15:O$29,'Statistics NZ'!O$115:O$129)</f>
        <v>33580.081798307539</v>
      </c>
      <c r="P25" s="44">
        <f>'Statistics NZ'!P$25*('Economic Forecasts'!R$10-'Economic Forecasts'!R$9)*1000000/SUM('Statistics NZ'!P$15:P$29,'Statistics NZ'!P$115:P$129)</f>
        <v>35102.765878189624</v>
      </c>
      <c r="Q25" s="44">
        <f>'Statistics NZ'!Q$25*('Economic Forecasts'!S$10-'Economic Forecasts'!S$9)*1000000/SUM('Statistics NZ'!Q$15:Q$29,'Statistics NZ'!Q$115:Q$129)</f>
        <v>34656.543929250336</v>
      </c>
      <c r="R25" s="44">
        <f>'Statistics NZ'!R$25*('Economic Forecasts'!T$10-'Economic Forecasts'!T$9)*1000000/SUM('Statistics NZ'!R$15:R$29,'Statistics NZ'!R$115:R$129)</f>
        <v>34495.016680135086</v>
      </c>
      <c r="S25" s="45">
        <f>SUM('Statistics NZ'!S$25,$D$12/5*(S$8-S$9)*1000)*('Economic Forecasts'!U$10-'Economic Forecasts'!U$9)*1000000/SUM('Statistics NZ'!S$15:S$29,'Statistics NZ'!S$115:S$129,SUM($B$12:$D$13)*(S$8-S$9)*1000)</f>
        <v>35154.643417107916</v>
      </c>
      <c r="T25" s="45">
        <f>SUM('Statistics NZ'!T$25,$D$12/5*(T$8-T$9)*1000)*('Economic Forecasts'!V$10-'Economic Forecasts'!V$9)*1000000/SUM('Statistics NZ'!T$15:T$29,'Statistics NZ'!T$115:T$129,SUM($B$12:$D$13)*(T$8-T$9)*1000)</f>
        <v>34292.518437047416</v>
      </c>
      <c r="U25" s="45">
        <f>SUM('Statistics NZ'!U$25,$D$12/5*(U$8-U$9)*1000)*('Economic Forecasts'!W$10-'Economic Forecasts'!W$9)*1000000/SUM('Statistics NZ'!U$15:U$29,'Statistics NZ'!U$115:U$129,SUM($B$12:$D$13)*(U$8-U$9)*1000)</f>
        <v>34350.301238909989</v>
      </c>
      <c r="V25" s="45">
        <f>SUM('Statistics NZ'!V$25,$D$12/5*(V$8-V$9)*1000)*('Economic Forecasts'!X$10-'Economic Forecasts'!X$9)*1000000/SUM('Statistics NZ'!V$15:V$29,'Statistics NZ'!V$115:V$129,SUM($B$12:$D$13)*(V$8-V$9)*1000)</f>
        <v>34295.139115501624</v>
      </c>
      <c r="W25" s="45">
        <f>SUM('Statistics NZ'!W$25,$D$12/5*(W$8-W$9)*1000)*('Economic Forecasts'!Y$10-'Economic Forecasts'!Y$9)*1000000/SUM('Statistics NZ'!W$15:W$29,'Statistics NZ'!W$115:W$129,SUM($B$12:$D$13)*(W$8-W$9)*1000)</f>
        <v>35005.036070742673</v>
      </c>
      <c r="X25" s="45">
        <f>SUM('Statistics NZ'!X$25,$D$12/5*(X$8-X$9)*1000)*('Economic Forecasts'!Z$10-'Economic Forecasts'!Z$9)*1000000/SUM('Statistics NZ'!X$15:X$29,'Statistics NZ'!X$115:X$129,SUM($B$12:$D$13)*(X$8-X$9)*1000)</f>
        <v>34493.00945223037</v>
      </c>
      <c r="Y25" s="45">
        <f>SUM('Statistics NZ'!Y$25,$D$12/5*(Y$8-Y$9)*1000)*('Economic Forecasts'!AA$10-'Economic Forecasts'!AA$9)*1000000/SUM('Statistics NZ'!Y$15:Y$29,'Statistics NZ'!Y$115:Y$129,SUM($B$12:$D$13)*(Y$8-Y$9)*1000)</f>
        <v>34419.246118026429</v>
      </c>
      <c r="Z25" s="46">
        <f>SUM(Y$25,'Statistics NZ'!Z$25-'Statistics NZ'!Y$25,$D$12/5*(Z$8-Z$9)*1000)</f>
        <v>34555.791467001916</v>
      </c>
      <c r="AA25" s="46">
        <f>SUM(Z$25,'Statistics NZ'!AA$25-'Statistics NZ'!Z$25,$D$12/5*(AA$8-AA$9)*1000)</f>
        <v>35010.498443869015</v>
      </c>
      <c r="AB25" s="46">
        <f>SUM(AA$25,'Statistics NZ'!AB$25-'Statistics NZ'!AA$25,$D$12/5*(AB$8-AB$9)*1000)</f>
        <v>35673.367048627726</v>
      </c>
      <c r="AC25" s="46">
        <f>SUM(AB$25,'Statistics NZ'!AC$25-'Statistics NZ'!AB$25,$D$12/5*(AC$8-AC$9)*1000)</f>
        <v>34664.397281278056</v>
      </c>
      <c r="AD25" s="46">
        <f>SUM(AC$25,'Statistics NZ'!AD$25-'Statistics NZ'!AC$25,$D$12/5*(AD$8-AD$9)*1000)</f>
        <v>34763.589141819997</v>
      </c>
      <c r="AE25" s="46">
        <f>SUM(AD$25,'Statistics NZ'!AE$25-'Statistics NZ'!AD$25,$D$12/5*(AE$8-AE$9)*1000)</f>
        <v>34830.94263025355</v>
      </c>
      <c r="AF25" s="46">
        <f>SUM(AE$25,'Statistics NZ'!AF$25-'Statistics NZ'!AE$25,$D$12/5*(AF$8-AF$9)*1000)</f>
        <v>34866.457746578715</v>
      </c>
      <c r="AG25" s="46">
        <f>SUM(AF$25,'Statistics NZ'!AG$25-'Statistics NZ'!AF$25,$D$12/5*(AG$8-AG$9)*1000)</f>
        <v>34890.134490795492</v>
      </c>
      <c r="AH25" s="46">
        <f>SUM(AG$25,'Statistics NZ'!AH$25-'Statistics NZ'!AG$25,$D$12/5*(AH$8-AH$9)*1000)</f>
        <v>34881.97286290388</v>
      </c>
      <c r="AI25" s="46">
        <f>SUM(AH$25,'Statistics NZ'!AI$25-'Statistics NZ'!AH$25,$D$12/5*(AI$8-AI$9)*1000)</f>
        <v>34851.97286290388</v>
      </c>
    </row>
    <row r="26" spans="1:35" x14ac:dyDescent="0.25">
      <c r="A26" s="11">
        <v>11</v>
      </c>
      <c r="B26" s="44">
        <f>'Statistics NZ'!B$26*('Economic Forecasts'!D$10-'Economic Forecasts'!D$9)*1000000/SUM('Statistics NZ'!B$15:B$29,'Statistics NZ'!B$115:B$129)</f>
        <v>31774.657495694079</v>
      </c>
      <c r="C26" s="44">
        <f>'Statistics NZ'!C$26*('Economic Forecasts'!E$10-'Economic Forecasts'!E$9)*1000000/SUM('Statistics NZ'!C$15:C$29,'Statistics NZ'!C$115:C$129)</f>
        <v>31018.222820599123</v>
      </c>
      <c r="D26" s="44">
        <f>'Statistics NZ'!D$26*('Economic Forecasts'!F$10-'Economic Forecasts'!F$9)*1000000/SUM('Statistics NZ'!D$15:D$29,'Statistics NZ'!D$115:D$129)</f>
        <v>30769.811615727354</v>
      </c>
      <c r="E26" s="44">
        <f>'Statistics NZ'!E$26*('Economic Forecasts'!G$10-'Economic Forecasts'!G$9)*1000000/SUM('Statistics NZ'!E$15:E$29,'Statistics NZ'!E$115:E$129)</f>
        <v>30879.076967464152</v>
      </c>
      <c r="F26" s="44">
        <f>'Statistics NZ'!F$26*('Economic Forecasts'!H$10-'Economic Forecasts'!H$9)*1000000/SUM('Statistics NZ'!F$15:F$29,'Statistics NZ'!F$115:F$129)</f>
        <v>30332.613914154204</v>
      </c>
      <c r="G26" s="44">
        <f>'Statistics NZ'!G$26*('Economic Forecasts'!I$10-'Economic Forecasts'!I$9)*1000000/SUM('Statistics NZ'!G$15:G$29,'Statistics NZ'!G$115:G$129)</f>
        <v>31634.983694040911</v>
      </c>
      <c r="H26" s="44">
        <f>'Statistics NZ'!H$26*('Economic Forecasts'!J$10-'Economic Forecasts'!J$9)*1000000/SUM('Statistics NZ'!H$15:H$29,'Statistics NZ'!H$115:H$129)</f>
        <v>31146.074455106027</v>
      </c>
      <c r="I26" s="44">
        <f>'Statistics NZ'!I$26*('Economic Forecasts'!K$10-'Economic Forecasts'!K$9)*1000000/SUM('Statistics NZ'!I$15:I$29,'Statistics NZ'!I$115:I$129)</f>
        <v>30060.277952002103</v>
      </c>
      <c r="J26" s="44">
        <f>'Statistics NZ'!J$26*('Economic Forecasts'!L$10-'Economic Forecasts'!L$9)*1000000/SUM('Statistics NZ'!J$15:J$29,'Statistics NZ'!J$115:J$129)</f>
        <v>29921.922541158914</v>
      </c>
      <c r="K26" s="44">
        <f>'Statistics NZ'!K$26*('Economic Forecasts'!M$10-'Economic Forecasts'!M$9)*1000000/SUM('Statistics NZ'!K$15:K$29,'Statistics NZ'!K$115:K$129)</f>
        <v>30764.959886481476</v>
      </c>
      <c r="L26" s="44">
        <f>'Statistics NZ'!L$26*('Economic Forecasts'!N$10-'Economic Forecasts'!N$9)*1000000/SUM('Statistics NZ'!L$15:L$29,'Statistics NZ'!L$115:L$129)</f>
        <v>30790.62209340054</v>
      </c>
      <c r="M26" s="44">
        <f>'Statistics NZ'!M$26*('Economic Forecasts'!O$10-'Economic Forecasts'!O$9)*1000000/SUM('Statistics NZ'!M$15:M$29,'Statistics NZ'!M$115:M$129)</f>
        <v>31511.50689025758</v>
      </c>
      <c r="N26" s="44">
        <f>'Statistics NZ'!N$26*('Economic Forecasts'!P$10-'Economic Forecasts'!P$9)*1000000/SUM('Statistics NZ'!N$15:N$29,'Statistics NZ'!N$115:N$129)</f>
        <v>33098.693038342491</v>
      </c>
      <c r="O26" s="44">
        <f>'Statistics NZ'!O$26*('Economic Forecasts'!Q$10-'Economic Forecasts'!Q$9)*1000000/SUM('Statistics NZ'!O$15:O$29,'Statistics NZ'!O$115:O$129)</f>
        <v>34137.296680997053</v>
      </c>
      <c r="P26" s="44">
        <f>'Statistics NZ'!P$26*('Economic Forecasts'!R$10-'Economic Forecasts'!R$9)*1000000/SUM('Statistics NZ'!P$15:P$29,'Statistics NZ'!P$115:P$129)</f>
        <v>34246.600856770368</v>
      </c>
      <c r="Q26" s="44">
        <f>'Statistics NZ'!Q$26*('Economic Forecasts'!S$10-'Economic Forecasts'!S$9)*1000000/SUM('Statistics NZ'!Q$15:Q$29,'Statistics NZ'!Q$115:Q$129)</f>
        <v>35003.004380527302</v>
      </c>
      <c r="R26" s="44">
        <f>'Statistics NZ'!R$26*('Economic Forecasts'!T$10-'Economic Forecasts'!T$9)*1000000/SUM('Statistics NZ'!R$15:R$29,'Statistics NZ'!R$115:R$129)</f>
        <v>34768.45278796542</v>
      </c>
      <c r="S26" s="45">
        <f>SUM('Statistics NZ'!S$26,$D$12/5*(S$8-S$9)*1000)*('Economic Forecasts'!U$10-'Economic Forecasts'!U$9)*1000000/SUM('Statistics NZ'!S$15:S$29,'Statistics NZ'!S$115:S$129,SUM($B$12:$D$13)*(S$8-S$9)*1000)</f>
        <v>35385.744074508191</v>
      </c>
      <c r="T26" s="45">
        <f>SUM('Statistics NZ'!T$26,$D$12/5*(T$8-T$9)*1000)*('Economic Forecasts'!V$10-'Economic Forecasts'!V$9)*1000000/SUM('Statistics NZ'!T$15:T$29,'Statistics NZ'!T$115:T$129,SUM($B$12:$D$13)*(T$8-T$9)*1000)</f>
        <v>35695.31466487507</v>
      </c>
      <c r="U26" s="45">
        <f>SUM('Statistics NZ'!U$26,$D$12/5*(U$8-U$9)*1000)*('Economic Forecasts'!W$10-'Economic Forecasts'!W$9)*1000000/SUM('Statistics NZ'!U$15:U$29,'Statistics NZ'!U$115:U$129,SUM($B$12:$D$13)*(U$8-U$9)*1000)</f>
        <v>34459.755040067612</v>
      </c>
      <c r="V26" s="45">
        <f>SUM('Statistics NZ'!V$26,$D$12/5*(V$8-V$9)*1000)*('Economic Forecasts'!X$10-'Economic Forecasts'!X$9)*1000000/SUM('Statistics NZ'!V$15:V$29,'Statistics NZ'!V$115:V$129,SUM($B$12:$D$13)*(V$8-V$9)*1000)</f>
        <v>34826.260377962339</v>
      </c>
      <c r="W26" s="45">
        <f>SUM('Statistics NZ'!W$26,$D$12/5*(W$8-W$9)*1000)*('Economic Forecasts'!Y$10-'Economic Forecasts'!Y$9)*1000000/SUM('Statistics NZ'!W$15:W$29,'Statistics NZ'!W$115:W$129,SUM($B$12:$D$13)*(W$8-W$9)*1000)</f>
        <v>34826.007576017641</v>
      </c>
      <c r="X26" s="45">
        <f>SUM('Statistics NZ'!X$26,$D$12/5*(X$8-X$9)*1000)*('Economic Forecasts'!Z$10-'Economic Forecasts'!Z$9)*1000000/SUM('Statistics NZ'!X$15:X$29,'Statistics NZ'!X$115:X$129,SUM($B$12:$D$13)*(X$8-X$9)*1000)</f>
        <v>35533.877687995162</v>
      </c>
      <c r="Y26" s="45">
        <f>SUM('Statistics NZ'!Y$26,$D$12/5*(Y$8-Y$9)*1000)*('Economic Forecasts'!AA$10-'Economic Forecasts'!AA$9)*1000000/SUM('Statistics NZ'!Y$15:Y$29,'Statistics NZ'!Y$115:Y$129,SUM($B$12:$D$13)*(Y$8-Y$9)*1000)</f>
        <v>34967.607367325414</v>
      </c>
      <c r="Z26" s="46">
        <f>SUM(Y$26,'Statistics NZ'!Z$26-'Statistics NZ'!Y$26,$D$12/5*(Z$8-Z$9)*1000)</f>
        <v>34714.152716300901</v>
      </c>
      <c r="AA26" s="46">
        <f>SUM(Z$26,'Statistics NZ'!AA$26-'Statistics NZ'!Z$26,$D$12/5*(AA$8-AA$9)*1000)</f>
        <v>34838.859693168</v>
      </c>
      <c r="AB26" s="46">
        <f>SUM(AA$26,'Statistics NZ'!AB$26-'Statistics NZ'!AA$26,$D$12/5*(AB$8-AB$9)*1000)</f>
        <v>35281.728297926711</v>
      </c>
      <c r="AC26" s="46">
        <f>SUM(AB$26,'Statistics NZ'!AC$26-'Statistics NZ'!AB$26,$D$12/5*(AC$8-AC$9)*1000)</f>
        <v>35932.758530577041</v>
      </c>
      <c r="AD26" s="46">
        <f>SUM(AC$26,'Statistics NZ'!AD$26-'Statistics NZ'!AC$26,$D$12/5*(AD$8-AD$9)*1000)</f>
        <v>34911.950391118982</v>
      </c>
      <c r="AE26" s="46">
        <f>SUM(AD$26,'Statistics NZ'!AE$26-'Statistics NZ'!AD$26,$D$12/5*(AE$8-AE$9)*1000)</f>
        <v>34999.303879552535</v>
      </c>
      <c r="AF26" s="46">
        <f>SUM(AE$26,'Statistics NZ'!AF$26-'Statistics NZ'!AE$26,$D$12/5*(AF$8-AF$9)*1000)</f>
        <v>35054.8189958777</v>
      </c>
      <c r="AG26" s="46">
        <f>SUM(AF$26,'Statistics NZ'!AG$26-'Statistics NZ'!AF$26,$D$12/5*(AG$8-AG$9)*1000)</f>
        <v>35078.495740094477</v>
      </c>
      <c r="AH26" s="46">
        <f>SUM(AG$26,'Statistics NZ'!AH$26-'Statistics NZ'!AG$26,$D$12/5*(AH$8-AH$9)*1000)</f>
        <v>35090.334112202865</v>
      </c>
      <c r="AI26" s="46">
        <f>SUM(AH$26,'Statistics NZ'!AI$26-'Statistics NZ'!AH$26,$D$12/5*(AI$8-AI$9)*1000)</f>
        <v>35070.334112202865</v>
      </c>
    </row>
    <row r="27" spans="1:35" x14ac:dyDescent="0.25">
      <c r="A27" s="11">
        <v>12</v>
      </c>
      <c r="B27" s="44">
        <f>'Statistics NZ'!B$27*('Economic Forecasts'!D$10-'Economic Forecasts'!D$9)*1000000/SUM('Statistics NZ'!B$15:B$29,'Statistics NZ'!B$115:B$129)</f>
        <v>31795.861805000513</v>
      </c>
      <c r="C27" s="44">
        <f>'Statistics NZ'!C$27*('Economic Forecasts'!E$10-'Economic Forecasts'!E$9)*1000000/SUM('Statistics NZ'!C$15:C$29,'Statistics NZ'!C$115:C$129)</f>
        <v>31713.840457758335</v>
      </c>
      <c r="D27" s="44">
        <f>'Statistics NZ'!D$27*('Economic Forecasts'!F$10-'Economic Forecasts'!F$9)*1000000/SUM('Statistics NZ'!D$15:D$29,'Statistics NZ'!D$115:D$129)</f>
        <v>31117.790979441888</v>
      </c>
      <c r="E27" s="44">
        <f>'Statistics NZ'!E$27*('Economic Forecasts'!G$10-'Economic Forecasts'!G$9)*1000000/SUM('Statistics NZ'!E$15:E$29,'Statistics NZ'!E$115:E$129)</f>
        <v>30984.574326423717</v>
      </c>
      <c r="F27" s="44">
        <f>'Statistics NZ'!F$27*('Economic Forecasts'!H$10-'Economic Forecasts'!H$9)*1000000/SUM('Statistics NZ'!F$15:F$29,'Statistics NZ'!F$115:F$129)</f>
        <v>31199.260025987183</v>
      </c>
      <c r="G27" s="44">
        <f>'Statistics NZ'!G$27*('Economic Forecasts'!I$10-'Economic Forecasts'!I$9)*1000000/SUM('Statistics NZ'!G$15:G$29,'Statistics NZ'!G$115:G$129)</f>
        <v>30565.661956056261</v>
      </c>
      <c r="H27" s="44">
        <f>'Statistics NZ'!H$27*('Economic Forecasts'!J$10-'Economic Forecasts'!J$9)*1000000/SUM('Statistics NZ'!H$15:H$29,'Statistics NZ'!H$115:H$129)</f>
        <v>31707.933524582077</v>
      </c>
      <c r="I27" s="44">
        <f>'Statistics NZ'!I$27*('Economic Forecasts'!K$10-'Economic Forecasts'!K$9)*1000000/SUM('Statistics NZ'!I$15:I$29,'Statistics NZ'!I$115:I$129)</f>
        <v>31335.820156471782</v>
      </c>
      <c r="J27" s="44">
        <f>'Statistics NZ'!J$27*('Economic Forecasts'!L$10-'Economic Forecasts'!L$9)*1000000/SUM('Statistics NZ'!J$15:J$29,'Statistics NZ'!J$115:J$129)</f>
        <v>30412.795735486055</v>
      </c>
      <c r="K27" s="44">
        <f>'Statistics NZ'!K$27*('Economic Forecasts'!M$10-'Economic Forecasts'!M$9)*1000000/SUM('Statistics NZ'!K$15:K$29,'Statistics NZ'!K$115:K$129)</f>
        <v>30326.072149757139</v>
      </c>
      <c r="L27" s="44">
        <f>'Statistics NZ'!L$27*('Economic Forecasts'!N$10-'Economic Forecasts'!N$9)*1000000/SUM('Statistics NZ'!L$15:L$29,'Statistics NZ'!L$115:L$129)</f>
        <v>31057.623672427599</v>
      </c>
      <c r="M27" s="44">
        <f>'Statistics NZ'!M$27*('Economic Forecasts'!O$10-'Economic Forecasts'!O$9)*1000000/SUM('Statistics NZ'!M$15:M$29,'Statistics NZ'!M$115:M$129)</f>
        <v>30928.941216656174</v>
      </c>
      <c r="N27" s="44">
        <f>'Statistics NZ'!N$27*('Economic Forecasts'!P$10-'Economic Forecasts'!P$9)*1000000/SUM('Statistics NZ'!N$15:N$29,'Statistics NZ'!N$115:N$129)</f>
        <v>31828.922205669503</v>
      </c>
      <c r="O27" s="44">
        <f>'Statistics NZ'!O$27*('Economic Forecasts'!Q$10-'Economic Forecasts'!Q$9)*1000000/SUM('Statistics NZ'!O$15:O$29,'Statistics NZ'!O$115:O$129)</f>
        <v>33201.596217612772</v>
      </c>
      <c r="P27" s="44">
        <f>'Statistics NZ'!P$27*('Economic Forecasts'!R$10-'Economic Forecasts'!R$9)*1000000/SUM('Statistics NZ'!P$15:P$29,'Statistics NZ'!P$115:P$129)</f>
        <v>34743.387967964256</v>
      </c>
      <c r="Q27" s="44">
        <f>'Statistics NZ'!Q$27*('Economic Forecasts'!S$10-'Economic Forecasts'!S$9)*1000000/SUM('Statistics NZ'!Q$15:Q$29,'Statistics NZ'!Q$115:Q$129)</f>
        <v>34121.105050004116</v>
      </c>
      <c r="R27" s="44">
        <f>'Statistics NZ'!R$27*('Economic Forecasts'!T$10-'Economic Forecasts'!T$9)*1000000/SUM('Statistics NZ'!R$15:R$29,'Statistics NZ'!R$115:R$129)</f>
        <v>35104.989536064291</v>
      </c>
      <c r="S27" s="45">
        <f>SUM('Statistics NZ'!S$27,$D$12/5*(S$8-S$9)*1000)*('Economic Forecasts'!U$10-'Economic Forecasts'!U$9)*1000000/SUM('Statistics NZ'!S$15:S$29,'Statistics NZ'!S$115:S$129,SUM($B$12:$D$13)*(S$8-S$9)*1000)</f>
        <v>35658.863033253969</v>
      </c>
      <c r="T27" s="45">
        <f>SUM('Statistics NZ'!T$27,$D$12/5*(T$8-T$9)*1000)*('Economic Forecasts'!V$10-'Economic Forecasts'!V$9)*1000000/SUM('Statistics NZ'!T$15:T$29,'Statistics NZ'!T$115:T$129,SUM($B$12:$D$13)*(T$8-T$9)*1000)</f>
        <v>35943.501689798424</v>
      </c>
      <c r="U27" s="45">
        <f>SUM('Statistics NZ'!U$27,$D$12/5*(U$8-U$9)*1000)*('Economic Forecasts'!W$10-'Economic Forecasts'!W$9)*1000000/SUM('Statistics NZ'!U$15:U$29,'Statistics NZ'!U$115:U$129,SUM($B$12:$D$13)*(U$8-U$9)*1000)</f>
        <v>35893.599835232562</v>
      </c>
      <c r="V27" s="45">
        <f>SUM('Statistics NZ'!V$27,$D$12/5*(V$8-V$9)*1000)*('Economic Forecasts'!X$10-'Economic Forecasts'!X$9)*1000000/SUM('Statistics NZ'!V$15:V$29,'Statistics NZ'!V$115:V$129,SUM($B$12:$D$13)*(V$8-V$9)*1000)</f>
        <v>34936.910640974987</v>
      </c>
      <c r="W27" s="45">
        <f>SUM('Statistics NZ'!W$27,$D$12/5*(W$8-W$9)*1000)*('Economic Forecasts'!Y$10-'Economic Forecasts'!Y$9)*1000000/SUM('Statistics NZ'!W$15:W$29,'Statistics NZ'!W$115:W$129,SUM($B$12:$D$13)*(W$8-W$9)*1000)</f>
        <v>35363.093060192754</v>
      </c>
      <c r="X27" s="45">
        <f>SUM('Statistics NZ'!X$27,$D$12/5*(X$8-X$9)*1000)*('Economic Forecasts'!Z$10-'Economic Forecasts'!Z$9)*1000000/SUM('Statistics NZ'!X$15:X$29,'Statistics NZ'!X$115:X$129,SUM($B$12:$D$13)*(X$8-X$9)*1000)</f>
        <v>35352.85712525346</v>
      </c>
      <c r="Y27" s="45">
        <f>SUM('Statistics NZ'!Y$27,$D$12/5*(Y$8-Y$9)*1000)*('Economic Forecasts'!AA$10-'Economic Forecasts'!AA$9)*1000000/SUM('Statistics NZ'!Y$15:Y$29,'Statistics NZ'!Y$115:Y$129,SUM($B$12:$D$13)*(Y$8-Y$9)*1000)</f>
        <v>36018.633095148463</v>
      </c>
      <c r="Z27" s="46">
        <f>SUM(Y$27,'Statistics NZ'!Z$27-'Statistics NZ'!Y$27,$D$12/5*(Z$8-Z$9)*1000)</f>
        <v>35325.178444123951</v>
      </c>
      <c r="AA27" s="46">
        <f>SUM(Z$27,'Statistics NZ'!AA$27-'Statistics NZ'!Z$27,$D$12/5*(AA$8-AA$9)*1000)</f>
        <v>35059.88542099105</v>
      </c>
      <c r="AB27" s="46">
        <f>SUM(AA$27,'Statistics NZ'!AB$27-'Statistics NZ'!AA$27,$D$12/5*(AB$8-AB$9)*1000)</f>
        <v>35182.75402574976</v>
      </c>
      <c r="AC27" s="46">
        <f>SUM(AB$27,'Statistics NZ'!AC$27-'Statistics NZ'!AB$27,$D$12/5*(AC$8-AC$9)*1000)</f>
        <v>35613.78425840009</v>
      </c>
      <c r="AD27" s="46">
        <f>SUM(AC$27,'Statistics NZ'!AD$27-'Statistics NZ'!AC$27,$D$12/5*(AD$8-AD$9)*1000)</f>
        <v>36242.976118942031</v>
      </c>
      <c r="AE27" s="46">
        <f>SUM(AD$27,'Statistics NZ'!AE$27-'Statistics NZ'!AD$27,$D$12/5*(AE$8-AE$9)*1000)</f>
        <v>35210.329607375585</v>
      </c>
      <c r="AF27" s="46">
        <f>SUM(AE$27,'Statistics NZ'!AF$27-'Statistics NZ'!AE$27,$D$12/5*(AF$8-AF$9)*1000)</f>
        <v>35295.844723700749</v>
      </c>
      <c r="AG27" s="46">
        <f>SUM(AF$27,'Statistics NZ'!AG$27-'Statistics NZ'!AF$27,$D$12/5*(AG$8-AG$9)*1000)</f>
        <v>35329.521467917526</v>
      </c>
      <c r="AH27" s="46">
        <f>SUM(AG$27,'Statistics NZ'!AH$27-'Statistics NZ'!AG$27,$D$12/5*(AH$8-AH$9)*1000)</f>
        <v>35351.359840025914</v>
      </c>
      <c r="AI27" s="46">
        <f>SUM(AH$27,'Statistics NZ'!AI$27-'Statistics NZ'!AH$27,$D$12/5*(AI$8-AI$9)*1000)</f>
        <v>35351.359840025914</v>
      </c>
    </row>
    <row r="28" spans="1:35" x14ac:dyDescent="0.25">
      <c r="A28" s="11">
        <v>13</v>
      </c>
      <c r="B28" s="44">
        <f>'Statistics NZ'!B$28*('Economic Forecasts'!D$10-'Economic Forecasts'!D$9)*1000000/SUM('Statistics NZ'!B$15:B$29,'Statistics NZ'!B$115:B$129)</f>
        <v>32601.625558645075</v>
      </c>
      <c r="C28" s="44">
        <f>'Statistics NZ'!C$28*('Economic Forecasts'!E$10-'Economic Forecasts'!E$9)*1000000/SUM('Statistics NZ'!C$15:C$29,'Statistics NZ'!C$115:C$129)</f>
        <v>31713.840457758335</v>
      </c>
      <c r="D28" s="44">
        <f>'Statistics NZ'!D$28*('Economic Forecasts'!F$10-'Economic Forecasts'!F$9)*1000000/SUM('Statistics NZ'!D$15:D$29,'Statistics NZ'!D$115:D$129)</f>
        <v>31761.025560853595</v>
      </c>
      <c r="E28" s="44">
        <f>'Statistics NZ'!E$28*('Economic Forecasts'!G$10-'Economic Forecasts'!G$9)*1000000/SUM('Statistics NZ'!E$15:E$29,'Statistics NZ'!E$115:E$129)</f>
        <v>31258.867459718585</v>
      </c>
      <c r="F28" s="44">
        <f>'Statistics NZ'!F$28*('Economic Forecasts'!H$10-'Economic Forecasts'!H$9)*1000000/SUM('Statistics NZ'!F$15:F$29,'Statistics NZ'!F$115:F$129)</f>
        <v>31273.242011143655</v>
      </c>
      <c r="G28" s="44">
        <f>'Statistics NZ'!G$28*('Economic Forecasts'!I$10-'Economic Forecasts'!I$9)*1000000/SUM('Statistics NZ'!G$15:G$29,'Statistics NZ'!G$115:G$129)</f>
        <v>31370.300095529863</v>
      </c>
      <c r="H28" s="44">
        <f>'Statistics NZ'!H$28*('Economic Forecasts'!J$10-'Economic Forecasts'!J$9)*1000000/SUM('Statistics NZ'!H$15:H$29,'Statistics NZ'!H$115:H$129)</f>
        <v>30647.822072740484</v>
      </c>
      <c r="I28" s="44">
        <f>'Statistics NZ'!I$28*('Economic Forecasts'!K$10-'Economic Forecasts'!K$9)*1000000/SUM('Statistics NZ'!I$15:I$29,'Statistics NZ'!I$115:I$129)</f>
        <v>31814.148483147914</v>
      </c>
      <c r="J28" s="44">
        <f>'Statistics NZ'!J$28*('Economic Forecasts'!L$10-'Economic Forecasts'!L$9)*1000000/SUM('Statistics NZ'!J$15:J$29,'Statistics NZ'!J$115:J$129)</f>
        <v>31618.636408507082</v>
      </c>
      <c r="K28" s="44">
        <f>'Statistics NZ'!K$28*('Economic Forecasts'!M$10-'Economic Forecasts'!M$9)*1000000/SUM('Statistics NZ'!K$15:K$29,'Statistics NZ'!K$115:K$129)</f>
        <v>30829.187360148451</v>
      </c>
      <c r="L28" s="44">
        <f>'Statistics NZ'!L$28*('Economic Forecasts'!N$10-'Economic Forecasts'!N$9)*1000000/SUM('Statistics NZ'!L$15:L$29,'Statistics NZ'!L$115:L$129)</f>
        <v>30587.700893339974</v>
      </c>
      <c r="M28" s="44">
        <f>'Statistics NZ'!M$28*('Economic Forecasts'!O$10-'Economic Forecasts'!O$9)*1000000/SUM('Statistics NZ'!M$15:M$29,'Statistics NZ'!M$115:M$129)</f>
        <v>31140.783279783962</v>
      </c>
      <c r="N28" s="44">
        <f>'Statistics NZ'!N$28*('Economic Forecasts'!P$10-'Economic Forecasts'!P$9)*1000000/SUM('Statistics NZ'!N$15:N$29,'Statistics NZ'!N$115:N$129)</f>
        <v>31310.432448994703</v>
      </c>
      <c r="O28" s="44">
        <f>'Statistics NZ'!O$28*('Economic Forecasts'!Q$10-'Economic Forecasts'!Q$9)*1000000/SUM('Statistics NZ'!O$15:O$29,'Statistics NZ'!O$115:O$129)</f>
        <v>31992.545057060062</v>
      </c>
      <c r="P28" s="44">
        <f>'Statistics NZ'!P$28*('Economic Forecasts'!R$10-'Economic Forecasts'!R$9)*1000000/SUM('Statistics NZ'!P$15:P$29,'Statistics NZ'!P$115:P$129)</f>
        <v>33792.093499720635</v>
      </c>
      <c r="Q28" s="44">
        <f>'Statistics NZ'!Q$28*('Economic Forecasts'!S$10-'Economic Forecasts'!S$9)*1000000/SUM('Statistics NZ'!Q$15:Q$29,'Statistics NZ'!Q$115:Q$129)</f>
        <v>34625.047524588794</v>
      </c>
      <c r="R28" s="44">
        <f>'Statistics NZ'!R$28*('Economic Forecasts'!T$10-'Economic Forecasts'!T$9)*1000000/SUM('Statistics NZ'!R$15:R$29,'Statistics NZ'!R$115:R$129)</f>
        <v>34221.580572304745</v>
      </c>
      <c r="S28" s="45">
        <f>SUM('Statistics NZ'!S$28,$D$12/5*(S$8-S$9)*1000)*('Economic Forecasts'!U$10-'Economic Forecasts'!U$9)*1000000/SUM('Statistics NZ'!S$15:S$29,'Statistics NZ'!S$115:S$129,SUM($B$12:$D$13)*(S$8-S$9)*1000)</f>
        <v>36037.027745363506</v>
      </c>
      <c r="T28" s="45">
        <f>SUM('Statistics NZ'!T$28,$D$12/5*(T$8-T$9)*1000)*('Economic Forecasts'!V$10-'Economic Forecasts'!V$9)*1000000/SUM('Statistics NZ'!T$15:T$29,'Statistics NZ'!T$115:T$129,SUM($B$12:$D$13)*(T$8-T$9)*1000)</f>
        <v>36267.223896220195</v>
      </c>
      <c r="U28" s="45">
        <f>SUM('Statistics NZ'!U$28,$D$12/5*(U$8-U$9)*1000)*('Economic Forecasts'!W$10-'Economic Forecasts'!W$9)*1000000/SUM('Statistics NZ'!U$15:U$29,'Statistics NZ'!U$115:U$129,SUM($B$12:$D$13)*(U$8-U$9)*1000)</f>
        <v>36178.179718242405</v>
      </c>
      <c r="V28" s="45">
        <f>SUM('Statistics NZ'!V$28,$D$12/5*(V$8-V$9)*1000)*('Economic Forecasts'!X$10-'Economic Forecasts'!X$9)*1000000/SUM('Statistics NZ'!V$15:V$29,'Statistics NZ'!V$115:V$129,SUM($B$12:$D$13)*(V$8-V$9)*1000)</f>
        <v>36430.689191645761</v>
      </c>
      <c r="W28" s="45">
        <f>SUM('Statistics NZ'!W$28,$D$12/5*(W$8-W$9)*1000)*('Economic Forecasts'!Y$10-'Economic Forecasts'!Y$9)*1000000/SUM('Statistics NZ'!W$15:W$29,'Statistics NZ'!W$115:W$129,SUM($B$12:$D$13)*(W$8-W$9)*1000)</f>
        <v>35530.932273997474</v>
      </c>
      <c r="X28" s="45">
        <f>SUM('Statistics NZ'!X$28,$D$12/5*(X$8-X$9)*1000)*('Economic Forecasts'!Z$10-'Economic Forecasts'!Z$9)*1000000/SUM('Statistics NZ'!X$15:X$29,'Statistics NZ'!X$115:X$129,SUM($B$12:$D$13)*(X$8-X$9)*1000)</f>
        <v>35941.173954163991</v>
      </c>
      <c r="Y28" s="45">
        <f>SUM('Statistics NZ'!Y$28,$D$12/5*(Y$8-Y$9)*1000)*('Economic Forecasts'!AA$10-'Economic Forecasts'!AA$9)*1000000/SUM('Statistics NZ'!Y$15:Y$29,'Statistics NZ'!Y$115:Y$129,SUM($B$12:$D$13)*(Y$8-Y$9)*1000)</f>
        <v>35881.542782823715</v>
      </c>
      <c r="Z28" s="46">
        <f>SUM(Y$28,'Statistics NZ'!Z$28-'Statistics NZ'!Y$28,$D$12/5*(Z$8-Z$9)*1000)</f>
        <v>36268.088131799203</v>
      </c>
      <c r="AA28" s="46">
        <f>SUM(Z$28,'Statistics NZ'!AA$28-'Statistics NZ'!Z$28,$D$12/5*(AA$8-AA$9)*1000)</f>
        <v>35562.795108666302</v>
      </c>
      <c r="AB28" s="46">
        <f>SUM(AA$28,'Statistics NZ'!AB$28-'Statistics NZ'!AA$28,$D$12/5*(AB$8-AB$9)*1000)</f>
        <v>35285.663713425012</v>
      </c>
      <c r="AC28" s="46">
        <f>SUM(AB$28,'Statistics NZ'!AC$28-'Statistics NZ'!AB$28,$D$12/5*(AC$8-AC$9)*1000)</f>
        <v>35396.693946075342</v>
      </c>
      <c r="AD28" s="46">
        <f>SUM(AC$28,'Statistics NZ'!AD$28-'Statistics NZ'!AC$28,$D$12/5*(AD$8-AD$9)*1000)</f>
        <v>35815.885806617283</v>
      </c>
      <c r="AE28" s="46">
        <f>SUM(AD$28,'Statistics NZ'!AE$28-'Statistics NZ'!AD$28,$D$12/5*(AE$8-AE$9)*1000)</f>
        <v>36433.239295050837</v>
      </c>
      <c r="AF28" s="46">
        <f>SUM(AE$28,'Statistics NZ'!AF$28-'Statistics NZ'!AE$28,$D$12/5*(AF$8-AF$9)*1000)</f>
        <v>35398.754411376001</v>
      </c>
      <c r="AG28" s="46">
        <f>SUM(AF$28,'Statistics NZ'!AG$28-'Statistics NZ'!AF$28,$D$12/5*(AG$8-AG$9)*1000)</f>
        <v>35462.431155592778</v>
      </c>
      <c r="AH28" s="46">
        <f>SUM(AG$28,'Statistics NZ'!AH$28-'Statistics NZ'!AG$28,$D$12/5*(AH$8-AH$9)*1000)</f>
        <v>35494.269527701166</v>
      </c>
      <c r="AI28" s="46">
        <f>SUM(AH$28,'Statistics NZ'!AI$28-'Statistics NZ'!AH$28,$D$12/5*(AI$8-AI$9)*1000)</f>
        <v>35494.269527701166</v>
      </c>
    </row>
    <row r="29" spans="1:35" x14ac:dyDescent="0.25">
      <c r="A29" s="11">
        <v>14</v>
      </c>
      <c r="B29" s="44">
        <f>'Statistics NZ'!B$29*('Economic Forecasts'!D$10-'Economic Forecasts'!D$9)*1000000/SUM('Statistics NZ'!B$15:B$29,'Statistics NZ'!B$115:B$129)</f>
        <v>32824.270806362649</v>
      </c>
      <c r="C29" s="44">
        <f>'Statistics NZ'!C$29*('Economic Forecasts'!E$10-'Economic Forecasts'!E$9)*1000000/SUM('Statistics NZ'!C$15:C$29,'Statistics NZ'!C$115:C$129)</f>
        <v>32441.077078424772</v>
      </c>
      <c r="D29" s="44">
        <f>'Statistics NZ'!D$29*('Economic Forecasts'!F$10-'Economic Forecasts'!F$9)*1000000/SUM('Statistics NZ'!D$15:D$29,'Statistics NZ'!D$115:D$129)</f>
        <v>31750.480731650125</v>
      </c>
      <c r="E29" s="44">
        <f>'Statistics NZ'!E$29*('Economic Forecasts'!G$10-'Economic Forecasts'!G$9)*1000000/SUM('Statistics NZ'!E$15:E$29,'Statistics NZ'!E$115:E$129)</f>
        <v>31828.55319810022</v>
      </c>
      <c r="F29" s="44">
        <f>'Statistics NZ'!F$29*('Economic Forecasts'!H$10-'Economic Forecasts'!H$9)*1000000/SUM('Statistics NZ'!F$15:F$29,'Statistics NZ'!F$115:F$129)</f>
        <v>31526.894531680136</v>
      </c>
      <c r="G29" s="44">
        <f>'Statistics NZ'!G$29*('Economic Forecasts'!I$10-'Economic Forecasts'!I$9)*1000000/SUM('Statistics NZ'!G$15:G$29,'Statistics NZ'!G$115:G$129)</f>
        <v>31539.697598576935</v>
      </c>
      <c r="H29" s="44">
        <f>'Statistics NZ'!H$29*('Economic Forecasts'!J$10-'Economic Forecasts'!J$9)*1000000/SUM('Statistics NZ'!H$15:H$29,'Statistics NZ'!H$115:H$129)</f>
        <v>31485.310119695339</v>
      </c>
      <c r="I29" s="44">
        <f>'Statistics NZ'!I$29*('Economic Forecasts'!K$10-'Economic Forecasts'!K$9)*1000000/SUM('Statistics NZ'!I$15:I$29,'Statistics NZ'!I$115:I$129)</f>
        <v>30825.603274683912</v>
      </c>
      <c r="J29" s="44">
        <f>'Statistics NZ'!J$29*('Economic Forecasts'!L$10-'Economic Forecasts'!L$9)*1000000/SUM('Statistics NZ'!J$15:J$29,'Statistics NZ'!J$115:J$129)</f>
        <v>32045.482664443731</v>
      </c>
      <c r="K29" s="44">
        <f>'Statistics NZ'!K$29*('Economic Forecasts'!M$10-'Economic Forecasts'!M$9)*1000000/SUM('Statistics NZ'!K$15:K$29,'Statistics NZ'!K$115:K$129)</f>
        <v>32028.100201932004</v>
      </c>
      <c r="L29" s="44">
        <f>'Statistics NZ'!L$29*('Economic Forecasts'!N$10-'Economic Forecasts'!N$9)*1000000/SUM('Statistics NZ'!L$15:L$29,'Statistics NZ'!L$115:L$129)</f>
        <v>31185.784430360589</v>
      </c>
      <c r="M29" s="44">
        <f>'Statistics NZ'!M$29*('Economic Forecasts'!O$10-'Economic Forecasts'!O$9)*1000000/SUM('Statistics NZ'!M$15:M$29,'Statistics NZ'!M$115:M$129)</f>
        <v>30823.020185092282</v>
      </c>
      <c r="N29" s="44">
        <f>'Statistics NZ'!N$29*('Economic Forecasts'!P$10-'Economic Forecasts'!P$9)*1000000/SUM('Statistics NZ'!N$15:N$29,'Statistics NZ'!N$115:N$129)</f>
        <v>31479.735226684432</v>
      </c>
      <c r="O29" s="44">
        <f>'Statistics NZ'!O$29*('Economic Forecasts'!Q$10-'Economic Forecasts'!Q$9)*1000000/SUM('Statistics NZ'!O$15:O$29,'Statistics NZ'!O$115:O$129)</f>
        <v>31466.870639428445</v>
      </c>
      <c r="P29" s="44">
        <f>'Statistics NZ'!P$29*('Economic Forecasts'!R$10-'Economic Forecasts'!R$9)*1000000/SUM('Statistics NZ'!P$15:P$29,'Statistics NZ'!P$115:P$129)</f>
        <v>32544.840752467888</v>
      </c>
      <c r="Q29" s="44">
        <f>'Statistics NZ'!Q$29*('Economic Forecasts'!S$10-'Economic Forecasts'!S$9)*1000000/SUM('Statistics NZ'!Q$15:Q$29,'Statistics NZ'!Q$115:Q$129)</f>
        <v>33638.160178527134</v>
      </c>
      <c r="R29" s="44">
        <f>'Statistics NZ'!R$29*('Economic Forecasts'!T$10-'Economic Forecasts'!T$9)*1000000/SUM('Statistics NZ'!R$15:R$29,'Statistics NZ'!R$115:R$129)</f>
        <v>34705.352147696882</v>
      </c>
      <c r="S29" s="45">
        <f>SUM('Statistics NZ'!S$29,$D$12/5*(S$8-S$9)*1000)*('Economic Forecasts'!U$10-'Economic Forecasts'!U$9)*1000000/SUM('Statistics NZ'!S$15:S$29,'Statistics NZ'!S$115:S$129,SUM($B$12:$D$13)*(S$8-S$9)*1000)</f>
        <v>35175.652567780664</v>
      </c>
      <c r="T29" s="45">
        <f>SUM('Statistics NZ'!T$29,$D$12/5*(T$8-T$9)*1000)*('Economic Forecasts'!V$10-'Economic Forecasts'!V$9)*1000000/SUM('Statistics NZ'!T$15:T$29,'Statistics NZ'!T$115:T$129,SUM($B$12:$D$13)*(T$8-T$9)*1000)</f>
        <v>36666.481284140369</v>
      </c>
      <c r="U29" s="45">
        <f>SUM('Statistics NZ'!U$29,$D$12/5*(U$8-U$9)*1000)*('Economic Forecasts'!W$10-'Economic Forecasts'!W$9)*1000000/SUM('Statistics NZ'!U$15:U$29,'Statistics NZ'!U$115:U$129,SUM($B$12:$D$13)*(U$8-U$9)*1000)</f>
        <v>36528.431881946817</v>
      </c>
      <c r="V29" s="45">
        <f>SUM('Statistics NZ'!V$29,$D$12/5*(V$8-V$9)*1000)*('Economic Forecasts'!X$10-'Economic Forecasts'!X$9)*1000000/SUM('Statistics NZ'!V$15:V$29,'Statistics NZ'!V$115:V$129,SUM($B$12:$D$13)*(V$8-V$9)*1000)</f>
        <v>36751.574954382442</v>
      </c>
      <c r="W29" s="45">
        <f>SUM('Statistics NZ'!W$29,$D$12/5*(W$8-W$9)*1000)*('Economic Forecasts'!Y$10-'Economic Forecasts'!Y$9)*1000000/SUM('Statistics NZ'!W$15:W$29,'Statistics NZ'!W$115:W$129,SUM($B$12:$D$13)*(W$8-W$9)*1000)</f>
        <v>37063.863760080603</v>
      </c>
      <c r="X29" s="45">
        <f>SUM('Statistics NZ'!X$29,$D$12/5*(X$8-X$9)*1000)*('Economic Forecasts'!Z$10-'Economic Forecasts'!Z$9)*1000000/SUM('Statistics NZ'!X$15:X$29,'Statistics NZ'!X$115:X$129,SUM($B$12:$D$13)*(X$8-X$9)*1000)</f>
        <v>36144.822087248409</v>
      </c>
      <c r="Y29" s="45">
        <f>SUM('Statistics NZ'!Y$29,$D$12/5*(Y$8-Y$9)*1000)*('Economic Forecasts'!AA$10-'Economic Forecasts'!AA$9)*1000000/SUM('Statistics NZ'!Y$15:Y$29,'Statistics NZ'!Y$115:Y$129,SUM($B$12:$D$13)*(Y$8-Y$9)*1000)</f>
        <v>36509.873380978803</v>
      </c>
      <c r="Z29" s="46">
        <f>SUM(Y$29,'Statistics NZ'!Z$29-'Statistics NZ'!Y$29,$D$12/5*(Z$8-Z$9)*1000)</f>
        <v>36256.41872995429</v>
      </c>
      <c r="AA29" s="46">
        <f>SUM(Z$29,'Statistics NZ'!AA$29-'Statistics NZ'!Z$29,$D$12/5*(AA$8-AA$9)*1000)</f>
        <v>36631.125706821389</v>
      </c>
      <c r="AB29" s="46">
        <f>SUM(AA$29,'Statistics NZ'!AB$29-'Statistics NZ'!AA$29,$D$12/5*(AB$8-AB$9)*1000)</f>
        <v>35913.9943115801</v>
      </c>
      <c r="AC29" s="46">
        <f>SUM(AB$29,'Statistics NZ'!AC$29-'Statistics NZ'!AB$29,$D$12/5*(AC$8-AC$9)*1000)</f>
        <v>35625.024544230429</v>
      </c>
      <c r="AD29" s="46">
        <f>SUM(AC$29,'Statistics NZ'!AD$29-'Statistics NZ'!AC$29,$D$12/5*(AD$8-AD$9)*1000)</f>
        <v>35724.216404772371</v>
      </c>
      <c r="AE29" s="46">
        <f>SUM(AD$29,'Statistics NZ'!AE$29-'Statistics NZ'!AD$29,$D$12/5*(AE$8-AE$9)*1000)</f>
        <v>36131.569893205924</v>
      </c>
      <c r="AF29" s="46">
        <f>SUM(AE$29,'Statistics NZ'!AF$29-'Statistics NZ'!AE$29,$D$12/5*(AF$8-AF$9)*1000)</f>
        <v>36747.085009531089</v>
      </c>
      <c r="AG29" s="46">
        <f>SUM(AF$29,'Statistics NZ'!AG$29-'Statistics NZ'!AF$29,$D$12/5*(AG$8-AG$9)*1000)</f>
        <v>35690.761753747865</v>
      </c>
      <c r="AH29" s="46">
        <f>SUM(AG$29,'Statistics NZ'!AH$29-'Statistics NZ'!AG$29,$D$12/5*(AH$8-AH$9)*1000)</f>
        <v>35742.600125856254</v>
      </c>
      <c r="AI29" s="46">
        <f>SUM(AH$29,'Statistics NZ'!AI$29-'Statistics NZ'!AH$29,$D$12/5*(AI$8-AI$9)*1000)</f>
        <v>35762.600125856254</v>
      </c>
    </row>
    <row r="30" spans="1:35" x14ac:dyDescent="0.25">
      <c r="A30" s="11">
        <v>15</v>
      </c>
      <c r="B30" s="44">
        <f>'Statistics NZ'!B$30*'Economic Forecasts'!D$9*1000000/SUM('Statistics NZ'!B$30:B$110,'Statistics NZ'!B$130:B$210)</f>
        <v>31337.962637122608</v>
      </c>
      <c r="C30" s="44">
        <f>'Statistics NZ'!C$30*'Economic Forecasts'!E$9*1000000/SUM('Statistics NZ'!C$30:C$110,'Statistics NZ'!C$130:C$210)</f>
        <v>30540.443382864822</v>
      </c>
      <c r="D30" s="44">
        <f>'Statistics NZ'!D$30*'Economic Forecasts'!F$9*1000000/SUM('Statistics NZ'!D$30:D$110,'Statistics NZ'!D$130:D$210)</f>
        <v>30322.748079804056</v>
      </c>
      <c r="E30" s="44">
        <f>'Statistics NZ'!E$30*'Economic Forecasts'!G$9*1000000/SUM('Statistics NZ'!E$30:E$110,'Statistics NZ'!E$130:E$210)</f>
        <v>29646.630250717346</v>
      </c>
      <c r="F30" s="44">
        <f>'Statistics NZ'!F$30*'Economic Forecasts'!H$9*1000000/SUM('Statistics NZ'!F$30:F$110,'Statistics NZ'!F$130:F$210)</f>
        <v>29828.656125908132</v>
      </c>
      <c r="G30" s="44">
        <f>'Statistics NZ'!G$30*'Economic Forecasts'!I$9*1000000/SUM('Statistics NZ'!G$30:G$110,'Statistics NZ'!G$130:G$210)</f>
        <v>29408.481944916304</v>
      </c>
      <c r="H30" s="44">
        <f>'Statistics NZ'!H$30*'Economic Forecasts'!J$9*1000000/SUM('Statistics NZ'!H$30:H$110,'Statistics NZ'!H$130:H$210)</f>
        <v>29495.061703690782</v>
      </c>
      <c r="I30" s="44">
        <f>'Statistics NZ'!I$30*'Economic Forecasts'!K$9*1000000/SUM('Statistics NZ'!I$30:I$110,'Statistics NZ'!I$130:I$210)</f>
        <v>29342.041032346438</v>
      </c>
      <c r="J30" s="44">
        <f>'Statistics NZ'!J$30*'Economic Forecasts'!L$9*1000000/SUM('Statistics NZ'!J$30:J$110,'Statistics NZ'!J$130:J$210)</f>
        <v>28582.766856971659</v>
      </c>
      <c r="K30" s="44">
        <f>'Statistics NZ'!K$30*'Economic Forecasts'!M$9*1000000/SUM('Statistics NZ'!K$30:K$110,'Statistics NZ'!K$130:K$210)</f>
        <v>29588.370581768759</v>
      </c>
      <c r="L30" s="44">
        <f>'Statistics NZ'!L$30*'Economic Forecasts'!N$9*1000000/SUM('Statistics NZ'!L$30:L$110,'Statistics NZ'!L$130:L$210)</f>
        <v>29686.939208499251</v>
      </c>
      <c r="M30" s="44">
        <f>'Statistics NZ'!M$30*'Economic Forecasts'!O$9*1000000/SUM('Statistics NZ'!M$30:M$110,'Statistics NZ'!M$130:M$210)</f>
        <v>29162.177917987581</v>
      </c>
      <c r="N30" s="44">
        <f>'Statistics NZ'!N$30*'Economic Forecasts'!P$9*1000000/SUM('Statistics NZ'!N$30:N$110,'Statistics NZ'!N$130:N$210)</f>
        <v>28982.975311951523</v>
      </c>
      <c r="O30" s="44">
        <f>'Statistics NZ'!O$30*'Economic Forecasts'!Q$9*1000000/SUM('Statistics NZ'!O$30:O$110,'Statistics NZ'!O$130:O$210)</f>
        <v>29635.109217629924</v>
      </c>
      <c r="P30" s="44">
        <f>'Statistics NZ'!P$30*'Economic Forecasts'!R$9*1000000/SUM('Statistics NZ'!P$30:P$110,'Statistics NZ'!P$130:P$210)</f>
        <v>29754.766743133729</v>
      </c>
      <c r="Q30" s="44">
        <f>'Statistics NZ'!Q$30*'Economic Forecasts'!S$9*1000000/SUM('Statistics NZ'!Q$30:Q$110,'Statistics NZ'!Q$130:Q$210)</f>
        <v>30486.147266596992</v>
      </c>
      <c r="R30" s="44">
        <f>'Statistics NZ'!R$30*'Economic Forecasts'!T$9*1000000/SUM('Statistics NZ'!R$30:R$110,'Statistics NZ'!R$130:R$210)</f>
        <v>31662.073173661334</v>
      </c>
      <c r="S30" s="45">
        <f>SUM('Statistics NZ'!S$30,$E$12/5*(S$8-S$9)*1000)*'Economic Forecasts'!U$9*1000000/SUM('Statistics NZ'!S$30:S$110,'Statistics NZ'!S$130:S$210,SUM($E$12:$T$13)*(S$8-S$9)*1000)</f>
        <v>33387.741131635477</v>
      </c>
      <c r="T30" s="45">
        <f>SUM('Statistics NZ'!T$30,$E$12/5*(T$8-T$9)*1000)*'Economic Forecasts'!V$9*1000000/SUM('Statistics NZ'!T$30:T$110,'Statistics NZ'!T$130:T$210,SUM($E$12:$T$13)*(T$8-T$9)*1000)</f>
        <v>33412.090806092878</v>
      </c>
      <c r="U30" s="45">
        <f>SUM('Statistics NZ'!U$30,$E$12/5*(U$8-U$9)*1000)*'Economic Forecasts'!W$9*1000000/SUM('Statistics NZ'!U$30:U$110,'Statistics NZ'!U$130:U$210,SUM($E$12:$T$13)*(U$8-U$9)*1000)</f>
        <v>34231.273525186647</v>
      </c>
      <c r="V30" s="45">
        <f>SUM('Statistics NZ'!V$30,$E$12/5*(V$8-V$9)*1000)*'Economic Forecasts'!X$9*1000000/SUM('Statistics NZ'!V$30:V$110,'Statistics NZ'!V$130:V$210,SUM($E$12:$T$13)*(V$8-V$9)*1000)</f>
        <v>34036.416273621398</v>
      </c>
      <c r="W30" s="45">
        <f>SUM('Statistics NZ'!W$30,$E$12/5*(W$8-W$9)*1000)*'Economic Forecasts'!Y$9*1000000/SUM('Statistics NZ'!W$30:W$110,'Statistics NZ'!W$130:W$210,SUM($E$12:$T$13)*(W$8-W$9)*1000)</f>
        <v>33969.521000070468</v>
      </c>
      <c r="X30" s="45">
        <f>SUM('Statistics NZ'!X$30,$E$12/5*(X$8-X$9)*1000)*'Economic Forecasts'!Z$9*1000000/SUM('Statistics NZ'!X$30:X$110,'Statistics NZ'!X$130:X$210,SUM($E$12:$T$13)*(X$8-X$9)*1000)</f>
        <v>33929.249703235335</v>
      </c>
      <c r="Y30" s="45">
        <f>SUM('Statistics NZ'!Y$30,$E$12/5*(Y$8-Y$9)*1000)*'Economic Forecasts'!AA$9*1000000/SUM('Statistics NZ'!Y$30:Y$110,'Statistics NZ'!Y$130:Y$210,SUM($E$12:$T$13)*(Y$8-Y$9)*1000)</f>
        <v>32815.501373144114</v>
      </c>
      <c r="Z30" s="46">
        <f>SUM(Y$30,'Statistics NZ'!Z$30-'Statistics NZ'!Y$30,$E$12/5*(Z$8-Z$9)*1000)</f>
        <v>32986.459907664568</v>
      </c>
      <c r="AA30" s="46">
        <f>SUM(Z$30,'Statistics NZ'!AA$30-'Statistics NZ'!Z$30,$E$12/5*(AA$8-AA$9)*1000)</f>
        <v>32760.645271682748</v>
      </c>
      <c r="AB30" s="46">
        <f>SUM(AA$30,'Statistics NZ'!AB$30-'Statistics NZ'!AA$30,$E$12/5*(AB$8-AB$9)*1000)</f>
        <v>33158.057465198654</v>
      </c>
      <c r="AC30" s="46">
        <f>SUM(AB$30,'Statistics NZ'!AC$30-'Statistics NZ'!AB$30,$E$12/5*(AC$8-AC$9)*1000)</f>
        <v>32458.696488212288</v>
      </c>
      <c r="AD30" s="46">
        <f>SUM(AC$30,'Statistics NZ'!AD$30-'Statistics NZ'!AC$30,$E$12/5*(AD$8-AD$9)*1000)</f>
        <v>32182.562340723653</v>
      </c>
      <c r="AE30" s="46">
        <f>SUM(AD$30,'Statistics NZ'!AE$30-'Statistics NZ'!AD$30,$E$12/5*(AE$8-AE$9)*1000)</f>
        <v>32289.655022732743</v>
      </c>
      <c r="AF30" s="46">
        <f>SUM(AE$30,'Statistics NZ'!AF$30-'Statistics NZ'!AE$30,$E$12/5*(AF$8-AF$9)*1000)</f>
        <v>32699.974534239562</v>
      </c>
      <c r="AG30" s="46">
        <f>SUM(AF$30,'Statistics NZ'!AG$30-'Statistics NZ'!AF$30,$E$12/5*(AG$8-AG$9)*1000)</f>
        <v>33303.52087524411</v>
      </c>
      <c r="AH30" s="46">
        <f>SUM(AG$30,'Statistics NZ'!AH$30-'Statistics NZ'!AG$30,$E$12/5*(AH$8-AH$9)*1000)</f>
        <v>32250.294045746385</v>
      </c>
      <c r="AI30" s="46">
        <f>SUM(AH$30,'Statistics NZ'!AI$30-'Statistics NZ'!AH$30,$E$12/5*(AI$8-AI$9)*1000)</f>
        <v>32290.294045746385</v>
      </c>
    </row>
    <row r="31" spans="1:35" x14ac:dyDescent="0.25">
      <c r="A31" s="11">
        <v>16</v>
      </c>
      <c r="B31" s="44">
        <f>'Statistics NZ'!B$31*'Economic Forecasts'!D$9*1000000/SUM('Statistics NZ'!B$30:B$110,'Statistics NZ'!B$130:B$210)</f>
        <v>31298.826873604503</v>
      </c>
      <c r="C31" s="44">
        <f>'Statistics NZ'!C$31*'Economic Forecasts'!E$9*1000000/SUM('Statistics NZ'!C$30:C$110,'Statistics NZ'!C$130:C$210)</f>
        <v>31591.1917564875</v>
      </c>
      <c r="D31" s="44">
        <f>'Statistics NZ'!D$31*'Economic Forecasts'!F$9*1000000/SUM('Statistics NZ'!D$30:D$110,'Statistics NZ'!D$130:D$210)</f>
        <v>30597.784343566451</v>
      </c>
      <c r="E31" s="44">
        <f>'Statistics NZ'!E$31*'Economic Forecasts'!G$9*1000000/SUM('Statistics NZ'!E$30:E$110,'Statistics NZ'!E$130:E$210)</f>
        <v>30480.227197892658</v>
      </c>
      <c r="F31" s="44">
        <f>'Statistics NZ'!F$31*'Economic Forecasts'!H$9*1000000/SUM('Statistics NZ'!F$30:F$110,'Statistics NZ'!F$130:F$210)</f>
        <v>29965.979764764663</v>
      </c>
      <c r="G31" s="44">
        <f>'Statistics NZ'!G$31*'Economic Forecasts'!I$9*1000000/SUM('Statistics NZ'!G$30:G$110,'Statistics NZ'!G$130:G$210)</f>
        <v>30184.457253416098</v>
      </c>
      <c r="H31" s="44">
        <f>'Statistics NZ'!H$31*'Economic Forecasts'!J$9*1000000/SUM('Statistics NZ'!H$30:H$110,'Statistics NZ'!H$130:H$210)</f>
        <v>29632.613623694673</v>
      </c>
      <c r="I31" s="44">
        <f>'Statistics NZ'!I$31*'Economic Forecasts'!K$9*1000000/SUM('Statistics NZ'!I$30:I$110,'Statistics NZ'!I$130:I$210)</f>
        <v>29753.790355219327</v>
      </c>
      <c r="J31" s="44">
        <f>'Statistics NZ'!J$31*'Economic Forecasts'!L$9*1000000/SUM('Statistics NZ'!J$30:J$110,'Statistics NZ'!J$130:J$210)</f>
        <v>29479.940023413619</v>
      </c>
      <c r="K31" s="44">
        <f>'Statistics NZ'!K$31*'Economic Forecasts'!M$9*1000000/SUM('Statistics NZ'!K$30:K$110,'Statistics NZ'!K$130:K$210)</f>
        <v>29013.933640562977</v>
      </c>
      <c r="L31" s="44">
        <f>'Statistics NZ'!L$31*'Economic Forecasts'!N$9*1000000/SUM('Statistics NZ'!L$30:L$110,'Statistics NZ'!L$130:L$210)</f>
        <v>30125.086884584023</v>
      </c>
      <c r="M31" s="44">
        <f>'Statistics NZ'!M$31*'Economic Forecasts'!O$9*1000000/SUM('Statistics NZ'!M$30:M$110,'Statistics NZ'!M$130:M$210)</f>
        <v>30393.144222063442</v>
      </c>
      <c r="N31" s="44">
        <f>'Statistics NZ'!N$31*'Economic Forecasts'!P$9*1000000/SUM('Statistics NZ'!N$30:N$110,'Statistics NZ'!N$130:N$210)</f>
        <v>29785.339922208117</v>
      </c>
      <c r="O31" s="44">
        <f>'Statistics NZ'!O$31*'Economic Forecasts'!Q$9*1000000/SUM('Statistics NZ'!O$30:O$110,'Statistics NZ'!O$130:O$210)</f>
        <v>29537.012199365672</v>
      </c>
      <c r="P31" s="44">
        <f>'Statistics NZ'!P$31*'Economic Forecasts'!R$9*1000000/SUM('Statistics NZ'!P$30:P$110,'Statistics NZ'!P$130:P$210)</f>
        <v>30067.768891647953</v>
      </c>
      <c r="Q31" s="44">
        <f>'Statistics NZ'!Q$31*'Economic Forecasts'!S$9*1000000/SUM('Statistics NZ'!Q$30:Q$110,'Statistics NZ'!Q$130:Q$210)</f>
        <v>30051.89978206146</v>
      </c>
      <c r="R31" s="44">
        <f>'Statistics NZ'!R$31*'Economic Forecasts'!T$9*1000000/SUM('Statistics NZ'!R$30:R$110,'Statistics NZ'!R$130:R$210)</f>
        <v>30479.917361327989</v>
      </c>
      <c r="S31" s="45">
        <f>SUM('Statistics NZ'!S$31,$E$12/5*(S$8-S$9)*1000)*'Economic Forecasts'!U$9*1000000/SUM('Statistics NZ'!S$30:S$110,'Statistics NZ'!S$130:S$210,SUM($E$12:$T$13)*(S$8-S$9)*1000)</f>
        <v>32630.995037754568</v>
      </c>
      <c r="T31" s="45">
        <f>SUM('Statistics NZ'!T$31,$E$12/5*(T$8-T$9)*1000)*'Economic Forecasts'!V$9*1000000/SUM('Statistics NZ'!T$30:T$110,'Statistics NZ'!T$130:T$210,SUM($E$12:$T$13)*(T$8-T$9)*1000)</f>
        <v>34051.215923443437</v>
      </c>
      <c r="U31" s="45">
        <f>SUM('Statistics NZ'!U$31,$E$12/5*(U$8-U$9)*1000)*'Economic Forecasts'!W$9*1000000/SUM('Statistics NZ'!U$30:U$110,'Statistics NZ'!U$130:U$210,SUM($E$12:$T$13)*(U$8-U$9)*1000)</f>
        <v>33574.901879572317</v>
      </c>
      <c r="V31" s="45">
        <f>SUM('Statistics NZ'!V$31,$E$12/5*(V$8-V$9)*1000)*'Economic Forecasts'!X$9*1000000/SUM('Statistics NZ'!V$30:V$110,'Statistics NZ'!V$130:V$210,SUM($E$12:$T$13)*(V$8-V$9)*1000)</f>
        <v>34592.606458932198</v>
      </c>
      <c r="W31" s="45">
        <f>SUM('Statistics NZ'!W$31,$E$12/5*(W$8-W$9)*1000)*'Economic Forecasts'!Y$9*1000000/SUM('Statistics NZ'!W$30:W$110,'Statistics NZ'!W$130:W$210,SUM($E$12:$T$13)*(W$8-W$9)*1000)</f>
        <v>34465.764381332818</v>
      </c>
      <c r="X31" s="45">
        <f>SUM('Statistics NZ'!X$31,$E$12/5*(X$8-X$9)*1000)*'Economic Forecasts'!Z$9*1000000/SUM('Statistics NZ'!X$30:X$110,'Statistics NZ'!X$130:X$210,SUM($E$12:$T$13)*(X$8-X$9)*1000)</f>
        <v>34406.174418220187</v>
      </c>
      <c r="Y31" s="45">
        <f>SUM('Statistics NZ'!Y$31,$E$12/5*(Y$8-Y$9)*1000)*'Economic Forecasts'!AA$9*1000000/SUM('Statistics NZ'!Y$30:Y$110,'Statistics NZ'!Y$130:Y$210,SUM($E$12:$T$13)*(Y$8-Y$9)*1000)</f>
        <v>34382.129571827201</v>
      </c>
      <c r="Z31" s="46">
        <f>SUM(Y$31,'Statistics NZ'!Z$31-'Statistics NZ'!Y$31,$E$12/5*(Z$8-Z$9)*1000)</f>
        <v>33353.088106347655</v>
      </c>
      <c r="AA31" s="46">
        <f>SUM(Z$31,'Statistics NZ'!AA$31-'Statistics NZ'!Z$31,$E$12/5*(AA$8-AA$9)*1000)</f>
        <v>33507.273470365835</v>
      </c>
      <c r="AB31" s="46">
        <f>SUM(AA$31,'Statistics NZ'!AB$31-'Statistics NZ'!AA$31,$E$12/5*(AB$8-AB$9)*1000)</f>
        <v>33264.685663881741</v>
      </c>
      <c r="AC31" s="46">
        <f>SUM(AB$31,'Statistics NZ'!AC$31-'Statistics NZ'!AB$31,$E$12/5*(AC$8-AC$9)*1000)</f>
        <v>33645.324686895379</v>
      </c>
      <c r="AD31" s="46">
        <f>SUM(AC$31,'Statistics NZ'!AD$31-'Statistics NZ'!AC$31,$E$12/5*(AD$8-AD$9)*1000)</f>
        <v>32929.190539406743</v>
      </c>
      <c r="AE31" s="46">
        <f>SUM(AD$31,'Statistics NZ'!AE$31-'Statistics NZ'!AD$31,$E$12/5*(AE$8-AE$9)*1000)</f>
        <v>32636.283221415833</v>
      </c>
      <c r="AF31" s="46">
        <f>SUM(AE$31,'Statistics NZ'!AF$31-'Statistics NZ'!AE$31,$E$12/5*(AF$8-AF$9)*1000)</f>
        <v>32726.602732922653</v>
      </c>
      <c r="AG31" s="46">
        <f>SUM(AF$31,'Statistics NZ'!AG$31-'Statistics NZ'!AF$31,$E$12/5*(AG$8-AG$9)*1000)</f>
        <v>33120.149073927198</v>
      </c>
      <c r="AH31" s="46">
        <f>SUM(AG$31,'Statistics NZ'!AH$31-'Statistics NZ'!AG$31,$E$12/5*(AH$8-AH$9)*1000)</f>
        <v>33706.922244429472</v>
      </c>
      <c r="AI31" s="46">
        <f>SUM(AH$31,'Statistics NZ'!AI$31-'Statistics NZ'!AH$31,$E$12/5*(AI$8-AI$9)*1000)</f>
        <v>32636.922244429472</v>
      </c>
    </row>
    <row r="32" spans="1:35" x14ac:dyDescent="0.25">
      <c r="A32" s="11">
        <v>17</v>
      </c>
      <c r="B32" s="44">
        <f>'Statistics NZ'!B$32*'Economic Forecasts'!D$9*1000000/SUM('Statistics NZ'!B$30:B$110,'Statistics NZ'!B$130:B$210)</f>
        <v>30212.809435977084</v>
      </c>
      <c r="C32" s="44">
        <f>'Statistics NZ'!C$32*'Economic Forecasts'!E$9*1000000/SUM('Statistics NZ'!C$30:C$110,'Statistics NZ'!C$130:C$210)</f>
        <v>31502.811052164099</v>
      </c>
      <c r="D32" s="44">
        <f>'Statistics NZ'!D$32*'Economic Forecasts'!F$9*1000000/SUM('Statistics NZ'!D$30:D$110,'Statistics NZ'!D$130:D$210)</f>
        <v>31756.86574085083</v>
      </c>
      <c r="E32" s="44">
        <f>'Statistics NZ'!E$32*'Economic Forecasts'!G$9*1000000/SUM('Statistics NZ'!E$30:E$110,'Statistics NZ'!E$130:E$210)</f>
        <v>30823.472999670728</v>
      </c>
      <c r="F32" s="44">
        <f>'Statistics NZ'!F$32*'Economic Forecasts'!H$9*1000000/SUM('Statistics NZ'!F$30:F$110,'Statistics NZ'!F$130:F$210)</f>
        <v>30819.348091944539</v>
      </c>
      <c r="G32" s="44">
        <f>'Statistics NZ'!G$32*'Economic Forecasts'!I$9*1000000/SUM('Statistics NZ'!G$30:G$110,'Statistics NZ'!G$130:G$210)</f>
        <v>30282.681976011008</v>
      </c>
      <c r="H32" s="44">
        <f>'Statistics NZ'!H$32*'Economic Forecasts'!J$9*1000000/SUM('Statistics NZ'!H$30:H$110,'Statistics NZ'!H$130:H$210)</f>
        <v>30349.848635143517</v>
      </c>
      <c r="I32" s="44">
        <f>'Statistics NZ'!I$32*'Economic Forecasts'!K$9*1000000/SUM('Statistics NZ'!I$30:I$110,'Statistics NZ'!I$130:I$210)</f>
        <v>29842.022352977809</v>
      </c>
      <c r="J32" s="44">
        <f>'Statistics NZ'!J$32*'Economic Forecasts'!L$9*1000000/SUM('Statistics NZ'!J$30:J$110,'Statistics NZ'!J$130:J$210)</f>
        <v>29918.774724390667</v>
      </c>
      <c r="K32" s="44">
        <f>'Statistics NZ'!K$32*'Economic Forecasts'!M$9*1000000/SUM('Statistics NZ'!K$30:K$110,'Statistics NZ'!K$130:K$210)</f>
        <v>29870.720942700409</v>
      </c>
      <c r="L32" s="44">
        <f>'Statistics NZ'!L$32*'Economic Forecasts'!N$9*1000000/SUM('Statistics NZ'!L$30:L$110,'Statistics NZ'!L$130:L$210)</f>
        <v>29540.889983137658</v>
      </c>
      <c r="M32" s="44">
        <f>'Statistics NZ'!M$32*'Economic Forecasts'!O$9*1000000/SUM('Statistics NZ'!M$30:M$110,'Statistics NZ'!M$130:M$210)</f>
        <v>30735.079306528951</v>
      </c>
      <c r="N32" s="44">
        <f>'Statistics NZ'!N$32*'Economic Forecasts'!P$9*1000000/SUM('Statistics NZ'!N$30:N$110,'Statistics NZ'!N$130:N$210)</f>
        <v>30851.897757793096</v>
      </c>
      <c r="O32" s="44">
        <f>'Statistics NZ'!O$32*'Economic Forecasts'!Q$9*1000000/SUM('Statistics NZ'!O$30:O$110,'Statistics NZ'!O$130:O$210)</f>
        <v>30253.120432694697</v>
      </c>
      <c r="P32" s="44">
        <f>'Statistics NZ'!P$32*'Economic Forecasts'!R$9*1000000/SUM('Statistics NZ'!P$30:P$110,'Statistics NZ'!P$130:P$210)</f>
        <v>29803.673328839075</v>
      </c>
      <c r="Q32" s="44">
        <f>'Statistics NZ'!Q$32*'Economic Forecasts'!S$9*1000000/SUM('Statistics NZ'!Q$30:Q$110,'Statistics NZ'!Q$130:Q$210)</f>
        <v>30288.762046353571</v>
      </c>
      <c r="R32" s="44">
        <f>'Statistics NZ'!R$32*'Economic Forecasts'!T$9*1000000/SUM('Statistics NZ'!R$30:R$110,'Statistics NZ'!R$130:R$210)</f>
        <v>30036.60893170298</v>
      </c>
      <c r="S32" s="45">
        <f>SUM('Statistics NZ'!S$32,$E$12/5*(S$8-S$9)*1000)*'Economic Forecasts'!U$9*1000000/SUM('Statistics NZ'!S$30:S$110,'Statistics NZ'!S$130:S$210,SUM($E$12:$T$13)*(S$8-S$9)*1000)</f>
        <v>31389.155293949982</v>
      </c>
      <c r="T32" s="45">
        <f>SUM('Statistics NZ'!T$32,$E$12/5*(T$8-T$9)*1000)*'Economic Forecasts'!V$9*1000000/SUM('Statistics NZ'!T$30:T$110,'Statistics NZ'!T$130:T$210,SUM($E$12:$T$13)*(T$8-T$9)*1000)</f>
        <v>33192.391547003623</v>
      </c>
      <c r="U32" s="45">
        <f>SUM('Statistics NZ'!U$32,$E$12/5*(U$8-U$9)*1000)*'Economic Forecasts'!W$9*1000000/SUM('Statistics NZ'!U$30:U$110,'Statistics NZ'!U$130:U$210,SUM($E$12:$T$13)*(U$8-U$9)*1000)</f>
        <v>34140.391297332353</v>
      </c>
      <c r="V32" s="45">
        <f>SUM('Statistics NZ'!V$32,$E$12/5*(V$8-V$9)*1000)*'Economic Forecasts'!X$9*1000000/SUM('Statistics NZ'!V$30:V$110,'Statistics NZ'!V$130:V$210,SUM($E$12:$T$13)*(V$8-V$9)*1000)</f>
        <v>33874.615492440091</v>
      </c>
      <c r="W32" s="45">
        <f>SUM('Statistics NZ'!W$32,$E$12/5*(W$8-W$9)*1000)*'Economic Forecasts'!Y$9*1000000/SUM('Statistics NZ'!W$30:W$110,'Statistics NZ'!W$130:W$210,SUM($E$12:$T$13)*(W$8-W$9)*1000)</f>
        <v>34951.880346651044</v>
      </c>
      <c r="X32" s="45">
        <f>SUM('Statistics NZ'!X$32,$E$12/5*(X$8-X$9)*1000)*'Economic Forecasts'!Z$9*1000000/SUM('Statistics NZ'!X$30:X$110,'Statistics NZ'!X$130:X$210,SUM($E$12:$T$13)*(X$8-X$9)*1000)</f>
        <v>34822.215127036761</v>
      </c>
      <c r="Y32" s="45">
        <f>SUM('Statistics NZ'!Y$32,$E$12/5*(Y$8-Y$9)*1000)*'Economic Forecasts'!AA$9*1000000/SUM('Statistics NZ'!Y$30:Y$110,'Statistics NZ'!Y$130:Y$210,SUM($E$12:$T$13)*(Y$8-Y$9)*1000)</f>
        <v>34778.873076688498</v>
      </c>
      <c r="Z32" s="46">
        <f>SUM(Y$32,'Statistics NZ'!Z$32-'Statistics NZ'!Y$32,$E$12/5*(Z$8-Z$9)*1000)</f>
        <v>34829.831611208952</v>
      </c>
      <c r="AA32" s="46">
        <f>SUM(Z$32,'Statistics NZ'!AA$32-'Statistics NZ'!Z$32,$E$12/5*(AA$8-AA$9)*1000)</f>
        <v>33784.016975227132</v>
      </c>
      <c r="AB32" s="46">
        <f>SUM(AA$32,'Statistics NZ'!AB$32-'Statistics NZ'!AA$32,$E$12/5*(AB$8-AB$9)*1000)</f>
        <v>33911.429168743038</v>
      </c>
      <c r="AC32" s="46">
        <f>SUM(AB$32,'Statistics NZ'!AC$32-'Statistics NZ'!AB$32,$E$12/5*(AC$8-AC$9)*1000)</f>
        <v>33662.068191756676</v>
      </c>
      <c r="AD32" s="46">
        <f>SUM(AC$32,'Statistics NZ'!AD$32-'Statistics NZ'!AC$32,$E$12/5*(AD$8-AD$9)*1000)</f>
        <v>34015.93404426804</v>
      </c>
      <c r="AE32" s="46">
        <f>SUM(AD$32,'Statistics NZ'!AE$32-'Statistics NZ'!AD$32,$E$12/5*(AE$8-AE$9)*1000)</f>
        <v>33293.02672627713</v>
      </c>
      <c r="AF32" s="46">
        <f>SUM(AE$32,'Statistics NZ'!AF$32-'Statistics NZ'!AE$32,$E$12/5*(AF$8-AF$9)*1000)</f>
        <v>32983.346237783946</v>
      </c>
      <c r="AG32" s="46">
        <f>SUM(AF$32,'Statistics NZ'!AG$32-'Statistics NZ'!AF$32,$E$12/5*(AG$8-AG$9)*1000)</f>
        <v>33046.892578788495</v>
      </c>
      <c r="AH32" s="46">
        <f>SUM(AG$32,'Statistics NZ'!AH$32-'Statistics NZ'!AG$32,$E$12/5*(AH$8-AH$9)*1000)</f>
        <v>33423.665749290769</v>
      </c>
      <c r="AI32" s="46">
        <f>SUM(AH$32,'Statistics NZ'!AI$32-'Statistics NZ'!AH$32,$E$12/5*(AI$8-AI$9)*1000)</f>
        <v>34003.665749290769</v>
      </c>
    </row>
    <row r="33" spans="1:35" x14ac:dyDescent="0.25">
      <c r="A33" s="11">
        <v>18</v>
      </c>
      <c r="B33" s="44">
        <f>'Statistics NZ'!B$33*'Economic Forecasts'!D$9*1000000/SUM('Statistics NZ'!B$30:B$110,'Statistics NZ'!B$130:B$210)</f>
        <v>29527.93357441025</v>
      </c>
      <c r="C33" s="44">
        <f>'Statistics NZ'!C$33*'Economic Forecasts'!E$9*1000000/SUM('Statistics NZ'!C$30:C$110,'Statistics NZ'!C$130:C$210)</f>
        <v>30019.979235182564</v>
      </c>
      <c r="D33" s="44">
        <f>'Statistics NZ'!D$33*'Economic Forecasts'!F$9*1000000/SUM('Statistics NZ'!D$30:D$110,'Statistics NZ'!D$130:D$210)</f>
        <v>31177.325042208638</v>
      </c>
      <c r="E33" s="44">
        <f>'Statistics NZ'!E$33*'Economic Forecasts'!G$9*1000000/SUM('Statistics NZ'!E$30:E$110,'Statistics NZ'!E$130:E$210)</f>
        <v>31558.999717766597</v>
      </c>
      <c r="F33" s="44">
        <f>'Statistics NZ'!F$33*'Economic Forecasts'!H$9*1000000/SUM('Statistics NZ'!F$30:F$110,'Statistics NZ'!F$130:F$210)</f>
        <v>30789.921597903856</v>
      </c>
      <c r="G33" s="44">
        <f>'Statistics NZ'!G$33*'Economic Forecasts'!I$9*1000000/SUM('Statistics NZ'!G$30:G$110,'Statistics NZ'!G$130:G$210)</f>
        <v>30695.225810909636</v>
      </c>
      <c r="H33" s="44">
        <f>'Statistics NZ'!H$33*'Economic Forecasts'!J$9*1000000/SUM('Statistics NZ'!H$30:H$110,'Statistics NZ'!H$130:H$210)</f>
        <v>30055.094520849474</v>
      </c>
      <c r="I33" s="44">
        <f>'Statistics NZ'!I$33*'Economic Forecasts'!K$9*1000000/SUM('Statistics NZ'!I$30:I$110,'Statistics NZ'!I$130:I$210)</f>
        <v>30165.539678092216</v>
      </c>
      <c r="J33" s="44">
        <f>'Statistics NZ'!J$33*'Economic Forecasts'!L$9*1000000/SUM('Statistics NZ'!J$30:J$110,'Statistics NZ'!J$130:J$210)</f>
        <v>29879.76719541493</v>
      </c>
      <c r="K33" s="44">
        <f>'Statistics NZ'!K$33*'Economic Forecasts'!M$9*1000000/SUM('Statistics NZ'!K$30:K$110,'Statistics NZ'!K$130:K$210)</f>
        <v>30133.598864947122</v>
      </c>
      <c r="L33" s="44">
        <f>'Statistics NZ'!L$33*'Economic Forecasts'!N$9*1000000/SUM('Statistics NZ'!L$30:L$110,'Statistics NZ'!L$130:L$210)</f>
        <v>30144.560114632233</v>
      </c>
      <c r="M33" s="44">
        <f>'Statistics NZ'!M$33*'Economic Forecasts'!O$9*1000000/SUM('Statistics NZ'!M$30:M$110,'Statistics NZ'!M$130:M$210)</f>
        <v>30002.361268388562</v>
      </c>
      <c r="N33" s="44">
        <f>'Statistics NZ'!N$33*'Economic Forecasts'!P$9*1000000/SUM('Statistics NZ'!N$30:N$110,'Statistics NZ'!N$130:N$210)</f>
        <v>30979.101903321582</v>
      </c>
      <c r="O33" s="44">
        <f>'Statistics NZ'!O$33*'Economic Forecasts'!Q$9*1000000/SUM('Statistics NZ'!O$30:O$110,'Statistics NZ'!O$130:O$210)</f>
        <v>31116.374193420099</v>
      </c>
      <c r="P33" s="44">
        <f>'Statistics NZ'!P$33*'Economic Forecasts'!R$9*1000000/SUM('Statistics NZ'!P$30:P$110,'Statistics NZ'!P$130:P$210)</f>
        <v>30429.677625867531</v>
      </c>
      <c r="Q33" s="44">
        <f>'Statistics NZ'!Q$33*'Economic Forecasts'!S$9*1000000/SUM('Statistics NZ'!Q$30:Q$110,'Statistics NZ'!Q$130:Q$210)</f>
        <v>29874.253083842381</v>
      </c>
      <c r="R33" s="44">
        <f>'Statistics NZ'!R$33*'Economic Forecasts'!T$9*1000000/SUM('Statistics NZ'!R$30:R$110,'Statistics NZ'!R$130:R$210)</f>
        <v>30154.82451293632</v>
      </c>
      <c r="S33" s="45">
        <f>SUM('Statistics NZ'!S$33,$E$12/5*(S$8-S$9)*1000)*'Economic Forecasts'!U$9*1000000/SUM('Statistics NZ'!S$30:S$110,'Statistics NZ'!S$130:S$210,SUM($E$12:$T$13)*(S$8-S$9)*1000)</f>
        <v>30816.744787040061</v>
      </c>
      <c r="T33" s="45">
        <f>SUM('Statistics NZ'!T$33,$E$12/5*(T$8-T$9)*1000)*'Economic Forecasts'!V$9*1000000/SUM('Statistics NZ'!T$30:T$110,'Statistics NZ'!T$130:T$210,SUM($E$12:$T$13)*(T$8-T$9)*1000)</f>
        <v>31774.332692882064</v>
      </c>
      <c r="U33" s="45">
        <f>SUM('Statistics NZ'!U$33,$E$12/5*(U$8-U$9)*1000)*'Economic Forecasts'!W$9*1000000/SUM('Statistics NZ'!U$30:U$110,'Statistics NZ'!U$130:U$210,SUM($E$12:$T$13)*(U$8-U$9)*1000)</f>
        <v>33120.490740300855</v>
      </c>
      <c r="V33" s="45">
        <f>SUM('Statistics NZ'!V$33,$E$12/5*(V$8-V$9)*1000)*'Economic Forecasts'!X$9*1000000/SUM('Statistics NZ'!V$30:V$110,'Statistics NZ'!V$130:V$210,SUM($E$12:$T$13)*(V$8-V$9)*1000)</f>
        <v>34279.117445393393</v>
      </c>
      <c r="W33" s="45">
        <f>SUM('Statistics NZ'!W$33,$E$12/5*(W$8-W$9)*1000)*'Economic Forecasts'!Y$9*1000000/SUM('Statistics NZ'!W$30:W$110,'Statistics NZ'!W$130:W$210,SUM($E$12:$T$13)*(W$8-W$9)*1000)</f>
        <v>34060.667743567632</v>
      </c>
      <c r="X33" s="45">
        <f>SUM('Statistics NZ'!X$33,$E$12/5*(X$8-X$9)*1000)*'Economic Forecasts'!Z$9*1000000/SUM('Statistics NZ'!X$30:X$110,'Statistics NZ'!X$130:X$210,SUM($E$12:$T$13)*(X$8-X$9)*1000)</f>
        <v>35146.929826600921</v>
      </c>
      <c r="Y33" s="45">
        <f>SUM('Statistics NZ'!Y$33,$E$12/5*(Y$8-Y$9)*1000)*'Economic Forecasts'!AA$9*1000000/SUM('Statistics NZ'!Y$30:Y$110,'Statistics NZ'!Y$130:Y$210,SUM($E$12:$T$13)*(Y$8-Y$9)*1000)</f>
        <v>35043.368746596032</v>
      </c>
      <c r="Z33" s="46">
        <f>SUM(Y$33,'Statistics NZ'!Z$33-'Statistics NZ'!Y$33,$E$12/5*(Z$8-Z$9)*1000)</f>
        <v>35054.327281116486</v>
      </c>
      <c r="AA33" s="46">
        <f>SUM(Z$33,'Statistics NZ'!AA$33-'Statistics NZ'!Z$33,$E$12/5*(AA$8-AA$9)*1000)</f>
        <v>35088.512645134666</v>
      </c>
      <c r="AB33" s="46">
        <f>SUM(AA$33,'Statistics NZ'!AB$33-'Statistics NZ'!AA$33,$E$12/5*(AB$8-AB$9)*1000)</f>
        <v>34025.924838650571</v>
      </c>
      <c r="AC33" s="46">
        <f>SUM(AB$33,'Statistics NZ'!AC$33-'Statistics NZ'!AB$33,$E$12/5*(AC$8-AC$9)*1000)</f>
        <v>34146.56386166421</v>
      </c>
      <c r="AD33" s="46">
        <f>SUM(AC$33,'Statistics NZ'!AD$33-'Statistics NZ'!AC$33,$E$12/5*(AD$8-AD$9)*1000)</f>
        <v>33870.429714175574</v>
      </c>
      <c r="AE33" s="46">
        <f>SUM(AD$33,'Statistics NZ'!AE$33-'Statistics NZ'!AD$33,$E$12/5*(AE$8-AE$9)*1000)</f>
        <v>34217.522396184664</v>
      </c>
      <c r="AF33" s="46">
        <f>SUM(AE$33,'Statistics NZ'!AF$33-'Statistics NZ'!AE$33,$E$12/5*(AF$8-AF$9)*1000)</f>
        <v>33467.84190769148</v>
      </c>
      <c r="AG33" s="46">
        <f>SUM(AF$33,'Statistics NZ'!AG$33-'Statistics NZ'!AF$33,$E$12/5*(AG$8-AG$9)*1000)</f>
        <v>33141.388248696028</v>
      </c>
      <c r="AH33" s="46">
        <f>SUM(AG$33,'Statistics NZ'!AH$33-'Statistics NZ'!AG$33,$E$12/5*(AH$8-AH$9)*1000)</f>
        <v>33198.161419198303</v>
      </c>
      <c r="AI33" s="46">
        <f>SUM(AH$33,'Statistics NZ'!AI$33-'Statistics NZ'!AH$33,$E$12/5*(AI$8-AI$9)*1000)</f>
        <v>33558.161419198303</v>
      </c>
    </row>
    <row r="34" spans="1:35" x14ac:dyDescent="0.25">
      <c r="A34" s="11">
        <v>19</v>
      </c>
      <c r="B34" s="44">
        <f>'Statistics NZ'!B$34*'Economic Forecasts'!D$9*1000000/SUM('Statistics NZ'!B$30:B$110,'Statistics NZ'!B$130:B$210)</f>
        <v>28441.916136782831</v>
      </c>
      <c r="C34" s="44">
        <f>'Statistics NZ'!C$34*'Economic Forecasts'!E$9*1000000/SUM('Statistics NZ'!C$30:C$110,'Statistics NZ'!C$130:C$210)</f>
        <v>29509.33516575845</v>
      </c>
      <c r="D34" s="44">
        <f>'Statistics NZ'!D$34*'Economic Forecasts'!F$9*1000000/SUM('Statistics NZ'!D$30:D$110,'Statistics NZ'!D$130:D$210)</f>
        <v>29900.37096045466</v>
      </c>
      <c r="E34" s="44">
        <f>'Statistics NZ'!E$34*'Economic Forecasts'!G$9*1000000/SUM('Statistics NZ'!E$30:E$110,'Statistics NZ'!E$130:E$210)</f>
        <v>31186.332847264694</v>
      </c>
      <c r="F34" s="44">
        <f>'Statistics NZ'!F$34*'Economic Forecasts'!H$9*1000000/SUM('Statistics NZ'!F$30:F$110,'Statistics NZ'!F$130:F$210)</f>
        <v>31868.89304606232</v>
      </c>
      <c r="G34" s="44">
        <f>'Statistics NZ'!G$34*'Economic Forecasts'!I$9*1000000/SUM('Statistics NZ'!G$30:G$110,'Statistics NZ'!G$130:G$210)</f>
        <v>30911.32020061844</v>
      </c>
      <c r="H34" s="44">
        <f>'Statistics NZ'!H$34*'Economic Forecasts'!J$9*1000000/SUM('Statistics NZ'!H$30:H$110,'Statistics NZ'!H$130:H$210)</f>
        <v>30791.979806584586</v>
      </c>
      <c r="I34" s="44">
        <f>'Statistics NZ'!I$34*'Economic Forecasts'!K$9*1000000/SUM('Statistics NZ'!I$30:I$110,'Statistics NZ'!I$130:I$210)</f>
        <v>30234.164565237694</v>
      </c>
      <c r="J34" s="44">
        <f>'Statistics NZ'!J$34*'Economic Forecasts'!L$9*1000000/SUM('Statistics NZ'!J$30:J$110,'Statistics NZ'!J$130:J$210)</f>
        <v>30406.368836587382</v>
      </c>
      <c r="K34" s="44">
        <f>'Statistics NZ'!K$34*'Economic Forecasts'!M$9*1000000/SUM('Statistics NZ'!K$30:K$110,'Statistics NZ'!K$130:K$210)</f>
        <v>30367.268129166423</v>
      </c>
      <c r="L34" s="44">
        <f>'Statistics NZ'!L$34*'Economic Forecasts'!N$9*1000000/SUM('Statistics NZ'!L$30:L$110,'Statistics NZ'!L$130:L$210)</f>
        <v>30699.547171006277</v>
      </c>
      <c r="M34" s="44">
        <f>'Statistics NZ'!M$34*'Economic Forecasts'!O$9*1000000/SUM('Statistics NZ'!M$30:M$110,'Statistics NZ'!M$130:M$210)</f>
        <v>30666.692289635848</v>
      </c>
      <c r="N34" s="44">
        <f>'Statistics NZ'!N$34*'Economic Forecasts'!P$9*1000000/SUM('Statistics NZ'!N$30:N$110,'Statistics NZ'!N$130:N$210)</f>
        <v>30333.296241407741</v>
      </c>
      <c r="O34" s="44">
        <f>'Statistics NZ'!O$34*'Economic Forecasts'!Q$9*1000000/SUM('Statistics NZ'!O$30:O$110,'Statistics NZ'!O$130:O$210)</f>
        <v>31371.426440907147</v>
      </c>
      <c r="P34" s="44">
        <f>'Statistics NZ'!P$34*'Economic Forecasts'!R$9*1000000/SUM('Statistics NZ'!P$30:P$110,'Statistics NZ'!P$130:P$210)</f>
        <v>31309.996168563794</v>
      </c>
      <c r="Q34" s="44">
        <f>'Statistics NZ'!Q$34*'Economic Forecasts'!S$9*1000000/SUM('Statistics NZ'!Q$30:Q$110,'Statistics NZ'!Q$130:Q$210)</f>
        <v>30456.539483560482</v>
      </c>
      <c r="R34" s="44">
        <f>'Statistics NZ'!R$34*'Economic Forecasts'!T$9*1000000/SUM('Statistics NZ'!R$30:R$110,'Statistics NZ'!R$130:R$210)</f>
        <v>29750.921277055761</v>
      </c>
      <c r="S34" s="45">
        <f>SUM('Statistics NZ'!S$34,$E$12/5*(S$8-S$9)*1000)*'Economic Forecasts'!U$9*1000000/SUM('Statistics NZ'!S$30:S$110,'Statistics NZ'!S$130:S$210,SUM($E$12:$T$13)*(S$8-S$9)*1000)</f>
        <v>30962.272882017158</v>
      </c>
      <c r="T34" s="45">
        <f>SUM('Statistics NZ'!T$34,$E$12/5*(T$8-T$9)*1000)*'Economic Forecasts'!V$9*1000000/SUM('Statistics NZ'!T$30:T$110,'Statistics NZ'!T$130:T$210,SUM($E$12:$T$13)*(T$8-T$9)*1000)</f>
        <v>31225.084545158927</v>
      </c>
      <c r="U34" s="45">
        <f>SUM('Statistics NZ'!U$34,$E$12/5*(U$8-U$9)*1000)*'Economic Forecasts'!W$9*1000000/SUM('Statistics NZ'!U$30:U$110,'Statistics NZ'!U$130:U$210,SUM($E$12:$T$13)*(U$8-U$9)*1000)</f>
        <v>31747.159297169332</v>
      </c>
      <c r="V34" s="45">
        <f>SUM('Statistics NZ'!V$34,$E$12/5*(V$8-V$9)*1000)*'Economic Forecasts'!X$9*1000000/SUM('Statistics NZ'!V$30:V$110,'Statistics NZ'!V$130:V$210,SUM($E$12:$T$13)*(V$8-V$9)*1000)</f>
        <v>33328.537855953131</v>
      </c>
      <c r="W34" s="45">
        <f>SUM('Statistics NZ'!W$34,$E$12/5*(W$8-W$9)*1000)*'Economic Forecasts'!Y$9*1000000/SUM('Statistics NZ'!W$30:W$110,'Statistics NZ'!W$130:W$210,SUM($E$12:$T$13)*(W$8-W$9)*1000)</f>
        <v>34546.783708885858</v>
      </c>
      <c r="X34" s="45">
        <f>SUM('Statistics NZ'!X$34,$E$12/5*(X$8-X$9)*1000)*'Economic Forecasts'!Z$9*1000000/SUM('Statistics NZ'!X$30:X$110,'Statistics NZ'!X$130:X$210,SUM($E$12:$T$13)*(X$8-X$9)*1000)</f>
        <v>34335.143077690525</v>
      </c>
      <c r="Y34" s="45">
        <f>SUM('Statistics NZ'!Y$34,$E$12/5*(Y$8-Y$9)*1000)*'Economic Forecasts'!AA$9*1000000/SUM('Statistics NZ'!Y$30:Y$110,'Statistics NZ'!Y$130:Y$210,SUM($E$12:$T$13)*(Y$8-Y$9)*1000)</f>
        <v>35440.112251457336</v>
      </c>
      <c r="Z34" s="46">
        <f>SUM(Y$34,'Statistics NZ'!Z$34-'Statistics NZ'!Y$34,$E$12/5*(Z$8-Z$9)*1000)</f>
        <v>35401.07078597779</v>
      </c>
      <c r="AA34" s="46">
        <f>SUM(Z$34,'Statistics NZ'!AA$34-'Statistics NZ'!Z$34,$E$12/5*(AA$8-AA$9)*1000)</f>
        <v>35405.25614999597</v>
      </c>
      <c r="AB34" s="46">
        <f>SUM(AA$34,'Statistics NZ'!AB$34-'Statistics NZ'!AA$34,$E$12/5*(AB$8-AB$9)*1000)</f>
        <v>35412.668343511876</v>
      </c>
      <c r="AC34" s="46">
        <f>SUM(AB$34,'Statistics NZ'!AC$34-'Statistics NZ'!AB$34,$E$12/5*(AC$8-AC$9)*1000)</f>
        <v>34343.307366525514</v>
      </c>
      <c r="AD34" s="46">
        <f>SUM(AC$34,'Statistics NZ'!AD$34-'Statistics NZ'!AC$34,$E$12/5*(AD$8-AD$9)*1000)</f>
        <v>34437.173219036878</v>
      </c>
      <c r="AE34" s="46">
        <f>SUM(AD$34,'Statistics NZ'!AE$34-'Statistics NZ'!AD$34,$E$12/5*(AE$8-AE$9)*1000)</f>
        <v>34154.265901045968</v>
      </c>
      <c r="AF34" s="46">
        <f>SUM(AE$34,'Statistics NZ'!AF$34-'Statistics NZ'!AE$34,$E$12/5*(AF$8-AF$9)*1000)</f>
        <v>34474.585412552784</v>
      </c>
      <c r="AG34" s="46">
        <f>SUM(AF$34,'Statistics NZ'!AG$34-'Statistics NZ'!AF$34,$E$12/5*(AG$8-AG$9)*1000)</f>
        <v>33718.131753557333</v>
      </c>
      <c r="AH34" s="46">
        <f>SUM(AG$34,'Statistics NZ'!AH$34-'Statistics NZ'!AG$34,$E$12/5*(AH$8-AH$9)*1000)</f>
        <v>33374.904924059607</v>
      </c>
      <c r="AI34" s="46">
        <f>SUM(AH$34,'Statistics NZ'!AI$34-'Statistics NZ'!AH$34,$E$12/5*(AI$8-AI$9)*1000)</f>
        <v>33404.904924059607</v>
      </c>
    </row>
    <row r="35" spans="1:35" x14ac:dyDescent="0.25">
      <c r="A35" s="11">
        <v>20</v>
      </c>
      <c r="B35" s="44">
        <f>'Statistics NZ'!B$35*'Economic Forecasts'!D$9*1000000/SUM('Statistics NZ'!B$30:B$110,'Statistics NZ'!B$130:B$210)</f>
        <v>29077.872293952045</v>
      </c>
      <c r="C35" s="44">
        <f>'Statistics NZ'!C$35*'Economic Forecasts'!E$9*1000000/SUM('Statistics NZ'!C$30:C$110,'Statistics NZ'!C$130:C$210)</f>
        <v>28507.687183426555</v>
      </c>
      <c r="D35" s="44">
        <f>'Statistics NZ'!D$35*'Economic Forecasts'!F$9*1000000/SUM('Statistics NZ'!D$30:D$110,'Statistics NZ'!D$130:D$210)</f>
        <v>29536.930183340068</v>
      </c>
      <c r="E35" s="44">
        <f>'Statistics NZ'!E$35*'Economic Forecasts'!G$9*1000000/SUM('Statistics NZ'!E$30:E$110,'Statistics NZ'!E$130:E$210)</f>
        <v>29960.454983771582</v>
      </c>
      <c r="F35" s="44">
        <f>'Statistics NZ'!F$35*'Economic Forecasts'!H$9*1000000/SUM('Statistics NZ'!F$30:F$110,'Statistics NZ'!F$130:F$210)</f>
        <v>31584.436937002363</v>
      </c>
      <c r="G35" s="44">
        <f>'Statistics NZ'!G$35*'Economic Forecasts'!I$9*1000000/SUM('Statistics NZ'!G$30:G$110,'Statistics NZ'!G$130:G$210)</f>
        <v>32198.064066611765</v>
      </c>
      <c r="H35" s="44">
        <f>'Statistics NZ'!H$35*'Economic Forecasts'!J$9*1000000/SUM('Statistics NZ'!H$30:H$110,'Statistics NZ'!H$130:H$210)</f>
        <v>31027.783098019816</v>
      </c>
      <c r="I35" s="44">
        <f>'Statistics NZ'!I$35*'Economic Forecasts'!K$9*1000000/SUM('Statistics NZ'!I$30:I$110,'Statistics NZ'!I$130:I$210)</f>
        <v>30969.431213224998</v>
      </c>
      <c r="J35" s="44">
        <f>'Statistics NZ'!J$35*'Economic Forecasts'!L$9*1000000/SUM('Statistics NZ'!J$30:J$110,'Statistics NZ'!J$130:J$210)</f>
        <v>30455.128247807053</v>
      </c>
      <c r="K35" s="44">
        <f>'Statistics NZ'!K$35*'Economic Forecasts'!M$9*1000000/SUM('Statistics NZ'!K$30:K$110,'Statistics NZ'!K$130:K$210)</f>
        <v>30815.134218920077</v>
      </c>
      <c r="L35" s="44">
        <f>'Statistics NZ'!L$35*'Economic Forecasts'!N$9*1000000/SUM('Statistics NZ'!L$30:L$110,'Statistics NZ'!L$130:L$210)</f>
        <v>30962.435776657137</v>
      </c>
      <c r="M35" s="44">
        <f>'Statistics NZ'!M$35*'Economic Forecasts'!O$9*1000000/SUM('Statistics NZ'!M$30:M$110,'Statistics NZ'!M$130:M$210)</f>
        <v>31086.783964836344</v>
      </c>
      <c r="N35" s="44">
        <f>'Statistics NZ'!N$35*'Economic Forecasts'!P$9*1000000/SUM('Statistics NZ'!N$30:N$110,'Statistics NZ'!N$130:N$210)</f>
        <v>31165.015654478597</v>
      </c>
      <c r="O35" s="44">
        <f>'Statistics NZ'!O$35*'Economic Forecasts'!Q$9*1000000/SUM('Statistics NZ'!O$30:O$110,'Statistics NZ'!O$130:O$210)</f>
        <v>30625.889102098849</v>
      </c>
      <c r="P35" s="44">
        <f>'Statistics NZ'!P$35*'Economic Forecasts'!R$9*1000000/SUM('Statistics NZ'!P$30:P$110,'Statistics NZ'!P$130:P$210)</f>
        <v>31632.779634219089</v>
      </c>
      <c r="Q35" s="44">
        <f>'Statistics NZ'!Q$35*'Economic Forecasts'!S$9*1000000/SUM('Statistics NZ'!Q$30:Q$110,'Statistics NZ'!Q$130:Q$210)</f>
        <v>31315.165191619377</v>
      </c>
      <c r="R35" s="44">
        <f>'Statistics NZ'!R$35*'Economic Forecasts'!T$9*1000000/SUM('Statistics NZ'!R$30:R$110,'Statistics NZ'!R$130:R$210)</f>
        <v>30302.593989477984</v>
      </c>
      <c r="S35" s="45">
        <f>SUM('Statistics NZ'!S$35,$F$12/5*(S$8-S$9)*1000)*'Economic Forecasts'!U$9*1000000/SUM('Statistics NZ'!S$30:S$110,'Statistics NZ'!S$130:S$210,SUM($E$12:$T$13)*(S$8-S$9)*1000)</f>
        <v>29028.828946422083</v>
      </c>
      <c r="T35" s="45">
        <f>SUM('Statistics NZ'!T$35,$F$12/5*(T$8-T$9)*1000)*'Economic Forecasts'!V$9*1000000/SUM('Statistics NZ'!T$30:T$110,'Statistics NZ'!T$130:T$210,SUM($E$12:$T$13)*(T$8-T$9)*1000)</f>
        <v>30482.948799808015</v>
      </c>
      <c r="U35" s="45">
        <f>SUM('Statistics NZ'!U$35,$F$12/5*(U$8-U$9)*1000)*'Economic Forecasts'!W$9*1000000/SUM('Statistics NZ'!U$30:U$110,'Statistics NZ'!U$130:U$210,SUM($E$12:$T$13)*(U$8-U$9)*1000)</f>
        <v>30919.356320733197</v>
      </c>
      <c r="V35" s="45">
        <f>SUM('Statistics NZ'!V$35,$F$12/5*(V$8-V$9)*1000)*'Economic Forecasts'!X$9*1000000/SUM('Statistics NZ'!V$30:V$110,'Statistics NZ'!V$130:V$210,SUM($E$12:$T$13)*(V$8-V$9)*1000)</f>
        <v>31749.309167027794</v>
      </c>
      <c r="W35" s="45">
        <f>SUM('Statistics NZ'!W$35,$F$12/5*(W$8-W$9)*1000)*'Economic Forecasts'!Y$9*1000000/SUM('Statistics NZ'!W$30:W$110,'Statistics NZ'!W$130:W$210,SUM($E$12:$T$13)*(W$8-W$9)*1000)</f>
        <v>33373.464195407221</v>
      </c>
      <c r="X35" s="45">
        <f>SUM('Statistics NZ'!X$35,$F$12/5*(X$8-X$9)*1000)*'Economic Forecasts'!Z$9*1000000/SUM('Statistics NZ'!X$30:X$110,'Statistics NZ'!X$130:X$210,SUM($E$12:$T$13)*(X$8-X$9)*1000)</f>
        <v>34595.159152658562</v>
      </c>
      <c r="Y35" s="45">
        <f>SUM('Statistics NZ'!Y$35,$F$12/5*(Y$8-Y$9)*1000)*'Economic Forecasts'!AA$9*1000000/SUM('Statistics NZ'!Y$30:Y$110,'Statistics NZ'!Y$130:Y$210,SUM($E$12:$T$13)*(Y$8-Y$9)*1000)</f>
        <v>34397.328276788649</v>
      </c>
      <c r="Z35" s="46">
        <f>SUM(Y$35,'Statistics NZ'!Z$35-'Statistics NZ'!Y$35,$F$12/5*(Z$8-Z$9)*1000)</f>
        <v>35372.733144711165</v>
      </c>
      <c r="AA35" s="46">
        <f>SUM(Z$35,'Statistics NZ'!AA$35-'Statistics NZ'!Z$35,$F$12/5*(AA$8-AA$9)*1000)</f>
        <v>35160.870805086735</v>
      </c>
      <c r="AB35" s="46">
        <f>SUM(AA$35,'Statistics NZ'!AB$35-'Statistics NZ'!AA$35,$F$12/5*(AB$8-AB$9)*1000)</f>
        <v>35011.741257915361</v>
      </c>
      <c r="AC35" s="46">
        <f>SUM(AB$35,'Statistics NZ'!AC$35-'Statistics NZ'!AB$35,$F$12/5*(AC$8-AC$9)*1000)</f>
        <v>34885.34450319704</v>
      </c>
      <c r="AD35" s="46">
        <f>SUM(AC$35,'Statistics NZ'!AD$35-'Statistics NZ'!AC$35,$F$12/5*(AD$8-AD$9)*1000)</f>
        <v>33701.680540931775</v>
      </c>
      <c r="AE35" s="46">
        <f>SUM(AD$35,'Statistics NZ'!AE$35-'Statistics NZ'!AD$35,$F$12/5*(AE$8-AE$9)*1000)</f>
        <v>33700.749371119564</v>
      </c>
      <c r="AF35" s="46">
        <f>SUM(AE$35,'Statistics NZ'!AF$35-'Statistics NZ'!AE$35,$F$12/5*(AF$8-AF$9)*1000)</f>
        <v>33342.5509937604</v>
      </c>
      <c r="AG35" s="46">
        <f>SUM(AF$35,'Statistics NZ'!AG$35-'Statistics NZ'!AF$35,$F$12/5*(AG$8-AG$9)*1000)</f>
        <v>33617.085408854291</v>
      </c>
      <c r="AH35" s="46">
        <f>SUM(AG$35,'Statistics NZ'!AH$35-'Statistics NZ'!AG$35,$F$12/5*(AH$8-AH$9)*1000)</f>
        <v>32814.352616401236</v>
      </c>
      <c r="AI35" s="46">
        <f>SUM(AH$35,'Statistics NZ'!AI$35-'Statistics NZ'!AH$35,$F$12/5*(AI$8-AI$9)*1000)</f>
        <v>32454.352616401236</v>
      </c>
    </row>
    <row r="36" spans="1:35" x14ac:dyDescent="0.25">
      <c r="A36" s="11">
        <v>21</v>
      </c>
      <c r="B36" s="44">
        <f>'Statistics NZ'!B$36*'Economic Forecasts'!D$9*1000000/SUM('Statistics NZ'!B$30:B$110,'Statistics NZ'!B$130:B$210)</f>
        <v>29009.384707795361</v>
      </c>
      <c r="C36" s="44">
        <f>'Statistics NZ'!C$36*'Economic Forecasts'!E$9*1000000/SUM('Statistics NZ'!C$30:C$110,'Statistics NZ'!C$130:C$210)</f>
        <v>28831.7497659457</v>
      </c>
      <c r="D36" s="44">
        <f>'Statistics NZ'!D$36*'Economic Forecasts'!F$9*1000000/SUM('Statistics NZ'!D$30:D$110,'Statistics NZ'!D$130:D$210)</f>
        <v>28250.153377880288</v>
      </c>
      <c r="E36" s="44">
        <f>'Statistics NZ'!E$36*'Economic Forecasts'!G$9*1000000/SUM('Statistics NZ'!E$30:E$110,'Statistics NZ'!E$130:E$210)</f>
        <v>29411.261700926665</v>
      </c>
      <c r="F36" s="44">
        <f>'Statistics NZ'!F$36*'Economic Forecasts'!H$9*1000000/SUM('Statistics NZ'!F$30:F$110,'Statistics NZ'!F$130:F$210)</f>
        <v>30054.259246886719</v>
      </c>
      <c r="G36" s="44">
        <f>'Statistics NZ'!G$36*'Economic Forecasts'!I$9*1000000/SUM('Statistics NZ'!G$30:G$110,'Statistics NZ'!G$130:G$210)</f>
        <v>31539.958425225868</v>
      </c>
      <c r="H36" s="44">
        <f>'Statistics NZ'!H$36*'Economic Forecasts'!J$9*1000000/SUM('Statistics NZ'!H$30:H$110,'Statistics NZ'!H$130:H$210)</f>
        <v>31882.570029472554</v>
      </c>
      <c r="I36" s="44">
        <f>'Statistics NZ'!I$36*'Economic Forecasts'!K$9*1000000/SUM('Statistics NZ'!I$30:I$110,'Statistics NZ'!I$130:I$210)</f>
        <v>30812.57432832104</v>
      </c>
      <c r="J36" s="44">
        <f>'Statistics NZ'!J$36*'Economic Forecasts'!L$9*1000000/SUM('Statistics NZ'!J$30:J$110,'Statistics NZ'!J$130:J$210)</f>
        <v>31049.993064687056</v>
      </c>
      <c r="K36" s="44">
        <f>'Statistics NZ'!K$36*'Economic Forecasts'!M$9*1000000/SUM('Statistics NZ'!K$30:K$110,'Statistics NZ'!K$130:K$210)</f>
        <v>30737.244464180309</v>
      </c>
      <c r="L36" s="44">
        <f>'Statistics NZ'!L$36*'Economic Forecasts'!N$9*1000000/SUM('Statistics NZ'!L$30:L$110,'Statistics NZ'!L$130:L$210)</f>
        <v>31410.320067766017</v>
      </c>
      <c r="M36" s="44">
        <f>'Statistics NZ'!M$36*'Economic Forecasts'!O$9*1000000/SUM('Statistics NZ'!M$30:M$110,'Statistics NZ'!M$130:M$210)</f>
        <v>31448.258196985604</v>
      </c>
      <c r="N36" s="44">
        <f>'Statistics NZ'!N$36*'Economic Forecasts'!P$9*1000000/SUM('Statistics NZ'!N$30:N$110,'Statistics NZ'!N$130:N$210)</f>
        <v>31409.639011264142</v>
      </c>
      <c r="O36" s="44">
        <f>'Statistics NZ'!O$36*'Economic Forecasts'!Q$9*1000000/SUM('Statistics NZ'!O$30:O$110,'Statistics NZ'!O$130:O$210)</f>
        <v>31410.665248212848</v>
      </c>
      <c r="P36" s="44">
        <f>'Statistics NZ'!P$36*'Economic Forecasts'!R$9*1000000/SUM('Statistics NZ'!P$30:P$110,'Statistics NZ'!P$130:P$210)</f>
        <v>30987.212702908491</v>
      </c>
      <c r="Q36" s="44">
        <f>'Statistics NZ'!Q$36*'Economic Forecasts'!S$9*1000000/SUM('Statistics NZ'!Q$30:Q$110,'Statistics NZ'!Q$130:Q$210)</f>
        <v>31670.458588057543</v>
      </c>
      <c r="R36" s="44">
        <f>'Statistics NZ'!R$36*'Economic Forecasts'!T$9*1000000/SUM('Statistics NZ'!R$30:R$110,'Statistics NZ'!R$130:R$210)</f>
        <v>31179.359550291876</v>
      </c>
      <c r="S36" s="45">
        <f>SUM('Statistics NZ'!S$36,$F$12/5*(S$8-S$9)*1000)*'Economic Forecasts'!U$9*1000000/SUM('Statistics NZ'!S$30:S$110,'Statistics NZ'!S$130:S$210,SUM($E$12:$T$13)*(S$8-S$9)*1000)</f>
        <v>29378.09637436712</v>
      </c>
      <c r="T36" s="45">
        <f>SUM('Statistics NZ'!T$36,$F$12/5*(T$8-T$9)*1000)*'Economic Forecasts'!V$9*1000000/SUM('Statistics NZ'!T$30:T$110,'Statistics NZ'!T$130:T$210,SUM($E$12:$T$13)*(T$8-T$9)*1000)</f>
        <v>29803.878362623047</v>
      </c>
      <c r="U36" s="45">
        <f>SUM('Statistics NZ'!U$36,$F$12/5*(U$8-U$9)*1000)*'Economic Forecasts'!W$9*1000000/SUM('Statistics NZ'!U$30:U$110,'Statistics NZ'!U$130:U$210,SUM($E$12:$T$13)*(U$8-U$9)*1000)</f>
        <v>30828.474092878911</v>
      </c>
      <c r="V36" s="45">
        <f>SUM('Statistics NZ'!V$36,$F$12/5*(V$8-V$9)*1000)*'Economic Forecasts'!X$9*1000000/SUM('Statistics NZ'!V$30:V$110,'Statistics NZ'!V$130:V$210,SUM($E$12:$T$13)*(V$8-V$9)*1000)</f>
        <v>31000.980554064183</v>
      </c>
      <c r="W36" s="45">
        <f>SUM('Statistics NZ'!W$36,$F$12/5*(W$8-W$9)*1000)*'Economic Forecasts'!Y$9*1000000/SUM('Statistics NZ'!W$30:W$110,'Statistics NZ'!W$130:W$210,SUM($E$12:$T$13)*(W$8-W$9)*1000)</f>
        <v>31813.84214001126</v>
      </c>
      <c r="X36" s="45">
        <f>SUM('Statistics NZ'!X$36,$F$12/5*(X$8-X$9)*1000)*'Economic Forecasts'!Z$9*1000000/SUM('Statistics NZ'!X$30:X$110,'Statistics NZ'!X$130:X$210,SUM($E$12:$T$13)*(X$8-X$9)*1000)</f>
        <v>33458.657704184014</v>
      </c>
      <c r="Y36" s="45">
        <f>SUM('Statistics NZ'!Y$36,$F$12/5*(Y$8-Y$9)*1000)*'Economic Forecasts'!AA$9*1000000/SUM('Statistics NZ'!Y$30:Y$110,'Statistics NZ'!Y$130:Y$210,SUM($E$12:$T$13)*(Y$8-Y$9)*1000)</f>
        <v>34702.51558822042</v>
      </c>
      <c r="Z36" s="46">
        <f>SUM(Y$36,'Statistics NZ'!Z$36-'Statistics NZ'!Y$36,$F$12/5*(Z$8-Z$9)*1000)</f>
        <v>34397.920456142936</v>
      </c>
      <c r="AA36" s="46">
        <f>SUM(Z$36,'Statistics NZ'!AA$36-'Statistics NZ'!Z$36,$F$12/5*(AA$8-AA$9)*1000)</f>
        <v>35376.058116518507</v>
      </c>
      <c r="AB36" s="46">
        <f>SUM(AA$36,'Statistics NZ'!AB$36-'Statistics NZ'!AA$36,$F$12/5*(AB$8-AB$9)*1000)</f>
        <v>35166.928569347132</v>
      </c>
      <c r="AC36" s="46">
        <f>SUM(AB$36,'Statistics NZ'!AC$36-'Statistics NZ'!AB$36,$F$12/5*(AC$8-AC$9)*1000)</f>
        <v>35020.531814628812</v>
      </c>
      <c r="AD36" s="46">
        <f>SUM(AC$36,'Statistics NZ'!AD$36-'Statistics NZ'!AC$36,$F$12/5*(AD$8-AD$9)*1000)</f>
        <v>34906.867852363546</v>
      </c>
      <c r="AE36" s="46">
        <f>SUM(AD$36,'Statistics NZ'!AE$36-'Statistics NZ'!AD$36,$F$12/5*(AE$8-AE$9)*1000)</f>
        <v>33715.936682551335</v>
      </c>
      <c r="AF36" s="46">
        <f>SUM(AE$36,'Statistics NZ'!AF$36-'Statistics NZ'!AE$36,$F$12/5*(AF$8-AF$9)*1000)</f>
        <v>33717.738305192172</v>
      </c>
      <c r="AG36" s="46">
        <f>SUM(AF$36,'Statistics NZ'!AG$36-'Statistics NZ'!AF$36,$F$12/5*(AG$8-AG$9)*1000)</f>
        <v>33362.272720286062</v>
      </c>
      <c r="AH36" s="46">
        <f>SUM(AG$36,'Statistics NZ'!AH$36-'Statistics NZ'!AG$36,$F$12/5*(AH$8-AH$9)*1000)</f>
        <v>33639.539927833008</v>
      </c>
      <c r="AI36" s="46">
        <f>SUM(AH$36,'Statistics NZ'!AI$36-'Statistics NZ'!AH$36,$F$12/5*(AI$8-AI$9)*1000)</f>
        <v>32839.539927833008</v>
      </c>
    </row>
    <row r="37" spans="1:35" x14ac:dyDescent="0.25">
      <c r="A37" s="11">
        <v>22</v>
      </c>
      <c r="B37" s="44">
        <f>'Statistics NZ'!B$37*'Economic Forecasts'!D$9*1000000/SUM('Statistics NZ'!B$30:B$110,'Statistics NZ'!B$130:B$210)</f>
        <v>28608.243131734784</v>
      </c>
      <c r="C37" s="44">
        <f>'Statistics NZ'!C$37*'Economic Forecasts'!E$9*1000000/SUM('Statistics NZ'!C$30:C$110,'Statistics NZ'!C$130:C$210)</f>
        <v>28537.147418201024</v>
      </c>
      <c r="D37" s="44">
        <f>'Statistics NZ'!D$37*'Economic Forecasts'!F$9*1000000/SUM('Statistics NZ'!D$30:D$110,'Statistics NZ'!D$130:D$210)</f>
        <v>28250.153377880288</v>
      </c>
      <c r="E37" s="44">
        <f>'Statistics NZ'!E$37*'Economic Forecasts'!G$9*1000000/SUM('Statistics NZ'!E$30:E$110,'Statistics NZ'!E$130:E$210)</f>
        <v>27950.01528764288</v>
      </c>
      <c r="F37" s="44">
        <f>'Statistics NZ'!F$37*'Economic Forecasts'!H$9*1000000/SUM('Statistics NZ'!F$30:F$110,'Statistics NZ'!F$130:F$210)</f>
        <v>29259.743907788212</v>
      </c>
      <c r="G37" s="44">
        <f>'Statistics NZ'!G$37*'Economic Forecasts'!I$9*1000000/SUM('Statistics NZ'!G$30:G$110,'Statistics NZ'!G$130:G$210)</f>
        <v>29683.511168182053</v>
      </c>
      <c r="H37" s="44">
        <f>'Statistics NZ'!H$37*'Economic Forecasts'!J$9*1000000/SUM('Statistics NZ'!H$30:H$110,'Statistics NZ'!H$130:H$210)</f>
        <v>30850.930629443392</v>
      </c>
      <c r="I37" s="44">
        <f>'Statistics NZ'!I$37*'Economic Forecasts'!K$9*1000000/SUM('Statistics NZ'!I$30:I$110,'Statistics NZ'!I$130:I$210)</f>
        <v>31440.001867936862</v>
      </c>
      <c r="J37" s="44">
        <f>'Statistics NZ'!J$37*'Economic Forecasts'!L$9*1000000/SUM('Statistics NZ'!J$30:J$110,'Statistics NZ'!J$130:J$210)</f>
        <v>30825.699773076565</v>
      </c>
      <c r="K37" s="44">
        <f>'Statistics NZ'!K$37*'Economic Forecasts'!M$9*1000000/SUM('Statistics NZ'!K$30:K$110,'Statistics NZ'!K$130:K$210)</f>
        <v>31311.681405386087</v>
      </c>
      <c r="L37" s="44">
        <f>'Statistics NZ'!L$37*'Economic Forecasts'!N$9*1000000/SUM('Statistics NZ'!L$30:L$110,'Statistics NZ'!L$130:L$210)</f>
        <v>31303.217302500852</v>
      </c>
      <c r="M37" s="44">
        <f>'Statistics NZ'!M$37*'Economic Forecasts'!O$9*1000000/SUM('Statistics NZ'!M$30:M$110,'Statistics NZ'!M$130:M$210)</f>
        <v>31946.506462921068</v>
      </c>
      <c r="N37" s="44">
        <f>'Statistics NZ'!N$37*'Economic Forecasts'!P$9*1000000/SUM('Statistics NZ'!N$30:N$110,'Statistics NZ'!N$130:N$210)</f>
        <v>31722.756907949642</v>
      </c>
      <c r="O37" s="44">
        <f>'Statistics NZ'!O$37*'Economic Forecasts'!Q$9*1000000/SUM('Statistics NZ'!O$30:O$110,'Statistics NZ'!O$130:O$210)</f>
        <v>31763.814513964153</v>
      </c>
      <c r="P37" s="44">
        <f>'Statistics NZ'!P$37*'Economic Forecasts'!R$9*1000000/SUM('Statistics NZ'!P$30:P$110,'Statistics NZ'!P$130:P$210)</f>
        <v>31896.87519702797</v>
      </c>
      <c r="Q37" s="44">
        <f>'Statistics NZ'!Q$37*'Economic Forecasts'!S$9*1000000/SUM('Statistics NZ'!Q$30:Q$110,'Statistics NZ'!Q$130:Q$210)</f>
        <v>30940.133273156876</v>
      </c>
      <c r="R37" s="44">
        <f>'Statistics NZ'!R$37*'Economic Forecasts'!T$9*1000000/SUM('Statistics NZ'!R$30:R$110,'Statistics NZ'!R$130:R$210)</f>
        <v>31455.195906502995</v>
      </c>
      <c r="S37" s="45">
        <f>SUM('Statistics NZ'!S$37,$F$12/5*(S$8-S$9)*1000)*'Economic Forecasts'!U$9*1000000/SUM('Statistics NZ'!S$30:S$110,'Statistics NZ'!S$130:S$210,SUM($E$12:$T$13)*(S$8-S$9)*1000)</f>
        <v>30193.053706238876</v>
      </c>
      <c r="T37" s="45">
        <f>SUM('Statistics NZ'!T$37,$F$12/5*(T$8-T$9)*1000)*'Economic Forecasts'!V$9*1000000/SUM('Statistics NZ'!T$30:T$110,'Statistics NZ'!T$130:T$210,SUM($E$12:$T$13)*(T$8-T$9)*1000)</f>
        <v>30133.42725125693</v>
      </c>
      <c r="U37" s="45">
        <f>SUM('Statistics NZ'!U$37,$F$12/5*(U$8-U$9)*1000)*'Economic Forecasts'!W$9*1000000/SUM('Statistics NZ'!U$30:U$110,'Statistics NZ'!U$130:U$210,SUM($E$12:$T$13)*(U$8-U$9)*1000)</f>
        <v>30131.710345995998</v>
      </c>
      <c r="V37" s="45">
        <f>SUM('Statistics NZ'!V$37,$F$12/5*(V$8-V$9)*1000)*'Economic Forecasts'!X$9*1000000/SUM('Statistics NZ'!V$30:V$110,'Statistics NZ'!V$130:V$210,SUM($E$12:$T$13)*(V$8-V$9)*1000)</f>
        <v>30909.967614649689</v>
      </c>
      <c r="W37" s="45">
        <f>SUM('Statistics NZ'!W$37,$F$12/5*(W$8-W$9)*1000)*'Economic Forecasts'!Y$9*1000000/SUM('Statistics NZ'!W$30:W$110,'Statistics NZ'!W$130:W$210,SUM($E$12:$T$13)*(W$8-W$9)*1000)</f>
        <v>31064.413360145663</v>
      </c>
      <c r="X37" s="45">
        <f>SUM('Statistics NZ'!X$37,$F$12/5*(X$8-X$9)*1000)*'Economic Forecasts'!Z$9*1000000/SUM('Statistics NZ'!X$30:X$110,'Statistics NZ'!X$130:X$210,SUM($E$12:$T$13)*(X$8-X$9)*1000)</f>
        <v>31895.968212531505</v>
      </c>
      <c r="Y37" s="45">
        <f>SUM('Statistics NZ'!Y$37,$F$12/5*(Y$8-Y$9)*1000)*'Economic Forecasts'!AA$9*1000000/SUM('Statistics NZ'!Y$30:Y$110,'Statistics NZ'!Y$130:Y$210,SUM($E$12:$T$13)*(Y$8-Y$9)*1000)</f>
        <v>33563.14962554181</v>
      </c>
      <c r="Z37" s="46">
        <f>SUM(Y$37,'Statistics NZ'!Z$37-'Statistics NZ'!Y$37,$F$12/5*(Z$8-Z$9)*1000)</f>
        <v>34678.554493464326</v>
      </c>
      <c r="AA37" s="46">
        <f>SUM(Z$37,'Statistics NZ'!AA$37-'Statistics NZ'!Z$37,$F$12/5*(AA$8-AA$9)*1000)</f>
        <v>34376.692153839896</v>
      </c>
      <c r="AB37" s="46">
        <f>SUM(AA$37,'Statistics NZ'!AB$37-'Statistics NZ'!AA$37,$F$12/5*(AB$8-AB$9)*1000)</f>
        <v>35367.562606668522</v>
      </c>
      <c r="AC37" s="46">
        <f>SUM(AB$37,'Statistics NZ'!AC$37-'Statistics NZ'!AB$37,$F$12/5*(AC$8-AC$9)*1000)</f>
        <v>35151.165851950202</v>
      </c>
      <c r="AD37" s="46">
        <f>SUM(AC$37,'Statistics NZ'!AD$37-'Statistics NZ'!AC$37,$F$12/5*(AD$8-AD$9)*1000)</f>
        <v>35007.501889684936</v>
      </c>
      <c r="AE37" s="46">
        <f>SUM(AD$37,'Statistics NZ'!AE$37-'Statistics NZ'!AD$37,$F$12/5*(AE$8-AE$9)*1000)</f>
        <v>34896.570719872725</v>
      </c>
      <c r="AF37" s="46">
        <f>SUM(AE$37,'Statistics NZ'!AF$37-'Statistics NZ'!AE$37,$F$12/5*(AF$8-AF$9)*1000)</f>
        <v>33708.372342513561</v>
      </c>
      <c r="AG37" s="46">
        <f>SUM(AF$37,'Statistics NZ'!AG$37-'Statistics NZ'!AF$37,$F$12/5*(AG$8-AG$9)*1000)</f>
        <v>33722.906757607452</v>
      </c>
      <c r="AH37" s="46">
        <f>SUM(AG$37,'Statistics NZ'!AH$37-'Statistics NZ'!AG$37,$F$12/5*(AH$8-AH$9)*1000)</f>
        <v>33360.173965154398</v>
      </c>
      <c r="AI37" s="46">
        <f>SUM(AH$37,'Statistics NZ'!AI$37-'Statistics NZ'!AH$37,$F$12/5*(AI$8-AI$9)*1000)</f>
        <v>33640.173965154398</v>
      </c>
    </row>
    <row r="38" spans="1:35" x14ac:dyDescent="0.25">
      <c r="A38" s="11">
        <v>23</v>
      </c>
      <c r="B38" s="44">
        <f>'Statistics NZ'!B$38*'Economic Forecasts'!D$9*1000000/SUM('Statistics NZ'!B$30:B$110,'Statistics NZ'!B$130:B$210)</f>
        <v>28256.021260071833</v>
      </c>
      <c r="C38" s="44">
        <f>'Statistics NZ'!C$38*'Economic Forecasts'!E$9*1000000/SUM('Statistics NZ'!C$30:C$110,'Statistics NZ'!C$130:C$210)</f>
        <v>28134.524209616626</v>
      </c>
      <c r="D38" s="44">
        <f>'Statistics NZ'!D$38*'Economic Forecasts'!F$9*1000000/SUM('Statistics NZ'!D$30:D$110,'Statistics NZ'!D$130:D$210)</f>
        <v>28014.408008941096</v>
      </c>
      <c r="E38" s="44">
        <f>'Statistics NZ'!E$38*'Economic Forecasts'!G$9*1000000/SUM('Statistics NZ'!E$30:E$110,'Statistics NZ'!E$130:E$210)</f>
        <v>27832.331012747545</v>
      </c>
      <c r="F38" s="44">
        <f>'Statistics NZ'!F$38*'Economic Forecasts'!H$9*1000000/SUM('Statistics NZ'!F$30:F$110,'Statistics NZ'!F$130:F$210)</f>
        <v>27857.081025182208</v>
      </c>
      <c r="G38" s="44">
        <f>'Statistics NZ'!G$38*'Economic Forecasts'!I$9*1000000/SUM('Statistics NZ'!G$30:G$110,'Statistics NZ'!G$130:G$210)</f>
        <v>28917.358331941748</v>
      </c>
      <c r="H38" s="44">
        <f>'Statistics NZ'!H$38*'Economic Forecasts'!J$9*1000000/SUM('Statistics NZ'!H$30:H$110,'Statistics NZ'!H$130:H$210)</f>
        <v>29210.132726539876</v>
      </c>
      <c r="I38" s="44">
        <f>'Statistics NZ'!I$38*'Economic Forecasts'!K$9*1000000/SUM('Statistics NZ'!I$30:I$110,'Statistics NZ'!I$130:I$210)</f>
        <v>30420.432116061147</v>
      </c>
      <c r="J38" s="44">
        <f>'Statistics NZ'!J$38*'Economic Forecasts'!L$9*1000000/SUM('Statistics NZ'!J$30:J$110,'Statistics NZ'!J$130:J$210)</f>
        <v>31576.594705859508</v>
      </c>
      <c r="K38" s="44">
        <f>'Statistics NZ'!K$38*'Economic Forecasts'!M$9*1000000/SUM('Statistics NZ'!K$30:K$110,'Statistics NZ'!K$130:K$210)</f>
        <v>31691.393959742451</v>
      </c>
      <c r="L38" s="44">
        <f>'Statistics NZ'!L$38*'Economic Forecasts'!N$9*1000000/SUM('Statistics NZ'!L$30:L$110,'Statistics NZ'!L$130:L$210)</f>
        <v>32276.878804911452</v>
      </c>
      <c r="M38" s="44">
        <f>'Statistics NZ'!M$38*'Economic Forecasts'!O$9*1000000/SUM('Statistics NZ'!M$30:M$110,'Statistics NZ'!M$130:M$210)</f>
        <v>32229.824104335356</v>
      </c>
      <c r="N38" s="44">
        <f>'Statistics NZ'!N$38*'Economic Forecasts'!P$9*1000000/SUM('Statistics NZ'!N$30:N$110,'Statistics NZ'!N$130:N$210)</f>
        <v>32534.906452477655</v>
      </c>
      <c r="O38" s="44">
        <f>'Statistics NZ'!O$38*'Economic Forecasts'!Q$9*1000000/SUM('Statistics NZ'!O$30:O$110,'Statistics NZ'!O$130:O$210)</f>
        <v>32313.157816243947</v>
      </c>
      <c r="P38" s="44">
        <f>'Statistics NZ'!P$38*'Economic Forecasts'!R$9*1000000/SUM('Statistics NZ'!P$30:P$110,'Statistics NZ'!P$130:P$210)</f>
        <v>32522.879494056418</v>
      </c>
      <c r="Q38" s="44">
        <f>'Statistics NZ'!Q$38*'Economic Forecasts'!S$9*1000000/SUM('Statistics NZ'!Q$30:Q$110,'Statistics NZ'!Q$130:Q$210)</f>
        <v>31798.758981215775</v>
      </c>
      <c r="R38" s="44">
        <f>'Statistics NZ'!R$38*'Economic Forecasts'!T$9*1000000/SUM('Statistics NZ'!R$30:R$110,'Statistics NZ'!R$130:R$210)</f>
        <v>30686.794628486321</v>
      </c>
      <c r="S38" s="45">
        <f>SUM('Statistics NZ'!S$38,$F$12/5*(S$8-S$9)*1000)*'Economic Forecasts'!U$9*1000000/SUM('Statistics NZ'!S$30:S$110,'Statistics NZ'!S$130:S$210,SUM($E$12:$T$13)*(S$8-S$9)*1000)</f>
        <v>30455.004277197655</v>
      </c>
      <c r="T38" s="45">
        <f>SUM('Statistics NZ'!T$38,$F$12/5*(T$8-T$9)*1000)*'Economic Forecasts'!V$9*1000000/SUM('Statistics NZ'!T$30:T$110,'Statistics NZ'!T$130:T$210,SUM($E$12:$T$13)*(T$8-T$9)*1000)</f>
        <v>30982.265297738144</v>
      </c>
      <c r="U38" s="45">
        <f>SUM('Statistics NZ'!U$38,$F$12/5*(U$8-U$9)*1000)*'Economic Forecasts'!W$9*1000000/SUM('Statistics NZ'!U$30:U$110,'Statistics NZ'!U$130:U$210,SUM($E$12:$T$13)*(U$8-U$9)*1000)</f>
        <v>30495.23925741317</v>
      </c>
      <c r="V38" s="45">
        <f>SUM('Statistics NZ'!V$38,$F$12/5*(V$8-V$9)*1000)*'Economic Forecasts'!X$9*1000000/SUM('Statistics NZ'!V$30:V$110,'Statistics NZ'!V$130:V$210,SUM($E$12:$T$13)*(V$8-V$9)*1000)</f>
        <v>30262.764489924408</v>
      </c>
      <c r="W38" s="45">
        <f>SUM('Statistics NZ'!W$38,$F$12/5*(W$8-W$9)*1000)*'Economic Forecasts'!Y$9*1000000/SUM('Statistics NZ'!W$30:W$110,'Statistics NZ'!W$130:W$210,SUM($E$12:$T$13)*(W$8-W$9)*1000)</f>
        <v>31034.031112313278</v>
      </c>
      <c r="X38" s="45">
        <f>SUM('Statistics NZ'!X$38,$F$12/5*(X$8-X$9)*1000)*'Economic Forecasts'!Z$9*1000000/SUM('Statistics NZ'!X$30:X$110,'Statistics NZ'!X$130:X$210,SUM($E$12:$T$13)*(X$8-X$9)*1000)</f>
        <v>31205.94947595767</v>
      </c>
      <c r="Y38" s="45">
        <f>SUM('Statistics NZ'!Y$38,$F$12/5*(Y$8-Y$9)*1000)*'Economic Forecasts'!AA$9*1000000/SUM('Statistics NZ'!Y$30:Y$110,'Statistics NZ'!Y$130:Y$210,SUM($E$12:$T$13)*(Y$8-Y$9)*1000)</f>
        <v>32057.558889145075</v>
      </c>
      <c r="Z38" s="46">
        <f>SUM(Y$38,'Statistics NZ'!Z$38-'Statistics NZ'!Y$38,$F$12/5*(Z$8-Z$9)*1000)</f>
        <v>33602.963757067591</v>
      </c>
      <c r="AA38" s="46">
        <f>SUM(Z$38,'Statistics NZ'!AA$38-'Statistics NZ'!Z$38,$F$12/5*(AA$8-AA$9)*1000)</f>
        <v>34711.101417443162</v>
      </c>
      <c r="AB38" s="46">
        <f>SUM(AA$38,'Statistics NZ'!AB$38-'Statistics NZ'!AA$38,$F$12/5*(AB$8-AB$9)*1000)</f>
        <v>34421.971870271787</v>
      </c>
      <c r="AC38" s="46">
        <f>SUM(AB$38,'Statistics NZ'!AC$38-'Statistics NZ'!AB$38,$F$12/5*(AC$8-AC$9)*1000)</f>
        <v>35405.575115553467</v>
      </c>
      <c r="AD38" s="46">
        <f>SUM(AC$38,'Statistics NZ'!AD$38-'Statistics NZ'!AC$38,$F$12/5*(AD$8-AD$9)*1000)</f>
        <v>35191.911153288202</v>
      </c>
      <c r="AE38" s="46">
        <f>SUM(AD$38,'Statistics NZ'!AE$38-'Statistics NZ'!AD$38,$F$12/5*(AE$8-AE$9)*1000)</f>
        <v>35050.979983475991</v>
      </c>
      <c r="AF38" s="46">
        <f>SUM(AE$38,'Statistics NZ'!AF$38-'Statistics NZ'!AE$38,$F$12/5*(AF$8-AF$9)*1000)</f>
        <v>34942.781606116827</v>
      </c>
      <c r="AG38" s="46">
        <f>SUM(AF$38,'Statistics NZ'!AG$38-'Statistics NZ'!AF$38,$F$12/5*(AG$8-AG$9)*1000)</f>
        <v>33757.316021210718</v>
      </c>
      <c r="AH38" s="46">
        <f>SUM(AG$38,'Statistics NZ'!AH$38-'Statistics NZ'!AG$38,$F$12/5*(AH$8-AH$9)*1000)</f>
        <v>33774.583228757663</v>
      </c>
      <c r="AI38" s="46">
        <f>SUM(AH$38,'Statistics NZ'!AI$38-'Statistics NZ'!AH$38,$F$12/5*(AI$8-AI$9)*1000)</f>
        <v>33414.583228757663</v>
      </c>
    </row>
    <row r="39" spans="1:35" x14ac:dyDescent="0.25">
      <c r="A39" s="11">
        <v>24</v>
      </c>
      <c r="B39" s="44">
        <f>'Statistics NZ'!B$39*'Economic Forecasts'!D$9*1000000/SUM('Statistics NZ'!B$30:B$110,'Statistics NZ'!B$130:B$210)</f>
        <v>27258.059290360161</v>
      </c>
      <c r="C39" s="44">
        <f>'Statistics NZ'!C$39*'Economic Forecasts'!E$9*1000000/SUM('Statistics NZ'!C$30:C$110,'Statistics NZ'!C$130:C$210)</f>
        <v>27928.302566195354</v>
      </c>
      <c r="D39" s="44">
        <f>'Statistics NZ'!D$39*'Economic Forecasts'!F$9*1000000/SUM('Statistics NZ'!D$30:D$110,'Statistics NZ'!D$130:D$210)</f>
        <v>27749.194468884503</v>
      </c>
      <c r="E39" s="44">
        <f>'Statistics NZ'!E$39*'Economic Forecasts'!G$9*1000000/SUM('Statistics NZ'!E$30:E$110,'Statistics NZ'!E$130:E$210)</f>
        <v>27763.681852391928</v>
      </c>
      <c r="F39" s="44">
        <f>'Statistics NZ'!F$39*'Economic Forecasts'!H$9*1000000/SUM('Statistics NZ'!F$30:F$110,'Statistics NZ'!F$130:F$210)</f>
        <v>27709.948554978779</v>
      </c>
      <c r="G39" s="44">
        <f>'Statistics NZ'!G$39*'Economic Forecasts'!I$9*1000000/SUM('Statistics NZ'!G$30:G$110,'Statistics NZ'!G$130:G$210)</f>
        <v>27679.726827245871</v>
      </c>
      <c r="H39" s="44">
        <f>'Statistics NZ'!H$39*'Economic Forecasts'!J$9*1000000/SUM('Statistics NZ'!H$30:H$110,'Statistics NZ'!H$130:H$210)</f>
        <v>28630.449635094919</v>
      </c>
      <c r="I39" s="44">
        <f>'Statistics NZ'!I$39*'Economic Forecasts'!K$9*1000000/SUM('Statistics NZ'!I$30:I$110,'Statistics NZ'!I$130:I$210)</f>
        <v>29038.130817845027</v>
      </c>
      <c r="J39" s="44">
        <f>'Statistics NZ'!J$39*'Economic Forecasts'!L$9*1000000/SUM('Statistics NZ'!J$30:J$110,'Statistics NZ'!J$130:J$210)</f>
        <v>30864.707302052302</v>
      </c>
      <c r="K39" s="44">
        <f>'Statistics NZ'!K$39*'Economic Forecasts'!M$9*1000000/SUM('Statistics NZ'!K$30:K$110,'Statistics NZ'!K$130:K$210)</f>
        <v>32470.291507140111</v>
      </c>
      <c r="L39" s="44">
        <f>'Statistics NZ'!L$39*'Economic Forecasts'!N$9*1000000/SUM('Statistics NZ'!L$30:L$110,'Statistics NZ'!L$130:L$210)</f>
        <v>32968.178471622981</v>
      </c>
      <c r="M39" s="44">
        <f>'Statistics NZ'!M$39*'Economic Forecasts'!O$9*1000000/SUM('Statistics NZ'!M$30:M$110,'Statistics NZ'!M$130:M$210)</f>
        <v>33343.55552230875</v>
      </c>
      <c r="N39" s="44">
        <f>'Statistics NZ'!N$39*'Economic Forecasts'!P$9*1000000/SUM('Statistics NZ'!N$30:N$110,'Statistics NZ'!N$130:N$210)</f>
        <v>32936.088757605954</v>
      </c>
      <c r="O39" s="44">
        <f>'Statistics NZ'!O$39*'Economic Forecasts'!Q$9*1000000/SUM('Statistics NZ'!O$30:O$110,'Statistics NZ'!O$130:O$210)</f>
        <v>33039.075751399403</v>
      </c>
      <c r="P39" s="44">
        <f>'Statistics NZ'!P$39*'Economic Forecasts'!R$9*1000000/SUM('Statistics NZ'!P$30:P$110,'Statistics NZ'!P$130:P$210)</f>
        <v>33324.947499624133</v>
      </c>
      <c r="Q39" s="44">
        <f>'Statistics NZ'!Q$39*'Economic Forecasts'!S$9*1000000/SUM('Statistics NZ'!Q$30:Q$110,'Statistics NZ'!Q$130:Q$210)</f>
        <v>32430.391685994735</v>
      </c>
      <c r="R39" s="44">
        <f>'Statistics NZ'!R$39*'Economic Forecasts'!T$9*1000000/SUM('Statistics NZ'!R$30:R$110,'Statistics NZ'!R$130:R$210)</f>
        <v>31484.749801811329</v>
      </c>
      <c r="S39" s="45">
        <f>SUM('Statistics NZ'!S$39,$F$12/5*(S$8-S$9)*1000)*'Economic Forecasts'!U$9*1000000/SUM('Statistics NZ'!S$30:S$110,'Statistics NZ'!S$130:S$210,SUM($E$12:$T$13)*(S$8-S$9)*1000)</f>
        <v>29814.680659298421</v>
      </c>
      <c r="T39" s="45">
        <f>SUM('Statistics NZ'!T$39,$F$12/5*(T$8-T$9)*1000)*'Economic Forecasts'!V$9*1000000/SUM('Statistics NZ'!T$30:T$110,'Statistics NZ'!T$130:T$210,SUM($E$12:$T$13)*(T$8-T$9)*1000)</f>
        <v>31391.704826040845</v>
      </c>
      <c r="U39" s="45">
        <f>SUM('Statistics NZ'!U$39,$F$12/5*(U$8-U$9)*1000)*'Economic Forecasts'!W$9*1000000/SUM('Statistics NZ'!U$30:U$110,'Statistics NZ'!U$130:U$210,SUM($E$12:$T$13)*(U$8-U$9)*1000)</f>
        <v>31515.139814444668</v>
      </c>
      <c r="V39" s="45">
        <f>SUM('Statistics NZ'!V$39,$F$12/5*(V$8-V$9)*1000)*'Economic Forecasts'!X$9*1000000/SUM('Statistics NZ'!V$30:V$110,'Statistics NZ'!V$130:V$210,SUM($E$12:$T$13)*(V$8-V$9)*1000)</f>
        <v>30808.842126411368</v>
      </c>
      <c r="W39" s="45">
        <f>SUM('Statistics NZ'!W$39,$F$12/5*(W$8-W$9)*1000)*'Economic Forecasts'!Y$9*1000000/SUM('Statistics NZ'!W$30:W$110,'Statistics NZ'!W$130:W$210,SUM($E$12:$T$13)*(W$8-W$9)*1000)</f>
        <v>30558.042562939183</v>
      </c>
      <c r="X39" s="45">
        <f>SUM('Statistics NZ'!X$39,$F$12/5*(X$8-X$9)*1000)*'Economic Forecasts'!Z$9*1000000/SUM('Statistics NZ'!X$30:X$110,'Statistics NZ'!X$130:X$210,SUM($E$12:$T$13)*(X$8-X$9)*1000)</f>
        <v>31348.01215701699</v>
      </c>
      <c r="Y39" s="45">
        <f>SUM('Statistics NZ'!Y$39,$F$12/5*(Y$8-Y$9)*1000)*'Economic Forecasts'!AA$9*1000000/SUM('Statistics NZ'!Y$30:Y$110,'Statistics NZ'!Y$130:Y$210,SUM($E$12:$T$13)*(Y$8-Y$9)*1000)</f>
        <v>31538.740459711076</v>
      </c>
      <c r="Z39" s="46">
        <f>SUM(Y$39,'Statistics NZ'!Z$39-'Statistics NZ'!Y$39,$F$12/5*(Z$8-Z$9)*1000)</f>
        <v>32284.145327633596</v>
      </c>
      <c r="AA39" s="46">
        <f>SUM(Z$39,'Statistics NZ'!AA$39-'Statistics NZ'!Z$39,$F$12/5*(AA$8-AA$9)*1000)</f>
        <v>33822.282988009167</v>
      </c>
      <c r="AB39" s="46">
        <f>SUM(AA$39,'Statistics NZ'!AB$39-'Statistics NZ'!AA$39,$F$12/5*(AB$8-AB$9)*1000)</f>
        <v>34933.153440837792</v>
      </c>
      <c r="AC39" s="46">
        <f>SUM(AB$39,'Statistics NZ'!AC$39-'Statistics NZ'!AB$39,$F$12/5*(AC$8-AC$9)*1000)</f>
        <v>34646.756686119472</v>
      </c>
      <c r="AD39" s="46">
        <f>SUM(AC$39,'Statistics NZ'!AD$39-'Statistics NZ'!AC$39,$F$12/5*(AD$8-AD$9)*1000)</f>
        <v>35633.092723854206</v>
      </c>
      <c r="AE39" s="46">
        <f>SUM(AD$39,'Statistics NZ'!AE$39-'Statistics NZ'!AD$39,$F$12/5*(AE$8-AE$9)*1000)</f>
        <v>35432.161554041995</v>
      </c>
      <c r="AF39" s="46">
        <f>SUM(AE$39,'Statistics NZ'!AF$39-'Statistics NZ'!AE$39,$F$12/5*(AF$8-AF$9)*1000)</f>
        <v>35283.963176682832</v>
      </c>
      <c r="AG39" s="46">
        <f>SUM(AF$39,'Statistics NZ'!AG$39-'Statistics NZ'!AF$39,$F$12/5*(AG$8-AG$9)*1000)</f>
        <v>35178.497591776722</v>
      </c>
      <c r="AH39" s="46">
        <f>SUM(AG$39,'Statistics NZ'!AH$39-'Statistics NZ'!AG$39,$F$12/5*(AH$8-AH$9)*1000)</f>
        <v>34005.764799323668</v>
      </c>
      <c r="AI39" s="46">
        <f>SUM(AH$39,'Statistics NZ'!AI$39-'Statistics NZ'!AH$39,$F$12/5*(AI$8-AI$9)*1000)</f>
        <v>34015.764799323668</v>
      </c>
    </row>
    <row r="40" spans="1:35" x14ac:dyDescent="0.25">
      <c r="A40" s="11">
        <v>25</v>
      </c>
      <c r="B40" s="44">
        <f>'Statistics NZ'!B$40*'Economic Forecasts'!D$9*1000000/SUM('Statistics NZ'!B$30:B$110,'Statistics NZ'!B$130:B$210)</f>
        <v>26553.615547034267</v>
      </c>
      <c r="C40" s="44">
        <f>'Statistics NZ'!C$40*'Economic Forecasts'!E$9*1000000/SUM('Statistics NZ'!C$30:C$110,'Statistics NZ'!C$130:C$210)</f>
        <v>27162.336462059196</v>
      </c>
      <c r="D40" s="44">
        <f>'Statistics NZ'!D$40*'Economic Forecasts'!F$9*1000000/SUM('Statistics NZ'!D$30:D$110,'Statistics NZ'!D$130:D$210)</f>
        <v>27552.739994768508</v>
      </c>
      <c r="E40" s="44">
        <f>'Statistics NZ'!E$40*'Economic Forecasts'!G$9*1000000/SUM('Statistics NZ'!E$30:E$110,'Statistics NZ'!E$130:E$210)</f>
        <v>27626.383531680702</v>
      </c>
      <c r="F40" s="44">
        <f>'Statistics NZ'!F$40*'Economic Forecasts'!H$9*1000000/SUM('Statistics NZ'!F$30:F$110,'Statistics NZ'!F$130:F$210)</f>
        <v>27719.757386325677</v>
      </c>
      <c r="G40" s="44">
        <f>'Statistics NZ'!G$40*'Economic Forecasts'!I$9*1000000/SUM('Statistics NZ'!G$30:G$110,'Statistics NZ'!G$130:G$210)</f>
        <v>27620.791993688927</v>
      </c>
      <c r="H40" s="44">
        <f>'Statistics NZ'!H$40*'Economic Forecasts'!J$9*1000000/SUM('Statistics NZ'!H$30:H$110,'Statistics NZ'!H$130:H$210)</f>
        <v>27539.859412206955</v>
      </c>
      <c r="I40" s="44">
        <f>'Statistics NZ'!I$40*'Economic Forecasts'!K$9*1000000/SUM('Statistics NZ'!I$30:I$110,'Statistics NZ'!I$130:I$210)</f>
        <v>28665.595716198124</v>
      </c>
      <c r="J40" s="44">
        <f>'Statistics NZ'!J$40*'Economic Forecasts'!L$9*1000000/SUM('Statistics NZ'!J$30:J$110,'Statistics NZ'!J$130:J$210)</f>
        <v>29655.473903804439</v>
      </c>
      <c r="K40" s="44">
        <f>'Statistics NZ'!K$40*'Economic Forecasts'!M$9*1000000/SUM('Statistics NZ'!K$30:K$110,'Statistics NZ'!K$130:K$210)</f>
        <v>31856.90968856445</v>
      </c>
      <c r="L40" s="44">
        <f>'Statistics NZ'!L$40*'Economic Forecasts'!N$9*1000000/SUM('Statistics NZ'!L$30:L$110,'Statistics NZ'!L$130:L$210)</f>
        <v>33854.210438816626</v>
      </c>
      <c r="M40" s="44">
        <f>'Statistics NZ'!M$40*'Economic Forecasts'!O$9*1000000/SUM('Statistics NZ'!M$30:M$110,'Statistics NZ'!M$130:M$210)</f>
        <v>34203.278020393474</v>
      </c>
      <c r="N40" s="44">
        <f>'Statistics NZ'!N$40*'Economic Forecasts'!P$9*1000000/SUM('Statistics NZ'!N$30:N$110,'Statistics NZ'!N$130:N$210)</f>
        <v>34227.700081433635</v>
      </c>
      <c r="O40" s="44">
        <f>'Statistics NZ'!O$40*'Economic Forecasts'!Q$9*1000000/SUM('Statistics NZ'!O$30:O$110,'Statistics NZ'!O$130:O$210)</f>
        <v>33686.51607194345</v>
      </c>
      <c r="P40" s="44">
        <f>'Statistics NZ'!P$40*'Economic Forecasts'!R$9*1000000/SUM('Statistics NZ'!P$30:P$110,'Statistics NZ'!P$130:P$210)</f>
        <v>34293.297896590018</v>
      </c>
      <c r="Q40" s="44">
        <f>'Statistics NZ'!Q$40*'Economic Forecasts'!S$9*1000000/SUM('Statistics NZ'!Q$30:Q$110,'Statistics NZ'!Q$130:Q$210)</f>
        <v>33219.932566968433</v>
      </c>
      <c r="R40" s="44">
        <f>'Statistics NZ'!R$40*'Economic Forecasts'!T$9*1000000/SUM('Statistics NZ'!R$30:R$110,'Statistics NZ'!R$130:R$210)</f>
        <v>32085.67900641411</v>
      </c>
      <c r="S40" s="45">
        <f>SUM('Statistics NZ'!S$40,$G$12/5*(S$8-S$9)*1000)*'Economic Forecasts'!U$9*1000000/SUM('Statistics NZ'!S$30:S$110,'Statistics NZ'!S$130:S$210,SUM($E$12:$T$13)*(S$8-S$9)*1000)</f>
        <v>33245.001860284268</v>
      </c>
      <c r="T40" s="45">
        <f>SUM('Statistics NZ'!T$40,$G$12/5*(T$8-T$9)*1000)*'Economic Forecasts'!V$9*1000000/SUM('Statistics NZ'!T$30:T$110,'Statistics NZ'!T$130:T$210,SUM($E$12:$T$13)*(T$8-T$9)*1000)</f>
        <v>32309.662238124733</v>
      </c>
      <c r="U40" s="45">
        <f>SUM('Statistics NZ'!U$40,$G$12/5*(U$8-U$9)*1000)*'Economic Forecasts'!W$9*1000000/SUM('Statistics NZ'!U$30:U$110,'Statistics NZ'!U$130:U$210,SUM($E$12:$T$13)*(U$8-U$9)*1000)</f>
        <v>32480.748988998257</v>
      </c>
      <c r="V40" s="45">
        <f>SUM('Statistics NZ'!V$40,$G$12/5*(V$8-V$9)*1000)*'Economic Forecasts'!X$9*1000000/SUM('Statistics NZ'!V$30:V$110,'Statistics NZ'!V$130:V$210,SUM($E$12:$T$13)*(V$8-V$9)*1000)</f>
        <v>32299.294825238168</v>
      </c>
      <c r="W40" s="45">
        <f>SUM('Statistics NZ'!W$40,$G$12/5*(W$8-W$9)*1000)*'Economic Forecasts'!Y$9*1000000/SUM('Statistics NZ'!W$30:W$110,'Statistics NZ'!W$130:W$210,SUM($E$12:$T$13)*(W$8-W$9)*1000)</f>
        <v>31614.135300943548</v>
      </c>
      <c r="X40" s="45">
        <f>SUM('Statistics NZ'!X$40,$G$12/5*(X$8-X$9)*1000)*'Economic Forecasts'!Z$9*1000000/SUM('Statistics NZ'!X$30:X$110,'Statistics NZ'!X$130:X$210,SUM($E$12:$T$13)*(X$8-X$9)*1000)</f>
        <v>31390.337415188838</v>
      </c>
      <c r="Y40" s="45">
        <f>SUM('Statistics NZ'!Y$40,$G$12/5*(Y$8-Y$9)*1000)*'Economic Forecasts'!AA$9*1000000/SUM('Statistics NZ'!Y$30:Y$110,'Statistics NZ'!Y$130:Y$210,SUM($E$12:$T$13)*(Y$8-Y$9)*1000)</f>
        <v>32203.984671064569</v>
      </c>
      <c r="Z40" s="46">
        <f>SUM(Y$40,'Statistics NZ'!Z$40-'Statistics NZ'!Y$40,$G$12/5*(Z$8-Z$9)*1000)</f>
        <v>32589.932805162822</v>
      </c>
      <c r="AA40" s="46">
        <f>SUM(Z$40,'Statistics NZ'!AA$40-'Statistics NZ'!Z$40,$G$12/5*(AA$8-AA$9)*1000)</f>
        <v>33605.220035472383</v>
      </c>
      <c r="AB40" s="46">
        <f>SUM(AA$40,'Statistics NZ'!AB$40-'Statistics NZ'!AA$40,$G$12/5*(AB$8-AB$9)*1000)</f>
        <v>35379.846361993244</v>
      </c>
      <c r="AC40" s="46">
        <f>SUM(AB$40,'Statistics NZ'!AC$40-'Statistics NZ'!AB$40,$G$12/5*(AC$8-AC$9)*1000)</f>
        <v>36693.811784725411</v>
      </c>
      <c r="AD40" s="46">
        <f>SUM(AC$40,'Statistics NZ'!AD$40-'Statistics NZ'!AC$40,$G$12/5*(AD$8-AD$9)*1000)</f>
        <v>36577.116303668889</v>
      </c>
      <c r="AE40" s="46">
        <f>SUM(AD$40,'Statistics NZ'!AE$40-'Statistics NZ'!AD$40,$G$12/5*(AE$8-AE$9)*1000)</f>
        <v>37699.759918823671</v>
      </c>
      <c r="AF40" s="46">
        <f>SUM(AE$40,'Statistics NZ'!AF$40-'Statistics NZ'!AE$40,$G$12/5*(AF$8-AF$9)*1000)</f>
        <v>37601.742630189758</v>
      </c>
      <c r="AG40" s="46">
        <f>SUM(AF$40,'Statistics NZ'!AG$40-'Statistics NZ'!AF$40,$G$12/5*(AG$8-AG$9)*1000)</f>
        <v>37523.064437767149</v>
      </c>
      <c r="AH40" s="46">
        <f>SUM(AG$40,'Statistics NZ'!AH$40-'Statistics NZ'!AG$40,$G$12/5*(AH$8-AH$9)*1000)</f>
        <v>37453.725341555844</v>
      </c>
      <c r="AI40" s="46">
        <f>SUM(AH$40,'Statistics NZ'!AI$40-'Statistics NZ'!AH$40,$G$12/5*(AI$8-AI$9)*1000)</f>
        <v>36283.725341555844</v>
      </c>
    </row>
    <row r="41" spans="1:35" x14ac:dyDescent="0.25">
      <c r="A41" s="11">
        <v>26</v>
      </c>
      <c r="B41" s="44">
        <f>'Statistics NZ'!B$41*'Economic Forecasts'!D$9*1000000/SUM('Statistics NZ'!B$30:B$110,'Statistics NZ'!B$130:B$210)</f>
        <v>26230.745498009903</v>
      </c>
      <c r="C41" s="44">
        <f>'Statistics NZ'!C$41*'Economic Forecasts'!E$9*1000000/SUM('Statistics NZ'!C$30:C$110,'Statistics NZ'!C$130:C$210)</f>
        <v>26710.612862184022</v>
      </c>
      <c r="D41" s="44">
        <f>'Statistics NZ'!D$41*'Economic Forecasts'!F$9*1000000/SUM('Statistics NZ'!D$30:D$110,'Statistics NZ'!D$130:D$210)</f>
        <v>27022.312914655311</v>
      </c>
      <c r="E41" s="44">
        <f>'Statistics NZ'!E$41*'Economic Forecasts'!G$9*1000000/SUM('Statistics NZ'!E$30:E$110,'Statistics NZ'!E$130:E$210)</f>
        <v>27489.085210969472</v>
      </c>
      <c r="F41" s="44">
        <f>'Statistics NZ'!F$41*'Economic Forecasts'!H$9*1000000/SUM('Statistics NZ'!F$30:F$110,'Statistics NZ'!F$130:F$210)</f>
        <v>27749.183880366367</v>
      </c>
      <c r="G41" s="44">
        <f>'Statistics NZ'!G$41*'Economic Forecasts'!I$9*1000000/SUM('Statistics NZ'!G$30:G$110,'Statistics NZ'!G$130:G$210)</f>
        <v>27561.857160131978</v>
      </c>
      <c r="H41" s="44">
        <f>'Statistics NZ'!H$41*'Economic Forecasts'!J$9*1000000/SUM('Statistics NZ'!H$30:H$110,'Statistics NZ'!H$130:H$210)</f>
        <v>27490.733726491279</v>
      </c>
      <c r="I41" s="44">
        <f>'Statistics NZ'!I$41*'Economic Forecasts'!K$9*1000000/SUM('Statistics NZ'!I$30:I$110,'Statistics NZ'!I$130:I$210)</f>
        <v>27685.240185548395</v>
      </c>
      <c r="J41" s="44">
        <f>'Statistics NZ'!J$41*'Economic Forecasts'!L$9*1000000/SUM('Statistics NZ'!J$30:J$110,'Statistics NZ'!J$130:J$210)</f>
        <v>29538.451316877221</v>
      </c>
      <c r="K41" s="44">
        <f>'Statistics NZ'!K$41*'Economic Forecasts'!M$9*1000000/SUM('Statistics NZ'!K$30:K$110,'Statistics NZ'!K$130:K$210)</f>
        <v>30776.189341550191</v>
      </c>
      <c r="L41" s="44">
        <f>'Statistics NZ'!L$41*'Economic Forecasts'!N$9*1000000/SUM('Statistics NZ'!L$30:L$110,'Statistics NZ'!L$130:L$210)</f>
        <v>33425.79937775596</v>
      </c>
      <c r="M41" s="44">
        <f>'Statistics NZ'!M$41*'Economic Forecasts'!O$9*1000000/SUM('Statistics NZ'!M$30:M$110,'Statistics NZ'!M$130:M$210)</f>
        <v>35346.318159892486</v>
      </c>
      <c r="N41" s="44">
        <f>'Statistics NZ'!N$41*'Economic Forecasts'!P$9*1000000/SUM('Statistics NZ'!N$30:N$110,'Statistics NZ'!N$130:N$210)</f>
        <v>35480.171668175637</v>
      </c>
      <c r="O41" s="44">
        <f>'Statistics NZ'!O$41*'Economic Forecasts'!Q$9*1000000/SUM('Statistics NZ'!O$30:O$110,'Statistics NZ'!O$130:O$210)</f>
        <v>35246.258662345033</v>
      </c>
      <c r="P41" s="44">
        <f>'Statistics NZ'!P$41*'Economic Forecasts'!R$9*1000000/SUM('Statistics NZ'!P$30:P$110,'Statistics NZ'!P$130:P$210)</f>
        <v>35134.491170722002</v>
      </c>
      <c r="Q41" s="44">
        <f>'Statistics NZ'!Q$41*'Economic Forecasts'!S$9*1000000/SUM('Statistics NZ'!Q$30:Q$110,'Statistics NZ'!Q$130:Q$210)</f>
        <v>34246.335712234242</v>
      </c>
      <c r="R41" s="44">
        <f>'Statistics NZ'!R$41*'Economic Forecasts'!T$9*1000000/SUM('Statistics NZ'!R$30:R$110,'Statistics NZ'!R$130:R$210)</f>
        <v>32863.931582866899</v>
      </c>
      <c r="S41" s="45">
        <f>SUM('Statistics NZ'!S$41,$G$12/5*(S$8-S$9)*1000)*'Economic Forecasts'!U$9*1000000/SUM('Statistics NZ'!S$30:S$110,'Statistics NZ'!S$130:S$210,SUM($E$12:$T$13)*(S$8-S$9)*1000)</f>
        <v>33962.940462171289</v>
      </c>
      <c r="T41" s="45">
        <f>SUM('Statistics NZ'!T$41,$G$12/5*(T$8-T$9)*1000)*'Economic Forecasts'!V$9*1000000/SUM('Statistics NZ'!T$30:T$110,'Statistics NZ'!T$130:T$210,SUM($E$12:$T$13)*(T$8-T$9)*1000)</f>
        <v>33408.158533571019</v>
      </c>
      <c r="U41" s="45">
        <f>SUM('Statistics NZ'!U$41,$G$12/5*(U$8-U$9)*1000)*'Economic Forecasts'!W$9*1000000/SUM('Statistics NZ'!U$30:U$110,'Statistics NZ'!U$130:U$210,SUM($E$12:$T$13)*(U$8-U$9)*1000)</f>
        <v>32117.220077581078</v>
      </c>
      <c r="V41" s="45">
        <f>SUM('Statistics NZ'!V$41,$G$12/5*(V$8-V$9)*1000)*'Economic Forecasts'!X$9*1000000/SUM('Statistics NZ'!V$30:V$110,'Statistics NZ'!V$130:V$210,SUM($E$12:$T$13)*(V$8-V$9)*1000)</f>
        <v>33017.285791730283</v>
      </c>
      <c r="W41" s="45">
        <f>SUM('Statistics NZ'!W$41,$G$12/5*(W$8-W$9)*1000)*'Economic Forecasts'!Y$9*1000000/SUM('Statistics NZ'!W$30:W$110,'Statistics NZ'!W$130:W$210,SUM($E$12:$T$13)*(W$8-W$9)*1000)</f>
        <v>32940.826789624538</v>
      </c>
      <c r="X41" s="45">
        <f>SUM('Statistics NZ'!X$41,$G$12/5*(X$8-X$9)*1000)*'Economic Forecasts'!Z$9*1000000/SUM('Statistics NZ'!X$30:X$110,'Statistics NZ'!X$130:X$210,SUM($E$12:$T$13)*(X$8-X$9)*1000)</f>
        <v>32242.713501544749</v>
      </c>
      <c r="Y41" s="45">
        <f>SUM('Statistics NZ'!Y$41,$G$12/5*(Y$8-Y$9)*1000)*'Economic Forecasts'!AA$9*1000000/SUM('Statistics NZ'!Y$30:Y$110,'Statistics NZ'!Y$130:Y$210,SUM($E$12:$T$13)*(Y$8-Y$9)*1000)</f>
        <v>32041.218104967626</v>
      </c>
      <c r="Z41" s="46">
        <f>SUM(Y$41,'Statistics NZ'!Z$41-'Statistics NZ'!Y$41,$G$12/5*(Z$8-Z$9)*1000)</f>
        <v>33037.166239065882</v>
      </c>
      <c r="AA41" s="46">
        <f>SUM(Z$41,'Statistics NZ'!AA$41-'Statistics NZ'!Z$41,$G$12/5*(AA$8-AA$9)*1000)</f>
        <v>33392.453469375439</v>
      </c>
      <c r="AB41" s="46">
        <f>SUM(AA$41,'Statistics NZ'!AB$41-'Statistics NZ'!AA$41,$G$12/5*(AB$8-AB$9)*1000)</f>
        <v>34377.079795896301</v>
      </c>
      <c r="AC41" s="46">
        <f>SUM(AB$41,'Statistics NZ'!AC$41-'Statistics NZ'!AB$41,$G$12/5*(AC$8-AC$9)*1000)</f>
        <v>36121.045218628467</v>
      </c>
      <c r="AD41" s="46">
        <f>SUM(AC$41,'Statistics NZ'!AD$41-'Statistics NZ'!AC$41,$G$12/5*(AD$8-AD$9)*1000)</f>
        <v>37404.349737571945</v>
      </c>
      <c r="AE41" s="46">
        <f>SUM(AD$41,'Statistics NZ'!AE$41-'Statistics NZ'!AD$41,$G$12/5*(AE$8-AE$9)*1000)</f>
        <v>37256.993352726728</v>
      </c>
      <c r="AF41" s="46">
        <f>SUM(AE$41,'Statistics NZ'!AF$41-'Statistics NZ'!AE$41,$G$12/5*(AF$8-AF$9)*1000)</f>
        <v>38348.976064092814</v>
      </c>
      <c r="AG41" s="46">
        <f>SUM(AF$41,'Statistics NZ'!AG$41-'Statistics NZ'!AF$41,$G$12/5*(AG$8-AG$9)*1000)</f>
        <v>38220.297871670205</v>
      </c>
      <c r="AH41" s="46">
        <f>SUM(AG$41,'Statistics NZ'!AH$41-'Statistics NZ'!AG$41,$G$12/5*(AH$8-AH$9)*1000)</f>
        <v>38110.958775458901</v>
      </c>
      <c r="AI41" s="46">
        <f>SUM(AH$41,'Statistics NZ'!AI$41-'Statistics NZ'!AH$41,$G$12/5*(AI$8-AI$9)*1000)</f>
        <v>38010.958775458901</v>
      </c>
    </row>
    <row r="42" spans="1:35" x14ac:dyDescent="0.25">
      <c r="A42" s="11">
        <v>27</v>
      </c>
      <c r="B42" s="44">
        <f>'Statistics NZ'!B$42*'Economic Forecasts'!D$9*1000000/SUM('Statistics NZ'!B$30:B$110,'Statistics NZ'!B$130:B$210)</f>
        <v>26211.177616250843</v>
      </c>
      <c r="C42" s="44">
        <f>'Statistics NZ'!C$42*'Economic Forecasts'!E$9*1000000/SUM('Statistics NZ'!C$30:C$110,'Statistics NZ'!C$130:C$210)</f>
        <v>26484.75106224644</v>
      </c>
      <c r="D42" s="44">
        <f>'Statistics NZ'!D$42*'Economic Forecasts'!F$9*1000000/SUM('Statistics NZ'!D$30:D$110,'Statistics NZ'!D$130:D$210)</f>
        <v>26766.922098304516</v>
      </c>
      <c r="E42" s="44">
        <f>'Statistics NZ'!E$42*'Economic Forecasts'!G$9*1000000/SUM('Statistics NZ'!E$30:E$110,'Statistics NZ'!E$130:E$210)</f>
        <v>27175.260477915239</v>
      </c>
      <c r="F42" s="44">
        <f>'Statistics NZ'!F$42*'Economic Forecasts'!H$9*1000000/SUM('Statistics NZ'!F$30:F$110,'Statistics NZ'!F$130:F$210)</f>
        <v>27729.566217672571</v>
      </c>
      <c r="G42" s="44">
        <f>'Statistics NZ'!G$42*'Economic Forecasts'!I$9*1000000/SUM('Statistics NZ'!G$30:G$110,'Statistics NZ'!G$130:G$210)</f>
        <v>27630.614465948416</v>
      </c>
      <c r="H42" s="44">
        <f>'Statistics NZ'!H$42*'Economic Forecasts'!J$9*1000000/SUM('Statistics NZ'!H$30:H$110,'Statistics NZ'!H$130:H$210)</f>
        <v>27559.50968649322</v>
      </c>
      <c r="I42" s="44">
        <f>'Statistics NZ'!I$42*'Economic Forecasts'!K$9*1000000/SUM('Statistics NZ'!I$30:I$110,'Statistics NZ'!I$130:I$210)</f>
        <v>27528.383300644437</v>
      </c>
      <c r="J42" s="44">
        <f>'Statistics NZ'!J$42*'Economic Forecasts'!L$9*1000000/SUM('Statistics NZ'!J$30:J$110,'Statistics NZ'!J$130:J$210)</f>
        <v>28475.496152288379</v>
      </c>
      <c r="K42" s="44">
        <f>'Statistics NZ'!K$42*'Economic Forecasts'!M$9*1000000/SUM('Statistics NZ'!K$30:K$110,'Statistics NZ'!K$130:K$210)</f>
        <v>30873.5515349749</v>
      </c>
      <c r="L42" s="44">
        <f>'Statistics NZ'!L$42*'Economic Forecasts'!N$9*1000000/SUM('Statistics NZ'!L$30:L$110,'Statistics NZ'!L$130:L$210)</f>
        <v>32374.244955152513</v>
      </c>
      <c r="M42" s="44">
        <f>'Statistics NZ'!M$42*'Economic Forecasts'!O$9*1000000/SUM('Statistics NZ'!M$30:M$110,'Statistics NZ'!M$130:M$210)</f>
        <v>34926.226484691993</v>
      </c>
      <c r="N42" s="44">
        <f>'Statistics NZ'!N$42*'Economic Forecasts'!P$9*1000000/SUM('Statistics NZ'!N$30:N$110,'Statistics NZ'!N$130:N$210)</f>
        <v>36634.793912203415</v>
      </c>
      <c r="O42" s="44">
        <f>'Statistics NZ'!O$42*'Economic Forecasts'!Q$9*1000000/SUM('Statistics NZ'!O$30:O$110,'Statistics NZ'!O$130:O$210)</f>
        <v>36521.519899780273</v>
      </c>
      <c r="P42" s="44">
        <f>'Statistics NZ'!P$42*'Economic Forecasts'!R$9*1000000/SUM('Statistics NZ'!P$30:P$110,'Statistics NZ'!P$130:P$210)</f>
        <v>36934.253524678817</v>
      </c>
      <c r="Q42" s="44">
        <f>'Statistics NZ'!Q$42*'Economic Forecasts'!S$9*1000000/SUM('Statistics NZ'!Q$30:Q$110,'Statistics NZ'!Q$130:Q$210)</f>
        <v>35203.654030414858</v>
      </c>
      <c r="R42" s="44">
        <f>'Statistics NZ'!R$42*'Economic Forecasts'!T$9*1000000/SUM('Statistics NZ'!R$30:R$110,'Statistics NZ'!R$130:R$210)</f>
        <v>33927.871813966907</v>
      </c>
      <c r="S42" s="45">
        <f>SUM('Statistics NZ'!S$42,$G$12/5*(S$8-S$9)*1000)*'Economic Forecasts'!U$9*1000000/SUM('Statistics NZ'!S$30:S$110,'Statistics NZ'!S$130:S$210,SUM($E$12:$T$13)*(S$8-S$9)*1000)</f>
        <v>34845.810905032362</v>
      </c>
      <c r="T42" s="45">
        <f>SUM('Statistics NZ'!T$42,$G$12/5*(T$8-T$9)*1000)*'Economic Forecasts'!V$9*1000000/SUM('Statistics NZ'!T$30:T$110,'Statistics NZ'!T$130:T$210,SUM($E$12:$T$13)*(T$8-T$9)*1000)</f>
        <v>34266.982910010825</v>
      </c>
      <c r="U42" s="45">
        <f>SUM('Statistics NZ'!U$42,$G$12/5*(U$8-U$9)*1000)*'Economic Forecasts'!W$9*1000000/SUM('Statistics NZ'!U$30:U$110,'Statistics NZ'!U$130:U$210,SUM($E$12:$T$13)*(U$8-U$9)*1000)</f>
        <v>33349.179166272595</v>
      </c>
      <c r="V42" s="45">
        <f>SUM('Statistics NZ'!V$42,$G$12/5*(V$8-V$9)*1000)*'Economic Forecasts'!X$9*1000000/SUM('Statistics NZ'!V$30:V$110,'Statistics NZ'!V$130:V$210,SUM($E$12:$T$13)*(V$8-V$9)*1000)</f>
        <v>32764.472071134467</v>
      </c>
      <c r="W42" s="45">
        <f>SUM('Statistics NZ'!W$42,$G$12/5*(W$8-W$9)*1000)*'Economic Forecasts'!Y$9*1000000/SUM('Statistics NZ'!W$30:W$110,'Statistics NZ'!W$130:W$210,SUM($E$12:$T$13)*(W$8-W$9)*1000)</f>
        <v>33761.14748109904</v>
      </c>
      <c r="X42" s="45">
        <f>SUM('Statistics NZ'!X$42,$G$12/5*(X$8-X$9)*1000)*'Economic Forecasts'!Z$9*1000000/SUM('Statistics NZ'!X$30:X$110,'Statistics NZ'!X$130:X$210,SUM($E$12:$T$13)*(X$8-X$9)*1000)</f>
        <v>33683.634980860697</v>
      </c>
      <c r="Y42" s="45">
        <f>SUM('Statistics NZ'!Y$42,$G$12/5*(Y$8-Y$9)*1000)*'Economic Forecasts'!AA$9*1000000/SUM('Statistics NZ'!Y$30:Y$110,'Statistics NZ'!Y$130:Y$210,SUM($E$12:$T$13)*(Y$8-Y$9)*1000)</f>
        <v>33007.644591168224</v>
      </c>
      <c r="Z42" s="46">
        <f>SUM(Y$42,'Statistics NZ'!Z$42-'Statistics NZ'!Y$42,$G$12/5*(Z$8-Z$9)*1000)</f>
        <v>33003.592725266477</v>
      </c>
      <c r="AA42" s="46">
        <f>SUM(Z$42,'Statistics NZ'!AA$42-'Statistics NZ'!Z$42,$G$12/5*(AA$8-AA$9)*1000)</f>
        <v>33968.879955576034</v>
      </c>
      <c r="AB42" s="46">
        <f>SUM(AA$42,'Statistics NZ'!AB$42-'Statistics NZ'!AA$42,$G$12/5*(AB$8-AB$9)*1000)</f>
        <v>34293.506282096896</v>
      </c>
      <c r="AC42" s="46">
        <f>SUM(AB$42,'Statistics NZ'!AC$42-'Statistics NZ'!AB$42,$G$12/5*(AC$8-AC$9)*1000)</f>
        <v>35237.471704829062</v>
      </c>
      <c r="AD42" s="46">
        <f>SUM(AC$42,'Statistics NZ'!AD$42-'Statistics NZ'!AC$42,$G$12/5*(AD$8-AD$9)*1000)</f>
        <v>36950.77622377254</v>
      </c>
      <c r="AE42" s="46">
        <f>SUM(AD$42,'Statistics NZ'!AE$42-'Statistics NZ'!AD$42,$G$12/5*(AE$8-AE$9)*1000)</f>
        <v>38213.419838927322</v>
      </c>
      <c r="AF42" s="46">
        <f>SUM(AE$42,'Statistics NZ'!AF$42-'Statistics NZ'!AE$42,$G$12/5*(AF$8-AF$9)*1000)</f>
        <v>38025.402550293409</v>
      </c>
      <c r="AG42" s="46">
        <f>SUM(AF$42,'Statistics NZ'!AG$42-'Statistics NZ'!AF$42,$G$12/5*(AG$8-AG$9)*1000)</f>
        <v>39086.7243578708</v>
      </c>
      <c r="AH42" s="46">
        <f>SUM(AG$42,'Statistics NZ'!AH$42-'Statistics NZ'!AG$42,$G$12/5*(AH$8-AH$9)*1000)</f>
        <v>38927.385261659496</v>
      </c>
      <c r="AI42" s="46">
        <f>SUM(AH$42,'Statistics NZ'!AI$42-'Statistics NZ'!AH$42,$G$12/5*(AI$8-AI$9)*1000)</f>
        <v>38797.385261659496</v>
      </c>
    </row>
    <row r="43" spans="1:35" x14ac:dyDescent="0.25">
      <c r="A43" s="11">
        <v>28</v>
      </c>
      <c r="B43" s="44">
        <f>'Statistics NZ'!B$43*'Economic Forecasts'!D$9*1000000/SUM('Statistics NZ'!B$30:B$110,'Statistics NZ'!B$130:B$210)</f>
        <v>25487.165991165904</v>
      </c>
      <c r="C43" s="44">
        <f>'Statistics NZ'!C$43*'Economic Forecasts'!E$9*1000000/SUM('Statistics NZ'!C$30:C$110,'Statistics NZ'!C$130:C$210)</f>
        <v>26612.412079602462</v>
      </c>
      <c r="D43" s="44">
        <f>'Statistics NZ'!D$43*'Economic Forecasts'!F$9*1000000/SUM('Statistics NZ'!D$30:D$110,'Statistics NZ'!D$130:D$210)</f>
        <v>26698.163032363918</v>
      </c>
      <c r="E43" s="44">
        <f>'Statistics NZ'!E$43*'Economic Forecasts'!G$9*1000000/SUM('Statistics NZ'!E$30:E$110,'Statistics NZ'!E$130:E$210)</f>
        <v>27008.541088480179</v>
      </c>
      <c r="F43" s="44">
        <f>'Statistics NZ'!F$43*'Economic Forecasts'!H$9*1000000/SUM('Statistics NZ'!F$30:F$110,'Statistics NZ'!F$130:F$210)</f>
        <v>27386.257120531242</v>
      </c>
      <c r="G43" s="44">
        <f>'Statistics NZ'!G$43*'Economic Forecasts'!I$9*1000000/SUM('Statistics NZ'!G$30:G$110,'Statistics NZ'!G$130:G$210)</f>
        <v>27846.70885565722</v>
      </c>
      <c r="H43" s="44">
        <f>'Statistics NZ'!H$43*'Economic Forecasts'!J$9*1000000/SUM('Statistics NZ'!H$30:H$110,'Statistics NZ'!H$130:H$210)</f>
        <v>27638.110783638302</v>
      </c>
      <c r="I43" s="44">
        <f>'Statistics NZ'!I$43*'Economic Forecasts'!K$9*1000000/SUM('Statistics NZ'!I$30:I$110,'Statistics NZ'!I$130:I$210)</f>
        <v>27734.257962080883</v>
      </c>
      <c r="J43" s="44">
        <f>'Statistics NZ'!J$43*'Economic Forecasts'!L$9*1000000/SUM('Statistics NZ'!J$30:J$110,'Statistics NZ'!J$130:J$210)</f>
        <v>28270.706625165752</v>
      </c>
      <c r="K43" s="44">
        <f>'Statistics NZ'!K$43*'Economic Forecasts'!M$9*1000000/SUM('Statistics NZ'!K$30:K$110,'Statistics NZ'!K$130:K$210)</f>
        <v>29695.468994535939</v>
      </c>
      <c r="L43" s="44">
        <f>'Statistics NZ'!L$43*'Economic Forecasts'!N$9*1000000/SUM('Statistics NZ'!L$30:L$110,'Statistics NZ'!L$130:L$210)</f>
        <v>32549.504025586419</v>
      </c>
      <c r="M43" s="44">
        <f>'Statistics NZ'!M$43*'Economic Forecasts'!O$9*1000000/SUM('Statistics NZ'!M$30:M$110,'Statistics NZ'!M$130:M$210)</f>
        <v>34086.043134291016</v>
      </c>
      <c r="N43" s="44">
        <f>'Statistics NZ'!N$43*'Economic Forecasts'!P$9*1000000/SUM('Statistics NZ'!N$30:N$110,'Statistics NZ'!N$130:N$210)</f>
        <v>36292.321212703646</v>
      </c>
      <c r="O43" s="44">
        <f>'Statistics NZ'!O$43*'Economic Forecasts'!Q$9*1000000/SUM('Statistics NZ'!O$30:O$110,'Statistics NZ'!O$130:O$210)</f>
        <v>37424.012467811372</v>
      </c>
      <c r="P43" s="44">
        <f>'Statistics NZ'!P$43*'Economic Forecasts'!R$9*1000000/SUM('Statistics NZ'!P$30:P$110,'Statistics NZ'!P$130:P$210)</f>
        <v>38156.918167312513</v>
      </c>
      <c r="Q43" s="44">
        <f>'Statistics NZ'!Q$43*'Economic Forecasts'!S$9*1000000/SUM('Statistics NZ'!Q$30:Q$110,'Statistics NZ'!Q$130:Q$210)</f>
        <v>36950.513229569166</v>
      </c>
      <c r="R43" s="44">
        <f>'Statistics NZ'!R$43*'Economic Forecasts'!T$9*1000000/SUM('Statistics NZ'!R$30:R$110,'Statistics NZ'!R$130:R$210)</f>
        <v>34844.042568525234</v>
      </c>
      <c r="S43" s="45">
        <f>SUM('Statistics NZ'!S$43,$G$12/5*(S$8-S$9)*1000)*'Economic Forecasts'!U$9*1000000/SUM('Statistics NZ'!S$30:S$110,'Statistics NZ'!S$130:S$210,SUM($E$12:$T$13)*(S$8-S$9)*1000)</f>
        <v>35942.122553859845</v>
      </c>
      <c r="T43" s="45">
        <f>SUM('Statistics NZ'!T$43,$G$12/5*(T$8-T$9)*1000)*'Economic Forecasts'!V$9*1000000/SUM('Statistics NZ'!T$30:T$110,'Statistics NZ'!T$130:T$210,SUM($E$12:$T$13)*(T$8-T$9)*1000)</f>
        <v>35215.684256078064</v>
      </c>
      <c r="U43" s="45">
        <f>SUM('Statistics NZ'!U$43,$G$12/5*(U$8-U$9)*1000)*'Economic Forecasts'!W$9*1000000/SUM('Statistics NZ'!U$30:U$110,'Statistics NZ'!U$130:U$210,SUM($E$12:$T$13)*(U$8-U$9)*1000)</f>
        <v>34247.903419498383</v>
      </c>
      <c r="V43" s="45">
        <f>SUM('Statistics NZ'!V$43,$G$12/5*(V$8-V$9)*1000)*'Economic Forecasts'!X$9*1000000/SUM('Statistics NZ'!V$30:V$110,'Statistics NZ'!V$130:V$210,SUM($E$12:$T$13)*(V$8-V$9)*1000)</f>
        <v>34018.428125289705</v>
      </c>
      <c r="W43" s="45">
        <f>SUM('Statistics NZ'!W$43,$G$12/5*(W$8-W$9)*1000)*'Economic Forecasts'!Y$9*1000000/SUM('Statistics NZ'!W$30:W$110,'Statistics NZ'!W$130:W$210,SUM($E$12:$T$13)*(W$8-W$9)*1000)</f>
        <v>33538.344330328189</v>
      </c>
      <c r="X43" s="45">
        <f>SUM('Statistics NZ'!X$43,$G$12/5*(X$8-X$9)*1000)*'Economic Forecasts'!Z$9*1000000/SUM('Statistics NZ'!X$30:X$110,'Statistics NZ'!X$130:X$210,SUM($E$12:$T$13)*(X$8-X$9)*1000)</f>
        <v>34546.158401577988</v>
      </c>
      <c r="Y43" s="45">
        <f>SUM('Statistics NZ'!Y$43,$G$12/5*(Y$8-Y$9)*1000)*'Economic Forecasts'!AA$9*1000000/SUM('Statistics NZ'!Y$30:Y$110,'Statistics NZ'!Y$130:Y$210,SUM($E$12:$T$13)*(Y$8-Y$9)*1000)</f>
        <v>34482.716596421778</v>
      </c>
      <c r="Z43" s="46">
        <f>SUM(Y$43,'Statistics NZ'!Z$43-'Statistics NZ'!Y$43,$G$12/5*(Z$8-Z$9)*1000)</f>
        <v>33998.664730520031</v>
      </c>
      <c r="AA43" s="46">
        <f>SUM(Z$43,'Statistics NZ'!AA$43-'Statistics NZ'!Z$43,$G$12/5*(AA$8-AA$9)*1000)</f>
        <v>33963.951960829589</v>
      </c>
      <c r="AB43" s="46">
        <f>SUM(AA$43,'Statistics NZ'!AB$43-'Statistics NZ'!AA$43,$G$12/5*(AB$8-AB$9)*1000)</f>
        <v>34898.57828735045</v>
      </c>
      <c r="AC43" s="46">
        <f>SUM(AB$43,'Statistics NZ'!AC$43-'Statistics NZ'!AB$43,$G$12/5*(AC$8-AC$9)*1000)</f>
        <v>35192.543710082617</v>
      </c>
      <c r="AD43" s="46">
        <f>SUM(AC$43,'Statistics NZ'!AD$43-'Statistics NZ'!AC$43,$G$12/5*(AD$8-AD$9)*1000)</f>
        <v>36115.848229026094</v>
      </c>
      <c r="AE43" s="46">
        <f>SUM(AD$43,'Statistics NZ'!AE$43-'Statistics NZ'!AD$43,$G$12/5*(AE$8-AE$9)*1000)</f>
        <v>37798.491844180877</v>
      </c>
      <c r="AF43" s="46">
        <f>SUM(AE$43,'Statistics NZ'!AF$43-'Statistics NZ'!AE$43,$G$12/5*(AF$8-AF$9)*1000)</f>
        <v>39020.474555546964</v>
      </c>
      <c r="AG43" s="46">
        <f>SUM(AF$43,'Statistics NZ'!AG$43-'Statistics NZ'!AF$43,$G$12/5*(AG$8-AG$9)*1000)</f>
        <v>38801.796363124355</v>
      </c>
      <c r="AH43" s="46">
        <f>SUM(AG$43,'Statistics NZ'!AH$43-'Statistics NZ'!AG$43,$G$12/5*(AH$8-AH$9)*1000)</f>
        <v>39842.45726691305</v>
      </c>
      <c r="AI43" s="46">
        <f>SUM(AH$43,'Statistics NZ'!AI$43-'Statistics NZ'!AH$43,$G$12/5*(AI$8-AI$9)*1000)</f>
        <v>39642.45726691305</v>
      </c>
    </row>
    <row r="44" spans="1:35" x14ac:dyDescent="0.25">
      <c r="A44" s="11">
        <v>29</v>
      </c>
      <c r="B44" s="44">
        <f>'Statistics NZ'!B$44*'Economic Forecasts'!D$9*1000000/SUM('Statistics NZ'!B$30:B$110,'Statistics NZ'!B$130:B$210)</f>
        <v>26230.745498009903</v>
      </c>
      <c r="C44" s="44">
        <f>'Statistics NZ'!C$44*'Economic Forecasts'!E$9*1000000/SUM('Statistics NZ'!C$30:C$110,'Statistics NZ'!C$130:C$210)</f>
        <v>26072.307775403893</v>
      </c>
      <c r="D44" s="44">
        <f>'Statistics NZ'!D$44*'Economic Forecasts'!F$9*1000000/SUM('Statistics NZ'!D$30:D$110,'Statistics NZ'!D$130:D$210)</f>
        <v>26953.553848714713</v>
      </c>
      <c r="E44" s="44">
        <f>'Statistics NZ'!E$44*'Economic Forecasts'!G$9*1000000/SUM('Statistics NZ'!E$30:E$110,'Statistics NZ'!E$130:E$210)</f>
        <v>27018.348111388121</v>
      </c>
      <c r="F44" s="44">
        <f>'Statistics NZ'!F$44*'Economic Forecasts'!H$9*1000000/SUM('Statistics NZ'!F$30:F$110,'Statistics NZ'!F$130:F$210)</f>
        <v>27278.359975715393</v>
      </c>
      <c r="G44" s="44">
        <f>'Statistics NZ'!G$44*'Economic Forecasts'!I$9*1000000/SUM('Statistics NZ'!G$30:G$110,'Statistics NZ'!G$130:G$210)</f>
        <v>27640.436938207909</v>
      </c>
      <c r="H44" s="44">
        <f>'Statistics NZ'!H$44*'Economic Forecasts'!J$9*1000000/SUM('Statistics NZ'!H$30:H$110,'Statistics NZ'!H$130:H$210)</f>
        <v>27873.914075073539</v>
      </c>
      <c r="I44" s="44">
        <f>'Statistics NZ'!I$44*'Economic Forecasts'!K$9*1000000/SUM('Statistics NZ'!I$30:I$110,'Statistics NZ'!I$130:I$210)</f>
        <v>27744.061517387385</v>
      </c>
      <c r="J44" s="44">
        <f>'Statistics NZ'!J$44*'Economic Forecasts'!L$9*1000000/SUM('Statistics NZ'!J$30:J$110,'Statistics NZ'!J$130:J$210)</f>
        <v>28524.255563508053</v>
      </c>
      <c r="K44" s="44">
        <f>'Statistics NZ'!K$44*'Economic Forecasts'!M$9*1000000/SUM('Statistics NZ'!K$30:K$110,'Statistics NZ'!K$130:K$210)</f>
        <v>29442.327291631693</v>
      </c>
      <c r="L44" s="44">
        <f>'Statistics NZ'!L$44*'Economic Forecasts'!N$9*1000000/SUM('Statistics NZ'!L$30:L$110,'Statistics NZ'!L$130:L$210)</f>
        <v>31157.16807713926</v>
      </c>
      <c r="M44" s="44">
        <f>'Statistics NZ'!M$44*'Economic Forecasts'!O$9*1000000/SUM('Statistics NZ'!M$30:M$110,'Statistics NZ'!M$130:M$210)</f>
        <v>34144.660577342242</v>
      </c>
      <c r="N44" s="44">
        <f>'Statistics NZ'!N$44*'Economic Forecasts'!P$9*1000000/SUM('Statistics NZ'!N$30:N$110,'Statistics NZ'!N$130:N$210)</f>
        <v>35313.827785561465</v>
      </c>
      <c r="O44" s="44">
        <f>'Statistics NZ'!O$44*'Economic Forecasts'!Q$9*1000000/SUM('Statistics NZ'!O$30:O$110,'Statistics NZ'!O$130:O$210)</f>
        <v>37473.060976943496</v>
      </c>
      <c r="P44" s="44">
        <f>'Statistics NZ'!P$44*'Economic Forecasts'!R$9*1000000/SUM('Statistics NZ'!P$30:P$110,'Statistics NZ'!P$130:P$210)</f>
        <v>38988.330124303429</v>
      </c>
      <c r="Q44" s="44">
        <f>'Statistics NZ'!Q$44*'Economic Forecasts'!S$9*1000000/SUM('Statistics NZ'!Q$30:Q$110,'Statistics NZ'!Q$130:Q$210)</f>
        <v>38312.471249248803</v>
      </c>
      <c r="R44" s="44">
        <f>'Statistics NZ'!R$44*'Economic Forecasts'!T$9*1000000/SUM('Statistics NZ'!R$30:R$110,'Statistics NZ'!R$130:R$210)</f>
        <v>36577.87109328081</v>
      </c>
      <c r="S44" s="45">
        <f>SUM('Statistics NZ'!S$44,$G$12/5*(S$8-S$9)*1000)*'Economic Forecasts'!U$9*1000000/SUM('Statistics NZ'!S$30:S$110,'Statistics NZ'!S$130:S$210,SUM($E$12:$T$13)*(S$8-S$9)*1000)</f>
        <v>36873.502361713283</v>
      </c>
      <c r="T44" s="45">
        <f>SUM('Statistics NZ'!T$44,$G$12/5*(T$8-T$9)*1000)*'Economic Forecasts'!V$9*1000000/SUM('Statistics NZ'!T$30:T$110,'Statistics NZ'!T$130:T$210,SUM($E$12:$T$13)*(T$8-T$9)*1000)</f>
        <v>36374.098531275959</v>
      </c>
      <c r="U44" s="45">
        <f>SUM('Statistics NZ'!U$44,$G$12/5*(U$8-U$9)*1000)*'Economic Forecasts'!W$9*1000000/SUM('Statistics NZ'!U$30:U$110,'Statistics NZ'!U$130:U$210,SUM($E$12:$T$13)*(U$8-U$9)*1000)</f>
        <v>35217.313849944163</v>
      </c>
      <c r="V44" s="45">
        <f>SUM('Statistics NZ'!V$44,$G$12/5*(V$8-V$9)*1000)*'Economic Forecasts'!X$9*1000000/SUM('Statistics NZ'!V$30:V$110,'Statistics NZ'!V$130:V$210,SUM($E$12:$T$13)*(V$8-V$9)*1000)</f>
        <v>34918.444970610799</v>
      </c>
      <c r="W44" s="45">
        <f>SUM('Statistics NZ'!W$44,$G$12/5*(W$8-W$9)*1000)*'Economic Forecasts'!Y$9*1000000/SUM('Statistics NZ'!W$30:W$110,'Statistics NZ'!W$130:W$210,SUM($E$12:$T$13)*(W$8-W$9)*1000)</f>
        <v>34794.143907400263</v>
      </c>
      <c r="X44" s="45">
        <f>SUM('Statistics NZ'!X$44,$G$12/5*(X$8-X$9)*1000)*'Economic Forecasts'!Z$9*1000000/SUM('Statistics NZ'!X$30:X$110,'Statistics NZ'!X$130:X$210,SUM($E$12:$T$13)*(X$8-X$9)*1000)</f>
        <v>34312.76971126625</v>
      </c>
      <c r="Y44" s="45">
        <f>SUM('Statistics NZ'!Y$44,$G$12/5*(Y$8-Y$9)*1000)*'Economic Forecasts'!AA$9*1000000/SUM('Statistics NZ'!Y$30:Y$110,'Statistics NZ'!Y$130:Y$210,SUM($E$12:$T$13)*(Y$8-Y$9)*1000)</f>
        <v>35327.068158049682</v>
      </c>
      <c r="Z44" s="46">
        <f>SUM(Y$44,'Statistics NZ'!Z$44-'Statistics NZ'!Y$44,$G$12/5*(Z$8-Z$9)*1000)</f>
        <v>35463.016292147935</v>
      </c>
      <c r="AA44" s="46">
        <f>SUM(Z$44,'Statistics NZ'!AA$44-'Statistics NZ'!Z$44,$G$12/5*(AA$8-AA$9)*1000)</f>
        <v>34948.303522457492</v>
      </c>
      <c r="AB44" s="46">
        <f>SUM(AA$44,'Statistics NZ'!AB$44-'Statistics NZ'!AA$44,$G$12/5*(AB$8-AB$9)*1000)</f>
        <v>34882.929848978354</v>
      </c>
      <c r="AC44" s="46">
        <f>SUM(AB$44,'Statistics NZ'!AC$44-'Statistics NZ'!AB$44,$G$12/5*(AC$8-AC$9)*1000)</f>
        <v>35786.89527171052</v>
      </c>
      <c r="AD44" s="46">
        <f>SUM(AC$44,'Statistics NZ'!AD$44-'Statistics NZ'!AC$44,$G$12/5*(AD$8-AD$9)*1000)</f>
        <v>36050.199790653998</v>
      </c>
      <c r="AE44" s="46">
        <f>SUM(AD$44,'Statistics NZ'!AE$44-'Statistics NZ'!AD$44,$G$12/5*(AE$8-AE$9)*1000)</f>
        <v>36942.843405808781</v>
      </c>
      <c r="AF44" s="46">
        <f>SUM(AE$44,'Statistics NZ'!AF$44-'Statistics NZ'!AE$44,$G$12/5*(AF$8-AF$9)*1000)</f>
        <v>38584.826117174867</v>
      </c>
      <c r="AG44" s="46">
        <f>SUM(AF$44,'Statistics NZ'!AG$44-'Statistics NZ'!AF$44,$G$12/5*(AG$8-AG$9)*1000)</f>
        <v>39786.147924752258</v>
      </c>
      <c r="AH44" s="46">
        <f>SUM(AG$44,'Statistics NZ'!AH$44-'Statistics NZ'!AG$44,$G$12/5*(AH$8-AH$9)*1000)</f>
        <v>39536.808828540954</v>
      </c>
      <c r="AI44" s="46">
        <f>SUM(AH$44,'Statistics NZ'!AI$44-'Statistics NZ'!AH$44,$G$12/5*(AI$8-AI$9)*1000)</f>
        <v>40546.808828540954</v>
      </c>
    </row>
    <row r="45" spans="1:35" x14ac:dyDescent="0.25">
      <c r="A45" s="11">
        <v>30</v>
      </c>
      <c r="B45" s="44">
        <f>'Statistics NZ'!B$45*'Economic Forecasts'!D$9*1000000/SUM('Statistics NZ'!B$30:B$110,'Statistics NZ'!B$130:B$210)</f>
        <v>26494.91190175711</v>
      </c>
      <c r="C45" s="44">
        <f>'Statistics NZ'!C$45*'Economic Forecasts'!E$9*1000000/SUM('Statistics NZ'!C$30:C$110,'Statistics NZ'!C$130:C$210)</f>
        <v>26769.533331732957</v>
      </c>
      <c r="D45" s="44">
        <f>'Statistics NZ'!D$45*'Economic Forecasts'!F$9*1000000/SUM('Statistics NZ'!D$30:D$110,'Statistics NZ'!D$130:D$210)</f>
        <v>26462.417663424727</v>
      </c>
      <c r="E45" s="44">
        <f>'Statistics NZ'!E$45*'Economic Forecasts'!G$9*1000000/SUM('Statistics NZ'!E$30:E$110,'Statistics NZ'!E$130:E$210)</f>
        <v>27371.400936074137</v>
      </c>
      <c r="F45" s="44">
        <f>'Statistics NZ'!F$45*'Economic Forecasts'!H$9*1000000/SUM('Statistics NZ'!F$30:F$110,'Statistics NZ'!F$130:F$210)</f>
        <v>27474.536602653297</v>
      </c>
      <c r="G45" s="44">
        <f>'Statistics NZ'!G$45*'Economic Forecasts'!I$9*1000000/SUM('Statistics NZ'!G$30:G$110,'Statistics NZ'!G$130:G$210)</f>
        <v>27424.342548499106</v>
      </c>
      <c r="H45" s="44">
        <f>'Statistics NZ'!H$45*'Economic Forecasts'!J$9*1000000/SUM('Statistics NZ'!H$30:H$110,'Statistics NZ'!H$130:H$210)</f>
        <v>27765.837566499056</v>
      </c>
      <c r="I45" s="44">
        <f>'Statistics NZ'!I$45*'Economic Forecasts'!K$9*1000000/SUM('Statistics NZ'!I$30:I$110,'Statistics NZ'!I$130:I$210)</f>
        <v>28067.578842501793</v>
      </c>
      <c r="J45" s="44">
        <f>'Statistics NZ'!J$45*'Economic Forecasts'!L$9*1000000/SUM('Statistics NZ'!J$30:J$110,'Statistics NZ'!J$130:J$210)</f>
        <v>28436.488623312642</v>
      </c>
      <c r="K45" s="44">
        <f>'Statistics NZ'!K$45*'Economic Forecasts'!M$9*1000000/SUM('Statistics NZ'!K$30:K$110,'Statistics NZ'!K$130:K$210)</f>
        <v>29559.161923741343</v>
      </c>
      <c r="L45" s="44">
        <f>'Statistics NZ'!L$45*'Economic Forecasts'!N$9*1000000/SUM('Statistics NZ'!L$30:L$110,'Statistics NZ'!L$130:L$210)</f>
        <v>30806.649936271446</v>
      </c>
      <c r="M45" s="44">
        <f>'Statistics NZ'!M$45*'Economic Forecasts'!O$9*1000000/SUM('Statistics NZ'!M$30:M$110,'Statistics NZ'!M$130:M$210)</f>
        <v>32532.680893433382</v>
      </c>
      <c r="N45" s="44">
        <f>'Statistics NZ'!N$45*'Economic Forecasts'!P$9*1000000/SUM('Statistics NZ'!N$30:N$110,'Statistics NZ'!N$130:N$210)</f>
        <v>35392.107259732838</v>
      </c>
      <c r="O45" s="44">
        <f>'Statistics NZ'!O$45*'Economic Forecasts'!Q$9*1000000/SUM('Statistics NZ'!O$30:O$110,'Statistics NZ'!O$130:O$210)</f>
        <v>36344.945266904622</v>
      </c>
      <c r="P45" s="44">
        <f>'Statistics NZ'!P$45*'Economic Forecasts'!R$9*1000000/SUM('Statistics NZ'!P$30:P$110,'Statistics NZ'!P$130:P$210)</f>
        <v>38743.797195776693</v>
      </c>
      <c r="Q45" s="44">
        <f>'Statistics NZ'!Q$45*'Economic Forecasts'!S$9*1000000/SUM('Statistics NZ'!Q$30:Q$110,'Statistics NZ'!Q$130:Q$210)</f>
        <v>39240.181784392895</v>
      </c>
      <c r="R45" s="44">
        <f>'Statistics NZ'!R$45*'Economic Forecasts'!T$9*1000000/SUM('Statistics NZ'!R$30:R$110,'Statistics NZ'!R$130:R$210)</f>
        <v>38026.011963389145</v>
      </c>
      <c r="S45" s="45">
        <f>SUM('Statistics NZ'!S$45,$H$12/5*(S$8-S$9)*1000)*'Economic Forecasts'!U$9*1000000/SUM('Statistics NZ'!S$30:S$110,'Statistics NZ'!S$130:S$210,SUM($E$12:$T$13)*(S$8-S$9)*1000)</f>
        <v>38605.766190847091</v>
      </c>
      <c r="T45" s="45">
        <f>SUM('Statistics NZ'!T$45,$H$12/5*(T$8-T$9)*1000)*'Economic Forecasts'!V$9*1000000/SUM('Statistics NZ'!T$30:T$110,'Statistics NZ'!T$130:T$210,SUM($E$12:$T$13)*(T$8-T$9)*1000)</f>
        <v>37326.851691282434</v>
      </c>
      <c r="U45" s="45">
        <f>SUM('Statistics NZ'!U$45,$H$12/5*(U$8-U$9)*1000)*'Economic Forecasts'!W$9*1000000/SUM('Statistics NZ'!U$30:U$110,'Statistics NZ'!U$130:U$210,SUM($E$12:$T$13)*(U$8-U$9)*1000)</f>
        <v>36362.180571313707</v>
      </c>
      <c r="V45" s="45">
        <f>SUM('Statistics NZ'!V$45,$H$12/5*(V$8-V$9)*1000)*'Economic Forecasts'!X$9*1000000/SUM('Statistics NZ'!V$30:V$110,'Statistics NZ'!V$130:V$210,SUM($E$12:$T$13)*(V$8-V$9)*1000)</f>
        <v>35861.876396390406</v>
      </c>
      <c r="W45" s="45">
        <f>SUM('Statistics NZ'!W$45,$H$12/5*(W$8-W$9)*1000)*'Economic Forecasts'!Y$9*1000000/SUM('Statistics NZ'!W$30:W$110,'Statistics NZ'!W$130:W$210,SUM($E$12:$T$13)*(W$8-W$9)*1000)</f>
        <v>35668.362798129434</v>
      </c>
      <c r="X45" s="45">
        <f>SUM('Statistics NZ'!X$45,$H$12/5*(X$8-X$9)*1000)*'Economic Forecasts'!Z$9*1000000/SUM('Statistics NZ'!X$30:X$110,'Statistics NZ'!X$130:X$210,SUM($E$12:$T$13)*(X$8-X$9)*1000)</f>
        <v>35543.954841291386</v>
      </c>
      <c r="Y45" s="45">
        <f>SUM('Statistics NZ'!Y$45,$H$12/5*(Y$8-Y$9)*1000)*'Economic Forecasts'!AA$9*1000000/SUM('Statistics NZ'!Y$30:Y$110,'Statistics NZ'!Y$130:Y$210,SUM($E$12:$T$13)*(Y$8-Y$9)*1000)</f>
        <v>35076.134125234443</v>
      </c>
      <c r="Z45" s="46">
        <f>SUM(Y$45,'Statistics NZ'!Z$45-'Statistics NZ'!Y$45,$H$12/5*(Z$8-Z$9)*1000)</f>
        <v>36265.080274576983</v>
      </c>
      <c r="AA45" s="46">
        <f>SUM(Z$45,'Statistics NZ'!AA$45-'Statistics NZ'!Z$45,$H$12/5*(AA$8-AA$9)*1000)</f>
        <v>36373.032407325911</v>
      </c>
      <c r="AB45" s="46">
        <f>SUM(AA$45,'Statistics NZ'!AB$45-'Statistics NZ'!AA$45,$H$12/5*(AB$8-AB$9)*1000)</f>
        <v>35829.990523481218</v>
      </c>
      <c r="AC45" s="46">
        <f>SUM(AB$45,'Statistics NZ'!AC$45-'Statistics NZ'!AB$45,$H$12/5*(AC$8-AC$9)*1000)</f>
        <v>35735.954623042911</v>
      </c>
      <c r="AD45" s="46">
        <f>SUM(AC$45,'Statistics NZ'!AD$45-'Statistics NZ'!AC$45,$H$12/5*(AD$8-AD$9)*1000)</f>
        <v>36610.924706010992</v>
      </c>
      <c r="AE45" s="46">
        <f>SUM(AD$45,'Statistics NZ'!AE$45-'Statistics NZ'!AD$45,$H$12/5*(AE$8-AE$9)*1000)</f>
        <v>36844.900772385452</v>
      </c>
      <c r="AF45" s="46">
        <f>SUM(AE$45,'Statistics NZ'!AF$45-'Statistics NZ'!AE$45,$H$12/5*(AF$8-AF$9)*1000)</f>
        <v>37707.882822166299</v>
      </c>
      <c r="AG45" s="46">
        <f>SUM(AF$45,'Statistics NZ'!AG$45-'Statistics NZ'!AF$45,$H$12/5*(AG$8-AG$9)*1000)</f>
        <v>39329.870855353533</v>
      </c>
      <c r="AH45" s="46">
        <f>SUM(AG$45,'Statistics NZ'!AH$45-'Statistics NZ'!AG$45,$H$12/5*(AH$8-AH$9)*1000)</f>
        <v>40490.864871947146</v>
      </c>
      <c r="AI45" s="46">
        <f>SUM(AH$45,'Statistics NZ'!AI$45-'Statistics NZ'!AH$45,$H$12/5*(AI$8-AI$9)*1000)</f>
        <v>40220.864871947146</v>
      </c>
    </row>
    <row r="46" spans="1:35" x14ac:dyDescent="0.25">
      <c r="A46" s="11">
        <v>31</v>
      </c>
      <c r="B46" s="44">
        <f>'Statistics NZ'!B$46*'Economic Forecasts'!D$9*1000000/SUM('Statistics NZ'!B$30:B$110,'Statistics NZ'!B$130:B$210)</f>
        <v>28050.558501601787</v>
      </c>
      <c r="C46" s="44">
        <f>'Statistics NZ'!C$46*'Economic Forecasts'!E$9*1000000/SUM('Statistics NZ'!C$30:C$110,'Statistics NZ'!C$130:C$210)</f>
        <v>27113.236070768413</v>
      </c>
      <c r="D46" s="44">
        <f>'Statistics NZ'!D$46*'Economic Forecasts'!F$9*1000000/SUM('Statistics NZ'!D$30:D$110,'Statistics NZ'!D$130:D$210)</f>
        <v>27100.894704301711</v>
      </c>
      <c r="E46" s="44">
        <f>'Statistics NZ'!E$46*'Economic Forecasts'!G$9*1000000/SUM('Statistics NZ'!E$30:E$110,'Statistics NZ'!E$130:E$210)</f>
        <v>26851.62872195306</v>
      </c>
      <c r="F46" s="44">
        <f>'Statistics NZ'!F$46*'Economic Forecasts'!H$9*1000000/SUM('Statistics NZ'!F$30:F$110,'Statistics NZ'!F$130:F$210)</f>
        <v>27690.33089228499</v>
      </c>
      <c r="G46" s="44">
        <f>'Statistics NZ'!G$46*'Economic Forecasts'!I$9*1000000/SUM('Statistics NZ'!G$30:G$110,'Statistics NZ'!G$130:G$210)</f>
        <v>27699.371771764854</v>
      </c>
      <c r="H46" s="44">
        <f>'Statistics NZ'!H$46*'Economic Forecasts'!J$9*1000000/SUM('Statistics NZ'!H$30:H$110,'Statistics NZ'!H$130:H$210)</f>
        <v>27539.859412206955</v>
      </c>
      <c r="I46" s="44">
        <f>'Statistics NZ'!I$46*'Economic Forecasts'!K$9*1000000/SUM('Statistics NZ'!I$30:I$110,'Statistics NZ'!I$130:I$210)</f>
        <v>27949.936178823824</v>
      </c>
      <c r="J46" s="44">
        <f>'Statistics NZ'!J$46*'Economic Forecasts'!L$9*1000000/SUM('Statistics NZ'!J$30:J$110,'Statistics NZ'!J$130:J$210)</f>
        <v>28582.766856971659</v>
      </c>
      <c r="K46" s="44">
        <f>'Statistics NZ'!K$46*'Economic Forecasts'!M$9*1000000/SUM('Statistics NZ'!K$30:K$110,'Statistics NZ'!K$130:K$210)</f>
        <v>29413.118633604281</v>
      </c>
      <c r="L46" s="44">
        <f>'Statistics NZ'!L$46*'Economic Forecasts'!N$9*1000000/SUM('Statistics NZ'!L$30:L$110,'Statistics NZ'!L$130:L$210)</f>
        <v>30923.489316560714</v>
      </c>
      <c r="M46" s="44">
        <f>'Statistics NZ'!M$46*'Economic Forecasts'!O$9*1000000/SUM('Statistics NZ'!M$30:M$110,'Statistics NZ'!M$130:M$210)</f>
        <v>32073.5109228654</v>
      </c>
      <c r="N46" s="44">
        <f>'Statistics NZ'!N$46*'Economic Forecasts'!P$9*1000000/SUM('Statistics NZ'!N$30:N$110,'Statistics NZ'!N$130:N$210)</f>
        <v>33640.604025148328</v>
      </c>
      <c r="O46" s="44">
        <f>'Statistics NZ'!O$46*'Economic Forecasts'!Q$9*1000000/SUM('Statistics NZ'!O$30:O$110,'Statistics NZ'!O$130:O$210)</f>
        <v>36384.184074210323</v>
      </c>
      <c r="P46" s="44">
        <f>'Statistics NZ'!P$46*'Economic Forecasts'!R$9*1000000/SUM('Statistics NZ'!P$30:P$110,'Statistics NZ'!P$130:P$210)</f>
        <v>37442.882016014424</v>
      </c>
      <c r="Q46" s="44">
        <f>'Statistics NZ'!Q$46*'Economic Forecasts'!S$9*1000000/SUM('Statistics NZ'!Q$30:Q$110,'Statistics NZ'!Q$130:Q$210)</f>
        <v>39082.273608198157</v>
      </c>
      <c r="R46" s="44">
        <f>'Statistics NZ'!R$46*'Economic Forecasts'!T$9*1000000/SUM('Statistics NZ'!R$30:R$110,'Statistics NZ'!R$130:R$210)</f>
        <v>38981.587911691939</v>
      </c>
      <c r="S46" s="45">
        <f>SUM('Statistics NZ'!S$46,$H$12/5*(S$8-S$9)*1000)*'Economic Forecasts'!U$9*1000000/SUM('Statistics NZ'!S$30:S$110,'Statistics NZ'!S$130:S$210,SUM($E$12:$T$13)*(S$8-S$9)*1000)</f>
        <v>40012.537775625715</v>
      </c>
      <c r="T46" s="45">
        <f>SUM('Statistics NZ'!T$46,$H$12/5*(T$8-T$9)*1000)*'Economic Forecasts'!V$9*1000000/SUM('Statistics NZ'!T$30:T$110,'Statistics NZ'!T$130:T$210,SUM($E$12:$T$13)*(T$8-T$9)*1000)</f>
        <v>39054.486774120669</v>
      </c>
      <c r="U46" s="45">
        <f>SUM('Statistics NZ'!U$46,$H$12/5*(U$8-U$9)*1000)*'Economic Forecasts'!W$9*1000000/SUM('Statistics NZ'!U$30:U$110,'Statistics NZ'!U$130:U$210,SUM($E$12:$T$13)*(U$8-U$9)*1000)</f>
        <v>37260.904824539481</v>
      </c>
      <c r="V46" s="45">
        <f>SUM('Statistics NZ'!V$46,$H$12/5*(V$8-V$9)*1000)*'Economic Forecasts'!X$9*1000000/SUM('Statistics NZ'!V$30:V$110,'Statistics NZ'!V$130:V$210,SUM($E$12:$T$13)*(V$8-V$9)*1000)</f>
        <v>36933.806571716654</v>
      </c>
      <c r="W46" s="45">
        <f>SUM('Statistics NZ'!W$46,$H$12/5*(W$8-W$9)*1000)*'Economic Forecasts'!Y$9*1000000/SUM('Statistics NZ'!W$30:W$110,'Statistics NZ'!W$130:W$210,SUM($E$12:$T$13)*(W$8-W$9)*1000)</f>
        <v>36539.320569324584</v>
      </c>
      <c r="X46" s="45">
        <f>SUM('Statistics NZ'!X$46,$H$12/5*(X$8-X$9)*1000)*'Economic Forecasts'!Z$9*1000000/SUM('Statistics NZ'!X$30:X$110,'Statistics NZ'!X$130:X$210,SUM($E$12:$T$13)*(X$8-X$9)*1000)</f>
        <v>36345.594255840399</v>
      </c>
      <c r="Y46" s="45">
        <f>SUM('Statistics NZ'!Y$46,$H$12/5*(Y$8-Y$9)*1000)*'Economic Forecasts'!AA$9*1000000/SUM('Statistics NZ'!Y$30:Y$110,'Statistics NZ'!Y$130:Y$210,SUM($E$12:$T$13)*(Y$8-Y$9)*1000)</f>
        <v>36235.845908675168</v>
      </c>
      <c r="Z46" s="46">
        <f>SUM(Y$46,'Statistics NZ'!Z$46-'Statistics NZ'!Y$46,$H$12/5*(Z$8-Z$9)*1000)</f>
        <v>35964.792058017709</v>
      </c>
      <c r="AA46" s="46">
        <f>SUM(Z$46,'Statistics NZ'!AA$46-'Statistics NZ'!Z$46,$H$12/5*(AA$8-AA$9)*1000)</f>
        <v>37122.744190766636</v>
      </c>
      <c r="AB46" s="46">
        <f>SUM(AA$46,'Statistics NZ'!AB$46-'Statistics NZ'!AA$46,$H$12/5*(AB$8-AB$9)*1000)</f>
        <v>37189.702306921943</v>
      </c>
      <c r="AC46" s="46">
        <f>SUM(AB$46,'Statistics NZ'!AC$46-'Statistics NZ'!AB$46,$H$12/5*(AC$8-AC$9)*1000)</f>
        <v>36625.666406483637</v>
      </c>
      <c r="AD46" s="46">
        <f>SUM(AC$46,'Statistics NZ'!AD$46-'Statistics NZ'!AC$46,$H$12/5*(AD$8-AD$9)*1000)</f>
        <v>36500.636489451717</v>
      </c>
      <c r="AE46" s="46">
        <f>SUM(AD$46,'Statistics NZ'!AE$46-'Statistics NZ'!AD$46,$H$12/5*(AE$8-AE$9)*1000)</f>
        <v>37344.612555826177</v>
      </c>
      <c r="AF46" s="46">
        <f>SUM(AE$46,'Statistics NZ'!AF$46-'Statistics NZ'!AE$46,$H$12/5*(AF$8-AF$9)*1000)</f>
        <v>37547.594605607024</v>
      </c>
      <c r="AG46" s="46">
        <f>SUM(AF$46,'Statistics NZ'!AG$46-'Statistics NZ'!AF$46,$H$12/5*(AG$8-AG$9)*1000)</f>
        <v>38379.582638794258</v>
      </c>
      <c r="AH46" s="46">
        <f>SUM(AG$46,'Statistics NZ'!AH$46-'Statistics NZ'!AG$46,$H$12/5*(AH$8-AH$9)*1000)</f>
        <v>39960.576655387871</v>
      </c>
      <c r="AI46" s="46">
        <f>SUM(AH$46,'Statistics NZ'!AI$46-'Statistics NZ'!AH$46,$H$12/5*(AI$8-AI$9)*1000)</f>
        <v>41100.576655387871</v>
      </c>
    </row>
    <row r="47" spans="1:35" x14ac:dyDescent="0.25">
      <c r="A47" s="11">
        <v>32</v>
      </c>
      <c r="B47" s="44">
        <f>'Statistics NZ'!B$47*'Economic Forecasts'!D$9*1000000/SUM('Statistics NZ'!B$30:B$110,'Statistics NZ'!B$130:B$210)</f>
        <v>29312.686875060674</v>
      </c>
      <c r="C47" s="44">
        <f>'Statistics NZ'!C$47*'Economic Forecasts'!E$9*1000000/SUM('Statistics NZ'!C$30:C$110,'Statistics NZ'!C$130:C$210)</f>
        <v>28468.40687039393</v>
      </c>
      <c r="D47" s="44">
        <f>'Statistics NZ'!D$47*'Economic Forecasts'!F$9*1000000/SUM('Statistics NZ'!D$30:D$110,'Statistics NZ'!D$130:D$210)</f>
        <v>27316.994625829306</v>
      </c>
      <c r="E47" s="44">
        <f>'Statistics NZ'!E$47*'Economic Forecasts'!G$9*1000000/SUM('Statistics NZ'!E$30:E$110,'Statistics NZ'!E$130:E$210)</f>
        <v>27243.909638270849</v>
      </c>
      <c r="F47" s="44">
        <f>'Statistics NZ'!F$47*'Economic Forecasts'!H$9*1000000/SUM('Statistics NZ'!F$30:F$110,'Statistics NZ'!F$130:F$210)</f>
        <v>26993.903866655433</v>
      </c>
      <c r="G47" s="44">
        <f>'Statistics NZ'!G$47*'Economic Forecasts'!I$9*1000000/SUM('Statistics NZ'!G$30:G$110,'Statistics NZ'!G$130:G$210)</f>
        <v>27797.596494359765</v>
      </c>
      <c r="H47" s="44">
        <f>'Statistics NZ'!H$47*'Economic Forecasts'!J$9*1000000/SUM('Statistics NZ'!H$30:H$110,'Statistics NZ'!H$130:H$210)</f>
        <v>27647.935920781438</v>
      </c>
      <c r="I47" s="44">
        <f>'Statistics NZ'!I$47*'Economic Forecasts'!K$9*1000000/SUM('Statistics NZ'!I$30:I$110,'Statistics NZ'!I$130:I$210)</f>
        <v>27459.758413498956</v>
      </c>
      <c r="J47" s="44">
        <f>'Statistics NZ'!J$47*'Economic Forecasts'!L$9*1000000/SUM('Statistics NZ'!J$30:J$110,'Statistics NZ'!J$130:J$210)</f>
        <v>28280.458507409694</v>
      </c>
      <c r="K47" s="44">
        <f>'Statistics NZ'!K$47*'Economic Forecasts'!M$9*1000000/SUM('Statistics NZ'!K$30:K$110,'Statistics NZ'!K$130:K$210)</f>
        <v>29208.658027412395</v>
      </c>
      <c r="L47" s="44">
        <f>'Statistics NZ'!L$47*'Economic Forecasts'!N$9*1000000/SUM('Statistics NZ'!L$30:L$110,'Statistics NZ'!L$130:L$210)</f>
        <v>30446.395180379521</v>
      </c>
      <c r="M47" s="44">
        <f>'Statistics NZ'!M$47*'Economic Forecasts'!O$9*1000000/SUM('Statistics NZ'!M$30:M$110,'Statistics NZ'!M$130:M$210)</f>
        <v>32034.432627497914</v>
      </c>
      <c r="N47" s="44">
        <f>'Statistics NZ'!N$47*'Economic Forecasts'!P$9*1000000/SUM('Statistics NZ'!N$30:N$110,'Statistics NZ'!N$130:N$210)</f>
        <v>33161.142245848656</v>
      </c>
      <c r="O47" s="44">
        <f>'Statistics NZ'!O$47*'Economic Forecasts'!Q$9*1000000/SUM('Statistics NZ'!O$30:O$110,'Statistics NZ'!O$130:O$210)</f>
        <v>34441.863112578176</v>
      </c>
      <c r="P47" s="44">
        <f>'Statistics NZ'!P$47*'Economic Forecasts'!R$9*1000000/SUM('Statistics NZ'!P$30:P$110,'Statistics NZ'!P$130:P$210)</f>
        <v>37345.068844603738</v>
      </c>
      <c r="Q47" s="44">
        <f>'Statistics NZ'!Q$47*'Economic Forecasts'!S$9*1000000/SUM('Statistics NZ'!Q$30:Q$110,'Statistics NZ'!Q$130:Q$210)</f>
        <v>37838.746720664582</v>
      </c>
      <c r="R47" s="44">
        <f>'Statistics NZ'!R$47*'Economic Forecasts'!T$9*1000000/SUM('Statistics NZ'!R$30:R$110,'Statistics NZ'!R$130:R$210)</f>
        <v>38814.115838278049</v>
      </c>
      <c r="S47" s="45">
        <f>SUM('Statistics NZ'!S$47,$H$12/5*(S$8-S$9)*1000)*'Economic Forecasts'!U$9*1000000/SUM('Statistics NZ'!S$30:S$110,'Statistics NZ'!S$130:S$210,SUM($E$12:$T$13)*(S$8-S$9)*1000)</f>
        <v>40905.110091485258</v>
      </c>
      <c r="T47" s="45">
        <f>SUM('Statistics NZ'!T$47,$H$12/5*(T$8-T$9)*1000)*'Economic Forecasts'!V$9*1000000/SUM('Statistics NZ'!T$30:T$110,'Statistics NZ'!T$130:T$210,SUM($E$12:$T$13)*(T$8-T$9)*1000)</f>
        <v>40442.586638366418</v>
      </c>
      <c r="U47" s="45">
        <f>SUM('Statistics NZ'!U$47,$H$12/5*(U$8-U$9)*1000)*'Economic Forecasts'!W$9*1000000/SUM('Statistics NZ'!U$30:U$110,'Statistics NZ'!U$130:U$210,SUM($E$12:$T$13)*(U$8-U$9)*1000)</f>
        <v>38937.177027185324</v>
      </c>
      <c r="V47" s="45">
        <f>SUM('Statistics NZ'!V$47,$H$12/5*(V$8-V$9)*1000)*'Economic Forecasts'!X$9*1000000/SUM('Statistics NZ'!V$30:V$110,'Statistics NZ'!V$130:V$210,SUM($E$12:$T$13)*(V$8-V$9)*1000)</f>
        <v>37752.923026447083</v>
      </c>
      <c r="W47" s="45">
        <f>SUM('Statistics NZ'!W$47,$H$12/5*(W$8-W$9)*1000)*'Economic Forecasts'!Y$9*1000000/SUM('Statistics NZ'!W$30:W$110,'Statistics NZ'!W$130:W$210,SUM($E$12:$T$13)*(W$8-W$9)*1000)</f>
        <v>37531.80733184929</v>
      </c>
      <c r="X47" s="45">
        <f>SUM('Statistics NZ'!X$47,$H$12/5*(X$8-X$9)*1000)*'Economic Forecasts'!Z$9*1000000/SUM('Statistics NZ'!X$30:X$110,'Statistics NZ'!X$130:X$210,SUM($E$12:$T$13)*(X$8-X$9)*1000)</f>
        <v>37137.086336028035</v>
      </c>
      <c r="Y47" s="45">
        <f>SUM('Statistics NZ'!Y$47,$H$12/5*(Y$8-Y$9)*1000)*'Economic Forecasts'!AA$9*1000000/SUM('Statistics NZ'!Y$30:Y$110,'Statistics NZ'!Y$130:Y$210,SUM($E$12:$T$13)*(Y$8-Y$9)*1000)</f>
        <v>36958.122545730359</v>
      </c>
      <c r="Z47" s="46">
        <f>SUM(Y$47,'Statistics NZ'!Z$47-'Statistics NZ'!Y$47,$H$12/5*(Z$8-Z$9)*1000)</f>
        <v>37037.0686950729</v>
      </c>
      <c r="AA47" s="46">
        <f>SUM(Z$47,'Statistics NZ'!AA$47-'Statistics NZ'!Z$47,$H$12/5*(AA$8-AA$9)*1000)</f>
        <v>36735.020827821827</v>
      </c>
      <c r="AB47" s="46">
        <f>SUM(AA$47,'Statistics NZ'!AB$47-'Statistics NZ'!AA$47,$H$12/5*(AB$8-AB$9)*1000)</f>
        <v>37861.978943977134</v>
      </c>
      <c r="AC47" s="46">
        <f>SUM(AB$47,'Statistics NZ'!AC$47-'Statistics NZ'!AB$47,$H$12/5*(AC$8-AC$9)*1000)</f>
        <v>37897.943043538828</v>
      </c>
      <c r="AD47" s="46">
        <f>SUM(AC$47,'Statistics NZ'!AD$47-'Statistics NZ'!AC$47,$H$12/5*(AD$8-AD$9)*1000)</f>
        <v>37302.913126506908</v>
      </c>
      <c r="AE47" s="46">
        <f>SUM(AD$47,'Statistics NZ'!AE$47-'Statistics NZ'!AD$47,$H$12/5*(AE$8-AE$9)*1000)</f>
        <v>37146.889192881368</v>
      </c>
      <c r="AF47" s="46">
        <f>SUM(AE$47,'Statistics NZ'!AF$47-'Statistics NZ'!AE$47,$H$12/5*(AF$8-AF$9)*1000)</f>
        <v>37959.871242662215</v>
      </c>
      <c r="AG47" s="46">
        <f>SUM(AF$47,'Statistics NZ'!AG$47-'Statistics NZ'!AF$47,$H$12/5*(AG$8-AG$9)*1000)</f>
        <v>38131.859275849449</v>
      </c>
      <c r="AH47" s="46">
        <f>SUM(AG$47,'Statistics NZ'!AH$47-'Statistics NZ'!AG$47,$H$12/5*(AH$8-AH$9)*1000)</f>
        <v>38932.853292443062</v>
      </c>
      <c r="AI47" s="46">
        <f>SUM(AH$47,'Statistics NZ'!AI$47-'Statistics NZ'!AH$47,$H$12/5*(AI$8-AI$9)*1000)</f>
        <v>40482.853292443062</v>
      </c>
    </row>
    <row r="48" spans="1:35" x14ac:dyDescent="0.25">
      <c r="A48" s="11">
        <v>33</v>
      </c>
      <c r="B48" s="44">
        <f>'Statistics NZ'!B$48*'Economic Forecasts'!D$9*1000000/SUM('Statistics NZ'!B$30:B$110,'Statistics NZ'!B$130:B$210)</f>
        <v>30565.031307640034</v>
      </c>
      <c r="C48" s="44">
        <f>'Statistics NZ'!C$48*'Economic Forecasts'!E$9*1000000/SUM('Statistics NZ'!C$30:C$110,'Statistics NZ'!C$130:C$210)</f>
        <v>29735.196965696043</v>
      </c>
      <c r="D48" s="44">
        <f>'Statistics NZ'!D$48*'Economic Forecasts'!F$9*1000000/SUM('Statistics NZ'!D$30:D$110,'Statistics NZ'!D$130:D$210)</f>
        <v>28682.353220935485</v>
      </c>
      <c r="E48" s="44">
        <f>'Statistics NZ'!E$48*'Economic Forecasts'!G$9*1000000/SUM('Statistics NZ'!E$30:E$110,'Statistics NZ'!E$130:E$210)</f>
        <v>27420.436050613862</v>
      </c>
      <c r="F48" s="44">
        <f>'Statistics NZ'!F$48*'Economic Forecasts'!H$9*1000000/SUM('Statistics NZ'!F$30:F$110,'Statistics NZ'!F$130:F$210)</f>
        <v>27445.110108612611</v>
      </c>
      <c r="G48" s="44">
        <f>'Statistics NZ'!G$48*'Economic Forecasts'!I$9*1000000/SUM('Statistics NZ'!G$30:G$110,'Statistics NZ'!G$130:G$210)</f>
        <v>27060.911074897933</v>
      </c>
      <c r="H48" s="44">
        <f>'Statistics NZ'!H$48*'Economic Forecasts'!J$9*1000000/SUM('Statistics NZ'!H$30:H$110,'Statistics NZ'!H$130:H$210)</f>
        <v>27795.312977928461</v>
      </c>
      <c r="I48" s="44">
        <f>'Statistics NZ'!I$48*'Economic Forecasts'!K$9*1000000/SUM('Statistics NZ'!I$30:I$110,'Statistics NZ'!I$130:I$210)</f>
        <v>27587.204632483426</v>
      </c>
      <c r="J48" s="44">
        <f>'Statistics NZ'!J$48*'Economic Forecasts'!L$9*1000000/SUM('Statistics NZ'!J$30:J$110,'Statistics NZ'!J$130:J$210)</f>
        <v>27870.879453164445</v>
      </c>
      <c r="K48" s="44">
        <f>'Statistics NZ'!K$48*'Economic Forecasts'!M$9*1000000/SUM('Statistics NZ'!K$30:K$110,'Statistics NZ'!K$130:K$210)</f>
        <v>28955.516324508153</v>
      </c>
      <c r="L48" s="44">
        <f>'Statistics NZ'!L$48*'Economic Forecasts'!N$9*1000000/SUM('Statistics NZ'!L$30:L$110,'Statistics NZ'!L$130:L$210)</f>
        <v>30086.140424487599</v>
      </c>
      <c r="M48" s="44">
        <f>'Statistics NZ'!M$48*'Economic Forecasts'!O$9*1000000/SUM('Statistics NZ'!M$30:M$110,'Statistics NZ'!M$130:M$210)</f>
        <v>31487.33649235309</v>
      </c>
      <c r="N48" s="44">
        <f>'Statistics NZ'!N$48*'Economic Forecasts'!P$9*1000000/SUM('Statistics NZ'!N$30:N$110,'Statistics NZ'!N$130:N$210)</f>
        <v>32799.099677806043</v>
      </c>
      <c r="O48" s="44">
        <f>'Statistics NZ'!O$48*'Economic Forecasts'!Q$9*1000000/SUM('Statistics NZ'!O$30:O$110,'Statistics NZ'!O$130:O$210)</f>
        <v>33823.851897513399</v>
      </c>
      <c r="P48" s="44">
        <f>'Statistics NZ'!P$48*'Economic Forecasts'!R$9*1000000/SUM('Statistics NZ'!P$30:P$110,'Statistics NZ'!P$130:P$210)</f>
        <v>35154.053805004143</v>
      </c>
      <c r="Q48" s="44">
        <f>'Statistics NZ'!Q$48*'Economic Forecasts'!S$9*1000000/SUM('Statistics NZ'!Q$30:Q$110,'Statistics NZ'!Q$130:Q$210)</f>
        <v>37740.054110542864</v>
      </c>
      <c r="R48" s="44">
        <f>'Statistics NZ'!R$48*'Economic Forecasts'!T$9*1000000/SUM('Statistics NZ'!R$30:R$110,'Statistics NZ'!R$130:R$210)</f>
        <v>37631.960025944703</v>
      </c>
      <c r="S48" s="45">
        <f>SUM('Statistics NZ'!S$48,$H$12/5*(S$8-S$9)*1000)*'Economic Forecasts'!U$9*1000000/SUM('Statistics NZ'!S$30:S$110,'Statistics NZ'!S$130:S$210,SUM($E$12:$T$13)*(S$8-S$9)*1000)</f>
        <v>40701.370758517325</v>
      </c>
      <c r="T48" s="45">
        <f>SUM('Statistics NZ'!T$48,$H$12/5*(T$8-T$9)*1000)*'Economic Forecasts'!V$9*1000000/SUM('Statistics NZ'!T$30:T$110,'Statistics NZ'!T$130:T$210,SUM($E$12:$T$13)*(T$8-T$9)*1000)</f>
        <v>41301.411014806225</v>
      </c>
      <c r="U48" s="45">
        <f>SUM('Statistics NZ'!U$48,$H$12/5*(U$8-U$9)*1000)*'Economic Forecasts'!W$9*1000000/SUM('Statistics NZ'!U$30:U$110,'Statistics NZ'!U$130:U$210,SUM($E$12:$T$13)*(U$8-U$9)*1000)</f>
        <v>40270.116369048272</v>
      </c>
      <c r="V48" s="45">
        <f>SUM('Statistics NZ'!V$48,$H$12/5*(V$8-V$9)*1000)*'Economic Forecasts'!X$9*1000000/SUM('Statistics NZ'!V$30:V$110,'Statistics NZ'!V$130:V$210,SUM($E$12:$T$13)*(V$8-V$9)*1000)</f>
        <v>39340.593191788794</v>
      </c>
      <c r="W48" s="45">
        <f>SUM('Statistics NZ'!W$48,$H$12/5*(W$8-W$9)*1000)*'Economic Forecasts'!Y$9*1000000/SUM('Statistics NZ'!W$30:W$110,'Statistics NZ'!W$130:W$210,SUM($E$12:$T$13)*(W$8-W$9)*1000)</f>
        <v>38260.981279826628</v>
      </c>
      <c r="X48" s="45">
        <f>SUM('Statistics NZ'!X$48,$H$12/5*(X$8-X$9)*1000)*'Economic Forecasts'!Z$9*1000000/SUM('Statistics NZ'!X$30:X$110,'Statistics NZ'!X$130:X$210,SUM($E$12:$T$13)*(X$8-X$9)*1000)</f>
        <v>38040.199094190852</v>
      </c>
      <c r="Y48" s="45">
        <f>SUM('Statistics NZ'!Y$48,$H$12/5*(Y$8-Y$9)*1000)*'Economic Forecasts'!AA$9*1000000/SUM('Statistics NZ'!Y$30:Y$110,'Statistics NZ'!Y$130:Y$210,SUM($E$12:$T$13)*(Y$8-Y$9)*1000)</f>
        <v>37649.88045164237</v>
      </c>
      <c r="Z48" s="46">
        <f>SUM(Y$48,'Statistics NZ'!Z$48-'Statistics NZ'!Y$48,$H$12/5*(Z$8-Z$9)*1000)</f>
        <v>37658.82660098491</v>
      </c>
      <c r="AA48" s="46">
        <f>SUM(Z$48,'Statistics NZ'!AA$48-'Statistics NZ'!Z$48,$H$12/5*(AA$8-AA$9)*1000)</f>
        <v>37706.778733733838</v>
      </c>
      <c r="AB48" s="46">
        <f>SUM(AA$48,'Statistics NZ'!AB$48-'Statistics NZ'!AA$48,$H$12/5*(AB$8-AB$9)*1000)</f>
        <v>37383.736849889145</v>
      </c>
      <c r="AC48" s="46">
        <f>SUM(AB$48,'Statistics NZ'!AC$48-'Statistics NZ'!AB$48,$H$12/5*(AC$8-AC$9)*1000)</f>
        <v>38479.700949450838</v>
      </c>
      <c r="AD48" s="46">
        <f>SUM(AC$48,'Statistics NZ'!AD$48-'Statistics NZ'!AC$48,$H$12/5*(AD$8-AD$9)*1000)</f>
        <v>38484.671032418919</v>
      </c>
      <c r="AE48" s="46">
        <f>SUM(AD$48,'Statistics NZ'!AE$48-'Statistics NZ'!AD$48,$H$12/5*(AE$8-AE$9)*1000)</f>
        <v>37858.647098793379</v>
      </c>
      <c r="AF48" s="46">
        <f>SUM(AE$48,'Statistics NZ'!AF$48-'Statistics NZ'!AE$48,$H$12/5*(AF$8-AF$9)*1000)</f>
        <v>37671.629148574226</v>
      </c>
      <c r="AG48" s="46">
        <f>SUM(AF$48,'Statistics NZ'!AG$48-'Statistics NZ'!AF$48,$H$12/5*(AG$8-AG$9)*1000)</f>
        <v>38453.61718176146</v>
      </c>
      <c r="AH48" s="46">
        <f>SUM(AG$48,'Statistics NZ'!AH$48-'Statistics NZ'!AG$48,$H$12/5*(AH$8-AH$9)*1000)</f>
        <v>38594.611198355073</v>
      </c>
      <c r="AI48" s="46">
        <f>SUM(AH$48,'Statistics NZ'!AI$48-'Statistics NZ'!AH$48,$H$12/5*(AI$8-AI$9)*1000)</f>
        <v>39354.611198355073</v>
      </c>
    </row>
    <row r="49" spans="1:35" x14ac:dyDescent="0.25">
      <c r="A49" s="11">
        <v>34</v>
      </c>
      <c r="B49" s="44">
        <f>'Statistics NZ'!B$49*'Economic Forecasts'!D$9*1000000/SUM('Statistics NZ'!B$30:B$110,'Statistics NZ'!B$130:B$210)</f>
        <v>32032.622439568968</v>
      </c>
      <c r="C49" s="44">
        <f>'Statistics NZ'!C$49*'Economic Forecasts'!E$9*1000000/SUM('Statistics NZ'!C$30:C$110,'Statistics NZ'!C$130:C$210)</f>
        <v>30952.886669707368</v>
      </c>
      <c r="D49" s="44">
        <f>'Statistics NZ'!D$49*'Economic Forecasts'!F$9*1000000/SUM('Statistics NZ'!D$30:D$110,'Statistics NZ'!D$130:D$210)</f>
        <v>29969.130026395258</v>
      </c>
      <c r="E49" s="44">
        <f>'Statistics NZ'!E$49*'Economic Forecasts'!G$9*1000000/SUM('Statistics NZ'!E$30:E$110,'Statistics NZ'!E$130:E$210)</f>
        <v>28852.261395173809</v>
      </c>
      <c r="F49" s="44">
        <f>'Statistics NZ'!F$49*'Economic Forecasts'!H$9*1000000/SUM('Statistics NZ'!F$30:F$110,'Statistics NZ'!F$130:F$210)</f>
        <v>27621.669072856723</v>
      </c>
      <c r="G49" s="44">
        <f>'Statistics NZ'!G$49*'Economic Forecasts'!I$9*1000000/SUM('Statistics NZ'!G$30:G$110,'Statistics NZ'!G$130:G$210)</f>
        <v>27532.389743353506</v>
      </c>
      <c r="H49" s="44">
        <f>'Statistics NZ'!H$49*'Economic Forecasts'!J$9*1000000/SUM('Statistics NZ'!H$30:H$110,'Statistics NZ'!H$130:H$210)</f>
        <v>27078.077966479617</v>
      </c>
      <c r="I49" s="44">
        <f>'Statistics NZ'!I$49*'Economic Forecasts'!K$9*1000000/SUM('Statistics NZ'!I$30:I$110,'Statistics NZ'!I$130:I$210)</f>
        <v>27734.257962080883</v>
      </c>
      <c r="J49" s="44">
        <f>'Statistics NZ'!J$49*'Economic Forecasts'!L$9*1000000/SUM('Statistics NZ'!J$30:J$110,'Statistics NZ'!J$130:J$210)</f>
        <v>27880.631335408383</v>
      </c>
      <c r="K49" s="44">
        <f>'Statistics NZ'!K$49*'Economic Forecasts'!M$9*1000000/SUM('Statistics NZ'!K$30:K$110,'Statistics NZ'!K$130:K$210)</f>
        <v>28468.705357384617</v>
      </c>
      <c r="L49" s="44">
        <f>'Statistics NZ'!L$49*'Economic Forecasts'!N$9*1000000/SUM('Statistics NZ'!L$30:L$110,'Statistics NZ'!L$130:L$210)</f>
        <v>29716.149053571567</v>
      </c>
      <c r="M49" s="44">
        <f>'Statistics NZ'!M$49*'Economic Forecasts'!O$9*1000000/SUM('Statistics NZ'!M$30:M$110,'Statistics NZ'!M$130:M$210)</f>
        <v>30989.088226417625</v>
      </c>
      <c r="N49" s="44">
        <f>'Statistics NZ'!N$49*'Economic Forecasts'!P$9*1000000/SUM('Statistics NZ'!N$30:N$110,'Statistics NZ'!N$130:N$210)</f>
        <v>32348.99270132064</v>
      </c>
      <c r="O49" s="44">
        <f>'Statistics NZ'!O$49*'Economic Forecasts'!Q$9*1000000/SUM('Statistics NZ'!O$30:O$110,'Statistics NZ'!O$130:O$210)</f>
        <v>33500.131737241376</v>
      </c>
      <c r="P49" s="44">
        <f>'Statistics NZ'!P$49*'Economic Forecasts'!R$9*1000000/SUM('Statistics NZ'!P$30:P$110,'Statistics NZ'!P$130:P$210)</f>
        <v>34508.486873693553</v>
      </c>
      <c r="Q49" s="44">
        <f>'Statistics NZ'!Q$49*'Economic Forecasts'!S$9*1000000/SUM('Statistics NZ'!Q$30:Q$110,'Statistics NZ'!Q$130:Q$210)</f>
        <v>35558.947426853018</v>
      </c>
      <c r="R49" s="44">
        <f>'Statistics NZ'!R$49*'Economic Forecasts'!T$9*1000000/SUM('Statistics NZ'!R$30:R$110,'Statistics NZ'!R$130:R$210)</f>
        <v>37572.852235328042</v>
      </c>
      <c r="S49" s="45">
        <f>SUM('Statistics NZ'!S$49,$H$12/5*(S$8-S$9)*1000)*'Economic Forecasts'!U$9*1000000/SUM('Statistics NZ'!S$30:S$110,'Statistics NZ'!S$130:S$210,SUM($E$12:$T$13)*(S$8-S$9)*1000)</f>
        <v>39488.636633708156</v>
      </c>
      <c r="T49" s="45">
        <f>SUM('Statistics NZ'!T$49,$H$12/5*(T$8-T$9)*1000)*'Economic Forecasts'!V$9*1000000/SUM('Statistics NZ'!T$30:T$110,'Statistics NZ'!T$130:T$210,SUM($E$12:$T$13)*(T$8-T$9)*1000)</f>
        <v>41041.766435882571</v>
      </c>
      <c r="U49" s="45">
        <f>SUM('Statistics NZ'!U$49,$H$12/5*(U$8-U$9)*1000)*'Economic Forecasts'!W$9*1000000/SUM('Statistics NZ'!U$30:U$110,'Statistics NZ'!U$130:U$210,SUM($E$12:$T$13)*(U$8-U$9)*1000)</f>
        <v>41088.056419736895</v>
      </c>
      <c r="V49" s="45">
        <f>SUM('Statistics NZ'!V$49,$H$12/5*(V$8-V$9)*1000)*'Economic Forecasts'!X$9*1000000/SUM('Statistics NZ'!V$30:V$110,'Statistics NZ'!V$130:V$210,SUM($E$12:$T$13)*(V$8-V$9)*1000)</f>
        <v>40614.774343591693</v>
      </c>
      <c r="W49" s="45">
        <f>SUM('Statistics NZ'!W$49,$H$12/5*(W$8-W$9)*1000)*'Economic Forecasts'!Y$9*1000000/SUM('Statistics NZ'!W$30:W$110,'Statistics NZ'!W$130:W$210,SUM($E$12:$T$13)*(W$8-W$9)*1000)</f>
        <v>39790.2210873902</v>
      </c>
      <c r="X49" s="45">
        <f>SUM('Statistics NZ'!X$49,$H$12/5*(X$8-X$9)*1000)*'Economic Forecasts'!Z$9*1000000/SUM('Statistics NZ'!X$30:X$110,'Statistics NZ'!X$130:X$210,SUM($E$12:$T$13)*(X$8-X$9)*1000)</f>
        <v>38709.923162041916</v>
      </c>
      <c r="Y49" s="45">
        <f>SUM('Statistics NZ'!Y$49,$H$12/5*(Y$8-Y$9)*1000)*'Economic Forecasts'!AA$9*1000000/SUM('Statistics NZ'!Y$30:Y$110,'Statistics NZ'!Y$130:Y$210,SUM($E$12:$T$13)*(Y$8-Y$9)*1000)</f>
        <v>38504.404923651324</v>
      </c>
      <c r="Z49" s="46">
        <f>SUM(Y$49,'Statistics NZ'!Z$49-'Statistics NZ'!Y$49,$H$12/5*(Z$8-Z$9)*1000)</f>
        <v>38303.351072993864</v>
      </c>
      <c r="AA49" s="46">
        <f>SUM(Z$49,'Statistics NZ'!AA$49-'Statistics NZ'!Z$49,$H$12/5*(AA$8-AA$9)*1000)</f>
        <v>38291.303205742792</v>
      </c>
      <c r="AB49" s="46">
        <f>SUM(AA$49,'Statistics NZ'!AB$49-'Statistics NZ'!AA$49,$H$12/5*(AB$8-AB$9)*1000)</f>
        <v>38308.261321898099</v>
      </c>
      <c r="AC49" s="46">
        <f>SUM(AB$49,'Statistics NZ'!AC$49-'Statistics NZ'!AB$49,$H$12/5*(AC$8-AC$9)*1000)</f>
        <v>37944.225421459792</v>
      </c>
      <c r="AD49" s="46">
        <f>SUM(AC$49,'Statistics NZ'!AD$49-'Statistics NZ'!AC$49,$H$12/5*(AD$8-AD$9)*1000)</f>
        <v>39009.195504427873</v>
      </c>
      <c r="AE49" s="46">
        <f>SUM(AD$49,'Statistics NZ'!AE$49-'Statistics NZ'!AD$49,$H$12/5*(AE$8-AE$9)*1000)</f>
        <v>38993.171570802333</v>
      </c>
      <c r="AF49" s="46">
        <f>SUM(AE$49,'Statistics NZ'!AF$49-'Statistics NZ'!AE$49,$H$12/5*(AF$8-AF$9)*1000)</f>
        <v>38326.15362058318</v>
      </c>
      <c r="AG49" s="46">
        <f>SUM(AF$49,'Statistics NZ'!AG$49-'Statistics NZ'!AF$49,$H$12/5*(AG$8-AG$9)*1000)</f>
        <v>38118.141653770414</v>
      </c>
      <c r="AH49" s="46">
        <f>SUM(AG$49,'Statistics NZ'!AH$49-'Statistics NZ'!AG$49,$H$12/5*(AH$8-AH$9)*1000)</f>
        <v>38859.135670364027</v>
      </c>
      <c r="AI49" s="46">
        <f>SUM(AH$49,'Statistics NZ'!AI$49-'Statistics NZ'!AH$49,$H$12/5*(AI$8-AI$9)*1000)</f>
        <v>38969.135670364027</v>
      </c>
    </row>
    <row r="50" spans="1:35" x14ac:dyDescent="0.25">
      <c r="A50" s="11">
        <v>35</v>
      </c>
      <c r="B50" s="44">
        <f>'Statistics NZ'!B$50*'Economic Forecasts'!D$9*1000000/SUM('Statistics NZ'!B$30:B$110,'Statistics NZ'!B$130:B$210)</f>
        <v>32639.226774099603</v>
      </c>
      <c r="C50" s="44">
        <f>'Statistics NZ'!C$50*'Economic Forecasts'!E$9*1000000/SUM('Statistics NZ'!C$30:C$110,'Statistics NZ'!C$130:C$210)</f>
        <v>32445.538564947066</v>
      </c>
      <c r="D50" s="44">
        <f>'Statistics NZ'!D$50*'Economic Forecasts'!F$9*1000000/SUM('Statistics NZ'!D$30:D$110,'Statistics NZ'!D$130:D$210)</f>
        <v>31147.85687109124</v>
      </c>
      <c r="E50" s="44">
        <f>'Statistics NZ'!E$50*'Economic Forecasts'!G$9*1000000/SUM('Statistics NZ'!E$30:E$110,'Statistics NZ'!E$130:E$210)</f>
        <v>30205.630556470205</v>
      </c>
      <c r="F50" s="44">
        <f>'Statistics NZ'!F$50*'Economic Forecasts'!H$9*1000000/SUM('Statistics NZ'!F$30:F$110,'Statistics NZ'!F$130:F$210)</f>
        <v>29053.758449503413</v>
      </c>
      <c r="G50" s="44">
        <f>'Statistics NZ'!G$50*'Economic Forecasts'!I$9*1000000/SUM('Statistics NZ'!G$30:G$110,'Statistics NZ'!G$130:G$210)</f>
        <v>27738.66166080282</v>
      </c>
      <c r="H50" s="44">
        <f>'Statistics NZ'!H$50*'Economic Forecasts'!J$9*1000000/SUM('Statistics NZ'!H$30:H$110,'Statistics NZ'!H$130:H$210)</f>
        <v>27510.384000777551</v>
      </c>
      <c r="I50" s="44">
        <f>'Statistics NZ'!I$50*'Economic Forecasts'!K$9*1000000/SUM('Statistics NZ'!I$30:I$110,'Statistics NZ'!I$130:I$210)</f>
        <v>27087.22331185206</v>
      </c>
      <c r="J50" s="44">
        <f>'Statistics NZ'!J$50*'Economic Forecasts'!L$9*1000000/SUM('Statistics NZ'!J$30:J$110,'Statistics NZ'!J$130:J$210)</f>
        <v>27978.150157847725</v>
      </c>
      <c r="K50" s="44">
        <f>'Statistics NZ'!K$50*'Economic Forecasts'!M$9*1000000/SUM('Statistics NZ'!K$30:K$110,'Statistics NZ'!K$130:K$210)</f>
        <v>28312.92584790508</v>
      </c>
      <c r="L50" s="44">
        <f>'Statistics NZ'!L$50*'Economic Forecasts'!N$9*1000000/SUM('Statistics NZ'!L$30:L$110,'Statistics NZ'!L$130:L$210)</f>
        <v>29063.795846956466</v>
      </c>
      <c r="M50" s="44">
        <f>'Statistics NZ'!M$50*'Economic Forecasts'!O$9*1000000/SUM('Statistics NZ'!M$30:M$110,'Statistics NZ'!M$130:M$210)</f>
        <v>30559.226977375263</v>
      </c>
      <c r="N50" s="44">
        <f>'Statistics NZ'!N$50*'Economic Forecasts'!P$9*1000000/SUM('Statistics NZ'!N$30:N$110,'Statistics NZ'!N$130:N$210)</f>
        <v>31810.821316392441</v>
      </c>
      <c r="O50" s="44">
        <f>'Statistics NZ'!O$50*'Economic Forecasts'!Q$9*1000000/SUM('Statistics NZ'!O$30:O$110,'Statistics NZ'!O$130:O$210)</f>
        <v>33039.075751399403</v>
      </c>
      <c r="P50" s="44">
        <f>'Statistics NZ'!P$50*'Economic Forecasts'!R$9*1000000/SUM('Statistics NZ'!P$30:P$110,'Statistics NZ'!P$130:P$210)</f>
        <v>34205.266042320392</v>
      </c>
      <c r="Q50" s="44">
        <f>'Statistics NZ'!Q$50*'Economic Forecasts'!S$9*1000000/SUM('Statistics NZ'!Q$30:Q$110,'Statistics NZ'!Q$130:Q$210)</f>
        <v>34877.968417013202</v>
      </c>
      <c r="R50" s="44">
        <f>'Statistics NZ'!R$50*'Economic Forecasts'!T$9*1000000/SUM('Statistics NZ'!R$30:R$110,'Statistics NZ'!R$130:R$210)</f>
        <v>35435.12047469191</v>
      </c>
      <c r="S50" s="45">
        <f>SUM('Statistics NZ'!S$50,$I$12/5*(S$8-S$9)*1000)*'Economic Forecasts'!U$9*1000000/SUM('Statistics NZ'!S$30:S$110,'Statistics NZ'!S$130:S$210,SUM($E$12:$T$13)*(S$8-S$9)*1000)</f>
        <v>38516.459944612638</v>
      </c>
      <c r="T50" s="45">
        <f>SUM('Statistics NZ'!T$50,$I$12/5*(T$8-T$9)*1000)*'Economic Forecasts'!V$9*1000000/SUM('Statistics NZ'!T$30:T$110,'Statistics NZ'!T$130:T$210,SUM($E$12:$T$13)*(T$8-T$9)*1000)</f>
        <v>39256.824798861438</v>
      </c>
      <c r="U50" s="45">
        <f>SUM('Statistics NZ'!U$50,$I$12/5*(U$8-U$9)*1000)*'Economic Forecasts'!W$9*1000000/SUM('Statistics NZ'!U$30:U$110,'Statistics NZ'!U$130:U$210,SUM($E$12:$T$13)*(U$8-U$9)*1000)</f>
        <v>40640.922774242921</v>
      </c>
      <c r="V50" s="45">
        <f>SUM('Statistics NZ'!V$50,$I$12/5*(V$8-V$9)*1000)*'Economic Forecasts'!X$9*1000000/SUM('Statistics NZ'!V$30:V$110,'Statistics NZ'!V$130:V$210,SUM($E$12:$T$13)*(V$8-V$9)*1000)</f>
        <v>41278.440602008726</v>
      </c>
      <c r="W50" s="45">
        <f>SUM('Statistics NZ'!W$50,$I$12/5*(W$8-W$9)*1000)*'Economic Forecasts'!Y$9*1000000/SUM('Statistics NZ'!W$30:W$110,'Statistics NZ'!W$130:W$210,SUM($E$12:$T$13)*(W$8-W$9)*1000)</f>
        <v>40900.251751133779</v>
      </c>
      <c r="X50" s="45">
        <f>SUM('Statistics NZ'!X$50,$I$12/5*(X$8-X$9)*1000)*'Economic Forecasts'!Z$9*1000000/SUM('Statistics NZ'!X$30:X$110,'Statistics NZ'!X$130:X$210,SUM($E$12:$T$13)*(X$8-X$9)*1000)</f>
        <v>40072.63103206276</v>
      </c>
      <c r="Y50" s="45">
        <f>SUM('Statistics NZ'!Y$50,$I$12/5*(Y$8-Y$9)*1000)*'Economic Forecasts'!AA$9*1000000/SUM('Statistics NZ'!Y$30:Y$110,'Statistics NZ'!Y$130:Y$210,SUM($E$12:$T$13)*(Y$8-Y$9)*1000)</f>
        <v>39015.223636779723</v>
      </c>
      <c r="Z50" s="46">
        <f>SUM(Y$50,'Statistics NZ'!Z$50-'Statistics NZ'!Y$50,$I$12/5*(Z$8-Z$9)*1000)</f>
        <v>38888.092416514788</v>
      </c>
      <c r="AA50" s="46">
        <f>SUM(Z$50,'Statistics NZ'!AA$50-'Statistics NZ'!Z$50,$I$12/5*(AA$8-AA$9)*1000)</f>
        <v>38561.753554057068</v>
      </c>
      <c r="AB50" s="46">
        <f>SUM(AA$50,'Statistics NZ'!AB$50-'Statistics NZ'!AA$50,$I$12/5*(AB$8-AB$9)*1000)</f>
        <v>38426.207049406563</v>
      </c>
      <c r="AC50" s="46">
        <f>SUM(AB$50,'Statistics NZ'!AC$50-'Statistics NZ'!AB$50,$I$12/5*(AC$8-AC$9)*1000)</f>
        <v>38351.452902563273</v>
      </c>
      <c r="AD50" s="46">
        <f>SUM(AC$50,'Statistics NZ'!AD$50-'Statistics NZ'!AC$50,$I$12/5*(AD$8-AD$9)*1000)</f>
        <v>37897.491113527198</v>
      </c>
      <c r="AE50" s="46">
        <f>SUM(AD$50,'Statistics NZ'!AE$50-'Statistics NZ'!AD$50,$I$12/5*(AE$8-AE$9)*1000)</f>
        <v>38884.321682298338</v>
      </c>
      <c r="AF50" s="46">
        <f>SUM(AE$50,'Statistics NZ'!AF$50-'Statistics NZ'!AE$50,$I$12/5*(AF$8-AF$9)*1000)</f>
        <v>38791.944608876693</v>
      </c>
      <c r="AG50" s="46">
        <f>SUM(AF$50,'Statistics NZ'!AG$50-'Statistics NZ'!AF$50,$I$12/5*(AG$8-AG$9)*1000)</f>
        <v>38080.359893262263</v>
      </c>
      <c r="AH50" s="46">
        <f>SUM(AG$50,'Statistics NZ'!AH$50-'Statistics NZ'!AG$50,$I$12/5*(AH$8-AH$9)*1000)</f>
        <v>37819.567535455048</v>
      </c>
      <c r="AI50" s="46">
        <f>SUM(AH$50,'Statistics NZ'!AI$50-'Statistics NZ'!AH$50,$I$12/5*(AI$8-AI$9)*1000)</f>
        <v>38539.567535455048</v>
      </c>
    </row>
    <row r="51" spans="1:35" x14ac:dyDescent="0.25">
      <c r="A51" s="11">
        <v>36</v>
      </c>
      <c r="B51" s="44">
        <f>'Statistics NZ'!B$51*'Economic Forecasts'!D$9*1000000/SUM('Statistics NZ'!B$30:B$110,'Statistics NZ'!B$130:B$210)</f>
        <v>31817.375740219395</v>
      </c>
      <c r="C51" s="44">
        <f>'Statistics NZ'!C$51*'Economic Forecasts'!E$9*1000000/SUM('Statistics NZ'!C$30:C$110,'Statistics NZ'!C$130:C$210)</f>
        <v>33074.023573469043</v>
      </c>
      <c r="D51" s="44">
        <f>'Statistics NZ'!D$51*'Economic Forecasts'!F$9*1000000/SUM('Statistics NZ'!D$30:D$110,'Statistics NZ'!D$130:D$210)</f>
        <v>32640.910874372814</v>
      </c>
      <c r="E51" s="44">
        <f>'Statistics NZ'!E$51*'Economic Forecasts'!G$9*1000000/SUM('Statistics NZ'!E$30:E$110,'Statistics NZ'!E$130:E$210)</f>
        <v>31313.824145067974</v>
      </c>
      <c r="F51" s="44">
        <f>'Statistics NZ'!F$51*'Economic Forecasts'!H$9*1000000/SUM('Statistics NZ'!F$30:F$110,'Statistics NZ'!F$130:F$210)</f>
        <v>30387.759512681154</v>
      </c>
      <c r="G51" s="44">
        <f>'Statistics NZ'!G$51*'Economic Forecasts'!I$9*1000000/SUM('Statistics NZ'!G$30:G$110,'Statistics NZ'!G$130:G$210)</f>
        <v>29162.920138429025</v>
      </c>
      <c r="H51" s="44">
        <f>'Statistics NZ'!H$51*'Economic Forecasts'!J$9*1000000/SUM('Statistics NZ'!H$30:H$110,'Statistics NZ'!H$130:H$210)</f>
        <v>27716.711880783376</v>
      </c>
      <c r="I51" s="44">
        <f>'Statistics NZ'!I$51*'Economic Forecasts'!K$9*1000000/SUM('Statistics NZ'!I$30:I$110,'Statistics NZ'!I$130:I$210)</f>
        <v>27508.776190031444</v>
      </c>
      <c r="J51" s="44">
        <f>'Statistics NZ'!J$51*'Economic Forecasts'!L$9*1000000/SUM('Statistics NZ'!J$30:J$110,'Statistics NZ'!J$130:J$210)</f>
        <v>27276.014636284446</v>
      </c>
      <c r="K51" s="44">
        <f>'Statistics NZ'!K$51*'Economic Forecasts'!M$9*1000000/SUM('Statistics NZ'!K$30:K$110,'Statistics NZ'!K$130:K$210)</f>
        <v>28400.551821987316</v>
      </c>
      <c r="L51" s="44">
        <f>'Statistics NZ'!L$51*'Economic Forecasts'!N$9*1000000/SUM('Statistics NZ'!L$30:L$110,'Statistics NZ'!L$130:L$210)</f>
        <v>28956.693081691301</v>
      </c>
      <c r="M51" s="44">
        <f>'Statistics NZ'!M$51*'Economic Forecasts'!O$9*1000000/SUM('Statistics NZ'!M$30:M$110,'Statistics NZ'!M$130:M$210)</f>
        <v>29806.969791551128</v>
      </c>
      <c r="N51" s="44">
        <f>'Statistics NZ'!N$51*'Economic Forecasts'!P$9*1000000/SUM('Statistics NZ'!N$30:N$110,'Statistics NZ'!N$130:N$210)</f>
        <v>31243.29512864997</v>
      </c>
      <c r="O51" s="44">
        <f>'Statistics NZ'!O$51*'Economic Forecasts'!Q$9*1000000/SUM('Statistics NZ'!O$30:O$110,'Statistics NZ'!O$130:O$210)</f>
        <v>32499.542150946021</v>
      </c>
      <c r="P51" s="44">
        <f>'Statistics NZ'!P$51*'Economic Forecasts'!R$9*1000000/SUM('Statistics NZ'!P$30:P$110,'Statistics NZ'!P$130:P$210)</f>
        <v>33647.730965279428</v>
      </c>
      <c r="Q51" s="44">
        <f>'Statistics NZ'!Q$51*'Economic Forecasts'!S$9*1000000/SUM('Statistics NZ'!Q$30:Q$110,'Statistics NZ'!Q$130:Q$210)</f>
        <v>34581.890586648064</v>
      </c>
      <c r="R51" s="44">
        <f>'Statistics NZ'!R$51*'Economic Forecasts'!T$9*1000000/SUM('Statistics NZ'!R$30:R$110,'Statistics NZ'!R$130:R$210)</f>
        <v>34735.678285728012</v>
      </c>
      <c r="S51" s="45">
        <f>SUM('Statistics NZ'!S$51,$I$12/5*(S$8-S$9)*1000)*'Economic Forecasts'!U$9*1000000/SUM('Statistics NZ'!S$30:S$110,'Statistics NZ'!S$130:S$210,SUM($E$12:$T$13)*(S$8-S$9)*1000)</f>
        <v>36391.749757946985</v>
      </c>
      <c r="T51" s="45">
        <f>SUM('Statistics NZ'!T$51,$I$12/5*(T$8-T$9)*1000)*'Economic Forecasts'!V$9*1000000/SUM('Statistics NZ'!T$30:T$110,'Statistics NZ'!T$130:T$210,SUM($E$12:$T$13)*(T$8-T$9)*1000)</f>
        <v>39127.002509399601</v>
      </c>
      <c r="U51" s="45">
        <f>SUM('Statistics NZ'!U$51,$I$12/5*(U$8-U$9)*1000)*'Economic Forecasts'!W$9*1000000/SUM('Statistics NZ'!U$30:U$110,'Statistics NZ'!U$130:U$210,SUM($E$12:$T$13)*(U$8-U$9)*1000)</f>
        <v>39307.983432379966</v>
      </c>
      <c r="V51" s="45">
        <f>SUM('Statistics NZ'!V$51,$I$12/5*(V$8-V$9)*1000)*'Economic Forecasts'!X$9*1000000/SUM('Statistics NZ'!V$30:V$110,'Statistics NZ'!V$130:V$210,SUM($E$12:$T$13)*(V$8-V$9)*1000)</f>
        <v>40934.61394199841</v>
      </c>
      <c r="W51" s="45">
        <f>SUM('Statistics NZ'!W$51,$I$12/5*(W$8-W$9)*1000)*'Economic Forecasts'!Y$9*1000000/SUM('Statistics NZ'!W$30:W$110,'Statistics NZ'!W$130:W$210,SUM($E$12:$T$13)*(W$8-W$9)*1000)</f>
        <v>41639.553115055242</v>
      </c>
      <c r="X51" s="45">
        <f>SUM('Statistics NZ'!X$51,$I$12/5*(X$8-X$9)*1000)*'Economic Forecasts'!Z$9*1000000/SUM('Statistics NZ'!X$30:X$110,'Statistics NZ'!X$130:X$210,SUM($E$12:$T$13)*(X$8-X$9)*1000)</f>
        <v>41270.016486705586</v>
      </c>
      <c r="Y51" s="45">
        <f>SUM('Statistics NZ'!Y$51,$I$12/5*(Y$8-Y$9)*1000)*'Economic Forecasts'!AA$9*1000000/SUM('Statistics NZ'!Y$30:Y$110,'Statistics NZ'!Y$130:Y$210,SUM($E$12:$T$13)*(Y$8-Y$9)*1000)</f>
        <v>40459.77691089009</v>
      </c>
      <c r="Z51" s="46">
        <f>SUM(Y$51,'Statistics NZ'!Z$51-'Statistics NZ'!Y$51,$I$12/5*(Z$8-Z$9)*1000)</f>
        <v>39492.645690625155</v>
      </c>
      <c r="AA51" s="46">
        <f>SUM(Z$51,'Statistics NZ'!AA$51-'Statistics NZ'!Z$51,$I$12/5*(AA$8-AA$9)*1000)</f>
        <v>39346.306828167435</v>
      </c>
      <c r="AB51" s="46">
        <f>SUM(AA$51,'Statistics NZ'!AB$51-'Statistics NZ'!AA$51,$I$12/5*(AB$8-AB$9)*1000)</f>
        <v>39000.76032351693</v>
      </c>
      <c r="AC51" s="46">
        <f>SUM(AB$51,'Statistics NZ'!AC$51-'Statistics NZ'!AB$51,$I$12/5*(AC$8-AC$9)*1000)</f>
        <v>38846.00617667364</v>
      </c>
      <c r="AD51" s="46">
        <f>SUM(AC$51,'Statistics NZ'!AD$51-'Statistics NZ'!AC$51,$I$12/5*(AD$8-AD$9)*1000)</f>
        <v>38752.044387637565</v>
      </c>
      <c r="AE51" s="46">
        <f>SUM(AD$51,'Statistics NZ'!AE$51-'Statistics NZ'!AD$51,$I$12/5*(AE$8-AE$9)*1000)</f>
        <v>38278.874956408705</v>
      </c>
      <c r="AF51" s="46">
        <f>SUM(AE$51,'Statistics NZ'!AF$51-'Statistics NZ'!AE$51,$I$12/5*(AF$8-AF$9)*1000)</f>
        <v>39246.49788298706</v>
      </c>
      <c r="AG51" s="46">
        <f>SUM(AF$51,'Statistics NZ'!AG$51-'Statistics NZ'!AF$51,$I$12/5*(AG$8-AG$9)*1000)</f>
        <v>39144.91316737263</v>
      </c>
      <c r="AH51" s="46">
        <f>SUM(AG$51,'Statistics NZ'!AH$51-'Statistics NZ'!AG$51,$I$12/5*(AH$8-AH$9)*1000)</f>
        <v>38414.120809565415</v>
      </c>
      <c r="AI51" s="46">
        <f>SUM(AH$51,'Statistics NZ'!AI$51-'Statistics NZ'!AH$51,$I$12/5*(AI$8-AI$9)*1000)</f>
        <v>38134.120809565415</v>
      </c>
    </row>
    <row r="52" spans="1:35" x14ac:dyDescent="0.25">
      <c r="A52" s="11">
        <v>37</v>
      </c>
      <c r="B52" s="44">
        <f>'Statistics NZ'!B$52*'Economic Forecasts'!D$9*1000000/SUM('Statistics NZ'!B$30:B$110,'Statistics NZ'!B$130:B$210)</f>
        <v>32159.813671002816</v>
      </c>
      <c r="C52" s="44">
        <f>'Statistics NZ'!C$52*'Economic Forecasts'!E$9*1000000/SUM('Statistics NZ'!C$30:C$110,'Statistics NZ'!C$130:C$210)</f>
        <v>32160.756295460546</v>
      </c>
      <c r="D52" s="44">
        <f>'Statistics NZ'!D$52*'Economic Forecasts'!F$9*1000000/SUM('Statistics NZ'!D$30:D$110,'Statistics NZ'!D$130:D$210)</f>
        <v>33249.9197441324</v>
      </c>
      <c r="E52" s="44">
        <f>'Statistics NZ'!E$52*'Economic Forecasts'!G$9*1000000/SUM('Statistics NZ'!E$30:E$110,'Statistics NZ'!E$130:E$210)</f>
        <v>32784.877581259709</v>
      </c>
      <c r="F52" s="44">
        <f>'Statistics NZ'!F$52*'Economic Forecasts'!H$9*1000000/SUM('Statistics NZ'!F$30:F$110,'Statistics NZ'!F$130:F$210)</f>
        <v>31486.348623533409</v>
      </c>
      <c r="G52" s="44">
        <f>'Statistics NZ'!G$52*'Economic Forecasts'!I$9*1000000/SUM('Statistics NZ'!G$30:G$110,'Statistics NZ'!G$130:G$210)</f>
        <v>30439.841532162867</v>
      </c>
      <c r="H52" s="44">
        <f>'Statistics NZ'!H$52*'Economic Forecasts'!J$9*1000000/SUM('Statistics NZ'!H$30:H$110,'Statistics NZ'!H$130:H$210)</f>
        <v>29180.657315110471</v>
      </c>
      <c r="I52" s="44">
        <f>'Statistics NZ'!I$52*'Economic Forecasts'!K$9*1000000/SUM('Statistics NZ'!I$30:I$110,'Statistics NZ'!I$130:I$210)</f>
        <v>27744.061517387385</v>
      </c>
      <c r="J52" s="44">
        <f>'Statistics NZ'!J$52*'Economic Forecasts'!L$9*1000000/SUM('Statistics NZ'!J$30:J$110,'Statistics NZ'!J$130:J$210)</f>
        <v>27685.593690529695</v>
      </c>
      <c r="K52" s="44">
        <f>'Statistics NZ'!K$52*'Economic Forecasts'!M$9*1000000/SUM('Statistics NZ'!K$30:K$110,'Statistics NZ'!K$130:K$210)</f>
        <v>27592.445616562247</v>
      </c>
      <c r="L52" s="44">
        <f>'Statistics NZ'!L$52*'Economic Forecasts'!N$9*1000000/SUM('Statistics NZ'!L$30:L$110,'Statistics NZ'!L$130:L$210)</f>
        <v>28956.693081691301</v>
      </c>
      <c r="M52" s="44">
        <f>'Statistics NZ'!M$52*'Economic Forecasts'!O$9*1000000/SUM('Statistics NZ'!M$30:M$110,'Statistics NZ'!M$130:M$210)</f>
        <v>29679.965331606792</v>
      </c>
      <c r="N52" s="44">
        <f>'Statistics NZ'!N$52*'Economic Forecasts'!P$9*1000000/SUM('Statistics NZ'!N$30:N$110,'Statistics NZ'!N$130:N$210)</f>
        <v>30411.575715579114</v>
      </c>
      <c r="O52" s="44">
        <f>'Statistics NZ'!O$52*'Economic Forecasts'!Q$9*1000000/SUM('Statistics NZ'!O$30:O$110,'Statistics NZ'!O$130:O$210)</f>
        <v>31930.579445013373</v>
      </c>
      <c r="P52" s="44">
        <f>'Statistics NZ'!P$52*'Economic Forecasts'!R$9*1000000/SUM('Statistics NZ'!P$30:P$110,'Statistics NZ'!P$130:P$210)</f>
        <v>33099.977205379531</v>
      </c>
      <c r="Q52" s="44">
        <f>'Statistics NZ'!Q$52*'Economic Forecasts'!S$9*1000000/SUM('Statistics NZ'!Q$30:Q$110,'Statistics NZ'!Q$130:Q$210)</f>
        <v>33989.734925917794</v>
      </c>
      <c r="R52" s="44">
        <f>'Statistics NZ'!R$52*'Economic Forecasts'!T$9*1000000/SUM('Statistics NZ'!R$30:R$110,'Statistics NZ'!R$130:R$210)</f>
        <v>34469.693227953016</v>
      </c>
      <c r="S52" s="45">
        <f>SUM('Statistics NZ'!S$52,$I$12/5*(S$8-S$9)*1000)*'Economic Forecasts'!U$9*1000000/SUM('Statistics NZ'!S$30:S$110,'Statistics NZ'!S$130:S$210,SUM($E$12:$T$13)*(S$8-S$9)*1000)</f>
        <v>35683.513029058435</v>
      </c>
      <c r="T52" s="45">
        <f>SUM('Statistics NZ'!T$52,$I$12/5*(T$8-T$9)*1000)*'Economic Forecasts'!V$9*1000000/SUM('Statistics NZ'!T$30:T$110,'Statistics NZ'!T$130:T$210,SUM($E$12:$T$13)*(T$8-T$9)*1000)</f>
        <v>36920.023588548444</v>
      </c>
      <c r="U52" s="45">
        <f>SUM('Statistics NZ'!U$52,$I$12/5*(U$8-U$9)*1000)*'Economic Forecasts'!W$9*1000000/SUM('Statistics NZ'!U$30:U$110,'Statistics NZ'!U$130:U$210,SUM($E$12:$T$13)*(U$8-U$9)*1000)</f>
        <v>39146.415027305666</v>
      </c>
      <c r="V52" s="45">
        <f>SUM('Statistics NZ'!V$52,$I$12/5*(V$8-V$9)*1000)*'Economic Forecasts'!X$9*1000000/SUM('Statistics NZ'!V$30:V$110,'Statistics NZ'!V$130:V$210,SUM($E$12:$T$13)*(V$8-V$9)*1000)</f>
        <v>39569.419850781022</v>
      </c>
      <c r="W52" s="45">
        <f>SUM('Statistics NZ'!W$52,$I$12/5*(W$8-W$9)*1000)*'Economic Forecasts'!Y$9*1000000/SUM('Statistics NZ'!W$30:W$110,'Statistics NZ'!W$130:W$210,SUM($E$12:$T$13)*(W$8-W$9)*1000)</f>
        <v>41264.838725122441</v>
      </c>
      <c r="X52" s="45">
        <f>SUM('Statistics NZ'!X$52,$I$12/5*(X$8-X$9)*1000)*'Economic Forecasts'!Z$9*1000000/SUM('Statistics NZ'!X$30:X$110,'Statistics NZ'!X$130:X$210,SUM($E$12:$T$13)*(X$8-X$9)*1000)</f>
        <v>41980.329892002184</v>
      </c>
      <c r="Y52" s="45">
        <f>SUM('Statistics NZ'!Y$52,$I$12/5*(Y$8-Y$9)*1000)*'Economic Forecasts'!AA$9*1000000/SUM('Statistics NZ'!Y$30:Y$110,'Statistics NZ'!Y$130:Y$210,SUM($E$12:$T$13)*(Y$8-Y$9)*1000)</f>
        <v>41629.661604711873</v>
      </c>
      <c r="Z52" s="46">
        <f>SUM(Y$52,'Statistics NZ'!Z$52-'Statistics NZ'!Y$52,$I$12/5*(Z$8-Z$9)*1000)</f>
        <v>40902.530384446938</v>
      </c>
      <c r="AA52" s="46">
        <f>SUM(Z$52,'Statistics NZ'!AA$52-'Statistics NZ'!Z$52,$I$12/5*(AA$8-AA$9)*1000)</f>
        <v>39916.191521989218</v>
      </c>
      <c r="AB52" s="46">
        <f>SUM(AA$52,'Statistics NZ'!AB$52-'Statistics NZ'!AA$52,$I$12/5*(AB$8-AB$9)*1000)</f>
        <v>39750.645017338713</v>
      </c>
      <c r="AC52" s="46">
        <f>SUM(AB$52,'Statistics NZ'!AC$52-'Statistics NZ'!AB$52,$I$12/5*(AC$8-AC$9)*1000)</f>
        <v>39395.890870495423</v>
      </c>
      <c r="AD52" s="46">
        <f>SUM(AC$52,'Statistics NZ'!AD$52-'Statistics NZ'!AC$52,$I$12/5*(AD$8-AD$9)*1000)</f>
        <v>39221.929081459348</v>
      </c>
      <c r="AE52" s="46">
        <f>SUM(AD$52,'Statistics NZ'!AE$52-'Statistics NZ'!AD$52,$I$12/5*(AE$8-AE$9)*1000)</f>
        <v>39098.759650230488</v>
      </c>
      <c r="AF52" s="46">
        <f>SUM(AE$52,'Statistics NZ'!AF$52-'Statistics NZ'!AE$52,$I$12/5*(AF$8-AF$9)*1000)</f>
        <v>38616.382576808843</v>
      </c>
      <c r="AG52" s="46">
        <f>SUM(AF$52,'Statistics NZ'!AG$52-'Statistics NZ'!AF$52,$I$12/5*(AG$8-AG$9)*1000)</f>
        <v>39564.797861194413</v>
      </c>
      <c r="AH52" s="46">
        <f>SUM(AG$52,'Statistics NZ'!AH$52-'Statistics NZ'!AG$52,$I$12/5*(AH$8-AH$9)*1000)</f>
        <v>39434.005503387198</v>
      </c>
      <c r="AI52" s="46">
        <f>SUM(AH$52,'Statistics NZ'!AI$52-'Statistics NZ'!AH$52,$I$12/5*(AI$8-AI$9)*1000)</f>
        <v>38684.005503387198</v>
      </c>
    </row>
    <row r="53" spans="1:35" x14ac:dyDescent="0.25">
      <c r="A53" s="11">
        <v>38</v>
      </c>
      <c r="B53" s="44">
        <f>'Statistics NZ'!B$53*'Economic Forecasts'!D$9*1000000/SUM('Statistics NZ'!B$30:B$110,'Statistics NZ'!B$130:B$210)</f>
        <v>31748.888154062712</v>
      </c>
      <c r="C53" s="44">
        <f>'Statistics NZ'!C$53*'Economic Forecasts'!E$9*1000000/SUM('Statistics NZ'!C$30:C$110,'Statistics NZ'!C$130:C$210)</f>
        <v>32484.818877979691</v>
      </c>
      <c r="D53" s="44">
        <f>'Statistics NZ'!D$53*'Economic Forecasts'!F$9*1000000/SUM('Statistics NZ'!D$30:D$110,'Statistics NZ'!D$130:D$210)</f>
        <v>32248.001926140823</v>
      </c>
      <c r="E53" s="44">
        <f>'Statistics NZ'!E$53*'Economic Forecasts'!G$9*1000000/SUM('Statistics NZ'!E$30:E$110,'Statistics NZ'!E$130:E$210)</f>
        <v>33343.877887012561</v>
      </c>
      <c r="F53" s="44">
        <f>'Statistics NZ'!F$53*'Economic Forecasts'!H$9*1000000/SUM('Statistics NZ'!F$30:F$110,'Statistics NZ'!F$130:F$210)</f>
        <v>32938.055662873892</v>
      </c>
      <c r="G53" s="44">
        <f>'Statistics NZ'!G$53*'Economic Forecasts'!I$9*1000000/SUM('Statistics NZ'!G$30:G$110,'Statistics NZ'!G$130:G$210)</f>
        <v>31618.538203301796</v>
      </c>
      <c r="H53" s="44">
        <f>'Statistics NZ'!H$53*'Economic Forecasts'!J$9*1000000/SUM('Statistics NZ'!H$30:H$110,'Statistics NZ'!H$130:H$210)</f>
        <v>30418.624595145458</v>
      </c>
      <c r="I53" s="44">
        <f>'Statistics NZ'!I$53*'Economic Forecasts'!K$9*1000000/SUM('Statistics NZ'!I$30:I$110,'Statistics NZ'!I$130:I$210)</f>
        <v>29204.791258055477</v>
      </c>
      <c r="J53" s="44">
        <f>'Statistics NZ'!J$53*'Economic Forecasts'!L$9*1000000/SUM('Statistics NZ'!J$30:J$110,'Statistics NZ'!J$130:J$210)</f>
        <v>27822.120041944774</v>
      </c>
      <c r="K53" s="44">
        <f>'Statistics NZ'!K$53*'Economic Forecasts'!M$9*1000000/SUM('Statistics NZ'!K$30:K$110,'Statistics NZ'!K$130:K$210)</f>
        <v>28069.520364343309</v>
      </c>
      <c r="L53" s="44">
        <f>'Statistics NZ'!L$53*'Economic Forecasts'!N$9*1000000/SUM('Statistics NZ'!L$30:L$110,'Statistics NZ'!L$130:L$210)</f>
        <v>28148.5540346905</v>
      </c>
      <c r="M53" s="44">
        <f>'Statistics NZ'!M$53*'Economic Forecasts'!O$9*1000000/SUM('Statistics NZ'!M$30:M$110,'Statistics NZ'!M$130:M$210)</f>
        <v>29572.5000193462</v>
      </c>
      <c r="N53" s="44">
        <f>'Statistics NZ'!N$53*'Economic Forecasts'!P$9*1000000/SUM('Statistics NZ'!N$30:N$110,'Statistics NZ'!N$130:N$210)</f>
        <v>30245.231832964942</v>
      </c>
      <c r="O53" s="44">
        <f>'Statistics NZ'!O$53*'Economic Forecasts'!Q$9*1000000/SUM('Statistics NZ'!O$30:O$110,'Statistics NZ'!O$130:O$210)</f>
        <v>31057.515982461548</v>
      </c>
      <c r="P53" s="44">
        <f>'Statistics NZ'!P$53*'Economic Forecasts'!R$9*1000000/SUM('Statistics NZ'!P$30:P$110,'Statistics NZ'!P$130:P$210)</f>
        <v>32473.972908351072</v>
      </c>
      <c r="Q53" s="44">
        <f>'Statistics NZ'!Q$53*'Economic Forecasts'!S$9*1000000/SUM('Statistics NZ'!Q$30:Q$110,'Statistics NZ'!Q$130:Q$210)</f>
        <v>33486.402614297054</v>
      </c>
      <c r="R53" s="44">
        <f>'Statistics NZ'!R$53*'Economic Forecasts'!T$9*1000000/SUM('Statistics NZ'!R$30:R$110,'Statistics NZ'!R$130:R$210)</f>
        <v>33868.764023350239</v>
      </c>
      <c r="S53" s="45">
        <f>SUM('Statistics NZ'!S$53,$I$12/5*(S$8-S$9)*1000)*'Economic Forecasts'!U$9*1000000/SUM('Statistics NZ'!S$30:S$110,'Statistics NZ'!S$130:S$210,SUM($E$12:$T$13)*(S$8-S$9)*1000)</f>
        <v>35402.158712102711</v>
      </c>
      <c r="T53" s="45">
        <f>SUM('Statistics NZ'!T$53,$I$12/5*(T$8-T$9)*1000)*'Economic Forecasts'!V$9*1000000/SUM('Statistics NZ'!T$30:T$110,'Statistics NZ'!T$130:T$210,SUM($E$12:$T$13)*(T$8-T$9)*1000)</f>
        <v>36151.076181736054</v>
      </c>
      <c r="U53" s="45">
        <f>SUM('Statistics NZ'!U$53,$I$12/5*(U$8-U$9)*1000)*'Economic Forecasts'!W$9*1000000/SUM('Statistics NZ'!U$30:U$110,'Statistics NZ'!U$130:U$210,SUM($E$12:$T$13)*(U$8-U$9)*1000)</f>
        <v>36884.457356265506</v>
      </c>
      <c r="V53" s="45">
        <f>SUM('Statistics NZ'!V$53,$I$12/5*(V$8-V$9)*1000)*'Economic Forecasts'!X$9*1000000/SUM('Statistics NZ'!V$30:V$110,'Statistics NZ'!V$130:V$210,SUM($E$12:$T$13)*(V$8-V$9)*1000)</f>
        <v>39377.281423128203</v>
      </c>
      <c r="W53" s="45">
        <f>SUM('Statistics NZ'!W$53,$I$12/5*(W$8-W$9)*1000)*'Economic Forecasts'!Y$9*1000000/SUM('Statistics NZ'!W$30:W$110,'Statistics NZ'!W$130:W$210,SUM($E$12:$T$13)*(W$8-W$9)*1000)</f>
        <v>39867.255324832549</v>
      </c>
      <c r="X53" s="45">
        <f>SUM('Statistics NZ'!X$53,$I$12/5*(X$8-X$9)*1000)*'Economic Forecasts'!Z$9*1000000/SUM('Statistics NZ'!X$30:X$110,'Statistics NZ'!X$130:X$210,SUM($E$12:$T$13)*(X$8-X$9)*1000)</f>
        <v>41564.289183185603</v>
      </c>
      <c r="Y53" s="45">
        <f>SUM('Statistics NZ'!Y$53,$I$12/5*(Y$8-Y$9)*1000)*'Economic Forecasts'!AA$9*1000000/SUM('Statistics NZ'!Y$30:Y$110,'Statistics NZ'!Y$130:Y$210,SUM($E$12:$T$13)*(Y$8-Y$9)*1000)</f>
        <v>42301.073689861762</v>
      </c>
      <c r="Z53" s="46">
        <f>SUM(Y$53,'Statistics NZ'!Z$53-'Statistics NZ'!Y$53,$I$12/5*(Z$8-Z$9)*1000)</f>
        <v>42033.942469596826</v>
      </c>
      <c r="AA53" s="46">
        <f>SUM(Z$53,'Statistics NZ'!AA$53-'Statistics NZ'!Z$53,$I$12/5*(AA$8-AA$9)*1000)</f>
        <v>41287.603607139106</v>
      </c>
      <c r="AB53" s="46">
        <f>SUM(AA$53,'Statistics NZ'!AB$53-'Statistics NZ'!AA$53,$I$12/5*(AB$8-AB$9)*1000)</f>
        <v>40272.057102488601</v>
      </c>
      <c r="AC53" s="46">
        <f>SUM(AB$53,'Statistics NZ'!AC$53-'Statistics NZ'!AB$53,$I$12/5*(AC$8-AC$9)*1000)</f>
        <v>40087.302955645311</v>
      </c>
      <c r="AD53" s="46">
        <f>SUM(AC$53,'Statistics NZ'!AD$53-'Statistics NZ'!AC$53,$I$12/5*(AD$8-AD$9)*1000)</f>
        <v>39713.341166609236</v>
      </c>
      <c r="AE53" s="46">
        <f>SUM(AD$53,'Statistics NZ'!AE$53-'Statistics NZ'!AD$53,$I$12/5*(AE$8-AE$9)*1000)</f>
        <v>39520.171735380376</v>
      </c>
      <c r="AF53" s="46">
        <f>SUM(AE$53,'Statistics NZ'!AF$53-'Statistics NZ'!AE$53,$I$12/5*(AF$8-AF$9)*1000)</f>
        <v>39387.794661958731</v>
      </c>
      <c r="AG53" s="46">
        <f>SUM(AF$53,'Statistics NZ'!AG$53-'Statistics NZ'!AF$53,$I$12/5*(AG$8-AG$9)*1000)</f>
        <v>38876.209946344301</v>
      </c>
      <c r="AH53" s="46">
        <f>SUM(AG$53,'Statistics NZ'!AH$53-'Statistics NZ'!AG$53,$I$12/5*(AH$8-AH$9)*1000)</f>
        <v>39805.417588537086</v>
      </c>
      <c r="AI53" s="46">
        <f>SUM(AH$53,'Statistics NZ'!AI$53-'Statistics NZ'!AH$53,$I$12/5*(AI$8-AI$9)*1000)</f>
        <v>39665.417588537086</v>
      </c>
    </row>
    <row r="54" spans="1:35" x14ac:dyDescent="0.25">
      <c r="A54" s="11">
        <v>39</v>
      </c>
      <c r="B54" s="44">
        <f>'Statistics NZ'!B$54*'Economic Forecasts'!D$9*1000000/SUM('Statistics NZ'!B$30:B$110,'Statistics NZ'!B$130:B$210)</f>
        <v>31523.857513833609</v>
      </c>
      <c r="C54" s="44">
        <f>'Statistics NZ'!C$54*'Economic Forecasts'!E$9*1000000/SUM('Statistics NZ'!C$30:C$110,'Statistics NZ'!C$130:C$210)</f>
        <v>31974.174808555581</v>
      </c>
      <c r="D54" s="44">
        <f>'Statistics NZ'!D$54*'Economic Forecasts'!F$9*1000000/SUM('Statistics NZ'!D$30:D$110,'Statistics NZ'!D$130:D$210)</f>
        <v>32611.442703255412</v>
      </c>
      <c r="E54" s="44">
        <f>'Statistics NZ'!E$54*'Economic Forecasts'!G$9*1000000/SUM('Statistics NZ'!E$30:E$110,'Statistics NZ'!E$130:E$210)</f>
        <v>32323.947504586296</v>
      </c>
      <c r="F54" s="44">
        <f>'Statistics NZ'!F$54*'Economic Forecasts'!H$9*1000000/SUM('Statistics NZ'!F$30:F$110,'Statistics NZ'!F$130:F$210)</f>
        <v>33487.350218300016</v>
      </c>
      <c r="G54" s="44">
        <f>'Statistics NZ'!G$54*'Economic Forecasts'!I$9*1000000/SUM('Statistics NZ'!G$30:G$110,'Statistics NZ'!G$130:G$210)</f>
        <v>33003.506791890039</v>
      </c>
      <c r="H54" s="44">
        <f>'Statistics NZ'!H$54*'Economic Forecasts'!J$9*1000000/SUM('Statistics NZ'!H$30:H$110,'Statistics NZ'!H$130:H$210)</f>
        <v>31715.542698039262</v>
      </c>
      <c r="I54" s="44">
        <f>'Statistics NZ'!I$54*'Economic Forecasts'!K$9*1000000/SUM('Statistics NZ'!I$30:I$110,'Statistics NZ'!I$130:I$210)</f>
        <v>30459.646337287133</v>
      </c>
      <c r="J54" s="44">
        <f>'Statistics NZ'!J$54*'Economic Forecasts'!L$9*1000000/SUM('Statistics NZ'!J$30:J$110,'Statistics NZ'!J$130:J$210)</f>
        <v>29265.398614047059</v>
      </c>
      <c r="K54" s="44">
        <f>'Statistics NZ'!K$54*'Economic Forecasts'!M$9*1000000/SUM('Statistics NZ'!K$30:K$110,'Statistics NZ'!K$130:K$210)</f>
        <v>28069.520364343309</v>
      </c>
      <c r="L54" s="44">
        <f>'Statistics NZ'!L$54*'Economic Forecasts'!N$9*1000000/SUM('Statistics NZ'!L$30:L$110,'Statistics NZ'!L$130:L$210)</f>
        <v>28499.072175558314</v>
      </c>
      <c r="M54" s="44">
        <f>'Statistics NZ'!M$54*'Economic Forecasts'!O$9*1000000/SUM('Statistics NZ'!M$30:M$110,'Statistics NZ'!M$130:M$210)</f>
        <v>28742.086242787089</v>
      </c>
      <c r="N54" s="44">
        <f>'Statistics NZ'!N$54*'Economic Forecasts'!P$9*1000000/SUM('Statistics NZ'!N$30:N$110,'Statistics NZ'!N$130:N$210)</f>
        <v>30039.748213265084</v>
      </c>
      <c r="O54" s="44">
        <f>'Statistics NZ'!O$54*'Economic Forecasts'!Q$9*1000000/SUM('Statistics NZ'!O$30:O$110,'Statistics NZ'!O$130:O$210)</f>
        <v>30802.463734974499</v>
      </c>
      <c r="P54" s="44">
        <f>'Statistics NZ'!P$54*'Economic Forecasts'!R$9*1000000/SUM('Statistics NZ'!P$30:P$110,'Statistics NZ'!P$130:P$210)</f>
        <v>31554.529097090533</v>
      </c>
      <c r="Q54" s="44">
        <f>'Statistics NZ'!Q$54*'Economic Forecasts'!S$9*1000000/SUM('Statistics NZ'!Q$30:Q$110,'Statistics NZ'!Q$130:Q$210)</f>
        <v>32864.639170530267</v>
      </c>
      <c r="R54" s="44">
        <f>'Statistics NZ'!R$54*'Economic Forecasts'!T$9*1000000/SUM('Statistics NZ'!R$30:R$110,'Statistics NZ'!R$130:R$210)</f>
        <v>33356.496504672454</v>
      </c>
      <c r="S54" s="45">
        <f>SUM('Statistics NZ'!S$54,$I$12/5*(S$8-S$9)*1000)*'Economic Forecasts'!U$9*1000000/SUM('Statistics NZ'!S$30:S$110,'Statistics NZ'!S$130:S$210,SUM($E$12:$T$13)*(S$8-S$9)*1000)</f>
        <v>34781.238840200422</v>
      </c>
      <c r="T54" s="45">
        <f>SUM('Statistics NZ'!T$54,$I$12/5*(T$8-T$9)*1000)*'Economic Forecasts'!V$9*1000000/SUM('Statistics NZ'!T$30:T$110,'Statistics NZ'!T$130:T$210,SUM($E$12:$T$13)*(T$8-T$9)*1000)</f>
        <v>35841.499953019375</v>
      </c>
      <c r="U54" s="45">
        <f>SUM('Statistics NZ'!U$54,$I$12/5*(U$8-U$9)*1000)*'Economic Forecasts'!W$9*1000000/SUM('Statistics NZ'!U$30:U$110,'Statistics NZ'!U$130:U$210,SUM($E$12:$T$13)*(U$8-U$9)*1000)</f>
        <v>36076.615330894019</v>
      </c>
      <c r="V54" s="45">
        <f>SUM('Statistics NZ'!V$54,$I$12/5*(V$8-V$9)*1000)*'Economic Forecasts'!X$9*1000000/SUM('Statistics NZ'!V$30:V$110,'Statistics NZ'!V$130:V$210,SUM($E$12:$T$13)*(V$8-V$9)*1000)</f>
        <v>37071.620291294377</v>
      </c>
      <c r="W54" s="45">
        <f>SUM('Statistics NZ'!W$54,$I$12/5*(W$8-W$9)*1000)*'Economic Forecasts'!Y$9*1000000/SUM('Statistics NZ'!W$30:W$110,'Statistics NZ'!W$130:W$210,SUM($E$12:$T$13)*(W$8-W$9)*1000)</f>
        <v>39634.324758117567</v>
      </c>
      <c r="X54" s="45">
        <f>SUM('Statistics NZ'!X$54,$I$12/5*(X$8-X$9)*1000)*'Economic Forecasts'!Z$9*1000000/SUM('Statistics NZ'!X$30:X$110,'Statistics NZ'!X$130:X$210,SUM($E$12:$T$13)*(X$8-X$9)*1000)</f>
        <v>40133.515038231038</v>
      </c>
      <c r="Y54" s="45">
        <f>SUM('Statistics NZ'!Y$54,$I$12/5*(Y$8-Y$9)*1000)*'Economic Forecasts'!AA$9*1000000/SUM('Statistics NZ'!Y$30:Y$110,'Statistics NZ'!Y$130:Y$210,SUM($E$12:$T$13)*(Y$8-Y$9)*1000)</f>
        <v>41863.638543476227</v>
      </c>
      <c r="Z54" s="46">
        <f>SUM(Y$54,'Statistics NZ'!Z$54-'Statistics NZ'!Y$54,$I$12/5*(Z$8-Z$9)*1000)</f>
        <v>42656.507323211292</v>
      </c>
      <c r="AA54" s="46">
        <f>SUM(Z$54,'Statistics NZ'!AA$54-'Statistics NZ'!Z$54,$I$12/5*(AA$8-AA$9)*1000)</f>
        <v>42360.168460753572</v>
      </c>
      <c r="AB54" s="46">
        <f>SUM(AA$54,'Statistics NZ'!AB$54-'Statistics NZ'!AA$54,$I$12/5*(AB$8-AB$9)*1000)</f>
        <v>41594.621956103067</v>
      </c>
      <c r="AC54" s="46">
        <f>SUM(AB$54,'Statistics NZ'!AC$54-'Statistics NZ'!AB$54,$I$12/5*(AC$8-AC$9)*1000)</f>
        <v>40569.867809259777</v>
      </c>
      <c r="AD54" s="46">
        <f>SUM(AC$54,'Statistics NZ'!AD$54-'Statistics NZ'!AC$54,$I$12/5*(AD$8-AD$9)*1000)</f>
        <v>40365.906020223701</v>
      </c>
      <c r="AE54" s="46">
        <f>SUM(AD$54,'Statistics NZ'!AE$54-'Statistics NZ'!AD$54,$I$12/5*(AE$8-AE$9)*1000)</f>
        <v>39972.736588994841</v>
      </c>
      <c r="AF54" s="46">
        <f>SUM(AE$54,'Statistics NZ'!AF$54-'Statistics NZ'!AE$54,$I$12/5*(AF$8-AF$9)*1000)</f>
        <v>39760.359515573196</v>
      </c>
      <c r="AG54" s="46">
        <f>SUM(AF$54,'Statistics NZ'!AG$54-'Statistics NZ'!AF$54,$I$12/5*(AG$8-AG$9)*1000)</f>
        <v>39608.774799958766</v>
      </c>
      <c r="AH54" s="46">
        <f>SUM(AG$54,'Statistics NZ'!AH$54-'Statistics NZ'!AG$54,$I$12/5*(AH$8-AH$9)*1000)</f>
        <v>39077.982442151551</v>
      </c>
      <c r="AI54" s="46">
        <f>SUM(AH$54,'Statistics NZ'!AI$54-'Statistics NZ'!AH$54,$I$12/5*(AI$8-AI$9)*1000)</f>
        <v>39987.982442151551</v>
      </c>
    </row>
    <row r="55" spans="1:35" x14ac:dyDescent="0.25">
      <c r="A55" s="11">
        <v>40</v>
      </c>
      <c r="B55" s="44">
        <f>'Statistics NZ'!B$55*'Economic Forecasts'!D$9*1000000/SUM('Statistics NZ'!B$30:B$110,'Statistics NZ'!B$130:B$210)</f>
        <v>31328.178696243078</v>
      </c>
      <c r="C55" s="44">
        <f>'Statistics NZ'!C$55*'Economic Forecasts'!E$9*1000000/SUM('Statistics NZ'!C$30:C$110,'Statistics NZ'!C$130:C$210)</f>
        <v>31797.413399908775</v>
      </c>
      <c r="D55" s="44">
        <f>'Statistics NZ'!D$55*'Economic Forecasts'!F$9*1000000/SUM('Statistics NZ'!D$30:D$110,'Statistics NZ'!D$130:D$210)</f>
        <v>32100.661070553826</v>
      </c>
      <c r="E55" s="44">
        <f>'Statistics NZ'!E$55*'Economic Forecasts'!G$9*1000000/SUM('Statistics NZ'!E$30:E$110,'Statistics NZ'!E$130:E$210)</f>
        <v>32657.386283456424</v>
      </c>
      <c r="F55" s="44">
        <f>'Statistics NZ'!F$55*'Economic Forecasts'!H$9*1000000/SUM('Statistics NZ'!F$30:F$110,'Statistics NZ'!F$130:F$210)</f>
        <v>32467.231758222926</v>
      </c>
      <c r="G55" s="44">
        <f>'Statistics NZ'!G$55*'Economic Forecasts'!I$9*1000000/SUM('Statistics NZ'!G$30:G$110,'Statistics NZ'!G$130:G$210)</f>
        <v>33583.032655200012</v>
      </c>
      <c r="H55" s="44">
        <f>'Statistics NZ'!H$55*'Economic Forecasts'!J$9*1000000/SUM('Statistics NZ'!H$30:H$110,'Statistics NZ'!H$130:H$210)</f>
        <v>32963.335115217378</v>
      </c>
      <c r="I55" s="44">
        <f>'Statistics NZ'!I$55*'Economic Forecasts'!K$9*1000000/SUM('Statistics NZ'!I$30:I$110,'Statistics NZ'!I$130:I$210)</f>
        <v>31724.304971825284</v>
      </c>
      <c r="J55" s="44">
        <f>'Statistics NZ'!J$55*'Economic Forecasts'!L$9*1000000/SUM('Statistics NZ'!J$30:J$110,'Statistics NZ'!J$130:J$210)</f>
        <v>30581.902716978202</v>
      </c>
      <c r="K55" s="44">
        <f>'Statistics NZ'!K$55*'Economic Forecasts'!M$9*1000000/SUM('Statistics NZ'!K$30:K$110,'Statistics NZ'!K$130:K$210)</f>
        <v>29529.953265713932</v>
      </c>
      <c r="L55" s="44">
        <f>'Statistics NZ'!L$55*'Economic Forecasts'!N$9*1000000/SUM('Statistics NZ'!L$30:L$110,'Statistics NZ'!L$130:L$210)</f>
        <v>28469.862330486001</v>
      </c>
      <c r="M55" s="44">
        <f>'Statistics NZ'!M$55*'Economic Forecasts'!O$9*1000000/SUM('Statistics NZ'!M$30:M$110,'Statistics NZ'!M$130:M$210)</f>
        <v>29054.712605726992</v>
      </c>
      <c r="N55" s="44">
        <f>'Statistics NZ'!N$55*'Economic Forecasts'!P$9*1000000/SUM('Statistics NZ'!N$30:N$110,'Statistics NZ'!N$130:N$210)</f>
        <v>29227.598668737071</v>
      </c>
      <c r="O55" s="44">
        <f>'Statistics NZ'!O$55*'Economic Forecasts'!Q$9*1000000/SUM('Statistics NZ'!O$30:O$110,'Statistics NZ'!O$130:O$210)</f>
        <v>30557.221189313874</v>
      </c>
      <c r="P55" s="44">
        <f>'Statistics NZ'!P$55*'Economic Forecasts'!R$9*1000000/SUM('Statistics NZ'!P$30:P$110,'Statistics NZ'!P$130:P$210)</f>
        <v>31270.870899999514</v>
      </c>
      <c r="Q55" s="44">
        <f>'Statistics NZ'!Q$55*'Economic Forecasts'!S$9*1000000/SUM('Statistics NZ'!Q$30:Q$110,'Statistics NZ'!Q$130:Q$210)</f>
        <v>31956.667157410513</v>
      </c>
      <c r="R55" s="44">
        <f>'Statistics NZ'!R$55*'Economic Forecasts'!T$9*1000000/SUM('Statistics NZ'!R$30:R$110,'Statistics NZ'!R$130:R$210)</f>
        <v>32726.013404761332</v>
      </c>
      <c r="S55" s="45">
        <f>SUM('Statistics NZ'!S$55,$J$12/5*(S$8-S$9)*1000)*'Economic Forecasts'!U$9*1000000/SUM('Statistics NZ'!S$30:S$110,'Statistics NZ'!S$130:S$210,SUM($E$12:$T$13)*(S$8-S$9)*1000)</f>
        <v>33635.882961448973</v>
      </c>
      <c r="T55" s="45">
        <f>SUM('Statistics NZ'!T$55,$J$12/5*(T$8-T$9)*1000)*'Economic Forecasts'!V$9*1000000/SUM('Statistics NZ'!T$30:T$110,'Statistics NZ'!T$130:T$210,SUM($E$12:$T$13)*(T$8-T$9)*1000)</f>
        <v>34834.168956548259</v>
      </c>
      <c r="U55" s="45">
        <f>SUM('Statistics NZ'!U$55,$J$12/5*(U$8-U$9)*1000)*'Economic Forecasts'!W$9*1000000/SUM('Statistics NZ'!U$30:U$110,'Statistics NZ'!U$130:U$210,SUM($E$12:$T$13)*(U$8-U$9)*1000)</f>
        <v>35646.672402025681</v>
      </c>
      <c r="V55" s="45">
        <f>SUM('Statistics NZ'!V$55,$J$12/5*(V$8-V$9)*1000)*'Economic Forecasts'!X$9*1000000/SUM('Statistics NZ'!V$30:V$110,'Statistics NZ'!V$130:V$210,SUM($E$12:$T$13)*(V$8-V$9)*1000)</f>
        <v>36166.74733335257</v>
      </c>
      <c r="W55" s="45">
        <f>SUM('Statistics NZ'!W$55,$J$12/5*(W$8-W$9)*1000)*'Economic Forecasts'!Y$9*1000000/SUM('Statistics NZ'!W$30:W$110,'Statistics NZ'!W$130:W$210,SUM($E$12:$T$13)*(W$8-W$9)*1000)</f>
        <v>37221.803191647836</v>
      </c>
      <c r="X55" s="45">
        <f>SUM('Statistics NZ'!X$55,$J$12/5*(X$8-X$9)*1000)*'Economic Forecasts'!Z$9*1000000/SUM('Statistics NZ'!X$30:X$110,'Statistics NZ'!X$130:X$210,SUM($E$12:$T$13)*(X$8-X$9)*1000)</f>
        <v>39794.151986379627</v>
      </c>
      <c r="Y55" s="45">
        <f>SUM('Statistics NZ'!Y$55,$J$12/5*(Y$8-Y$9)*1000)*'Economic Forecasts'!AA$9*1000000/SUM('Statistics NZ'!Y$30:Y$110,'Statistics NZ'!Y$130:Y$210,SUM($E$12:$T$13)*(Y$8-Y$9)*1000)</f>
        <v>40312.267322119762</v>
      </c>
      <c r="Z55" s="46">
        <f>SUM(Y$55,'Statistics NZ'!Z$55-'Statistics NZ'!Y$55,$J$12/5*(Z$8-Z$9)*1000)</f>
        <v>41998.633988968351</v>
      </c>
      <c r="AA55" s="46">
        <f>SUM(Z$55,'Statistics NZ'!AA$55-'Statistics NZ'!Z$55,$J$12/5*(AA$8-AA$9)*1000)</f>
        <v>42704.293248389316</v>
      </c>
      <c r="AB55" s="46">
        <f>SUM(AA$55,'Statistics NZ'!AB$55-'Statistics NZ'!AA$55,$J$12/5*(AB$8-AB$9)*1000)</f>
        <v>42329.245100382665</v>
      </c>
      <c r="AC55" s="46">
        <f>SUM(AB$55,'Statistics NZ'!AC$55-'Statistics NZ'!AB$55,$J$12/5*(AC$8-AC$9)*1000)</f>
        <v>41503.489544948388</v>
      </c>
      <c r="AD55" s="46">
        <f>SUM(AC$55,'Statistics NZ'!AD$55-'Statistics NZ'!AC$55,$J$12/5*(AD$8-AD$9)*1000)</f>
        <v>40407.026582086495</v>
      </c>
      <c r="AE55" s="46">
        <f>SUM(AD$55,'Statistics NZ'!AE$55-'Statistics NZ'!AD$55,$J$12/5*(AE$8-AE$9)*1000)</f>
        <v>40159.856211796978</v>
      </c>
      <c r="AF55" s="46">
        <f>SUM(AE$55,'Statistics NZ'!AF$55-'Statistics NZ'!AE$55,$J$12/5*(AF$8-AF$9)*1000)</f>
        <v>39721.978434079843</v>
      </c>
      <c r="AG55" s="46">
        <f>SUM(AF$55,'Statistics NZ'!AG$55-'Statistics NZ'!AF$55,$J$12/5*(AG$8-AG$9)*1000)</f>
        <v>39473.393248935085</v>
      </c>
      <c r="AH55" s="46">
        <f>SUM(AG$55,'Statistics NZ'!AH$55-'Statistics NZ'!AG$55,$J$12/5*(AH$8-AH$9)*1000)</f>
        <v>39284.100656362709</v>
      </c>
      <c r="AI55" s="46">
        <f>SUM(AH$55,'Statistics NZ'!AI$55-'Statistics NZ'!AH$55,$J$12/5*(AI$8-AI$9)*1000)</f>
        <v>38744.100656362709</v>
      </c>
    </row>
    <row r="56" spans="1:35" x14ac:dyDescent="0.25">
      <c r="A56" s="11">
        <v>41</v>
      </c>
      <c r="B56" s="44">
        <f>'Statistics NZ'!B$56*'Economic Forecasts'!D$9*1000000/SUM('Statistics NZ'!B$30:B$110,'Statistics NZ'!B$130:B$210)</f>
        <v>31719.536331424133</v>
      </c>
      <c r="C56" s="44">
        <f>'Statistics NZ'!C$56*'Economic Forecasts'!E$9*1000000/SUM('Statistics NZ'!C$30:C$110,'Statistics NZ'!C$130:C$210)</f>
        <v>31532.271286938565</v>
      </c>
      <c r="D56" s="44">
        <f>'Statistics NZ'!D$56*'Economic Forecasts'!F$9*1000000/SUM('Statistics NZ'!D$30:D$110,'Statistics NZ'!D$130:D$210)</f>
        <v>31864.915701614624</v>
      </c>
      <c r="E56" s="44">
        <f>'Statistics NZ'!E$56*'Economic Forecasts'!G$9*1000000/SUM('Statistics NZ'!E$30:E$110,'Statistics NZ'!E$130:E$210)</f>
        <v>32108.193000611507</v>
      </c>
      <c r="F56" s="44">
        <f>'Statistics NZ'!F$56*'Economic Forecasts'!H$9*1000000/SUM('Statistics NZ'!F$30:F$110,'Statistics NZ'!F$130:F$210)</f>
        <v>32732.070204589094</v>
      </c>
      <c r="G56" s="44">
        <f>'Statistics NZ'!G$56*'Economic Forecasts'!I$9*1000000/SUM('Statistics NZ'!G$30:G$110,'Statistics NZ'!G$130:G$210)</f>
        <v>32512.383178915483</v>
      </c>
      <c r="H56" s="44">
        <f>'Statistics NZ'!H$56*'Economic Forecasts'!J$9*1000000/SUM('Statistics NZ'!H$30:H$110,'Statistics NZ'!H$130:H$210)</f>
        <v>33592.143892378015</v>
      </c>
      <c r="I56" s="44">
        <f>'Statistics NZ'!I$56*'Economic Forecasts'!K$9*1000000/SUM('Statistics NZ'!I$30:I$110,'Statistics NZ'!I$130:I$210)</f>
        <v>32890.928053298463</v>
      </c>
      <c r="J56" s="44">
        <f>'Statistics NZ'!J$56*'Economic Forecasts'!L$9*1000000/SUM('Statistics NZ'!J$30:J$110,'Statistics NZ'!J$130:J$210)</f>
        <v>31674.113528298851</v>
      </c>
      <c r="K56" s="44">
        <f>'Statistics NZ'!K$56*'Economic Forecasts'!M$9*1000000/SUM('Statistics NZ'!K$30:K$110,'Statistics NZ'!K$130:K$210)</f>
        <v>30863.81531563243</v>
      </c>
      <c r="L56" s="44">
        <f>'Statistics NZ'!L$56*'Economic Forecasts'!N$9*1000000/SUM('Statistics NZ'!L$30:L$110,'Statistics NZ'!L$130:L$210)</f>
        <v>29940.091199126007</v>
      </c>
      <c r="M56" s="44">
        <f>'Statistics NZ'!M$56*'Economic Forecasts'!O$9*1000000/SUM('Statistics NZ'!M$30:M$110,'Statistics NZ'!M$130:M$210)</f>
        <v>28947.2472934664</v>
      </c>
      <c r="N56" s="44">
        <f>'Statistics NZ'!N$56*'Economic Forecasts'!P$9*1000000/SUM('Statistics NZ'!N$30:N$110,'Statistics NZ'!N$130:N$210)</f>
        <v>29442.867222708352</v>
      </c>
      <c r="O56" s="44">
        <f>'Statistics NZ'!O$56*'Economic Forecasts'!Q$9*1000000/SUM('Statistics NZ'!O$30:O$110,'Statistics NZ'!O$130:O$210)</f>
        <v>29684.157726762052</v>
      </c>
      <c r="P56" s="44">
        <f>'Statistics NZ'!P$56*'Economic Forecasts'!R$9*1000000/SUM('Statistics NZ'!P$30:P$110,'Statistics NZ'!P$130:P$210)</f>
        <v>30957.868751485286</v>
      </c>
      <c r="Q56" s="44">
        <f>'Statistics NZ'!Q$56*'Economic Forecasts'!S$9*1000000/SUM('Statistics NZ'!Q$30:Q$110,'Statistics NZ'!Q$130:Q$210)</f>
        <v>31621.112282996692</v>
      </c>
      <c r="R56" s="44">
        <f>'Statistics NZ'!R$56*'Economic Forecasts'!T$9*1000000/SUM('Statistics NZ'!R$30:R$110,'Statistics NZ'!R$130:R$210)</f>
        <v>31819.693948639113</v>
      </c>
      <c r="S56" s="45">
        <f>SUM('Statistics NZ'!S$56,$J$12/5*(S$8-S$9)*1000)*'Economic Forecasts'!U$9*1000000/SUM('Statistics NZ'!S$30:S$110,'Statistics NZ'!S$130:S$210,SUM($E$12:$T$13)*(S$8-S$9)*1000)</f>
        <v>32995.559343549736</v>
      </c>
      <c r="T56" s="45">
        <f>SUM('Statistics NZ'!T$56,$J$12/5*(T$8-T$9)*1000)*'Economic Forecasts'!V$9*1000000/SUM('Statistics NZ'!T$30:T$110,'Statistics NZ'!T$130:T$210,SUM($E$12:$T$13)*(T$8-T$9)*1000)</f>
        <v>34274.934478866511</v>
      </c>
      <c r="U56" s="45">
        <f>SUM('Statistics NZ'!U$56,$J$12/5*(U$8-U$9)*1000)*'Economic Forecasts'!W$9*1000000/SUM('Statistics NZ'!U$30:U$110,'Statistics NZ'!U$130:U$210,SUM($E$12:$T$13)*(U$8-U$9)*1000)</f>
        <v>34960.006680459919</v>
      </c>
      <c r="V56" s="45">
        <f>SUM('Statistics NZ'!V$56,$J$12/5*(V$8-V$9)*1000)*'Economic Forecasts'!X$9*1000000/SUM('Statistics NZ'!V$30:V$110,'Statistics NZ'!V$130:V$210,SUM($E$12:$T$13)*(V$8-V$9)*1000)</f>
        <v>35792.583026870765</v>
      </c>
      <c r="W56" s="45">
        <f>SUM('Statistics NZ'!W$56,$J$12/5*(W$8-W$9)*1000)*'Economic Forecasts'!Y$9*1000000/SUM('Statistics NZ'!W$30:W$110,'Statistics NZ'!W$130:W$210,SUM($E$12:$T$13)*(W$8-W$9)*1000)</f>
        <v>36360.972836396817</v>
      </c>
      <c r="X56" s="45">
        <f>SUM('Statistics NZ'!X$56,$J$12/5*(X$8-X$9)*1000)*'Economic Forecasts'!Z$9*1000000/SUM('Statistics NZ'!X$30:X$110,'Statistics NZ'!X$130:X$210,SUM($E$12:$T$13)*(X$8-X$9)*1000)</f>
        <v>37419.675745816727</v>
      </c>
      <c r="Y56" s="45">
        <f>SUM('Statistics NZ'!Y$56,$J$12/5*(Y$8-Y$9)*1000)*'Economic Forecasts'!AA$9*1000000/SUM('Statistics NZ'!Y$30:Y$110,'Statistics NZ'!Y$130:Y$210,SUM($E$12:$T$13)*(Y$8-Y$9)*1000)</f>
        <v>40017.252921069055</v>
      </c>
      <c r="Z56" s="46">
        <f>SUM(Y$56,'Statistics NZ'!Z$56-'Statistics NZ'!Y$56,$J$12/5*(Z$8-Z$9)*1000)</f>
        <v>40523.619587917645</v>
      </c>
      <c r="AA56" s="46">
        <f>SUM(Z$56,'Statistics NZ'!AA$56-'Statistics NZ'!Z$56,$J$12/5*(AA$8-AA$9)*1000)</f>
        <v>42199.27884733861</v>
      </c>
      <c r="AB56" s="46">
        <f>SUM(AA$56,'Statistics NZ'!AB$56-'Statistics NZ'!AA$56,$J$12/5*(AB$8-AB$9)*1000)</f>
        <v>42894.230699331958</v>
      </c>
      <c r="AC56" s="46">
        <f>SUM(AB$56,'Statistics NZ'!AC$56-'Statistics NZ'!AB$56,$J$12/5*(AC$8-AC$9)*1000)</f>
        <v>42518.475143897682</v>
      </c>
      <c r="AD56" s="46">
        <f>SUM(AC$56,'Statistics NZ'!AD$56-'Statistics NZ'!AC$56,$J$12/5*(AD$8-AD$9)*1000)</f>
        <v>41672.012181035789</v>
      </c>
      <c r="AE56" s="46">
        <f>SUM(AD$56,'Statistics NZ'!AE$56-'Statistics NZ'!AD$56,$J$12/5*(AE$8-AE$9)*1000)</f>
        <v>40574.841810746271</v>
      </c>
      <c r="AF56" s="46">
        <f>SUM(AE$56,'Statistics NZ'!AF$56-'Statistics NZ'!AE$56,$J$12/5*(AF$8-AF$9)*1000)</f>
        <v>40306.964033029137</v>
      </c>
      <c r="AG56" s="46">
        <f>SUM(AF$56,'Statistics NZ'!AG$56-'Statistics NZ'!AF$56,$J$12/5*(AG$8-AG$9)*1000)</f>
        <v>39858.378847884378</v>
      </c>
      <c r="AH56" s="46">
        <f>SUM(AG$56,'Statistics NZ'!AH$56-'Statistics NZ'!AG$56,$J$12/5*(AH$8-AH$9)*1000)</f>
        <v>39609.086255312002</v>
      </c>
      <c r="AI56" s="46">
        <f>SUM(AH$56,'Statistics NZ'!AI$56-'Statistics NZ'!AH$56,$J$12/5*(AI$8-AI$9)*1000)</f>
        <v>39409.086255312002</v>
      </c>
    </row>
    <row r="57" spans="1:35" x14ac:dyDescent="0.25">
      <c r="A57" s="11">
        <v>42</v>
      </c>
      <c r="B57" s="44">
        <f>'Statistics NZ'!B$57*'Economic Forecasts'!D$9*1000000/SUM('Statistics NZ'!B$30:B$110,'Statistics NZ'!B$130:B$210)</f>
        <v>32785.985887292496</v>
      </c>
      <c r="C57" s="44">
        <f>'Statistics NZ'!C$57*'Economic Forecasts'!E$9*1000000/SUM('Statistics NZ'!C$30:C$110,'Statistics NZ'!C$130:C$210)</f>
        <v>31925.074417264805</v>
      </c>
      <c r="D57" s="44">
        <f>'Statistics NZ'!D$57*'Economic Forecasts'!F$9*1000000/SUM('Statistics NZ'!D$30:D$110,'Statistics NZ'!D$130:D$210)</f>
        <v>31589.879437852229</v>
      </c>
      <c r="E57" s="44">
        <f>'Statistics NZ'!E$57*'Economic Forecasts'!G$9*1000000/SUM('Statistics NZ'!E$30:E$110,'Statistics NZ'!E$130:E$210)</f>
        <v>31833.596359189054</v>
      </c>
      <c r="F57" s="44">
        <f>'Statistics NZ'!F$57*'Economic Forecasts'!H$9*1000000/SUM('Statistics NZ'!F$30:F$110,'Statistics NZ'!F$130:F$210)</f>
        <v>32172.966817816072</v>
      </c>
      <c r="G57" s="44">
        <f>'Statistics NZ'!G$57*'Economic Forecasts'!I$9*1000000/SUM('Statistics NZ'!G$30:G$110,'Statistics NZ'!G$130:G$210)</f>
        <v>32767.767457662252</v>
      </c>
      <c r="H57" s="44">
        <f>'Statistics NZ'!H$57*'Economic Forecasts'!J$9*1000000/SUM('Statistics NZ'!H$30:H$110,'Statistics NZ'!H$130:H$210)</f>
        <v>32472.078258060639</v>
      </c>
      <c r="I57" s="44">
        <f>'Statistics NZ'!I$57*'Economic Forecasts'!K$9*1000000/SUM('Statistics NZ'!I$30:I$110,'Statistics NZ'!I$130:I$210)</f>
        <v>33567.373369446781</v>
      </c>
      <c r="J57" s="44">
        <f>'Statistics NZ'!J$57*'Economic Forecasts'!L$9*1000000/SUM('Statistics NZ'!J$30:J$110,'Statistics NZ'!J$130:J$210)</f>
        <v>32932.106337766389</v>
      </c>
      <c r="K57" s="44">
        <f>'Statistics NZ'!K$57*'Economic Forecasts'!M$9*1000000/SUM('Statistics NZ'!K$30:K$110,'Statistics NZ'!K$130:K$210)</f>
        <v>31847.17346922198</v>
      </c>
      <c r="L57" s="44">
        <f>'Statistics NZ'!L$57*'Economic Forecasts'!N$9*1000000/SUM('Statistics NZ'!L$30:L$110,'Statistics NZ'!L$130:L$210)</f>
        <v>31225.324382307997</v>
      </c>
      <c r="M57" s="44">
        <f>'Statistics NZ'!M$57*'Economic Forecasts'!O$9*1000000/SUM('Statistics NZ'!M$30:M$110,'Statistics NZ'!M$130:M$210)</f>
        <v>30393.144222063442</v>
      </c>
      <c r="N57" s="44">
        <f>'Statistics NZ'!N$57*'Economic Forecasts'!P$9*1000000/SUM('Statistics NZ'!N$30:N$110,'Statistics NZ'!N$130:N$210)</f>
        <v>29276.52334009418</v>
      </c>
      <c r="O57" s="44">
        <f>'Statistics NZ'!O$57*'Economic Forecasts'!Q$9*1000000/SUM('Statistics NZ'!O$30:O$110,'Statistics NZ'!O$130:O$210)</f>
        <v>29831.303254158422</v>
      </c>
      <c r="P57" s="44">
        <f>'Statistics NZ'!P$57*'Economic Forecasts'!R$9*1000000/SUM('Statistics NZ'!P$30:P$110,'Statistics NZ'!P$130:P$210)</f>
        <v>30009.080988801536</v>
      </c>
      <c r="Q57" s="44">
        <f>'Statistics NZ'!Q$57*'Economic Forecasts'!S$9*1000000/SUM('Statistics NZ'!Q$30:Q$110,'Statistics NZ'!Q$130:Q$210)</f>
        <v>31265.818886558525</v>
      </c>
      <c r="R57" s="44">
        <f>'Statistics NZ'!R$57*'Economic Forecasts'!T$9*1000000/SUM('Statistics NZ'!R$30:R$110,'Statistics NZ'!R$130:R$210)</f>
        <v>31455.195906502995</v>
      </c>
      <c r="S57" s="45">
        <f>SUM('Statistics NZ'!S$57,$J$12/5*(S$8-S$9)*1000)*'Economic Forecasts'!U$9*1000000/SUM('Statistics NZ'!S$30:S$110,'Statistics NZ'!S$130:S$210,SUM($E$12:$T$13)*(S$8-S$9)*1000)</f>
        <v>32073.881408694771</v>
      </c>
      <c r="T57" s="45">
        <f>SUM('Statistics NZ'!T$57,$J$12/5*(T$8-T$9)*1000)*'Economic Forecasts'!V$9*1000000/SUM('Statistics NZ'!T$30:T$110,'Statistics NZ'!T$130:T$210,SUM($E$12:$T$13)*(T$8-T$9)*1000)</f>
        <v>33595.86404168154</v>
      </c>
      <c r="U57" s="45">
        <f>SUM('Statistics NZ'!U$57,$J$12/5*(U$8-U$9)*1000)*'Economic Forecasts'!W$9*1000000/SUM('Statistics NZ'!U$30:U$110,'Statistics NZ'!U$130:U$210,SUM($E$12:$T$13)*(U$8-U$9)*1000)</f>
        <v>34364.223186748437</v>
      </c>
      <c r="V57" s="45">
        <f>SUM('Statistics NZ'!V$57,$J$12/5*(V$8-V$9)*1000)*'Economic Forecasts'!X$9*1000000/SUM('Statistics NZ'!V$30:V$110,'Statistics NZ'!V$130:V$210,SUM($E$12:$T$13)*(V$8-V$9)*1000)</f>
        <v>35074.592060378651</v>
      </c>
      <c r="W57" s="45">
        <f>SUM('Statistics NZ'!W$57,$J$12/5*(W$8-W$9)*1000)*'Economic Forecasts'!Y$9*1000000/SUM('Statistics NZ'!W$30:W$110,'Statistics NZ'!W$130:W$210,SUM($E$12:$T$13)*(W$8-W$9)*1000)</f>
        <v>35955.876198631631</v>
      </c>
      <c r="X57" s="45">
        <f>SUM('Statistics NZ'!X$57,$J$12/5*(X$8-X$9)*1000)*'Economic Forecasts'!Z$9*1000000/SUM('Statistics NZ'!X$30:X$110,'Statistics NZ'!X$130:X$210,SUM($E$12:$T$13)*(X$8-X$9)*1000)</f>
        <v>36526.710322015293</v>
      </c>
      <c r="Y57" s="45">
        <f>SUM('Statistics NZ'!Y$57,$J$12/5*(Y$8-Y$9)*1000)*'Economic Forecasts'!AA$9*1000000/SUM('Statistics NZ'!Y$30:Y$110,'Statistics NZ'!Y$130:Y$210,SUM($E$12:$T$13)*(Y$8-Y$9)*1000)</f>
        <v>37606.273160758079</v>
      </c>
      <c r="Z57" s="46">
        <f>SUM(Y$57,'Statistics NZ'!Z$57-'Statistics NZ'!Y$57,$J$12/5*(Z$8-Z$9)*1000)</f>
        <v>40162.639827606668</v>
      </c>
      <c r="AA57" s="46">
        <f>SUM(Z$57,'Statistics NZ'!AA$57-'Statistics NZ'!Z$57,$J$12/5*(AA$8-AA$9)*1000)</f>
        <v>40658.299087027634</v>
      </c>
      <c r="AB57" s="46">
        <f>SUM(AA$57,'Statistics NZ'!AB$57-'Statistics NZ'!AA$57,$J$12/5*(AB$8-AB$9)*1000)</f>
        <v>42323.250939020982</v>
      </c>
      <c r="AC57" s="46">
        <f>SUM(AB$57,'Statistics NZ'!AC$57-'Statistics NZ'!AB$57,$J$12/5*(AC$8-AC$9)*1000)</f>
        <v>43007.495383586705</v>
      </c>
      <c r="AD57" s="46">
        <f>SUM(AC$57,'Statistics NZ'!AD$57-'Statistics NZ'!AC$57,$J$12/5*(AD$8-AD$9)*1000)</f>
        <v>42621.032420724812</v>
      </c>
      <c r="AE57" s="46">
        <f>SUM(AD$57,'Statistics NZ'!AE$57-'Statistics NZ'!AD$57,$J$12/5*(AE$8-AE$9)*1000)</f>
        <v>41763.862050435295</v>
      </c>
      <c r="AF57" s="46">
        <f>SUM(AE$57,'Statistics NZ'!AF$57-'Statistics NZ'!AE$57,$J$12/5*(AF$8-AF$9)*1000)</f>
        <v>40655.98427271816</v>
      </c>
      <c r="AG57" s="46">
        <f>SUM(AF$57,'Statistics NZ'!AG$57-'Statistics NZ'!AF$57,$J$12/5*(AG$8-AG$9)*1000)</f>
        <v>40387.399087573402</v>
      </c>
      <c r="AH57" s="46">
        <f>SUM(AG$57,'Statistics NZ'!AH$57-'Statistics NZ'!AG$57,$J$12/5*(AH$8-AH$9)*1000)</f>
        <v>39928.106495001026</v>
      </c>
      <c r="AI57" s="46">
        <f>SUM(AH$57,'Statistics NZ'!AI$57-'Statistics NZ'!AH$57,$J$12/5*(AI$8-AI$9)*1000)</f>
        <v>39658.106495001026</v>
      </c>
    </row>
    <row r="58" spans="1:35" x14ac:dyDescent="0.25">
      <c r="A58" s="11">
        <v>43</v>
      </c>
      <c r="B58" s="44">
        <f>'Statistics NZ'!B$58*'Economic Forecasts'!D$9*1000000/SUM('Statistics NZ'!B$30:B$110,'Statistics NZ'!B$130:B$210)</f>
        <v>33676.324507329387</v>
      </c>
      <c r="C58" s="44">
        <f>'Statistics NZ'!C$58*'Economic Forecasts'!E$9*1000000/SUM('Statistics NZ'!C$30:C$110,'Statistics NZ'!C$130:C$210)</f>
        <v>33005.283025661956</v>
      </c>
      <c r="D58" s="44">
        <f>'Statistics NZ'!D$58*'Economic Forecasts'!F$9*1000000/SUM('Statistics NZ'!D$30:D$110,'Statistics NZ'!D$130:D$210)</f>
        <v>31874.738425320425</v>
      </c>
      <c r="E58" s="44">
        <f>'Statistics NZ'!E$58*'Economic Forecasts'!G$9*1000000/SUM('Statistics NZ'!E$30:E$110,'Statistics NZ'!E$130:E$210)</f>
        <v>31519.771626134818</v>
      </c>
      <c r="F58" s="44">
        <f>'Statistics NZ'!F$58*'Economic Forecasts'!H$9*1000000/SUM('Statistics NZ'!F$30:F$110,'Statistics NZ'!F$130:F$210)</f>
        <v>31917.937202796795</v>
      </c>
      <c r="G58" s="44">
        <f>'Statistics NZ'!G$58*'Economic Forecasts'!I$9*1000000/SUM('Statistics NZ'!G$30:G$110,'Statistics NZ'!G$130:G$210)</f>
        <v>32168.596649833296</v>
      </c>
      <c r="H58" s="44">
        <f>'Statistics NZ'!H$58*'Economic Forecasts'!J$9*1000000/SUM('Statistics NZ'!H$30:H$110,'Statistics NZ'!H$130:H$210)</f>
        <v>32688.231275209604</v>
      </c>
      <c r="I58" s="44">
        <f>'Statistics NZ'!I$58*'Economic Forecasts'!K$9*1000000/SUM('Statistics NZ'!I$30:I$110,'Statistics NZ'!I$130:I$210)</f>
        <v>32420.357398586599</v>
      </c>
      <c r="J58" s="44">
        <f>'Statistics NZ'!J$58*'Economic Forecasts'!L$9*1000000/SUM('Statistics NZ'!J$30:J$110,'Statistics NZ'!J$130:J$210)</f>
        <v>33526.971154646388</v>
      </c>
      <c r="K58" s="44">
        <f>'Statistics NZ'!K$58*'Economic Forecasts'!M$9*1000000/SUM('Statistics NZ'!K$30:K$110,'Statistics NZ'!K$130:K$210)</f>
        <v>33132.354422428129</v>
      </c>
      <c r="L58" s="44">
        <f>'Statistics NZ'!L$58*'Economic Forecasts'!N$9*1000000/SUM('Statistics NZ'!L$30:L$110,'Statistics NZ'!L$130:L$210)</f>
        <v>32082.146504429329</v>
      </c>
      <c r="M58" s="44">
        <f>'Statistics NZ'!M$58*'Economic Forecasts'!O$9*1000000/SUM('Statistics NZ'!M$30:M$110,'Statistics NZ'!M$130:M$210)</f>
        <v>31643.649673823042</v>
      </c>
      <c r="N58" s="44">
        <f>'Statistics NZ'!N$58*'Economic Forecasts'!P$9*1000000/SUM('Statistics NZ'!N$30:N$110,'Statistics NZ'!N$130:N$210)</f>
        <v>30656.19907236466</v>
      </c>
      <c r="O58" s="44">
        <f>'Statistics NZ'!O$58*'Economic Forecasts'!Q$9*1000000/SUM('Statistics NZ'!O$30:O$110,'Statistics NZ'!O$130:O$210)</f>
        <v>29654.728621282775</v>
      </c>
      <c r="P58" s="44">
        <f>'Statistics NZ'!P$58*'Economic Forecasts'!R$9*1000000/SUM('Statistics NZ'!P$30:P$110,'Statistics NZ'!P$130:P$210)</f>
        <v>30106.894160212232</v>
      </c>
      <c r="Q58" s="44">
        <f>'Statistics NZ'!Q$58*'Economic Forecasts'!S$9*1000000/SUM('Statistics NZ'!Q$30:Q$110,'Statistics NZ'!Q$130:Q$210)</f>
        <v>30377.585395463113</v>
      </c>
      <c r="R58" s="44">
        <f>'Statistics NZ'!R$58*'Economic Forecasts'!T$9*1000000/SUM('Statistics NZ'!R$30:R$110,'Statistics NZ'!R$130:R$210)</f>
        <v>31149.805654983549</v>
      </c>
      <c r="S58" s="45">
        <f>SUM('Statistics NZ'!S$58,$J$12/5*(S$8-S$9)*1000)*'Economic Forecasts'!U$9*1000000/SUM('Statistics NZ'!S$30:S$110,'Statistics NZ'!S$130:S$210,SUM($E$12:$T$13)*(S$8-S$9)*1000)</f>
        <v>31705.210234752787</v>
      </c>
      <c r="T58" s="45">
        <f>SUM('Statistics NZ'!T$58,$J$12/5*(T$8-T$9)*1000)*'Economic Forecasts'!V$9*1000000/SUM('Statistics NZ'!T$30:T$110,'Statistics NZ'!T$130:T$210,SUM($E$12:$T$13)*(T$8-T$9)*1000)</f>
        <v>32627.190035697105</v>
      </c>
      <c r="U58" s="45">
        <f>SUM('Statistics NZ'!U$58,$J$12/5*(U$8-U$9)*1000)*'Economic Forecasts'!W$9*1000000/SUM('Statistics NZ'!U$30:U$110,'Statistics NZ'!U$130:U$210,SUM($E$12:$T$13)*(U$8-U$9)*1000)</f>
        <v>33657.361414548395</v>
      </c>
      <c r="V58" s="45">
        <f>SUM('Statistics NZ'!V$58,$J$12/5*(V$8-V$9)*1000)*'Economic Forecasts'!X$9*1000000/SUM('Statistics NZ'!V$30:V$110,'Statistics NZ'!V$130:V$210,SUM($E$12:$T$13)*(V$8-V$9)*1000)</f>
        <v>34457.726582124866</v>
      </c>
      <c r="W58" s="45">
        <f>SUM('Statistics NZ'!W$58,$J$12/5*(W$8-W$9)*1000)*'Economic Forecasts'!Y$9*1000000/SUM('Statistics NZ'!W$30:W$110,'Statistics NZ'!W$130:W$210,SUM($E$12:$T$13)*(W$8-W$9)*1000)</f>
        <v>35206.447418766038</v>
      </c>
      <c r="X58" s="45">
        <f>SUM('Statistics NZ'!X$58,$J$12/5*(X$8-X$9)*1000)*'Economic Forecasts'!Z$9*1000000/SUM('Statistics NZ'!X$30:X$110,'Statistics NZ'!X$130:X$210,SUM($E$12:$T$13)*(X$8-X$9)*1000)</f>
        <v>36090.37494447596</v>
      </c>
      <c r="Y58" s="45">
        <f>SUM('Statistics NZ'!Y$58,$J$12/5*(Y$8-Y$9)*1000)*'Economic Forecasts'!AA$9*1000000/SUM('Statistics NZ'!Y$30:Y$110,'Statistics NZ'!Y$130:Y$210,SUM($E$12:$T$13)*(Y$8-Y$9)*1000)</f>
        <v>36690.711226462765</v>
      </c>
      <c r="Z58" s="46">
        <f>SUM(Y$58,'Statistics NZ'!Z$58-'Statistics NZ'!Y$58,$J$12/5*(Z$8-Z$9)*1000)</f>
        <v>37757.077893311354</v>
      </c>
      <c r="AA58" s="46">
        <f>SUM(Z$58,'Statistics NZ'!AA$58-'Statistics NZ'!Z$58,$J$12/5*(AA$8-AA$9)*1000)</f>
        <v>40302.737152732319</v>
      </c>
      <c r="AB58" s="46">
        <f>SUM(AA$58,'Statistics NZ'!AB$58-'Statistics NZ'!AA$58,$J$12/5*(AB$8-AB$9)*1000)</f>
        <v>40787.689004725667</v>
      </c>
      <c r="AC58" s="46">
        <f>SUM(AB$58,'Statistics NZ'!AC$58-'Statistics NZ'!AB$58,$J$12/5*(AC$8-AC$9)*1000)</f>
        <v>42441.933449291391</v>
      </c>
      <c r="AD58" s="46">
        <f>SUM(AC$58,'Statistics NZ'!AD$58-'Statistics NZ'!AC$58,$J$12/5*(AD$8-AD$9)*1000)</f>
        <v>43115.470486429498</v>
      </c>
      <c r="AE58" s="46">
        <f>SUM(AD$58,'Statistics NZ'!AE$58-'Statistics NZ'!AD$58,$J$12/5*(AE$8-AE$9)*1000)</f>
        <v>42718.300116139981</v>
      </c>
      <c r="AF58" s="46">
        <f>SUM(AE$58,'Statistics NZ'!AF$58-'Statistics NZ'!AE$58,$J$12/5*(AF$8-AF$9)*1000)</f>
        <v>41850.422338422846</v>
      </c>
      <c r="AG58" s="46">
        <f>SUM(AF$58,'Statistics NZ'!AG$58-'Statistics NZ'!AF$58,$J$12/5*(AG$8-AG$9)*1000)</f>
        <v>40731.837153278087</v>
      </c>
      <c r="AH58" s="46">
        <f>SUM(AG$58,'Statistics NZ'!AH$58-'Statistics NZ'!AG$58,$J$12/5*(AH$8-AH$9)*1000)</f>
        <v>40452.544560705712</v>
      </c>
      <c r="AI58" s="46">
        <f>SUM(AH$58,'Statistics NZ'!AI$58-'Statistics NZ'!AH$58,$J$12/5*(AI$8-AI$9)*1000)</f>
        <v>39982.544560705712</v>
      </c>
    </row>
    <row r="59" spans="1:35" x14ac:dyDescent="0.25">
      <c r="A59" s="11">
        <v>44</v>
      </c>
      <c r="B59" s="44">
        <f>'Statistics NZ'!B$59*'Economic Forecasts'!D$9*1000000/SUM('Statistics NZ'!B$30:B$110,'Statistics NZ'!B$130:B$210)</f>
        <v>33431.725985341232</v>
      </c>
      <c r="C59" s="44">
        <f>'Statistics NZ'!C$59*'Economic Forecasts'!E$9*1000000/SUM('Statistics NZ'!C$30:C$110,'Statistics NZ'!C$130:C$210)</f>
        <v>33869.44991237967</v>
      </c>
      <c r="D59" s="44">
        <f>'Statistics NZ'!D$59*'Economic Forecasts'!F$9*1000000/SUM('Statistics NZ'!D$30:D$110,'Statistics NZ'!D$130:D$210)</f>
        <v>32965.060756664207</v>
      </c>
      <c r="E59" s="44">
        <f>'Statistics NZ'!E$59*'Economic Forecasts'!G$9*1000000/SUM('Statistics NZ'!E$30:E$110,'Statistics NZ'!E$130:E$210)</f>
        <v>31813.982313373162</v>
      </c>
      <c r="F59" s="44">
        <f>'Statistics NZ'!F$59*'Economic Forecasts'!H$9*1000000/SUM('Statistics NZ'!F$30:F$110,'Statistics NZ'!F$130:F$210)</f>
        <v>31545.201611614782</v>
      </c>
      <c r="G59" s="44">
        <f>'Statistics NZ'!G$59*'Economic Forecasts'!I$9*1000000/SUM('Statistics NZ'!G$30:G$110,'Statistics NZ'!G$130:G$210)</f>
        <v>31952.502260124493</v>
      </c>
      <c r="H59" s="44">
        <f>'Statistics NZ'!H$59*'Economic Forecasts'!J$9*1000000/SUM('Statistics NZ'!H$30:H$110,'Statistics NZ'!H$130:H$210)</f>
        <v>32108.548183764651</v>
      </c>
      <c r="I59" s="44">
        <f>'Statistics NZ'!I$59*'Economic Forecasts'!K$9*1000000/SUM('Statistics NZ'!I$30:I$110,'Statistics NZ'!I$130:I$210)</f>
        <v>32528.196506958066</v>
      </c>
      <c r="J59" s="44">
        <f>'Statistics NZ'!J$59*'Economic Forecasts'!L$9*1000000/SUM('Statistics NZ'!J$30:J$110,'Statistics NZ'!J$130:J$210)</f>
        <v>32405.504696593933</v>
      </c>
      <c r="K59" s="44">
        <f>'Statistics NZ'!K$59*'Economic Forecasts'!M$9*1000000/SUM('Statistics NZ'!K$30:K$110,'Statistics NZ'!K$130:K$210)</f>
        <v>33697.055144291429</v>
      </c>
      <c r="L59" s="44">
        <f>'Statistics NZ'!L$59*'Economic Forecasts'!N$9*1000000/SUM('Statistics NZ'!L$30:L$110,'Statistics NZ'!L$130:L$210)</f>
        <v>33425.79937775596</v>
      </c>
      <c r="M59" s="44">
        <f>'Statistics NZ'!M$59*'Economic Forecasts'!O$9*1000000/SUM('Statistics NZ'!M$30:M$110,'Statistics NZ'!M$130:M$210)</f>
        <v>32454.52430269841</v>
      </c>
      <c r="N59" s="44">
        <f>'Statistics NZ'!N$59*'Economic Forecasts'!P$9*1000000/SUM('Statistics NZ'!N$30:N$110,'Statistics NZ'!N$130:N$210)</f>
        <v>31967.380264735188</v>
      </c>
      <c r="O59" s="44">
        <f>'Statistics NZ'!O$59*'Economic Forecasts'!Q$9*1000000/SUM('Statistics NZ'!O$30:O$110,'Statistics NZ'!O$130:O$210)</f>
        <v>30969.228666023722</v>
      </c>
      <c r="P59" s="44">
        <f>'Statistics NZ'!P$59*'Economic Forecasts'!R$9*1000000/SUM('Statistics NZ'!P$30:P$110,'Statistics NZ'!P$130:P$210)</f>
        <v>29891.705183108697</v>
      </c>
      <c r="Q59" s="44">
        <f>'Statistics NZ'!Q$59*'Economic Forecasts'!S$9*1000000/SUM('Statistics NZ'!Q$30:Q$110,'Statistics NZ'!Q$130:Q$210)</f>
        <v>30426.931700523968</v>
      </c>
      <c r="R59" s="44">
        <f>'Statistics NZ'!R$59*'Economic Forecasts'!T$9*1000000/SUM('Statistics NZ'!R$30:R$110,'Statistics NZ'!R$130:R$210)</f>
        <v>30253.337497297431</v>
      </c>
      <c r="S59" s="45">
        <f>SUM('Statistics NZ'!S$59,$J$12/5*(S$8-S$9)*1000)*'Economic Forecasts'!U$9*1000000/SUM('Statistics NZ'!S$30:S$110,'Statistics NZ'!S$130:S$210,SUM($E$12:$T$13)*(S$8-S$9)*1000)</f>
        <v>31375.346552804695</v>
      </c>
      <c r="T59" s="45">
        <f>SUM('Statistics NZ'!T$59,$J$12/5*(T$8-T$9)*1000)*'Economic Forecasts'!V$9*1000000/SUM('Statistics NZ'!T$30:T$110,'Statistics NZ'!T$130:T$210,SUM($E$12:$T$13)*(T$8-T$9)*1000)</f>
        <v>32217.750507394394</v>
      </c>
      <c r="U59" s="45">
        <f>SUM('Statistics NZ'!U$59,$J$12/5*(U$8-U$9)*1000)*'Economic Forecasts'!W$9*1000000/SUM('Statistics NZ'!U$30:U$110,'Statistics NZ'!U$130:U$210,SUM($E$12:$T$13)*(U$8-U$9)*1000)</f>
        <v>32647.558882834033</v>
      </c>
      <c r="V59" s="45">
        <f>SUM('Statistics NZ'!V$59,$J$12/5*(V$8-V$9)*1000)*'Economic Forecasts'!X$9*1000000/SUM('Statistics NZ'!V$30:V$110,'Statistics NZ'!V$130:V$210,SUM($E$12:$T$13)*(V$8-V$9)*1000)</f>
        <v>33719.510517985094</v>
      </c>
      <c r="W59" s="45">
        <f>SUM('Statistics NZ'!W$59,$J$12/5*(W$8-W$9)*1000)*'Economic Forecasts'!Y$9*1000000/SUM('Statistics NZ'!W$30:W$110,'Statistics NZ'!W$130:W$210,SUM($E$12:$T$13)*(W$8-W$9)*1000)</f>
        <v>34558.292798341739</v>
      </c>
      <c r="X59" s="45">
        <f>SUM('Statistics NZ'!X$59,$J$12/5*(X$8-X$9)*1000)*'Economic Forecasts'!Z$9*1000000/SUM('Statistics NZ'!X$30:X$110,'Statistics NZ'!X$130:X$210,SUM($E$12:$T$13)*(X$8-X$9)*1000)</f>
        <v>35319.177533011083</v>
      </c>
      <c r="Y59" s="45">
        <f>SUM('Statistics NZ'!Y$59,$J$12/5*(Y$8-Y$9)*1000)*'Economic Forecasts'!AA$9*1000000/SUM('Statistics NZ'!Y$30:Y$110,'Statistics NZ'!Y$130:Y$210,SUM($E$12:$T$13)*(Y$8-Y$9)*1000)</f>
        <v>36222.757348934058</v>
      </c>
      <c r="Z59" s="46">
        <f>SUM(Y$59,'Statistics NZ'!Z$59-'Statistics NZ'!Y$59,$J$12/5*(Z$8-Z$9)*1000)</f>
        <v>36819.124015782647</v>
      </c>
      <c r="AA59" s="46">
        <f>SUM(Z$59,'Statistics NZ'!AA$59-'Statistics NZ'!Z$59,$J$12/5*(AA$8-AA$9)*1000)</f>
        <v>37874.783275203612</v>
      </c>
      <c r="AB59" s="46">
        <f>SUM(AA$59,'Statistics NZ'!AB$59-'Statistics NZ'!AA$59,$J$12/5*(AB$8-AB$9)*1000)</f>
        <v>40399.73512719696</v>
      </c>
      <c r="AC59" s="46">
        <f>SUM(AB$59,'Statistics NZ'!AC$59-'Statistics NZ'!AB$59,$J$12/5*(AC$8-AC$9)*1000)</f>
        <v>40873.979571762684</v>
      </c>
      <c r="AD59" s="46">
        <f>SUM(AC$59,'Statistics NZ'!AD$59-'Statistics NZ'!AC$59,$J$12/5*(AD$8-AD$9)*1000)</f>
        <v>42517.516608900791</v>
      </c>
      <c r="AE59" s="46">
        <f>SUM(AD$59,'Statistics NZ'!AE$59-'Statistics NZ'!AD$59,$J$12/5*(AE$8-AE$9)*1000)</f>
        <v>43180.346238611273</v>
      </c>
      <c r="AF59" s="46">
        <f>SUM(AE$59,'Statistics NZ'!AF$59-'Statistics NZ'!AE$59,$J$12/5*(AF$8-AF$9)*1000)</f>
        <v>42772.468460894139</v>
      </c>
      <c r="AG59" s="46">
        <f>SUM(AF$59,'Statistics NZ'!AG$59-'Statistics NZ'!AF$59,$J$12/5*(AG$8-AG$9)*1000)</f>
        <v>41903.88327574938</v>
      </c>
      <c r="AH59" s="46">
        <f>SUM(AG$59,'Statistics NZ'!AH$59-'Statistics NZ'!AG$59,$J$12/5*(AH$8-AH$9)*1000)</f>
        <v>40774.590683177004</v>
      </c>
      <c r="AI59" s="46">
        <f>SUM(AH$59,'Statistics NZ'!AI$59-'Statistics NZ'!AH$59,$J$12/5*(AI$8-AI$9)*1000)</f>
        <v>40484.590683177004</v>
      </c>
    </row>
    <row r="60" spans="1:35" x14ac:dyDescent="0.25">
      <c r="A60" s="11">
        <v>45</v>
      </c>
      <c r="B60" s="44">
        <f>'Statistics NZ'!B$60*'Economic Forecasts'!D$9*1000000/SUM('Statistics NZ'!B$30:B$110,'Statistics NZ'!B$130:B$210)</f>
        <v>32785.985887292496</v>
      </c>
      <c r="C60" s="44">
        <f>'Statistics NZ'!C$60*'Economic Forecasts'!E$9*1000000/SUM('Statistics NZ'!C$30:C$110,'Statistics NZ'!C$130:C$210)</f>
        <v>33555.20740811868</v>
      </c>
      <c r="D60" s="44">
        <f>'Statistics NZ'!D$60*'Economic Forecasts'!F$9*1000000/SUM('Statistics NZ'!D$30:D$110,'Statistics NZ'!D$130:D$210)</f>
        <v>33760.701376833997</v>
      </c>
      <c r="E60" s="44">
        <f>'Statistics NZ'!E$60*'Economic Forecasts'!G$9*1000000/SUM('Statistics NZ'!E$30:E$110,'Statistics NZ'!E$130:E$210)</f>
        <v>32863.333764523268</v>
      </c>
      <c r="F60" s="44">
        <f>'Statistics NZ'!F$60*'Economic Forecasts'!H$9*1000000/SUM('Statistics NZ'!F$30:F$110,'Statistics NZ'!F$130:F$210)</f>
        <v>31770.804732593369</v>
      </c>
      <c r="G60" s="44">
        <f>'Statistics NZ'!G$60*'Economic Forecasts'!I$9*1000000/SUM('Statistics NZ'!G$30:G$110,'Statistics NZ'!G$130:G$210)</f>
        <v>31520.313480706885</v>
      </c>
      <c r="H60" s="44">
        <f>'Statistics NZ'!H$60*'Economic Forecasts'!J$9*1000000/SUM('Statistics NZ'!H$30:H$110,'Statistics NZ'!H$130:H$210)</f>
        <v>31872.744892329418</v>
      </c>
      <c r="I60" s="44">
        <f>'Statistics NZ'!I$60*'Economic Forecasts'!K$9*1000000/SUM('Statistics NZ'!I$30:I$110,'Statistics NZ'!I$130:I$210)</f>
        <v>32008.608075713706</v>
      </c>
      <c r="J60" s="44">
        <f>'Statistics NZ'!J$60*'Economic Forecasts'!L$9*1000000/SUM('Statistics NZ'!J$30:J$110,'Statistics NZ'!J$130:J$210)</f>
        <v>32454.264107813604</v>
      </c>
      <c r="K60" s="44">
        <f>'Statistics NZ'!K$60*'Economic Forecasts'!M$9*1000000/SUM('Statistics NZ'!K$30:K$110,'Statistics NZ'!K$130:K$210)</f>
        <v>32528.708823194935</v>
      </c>
      <c r="L60" s="44">
        <f>'Statistics NZ'!L$60*'Economic Forecasts'!N$9*1000000/SUM('Statistics NZ'!L$30:L$110,'Statistics NZ'!L$130:L$210)</f>
        <v>33932.103359009474</v>
      </c>
      <c r="M60" s="44">
        <f>'Statistics NZ'!M$60*'Economic Forecasts'!O$9*1000000/SUM('Statistics NZ'!M$30:M$110,'Statistics NZ'!M$130:M$210)</f>
        <v>33822.264640560476</v>
      </c>
      <c r="N60" s="44">
        <f>'Statistics NZ'!N$60*'Economic Forecasts'!P$9*1000000/SUM('Statistics NZ'!N$30:N$110,'Statistics NZ'!N$130:N$210)</f>
        <v>32730.605137906092</v>
      </c>
      <c r="O60" s="44">
        <f>'Statistics NZ'!O$60*'Economic Forecasts'!Q$9*1000000/SUM('Statistics NZ'!O$30:O$110,'Statistics NZ'!O$130:O$210)</f>
        <v>32244.489903458973</v>
      </c>
      <c r="P60" s="44">
        <f>'Statistics NZ'!P$60*'Economic Forecasts'!R$9*1000000/SUM('Statistics NZ'!P$30:P$110,'Statistics NZ'!P$130:P$210)</f>
        <v>31192.620362870959</v>
      </c>
      <c r="Q60" s="44">
        <f>'Statistics NZ'!Q$60*'Economic Forecasts'!S$9*1000000/SUM('Statistics NZ'!Q$30:Q$110,'Statistics NZ'!Q$130:Q$210)</f>
        <v>30150.592392183175</v>
      </c>
      <c r="R60" s="44">
        <f>'Statistics NZ'!R$60*'Economic Forecasts'!T$9*1000000/SUM('Statistics NZ'!R$30:R$110,'Statistics NZ'!R$130:R$210)</f>
        <v>30312.445287914099</v>
      </c>
      <c r="S60" s="45">
        <f>SUM('Statistics NZ'!S$60,$K$12/5*(S$8-S$9)*1000)*'Economic Forecasts'!U$9*1000000/SUM('Statistics NZ'!S$30:S$110,'Statistics NZ'!S$130:S$210,SUM($E$12:$T$13)*(S$8-S$9)*1000)</f>
        <v>29875.503367311547</v>
      </c>
      <c r="T60" s="45">
        <f>SUM('Statistics NZ'!T$60,$K$12/5*(T$8-T$9)*1000)*'Economic Forecasts'!V$9*1000000/SUM('Statistics NZ'!T$30:T$110,'Statistics NZ'!T$130:T$210,SUM($E$12:$T$13)*(T$8-T$9)*1000)</f>
        <v>31519.086081629892</v>
      </c>
      <c r="U60" s="45">
        <f>SUM('Statistics NZ'!U$60,$K$12/5*(U$8-U$9)*1000)*'Economic Forecasts'!W$9*1000000/SUM('Statistics NZ'!U$30:U$110,'Statistics NZ'!U$130:U$210,SUM($E$12:$T$13)*(U$8-U$9)*1000)</f>
        <v>32121.782116095394</v>
      </c>
      <c r="V60" s="45">
        <f>SUM('Statistics NZ'!V$60,$K$12/5*(V$8-V$9)*1000)*'Economic Forecasts'!X$9*1000000/SUM('Statistics NZ'!V$30:V$110,'Statistics NZ'!V$130:V$210,SUM($E$12:$T$13)*(V$8-V$9)*1000)</f>
        <v>32606.299501387828</v>
      </c>
      <c r="W60" s="45">
        <f>SUM('Statistics NZ'!W$60,$K$12/5*(W$8-W$9)*1000)*'Economic Forecasts'!Y$9*1000000/SUM('Statistics NZ'!W$30:W$110,'Statistics NZ'!W$130:W$210,SUM($E$12:$T$13)*(W$8-W$9)*1000)</f>
        <v>33709.821702331174</v>
      </c>
      <c r="X60" s="45">
        <f>SUM('Statistics NZ'!X$60,$K$12/5*(X$8-X$9)*1000)*'Economic Forecasts'!Z$9*1000000/SUM('Statistics NZ'!X$30:X$110,'Statistics NZ'!X$130:X$210,SUM($E$12:$T$13)*(X$8-X$9)*1000)</f>
        <v>34558.185966213459</v>
      </c>
      <c r="Y60" s="45">
        <f>SUM('Statistics NZ'!Y$60,$K$12/5*(Y$8-Y$9)*1000)*'Economic Forecasts'!AA$9*1000000/SUM('Statistics NZ'!Y$30:Y$110,'Statistics NZ'!Y$130:Y$210,SUM($E$12:$T$13)*(Y$8-Y$9)*1000)</f>
        <v>35337.227000706924</v>
      </c>
      <c r="Z60" s="46">
        <f>SUM(Y$60,'Statistics NZ'!Z$60-'Statistics NZ'!Y$60,$K$12/5*(Z$8-Z$9)*1000)</f>
        <v>36161.162689053708</v>
      </c>
      <c r="AA60" s="46">
        <f>SUM(Z$60,'Statistics NZ'!AA$60-'Statistics NZ'!Z$60,$K$12/5*(AA$8-AA$9)*1000)</f>
        <v>36672.438856473069</v>
      </c>
      <c r="AB60" s="46">
        <f>SUM(AA$60,'Statistics NZ'!AB$60-'Statistics NZ'!AA$60,$K$12/5*(AB$8-AB$9)*1000)</f>
        <v>37671.055502965013</v>
      </c>
      <c r="AC60" s="46">
        <f>SUM(AB$60,'Statistics NZ'!AC$60-'Statistics NZ'!AB$60,$K$12/5*(AC$8-AC$9)*1000)</f>
        <v>40137.012628529534</v>
      </c>
      <c r="AD60" s="46">
        <f>SUM(AC$60,'Statistics NZ'!AD$60-'Statistics NZ'!AC$60,$K$12/5*(AD$8-AD$9)*1000)</f>
        <v>40560.310233166638</v>
      </c>
      <c r="AE60" s="46">
        <f>SUM(AD$60,'Statistics NZ'!AE$60-'Statistics NZ'!AD$60,$K$12/5*(AE$8-AE$9)*1000)</f>
        <v>42160.948316876318</v>
      </c>
      <c r="AF60" s="46">
        <f>SUM(AE$60,'Statistics NZ'!AF$60-'Statistics NZ'!AE$60,$K$12/5*(AF$8-AF$9)*1000)</f>
        <v>42788.926879658582</v>
      </c>
      <c r="AG60" s="46">
        <f>SUM(AF$60,'Statistics NZ'!AG$60-'Statistics NZ'!AF$60,$K$12/5*(AG$8-AG$9)*1000)</f>
        <v>42354.245921513422</v>
      </c>
      <c r="AH60" s="46">
        <f>SUM(AG$60,'Statistics NZ'!AH$60-'Statistics NZ'!AG$60,$K$12/5*(AH$8-AH$9)*1000)</f>
        <v>41466.905442440846</v>
      </c>
      <c r="AI60" s="46">
        <f>SUM(AH$60,'Statistics NZ'!AI$60-'Statistics NZ'!AH$60,$K$12/5*(AI$8-AI$9)*1000)</f>
        <v>40326.905442440846</v>
      </c>
    </row>
    <row r="61" spans="1:35" x14ac:dyDescent="0.25">
      <c r="A61" s="11">
        <v>46</v>
      </c>
      <c r="B61" s="44">
        <f>'Statistics NZ'!B$61*'Economic Forecasts'!D$9*1000000/SUM('Statistics NZ'!B$30:B$110,'Statistics NZ'!B$130:B$210)</f>
        <v>31230.33928744782</v>
      </c>
      <c r="C61" s="44">
        <f>'Statistics NZ'!C$61*'Economic Forecasts'!E$9*1000000/SUM('Statistics NZ'!C$30:C$110,'Statistics NZ'!C$130:C$210)</f>
        <v>32877.622008305923</v>
      </c>
      <c r="D61" s="44">
        <f>'Statistics NZ'!D$61*'Economic Forecasts'!F$9*1000000/SUM('Statistics NZ'!D$30:D$110,'Statistics NZ'!D$130:D$210)</f>
        <v>33505.310560483194</v>
      </c>
      <c r="E61" s="44">
        <f>'Statistics NZ'!E$61*'Economic Forecasts'!G$9*1000000/SUM('Statistics NZ'!E$30:E$110,'Statistics NZ'!E$130:E$210)</f>
        <v>33618.474528435021</v>
      </c>
      <c r="F61" s="44">
        <f>'Statistics NZ'!F$61*'Economic Forecasts'!H$9*1000000/SUM('Statistics NZ'!F$30:F$110,'Statistics NZ'!F$130:F$210)</f>
        <v>32839.967349404942</v>
      </c>
      <c r="G61" s="44">
        <f>'Statistics NZ'!G$61*'Economic Forecasts'!I$9*1000000/SUM('Statistics NZ'!G$30:G$110,'Statistics NZ'!G$130:G$210)</f>
        <v>31706.940453637217</v>
      </c>
      <c r="H61" s="44">
        <f>'Statistics NZ'!H$61*'Economic Forecasts'!J$9*1000000/SUM('Statistics NZ'!H$30:H$110,'Statistics NZ'!H$130:H$210)</f>
        <v>31361.837760886407</v>
      </c>
      <c r="I61" s="44">
        <f>'Statistics NZ'!I$61*'Economic Forecasts'!K$9*1000000/SUM('Statistics NZ'!I$30:I$110,'Statistics NZ'!I$130:I$210)</f>
        <v>31753.715637744779</v>
      </c>
      <c r="J61" s="44">
        <f>'Statistics NZ'!J$61*'Economic Forecasts'!L$9*1000000/SUM('Statistics NZ'!J$30:J$110,'Statistics NZ'!J$130:J$210)</f>
        <v>31937.414348885082</v>
      </c>
      <c r="K61" s="44">
        <f>'Statistics NZ'!K$61*'Economic Forecasts'!M$9*1000000/SUM('Statistics NZ'!K$30:K$110,'Statistics NZ'!K$130:K$210)</f>
        <v>32499.500165167523</v>
      </c>
      <c r="L61" s="44">
        <f>'Statistics NZ'!L$61*'Economic Forecasts'!N$9*1000000/SUM('Statistics NZ'!L$30:L$110,'Statistics NZ'!L$130:L$210)</f>
        <v>32676.080020899801</v>
      </c>
      <c r="M61" s="44">
        <f>'Statistics NZ'!M$61*'Economic Forecasts'!O$9*1000000/SUM('Statistics NZ'!M$30:M$110,'Statistics NZ'!M$130:M$210)</f>
        <v>34222.817168077221</v>
      </c>
      <c r="N61" s="44">
        <f>'Statistics NZ'!N$61*'Economic Forecasts'!P$9*1000000/SUM('Statistics NZ'!N$30:N$110,'Statistics NZ'!N$130:N$210)</f>
        <v>34071.141133090889</v>
      </c>
      <c r="O61" s="44">
        <f>'Statistics NZ'!O$61*'Economic Forecasts'!Q$9*1000000/SUM('Statistics NZ'!O$30:O$110,'Statistics NZ'!O$130:O$210)</f>
        <v>32950.788434961571</v>
      </c>
      <c r="P61" s="44">
        <f>'Statistics NZ'!P$61*'Economic Forecasts'!R$9*1000000/SUM('Statistics NZ'!P$30:P$110,'Statistics NZ'!P$130:P$210)</f>
        <v>32415.285005504655</v>
      </c>
      <c r="Q61" s="44">
        <f>'Statistics NZ'!Q$61*'Economic Forecasts'!S$9*1000000/SUM('Statistics NZ'!Q$30:Q$110,'Statistics NZ'!Q$130:Q$210)</f>
        <v>31492.811889838464</v>
      </c>
      <c r="R61" s="44">
        <f>'Statistics NZ'!R$61*'Economic Forecasts'!T$9*1000000/SUM('Statistics NZ'!R$30:R$110,'Statistics NZ'!R$130:R$210)</f>
        <v>30016.906334830761</v>
      </c>
      <c r="S61" s="45">
        <f>SUM('Statistics NZ'!S$61,$K$12/5*(S$8-S$9)*1000)*'Economic Forecasts'!U$9*1000000/SUM('Statistics NZ'!S$30:S$110,'Statistics NZ'!S$130:S$210,SUM($E$12:$T$13)*(S$8-S$9)*1000)</f>
        <v>29904.608986306961</v>
      </c>
      <c r="T61" s="45">
        <f>SUM('Statistics NZ'!T$61,$K$12/5*(T$8-T$9)*1000)*'Economic Forecasts'!V$9*1000000/SUM('Statistics NZ'!T$30:T$110,'Statistics NZ'!T$130:T$210,SUM($E$12:$T$13)*(T$8-T$9)*1000)</f>
        <v>30560.39840560405</v>
      </c>
      <c r="U61" s="45">
        <f>SUM('Statistics NZ'!U$61,$K$12/5*(U$8-U$9)*1000)*'Economic Forecasts'!W$9*1000000/SUM('Statistics NZ'!U$30:U$110,'Statistics NZ'!U$130:U$210,SUM($E$12:$T$13)*(U$8-U$9)*1000)</f>
        <v>31727.959128726794</v>
      </c>
      <c r="V61" s="45">
        <f>SUM('Statistics NZ'!V$61,$K$12/5*(V$8-V$9)*1000)*'Economic Forecasts'!X$9*1000000/SUM('Statistics NZ'!V$30:V$110,'Statistics NZ'!V$130:V$210,SUM($E$12:$T$13)*(V$8-V$9)*1000)</f>
        <v>32141.122255491529</v>
      </c>
      <c r="W61" s="45">
        <f>SUM('Statistics NZ'!W$61,$K$12/5*(W$8-W$9)*1000)*'Economic Forecasts'!Y$9*1000000/SUM('Statistics NZ'!W$30:W$110,'Statistics NZ'!W$130:W$210,SUM($E$12:$T$13)*(W$8-W$9)*1000)</f>
        <v>32636.315612253427</v>
      </c>
      <c r="X61" s="45">
        <f>SUM('Statistics NZ'!X$61,$K$12/5*(X$8-X$9)*1000)*'Economic Forecasts'!Z$9*1000000/SUM('Statistics NZ'!X$30:X$110,'Statistics NZ'!X$130:X$210,SUM($E$12:$T$13)*(X$8-X$9)*1000)</f>
        <v>33756.546551664454</v>
      </c>
      <c r="Y61" s="45">
        <f>SUM('Statistics NZ'!Y$61,$K$12/5*(Y$8-Y$9)*1000)*'Economic Forecasts'!AA$9*1000000/SUM('Statistics NZ'!Y$30:Y$110,'Statistics NZ'!Y$130:Y$210,SUM($E$12:$T$13)*(Y$8-Y$9)*1000)</f>
        <v>34625.123274032791</v>
      </c>
      <c r="Z61" s="46">
        <f>SUM(Y$61,'Statistics NZ'!Z$61-'Statistics NZ'!Y$61,$K$12/5*(Z$8-Z$9)*1000)</f>
        <v>35329.058962379575</v>
      </c>
      <c r="AA61" s="46">
        <f>SUM(Z$61,'Statistics NZ'!AA$61-'Statistics NZ'!Z$61,$K$12/5*(AA$8-AA$9)*1000)</f>
        <v>36150.335129798936</v>
      </c>
      <c r="AB61" s="46">
        <f>SUM(AA$61,'Statistics NZ'!AB$61-'Statistics NZ'!AA$61,$K$12/5*(AB$8-AB$9)*1000)</f>
        <v>36658.95177629088</v>
      </c>
      <c r="AC61" s="46">
        <f>SUM(AB$61,'Statistics NZ'!AC$61-'Statistics NZ'!AB$61,$K$12/5*(AC$8-AC$9)*1000)</f>
        <v>37654.9089018554</v>
      </c>
      <c r="AD61" s="46">
        <f>SUM(AC$61,'Statistics NZ'!AD$61-'Statistics NZ'!AC$61,$K$12/5*(AD$8-AD$9)*1000)</f>
        <v>40108.206506492505</v>
      </c>
      <c r="AE61" s="46">
        <f>SUM(AD$61,'Statistics NZ'!AE$61-'Statistics NZ'!AD$61,$K$12/5*(AE$8-AE$9)*1000)</f>
        <v>40538.844590202185</v>
      </c>
      <c r="AF61" s="46">
        <f>SUM(AE$61,'Statistics NZ'!AF$61-'Statistics NZ'!AE$61,$K$12/5*(AF$8-AF$9)*1000)</f>
        <v>42136.823152984449</v>
      </c>
      <c r="AG61" s="46">
        <f>SUM(AF$61,'Statistics NZ'!AG$61-'Statistics NZ'!AF$61,$K$12/5*(AG$8-AG$9)*1000)</f>
        <v>42762.142194839289</v>
      </c>
      <c r="AH61" s="46">
        <f>SUM(AG$61,'Statistics NZ'!AH$61-'Statistics NZ'!AG$61,$K$12/5*(AH$8-AH$9)*1000)</f>
        <v>42314.801715766713</v>
      </c>
      <c r="AI61" s="46">
        <f>SUM(AH$61,'Statistics NZ'!AI$61-'Statistics NZ'!AH$61,$K$12/5*(AI$8-AI$9)*1000)</f>
        <v>41434.801715766713</v>
      </c>
    </row>
    <row r="62" spans="1:35" x14ac:dyDescent="0.25">
      <c r="A62" s="11">
        <v>47</v>
      </c>
      <c r="B62" s="44">
        <f>'Statistics NZ'!B$62*'Economic Forecasts'!D$9*1000000/SUM('Statistics NZ'!B$30:B$110,'Statistics NZ'!B$130:B$210)</f>
        <v>30692.222539073875</v>
      </c>
      <c r="C62" s="44">
        <f>'Statistics NZ'!C$62*'Economic Forecasts'!E$9*1000000/SUM('Statistics NZ'!C$30:C$110,'Statistics NZ'!C$130:C$210)</f>
        <v>31326.04964351729</v>
      </c>
      <c r="D62" s="44">
        <f>'Statistics NZ'!D$62*'Economic Forecasts'!F$9*1000000/SUM('Statistics NZ'!D$30:D$110,'Statistics NZ'!D$130:D$210)</f>
        <v>32817.719901077209</v>
      </c>
      <c r="E62" s="44">
        <f>'Statistics NZ'!E$62*'Economic Forecasts'!G$9*1000000/SUM('Statistics NZ'!E$30:E$110,'Statistics NZ'!E$130:E$210)</f>
        <v>33373.298955736391</v>
      </c>
      <c r="F62" s="44">
        <f>'Statistics NZ'!F$62*'Economic Forecasts'!H$9*1000000/SUM('Statistics NZ'!F$30:F$110,'Statistics NZ'!F$130:F$210)</f>
        <v>33585.438531768974</v>
      </c>
      <c r="G62" s="44">
        <f>'Statistics NZ'!G$62*'Economic Forecasts'!I$9*1000000/SUM('Statistics NZ'!G$30:G$110,'Statistics NZ'!G$130:G$210)</f>
        <v>32807.057346700218</v>
      </c>
      <c r="H62" s="44">
        <f>'Statistics NZ'!H$62*'Economic Forecasts'!J$9*1000000/SUM('Statistics NZ'!H$30:H$110,'Statistics NZ'!H$130:H$210)</f>
        <v>31548.515366605967</v>
      </c>
      <c r="I62" s="44">
        <f>'Statistics NZ'!I$62*'Economic Forecasts'!K$9*1000000/SUM('Statistics NZ'!I$30:I$110,'Statistics NZ'!I$130:I$210)</f>
        <v>31165.502319354942</v>
      </c>
      <c r="J62" s="44">
        <f>'Statistics NZ'!J$62*'Economic Forecasts'!L$9*1000000/SUM('Statistics NZ'!J$30:J$110,'Statistics NZ'!J$130:J$210)</f>
        <v>31566.842823615578</v>
      </c>
      <c r="K62" s="44">
        <f>'Statistics NZ'!K$62*'Economic Forecasts'!M$9*1000000/SUM('Statistics NZ'!K$30:K$110,'Statistics NZ'!K$130:K$210)</f>
        <v>31993.216759359042</v>
      </c>
      <c r="L62" s="44">
        <f>'Statistics NZ'!L$62*'Economic Forecasts'!N$9*1000000/SUM('Statistics NZ'!L$30:L$110,'Statistics NZ'!L$130:L$210)</f>
        <v>32676.080020899801</v>
      </c>
      <c r="M62" s="44">
        <f>'Statistics NZ'!M$62*'Economic Forecasts'!O$9*1000000/SUM('Statistics NZ'!M$30:M$110,'Statistics NZ'!M$130:M$210)</f>
        <v>32913.694273266388</v>
      </c>
      <c r="N62" s="44">
        <f>'Statistics NZ'!N$62*'Economic Forecasts'!P$9*1000000/SUM('Statistics NZ'!N$30:N$110,'Statistics NZ'!N$130:N$210)</f>
        <v>34354.90422696212</v>
      </c>
      <c r="O62" s="44">
        <f>'Statistics NZ'!O$62*'Economic Forecasts'!Q$9*1000000/SUM('Statistics NZ'!O$30:O$110,'Statistics NZ'!O$130:O$210)</f>
        <v>34245.669076049671</v>
      </c>
      <c r="P62" s="44">
        <f>'Statistics NZ'!P$62*'Economic Forecasts'!R$9*1000000/SUM('Statistics NZ'!P$30:P$110,'Statistics NZ'!P$130:P$210)</f>
        <v>33099.977205379531</v>
      </c>
      <c r="Q62" s="44">
        <f>'Statistics NZ'!Q$62*'Economic Forecasts'!S$9*1000000/SUM('Statistics NZ'!Q$30:Q$110,'Statistics NZ'!Q$130:Q$210)</f>
        <v>32716.600255347705</v>
      </c>
      <c r="R62" s="44">
        <f>'Statistics NZ'!R$62*'Economic Forecasts'!T$9*1000000/SUM('Statistics NZ'!R$30:R$110,'Statistics NZ'!R$130:R$210)</f>
        <v>31356.682922141877</v>
      </c>
      <c r="S62" s="45">
        <f>SUM('Statistics NZ'!S$62,$K$12/5*(S$8-S$9)*1000)*'Economic Forecasts'!U$9*1000000/SUM('Statistics NZ'!S$30:S$110,'Statistics NZ'!S$130:S$210,SUM($E$12:$T$13)*(S$8-S$9)*1000)</f>
        <v>29603.85092335429</v>
      </c>
      <c r="T62" s="45">
        <f>SUM('Statistics NZ'!T$62,$K$12/5*(T$8-T$9)*1000)*'Economic Forecasts'!V$9*1000000/SUM('Statistics NZ'!T$30:T$110,'Statistics NZ'!T$130:T$210,SUM($E$12:$T$13)*(T$8-T$9)*1000)</f>
        <v>30570.384735562653</v>
      </c>
      <c r="U62" s="45">
        <f>SUM('Statistics NZ'!U$62,$K$12/5*(U$8-U$9)*1000)*'Economic Forecasts'!W$9*1000000/SUM('Statistics NZ'!U$30:U$110,'Statistics NZ'!U$130:U$210,SUM($E$12:$T$13)*(U$8-U$9)*1000)</f>
        <v>30738.35264764672</v>
      </c>
      <c r="V62" s="45">
        <f>SUM('Statistics NZ'!V$62,$K$12/5*(V$8-V$9)*1000)*'Economic Forecasts'!X$9*1000000/SUM('Statistics NZ'!V$30:V$110,'Statistics NZ'!V$130:V$210,SUM($E$12:$T$13)*(V$8-V$9)*1000)</f>
        <v>31716.395204890563</v>
      </c>
      <c r="W62" s="45">
        <f>SUM('Statistics NZ'!W$62,$K$12/5*(W$8-W$9)*1000)*'Economic Forecasts'!Y$9*1000000/SUM('Statistics NZ'!W$30:W$110,'Statistics NZ'!W$130:W$210,SUM($E$12:$T$13)*(W$8-W$9)*1000)</f>
        <v>32140.072230991074</v>
      </c>
      <c r="X62" s="45">
        <f>SUM('Statistics NZ'!X$62,$K$12/5*(X$8-X$9)*1000)*'Economic Forecasts'!Z$9*1000000/SUM('Statistics NZ'!X$30:X$110,'Statistics NZ'!X$130:X$210,SUM($E$12:$T$13)*(X$8-X$9)*1000)</f>
        <v>32650.487106274046</v>
      </c>
      <c r="Y62" s="45">
        <f>SUM('Statistics NZ'!Y$62,$K$12/5*(Y$8-Y$9)*1000)*'Economic Forecasts'!AA$9*1000000/SUM('Statistics NZ'!Y$30:Y$110,'Statistics NZ'!Y$130:Y$210,SUM($E$12:$T$13)*(Y$8-Y$9)*1000)</f>
        <v>33790.944622785959</v>
      </c>
      <c r="Z62" s="46">
        <f>SUM(Y$62,'Statistics NZ'!Z$62-'Statistics NZ'!Y$62,$K$12/5*(Z$8-Z$9)*1000)</f>
        <v>34584.880311132743</v>
      </c>
      <c r="AA62" s="46">
        <f>SUM(Z$62,'Statistics NZ'!AA$62-'Statistics NZ'!Z$62,$K$12/5*(AA$8-AA$9)*1000)</f>
        <v>35286.156478552104</v>
      </c>
      <c r="AB62" s="46">
        <f>SUM(AA$62,'Statistics NZ'!AB$62-'Statistics NZ'!AA$62,$K$12/5*(AB$8-AB$9)*1000)</f>
        <v>36104.773125044048</v>
      </c>
      <c r="AC62" s="46">
        <f>SUM(AB$62,'Statistics NZ'!AC$62-'Statistics NZ'!AB$62,$K$12/5*(AC$8-AC$9)*1000)</f>
        <v>36620.730250608569</v>
      </c>
      <c r="AD62" s="46">
        <f>SUM(AC$62,'Statistics NZ'!AD$62-'Statistics NZ'!AC$62,$K$12/5*(AD$8-AD$9)*1000)</f>
        <v>37604.027855245673</v>
      </c>
      <c r="AE62" s="46">
        <f>SUM(AD$62,'Statistics NZ'!AE$62-'Statistics NZ'!AD$62,$K$12/5*(AE$8-AE$9)*1000)</f>
        <v>40054.665938955353</v>
      </c>
      <c r="AF62" s="46">
        <f>SUM(AE$62,'Statistics NZ'!AF$62-'Statistics NZ'!AE$62,$K$12/5*(AF$8-AF$9)*1000)</f>
        <v>40482.644501737617</v>
      </c>
      <c r="AG62" s="46">
        <f>SUM(AF$62,'Statistics NZ'!AG$62-'Statistics NZ'!AF$62,$K$12/5*(AG$8-AG$9)*1000)</f>
        <v>42067.963543592457</v>
      </c>
      <c r="AH62" s="46">
        <f>SUM(AG$62,'Statistics NZ'!AH$62-'Statistics NZ'!AG$62,$K$12/5*(AH$8-AH$9)*1000)</f>
        <v>42690.623064519881</v>
      </c>
      <c r="AI62" s="46">
        <f>SUM(AH$62,'Statistics NZ'!AI$62-'Statistics NZ'!AH$62,$K$12/5*(AI$8-AI$9)*1000)</f>
        <v>42250.623064519881</v>
      </c>
    </row>
    <row r="63" spans="1:35" x14ac:dyDescent="0.25">
      <c r="A63" s="11">
        <v>48</v>
      </c>
      <c r="B63" s="44">
        <f>'Statistics NZ'!B$63*'Economic Forecasts'!D$9*1000000/SUM('Statistics NZ'!B$30:B$110,'Statistics NZ'!B$130:B$210)</f>
        <v>29322.470815940196</v>
      </c>
      <c r="C63" s="44">
        <f>'Statistics NZ'!C$63*'Economic Forecasts'!E$9*1000000/SUM('Statistics NZ'!C$30:C$110,'Statistics NZ'!C$130:C$210)</f>
        <v>30756.485104544256</v>
      </c>
      <c r="D63" s="44">
        <f>'Statistics NZ'!D$63*'Economic Forecasts'!F$9*1000000/SUM('Statistics NZ'!D$30:D$110,'Statistics NZ'!D$130:D$210)</f>
        <v>31216.615937031842</v>
      </c>
      <c r="E63" s="44">
        <f>'Statistics NZ'!E$63*'Economic Forecasts'!G$9*1000000/SUM('Statistics NZ'!E$30:E$110,'Statistics NZ'!E$130:E$210)</f>
        <v>32677.000329272312</v>
      </c>
      <c r="F63" s="44">
        <f>'Statistics NZ'!F$63*'Economic Forecasts'!H$9*1000000/SUM('Statistics NZ'!F$30:F$110,'Statistics NZ'!F$130:F$210)</f>
        <v>33310.791254055905</v>
      </c>
      <c r="G63" s="44">
        <f>'Statistics NZ'!G$63*'Economic Forecasts'!I$9*1000000/SUM('Statistics NZ'!G$30:G$110,'Statistics NZ'!G$130:G$210)</f>
        <v>33524.097821643067</v>
      </c>
      <c r="H63" s="44">
        <f>'Statistics NZ'!H$63*'Economic Forecasts'!J$9*1000000/SUM('Statistics NZ'!H$30:H$110,'Statistics NZ'!H$130:H$210)</f>
        <v>32609.63017806453</v>
      </c>
      <c r="I63" s="44">
        <f>'Statistics NZ'!I$63*'Economic Forecasts'!K$9*1000000/SUM('Statistics NZ'!I$30:I$110,'Statistics NZ'!I$130:I$210)</f>
        <v>31341.96631487189</v>
      </c>
      <c r="J63" s="44">
        <f>'Statistics NZ'!J$63*'Economic Forecasts'!L$9*1000000/SUM('Statistics NZ'!J$30:J$110,'Statistics NZ'!J$130:J$210)</f>
        <v>30971.978006735579</v>
      </c>
      <c r="K63" s="44">
        <f>'Statistics NZ'!K$63*'Economic Forecasts'!M$9*1000000/SUM('Statistics NZ'!K$30:K$110,'Statistics NZ'!K$130:K$210)</f>
        <v>31594.031766317737</v>
      </c>
      <c r="L63" s="44">
        <f>'Statistics NZ'!L$63*'Economic Forecasts'!N$9*1000000/SUM('Statistics NZ'!L$30:L$110,'Statistics NZ'!L$130:L$210)</f>
        <v>32160.03942462218</v>
      </c>
      <c r="M63" s="44">
        <f>'Statistics NZ'!M$63*'Economic Forecasts'!O$9*1000000/SUM('Statistics NZ'!M$30:M$110,'Statistics NZ'!M$130:M$210)</f>
        <v>32952.772568633874</v>
      </c>
      <c r="N63" s="44">
        <f>'Statistics NZ'!N$63*'Economic Forecasts'!P$9*1000000/SUM('Statistics NZ'!N$30:N$110,'Statistics NZ'!N$130:N$210)</f>
        <v>33014.368231777327</v>
      </c>
      <c r="O63" s="44">
        <f>'Statistics NZ'!O$63*'Economic Forecasts'!Q$9*1000000/SUM('Statistics NZ'!O$30:O$110,'Statistics NZ'!O$130:O$210)</f>
        <v>34598.818341800972</v>
      </c>
      <c r="P63" s="44">
        <f>'Statistics NZ'!P$63*'Economic Forecasts'!R$9*1000000/SUM('Statistics NZ'!P$30:P$110,'Statistics NZ'!P$130:P$210)</f>
        <v>34293.297896590018</v>
      </c>
      <c r="Q63" s="44">
        <f>'Statistics NZ'!Q$63*'Economic Forecasts'!S$9*1000000/SUM('Statistics NZ'!Q$30:Q$110,'Statistics NZ'!Q$130:Q$210)</f>
        <v>33407.448526199682</v>
      </c>
      <c r="R63" s="44">
        <f>'Statistics NZ'!R$63*'Economic Forecasts'!T$9*1000000/SUM('Statistics NZ'!R$30:R$110,'Statistics NZ'!R$130:R$210)</f>
        <v>32558.541331347442</v>
      </c>
      <c r="S63" s="45">
        <f>SUM('Statistics NZ'!S$63,$K$12/5*(S$8-S$9)*1000)*'Economic Forecasts'!U$9*1000000/SUM('Statistics NZ'!S$30:S$110,'Statistics NZ'!S$130:S$210,SUM($E$12:$T$13)*(S$8-S$9)*1000)</f>
        <v>30903.901905149716</v>
      </c>
      <c r="T63" s="45">
        <f>SUM('Statistics NZ'!T$63,$K$12/5*(T$8-T$9)*1000)*'Economic Forecasts'!V$9*1000000/SUM('Statistics NZ'!T$30:T$110,'Statistics NZ'!T$130:T$210,SUM($E$12:$T$13)*(T$8-T$9)*1000)</f>
        <v>30230.849516970167</v>
      </c>
      <c r="U63" s="45">
        <f>SUM('Statistics NZ'!U$63,$K$12/5*(U$8-U$9)*1000)*'Economic Forecasts'!W$9*1000000/SUM('Statistics NZ'!U$30:U$110,'Statistics NZ'!U$130:U$210,SUM($E$12:$T$13)*(U$8-U$9)*1000)</f>
        <v>30718.156597012436</v>
      </c>
      <c r="V63" s="45">
        <f>SUM('Statistics NZ'!V$63,$K$12/5*(V$8-V$9)*1000)*'Economic Forecasts'!X$9*1000000/SUM('Statistics NZ'!V$30:V$110,'Statistics NZ'!V$130:V$210,SUM($E$12:$T$13)*(V$8-V$9)*1000)</f>
        <v>30705.140322507312</v>
      </c>
      <c r="W63" s="45">
        <f>SUM('Statistics NZ'!W$63,$K$12/5*(W$8-W$9)*1000)*'Economic Forecasts'!Y$9*1000000/SUM('Statistics NZ'!W$30:W$110,'Statistics NZ'!W$130:W$210,SUM($E$12:$T$13)*(W$8-W$9)*1000)</f>
        <v>31694.465929449369</v>
      </c>
      <c r="X63" s="45">
        <f>SUM('Statistics NZ'!X$63,$K$12/5*(X$8-X$9)*1000)*'Economic Forecasts'!Z$9*1000000/SUM('Statistics NZ'!X$30:X$110,'Statistics NZ'!X$130:X$210,SUM($E$12:$T$13)*(X$8-X$9)*1000)</f>
        <v>32132.973053843671</v>
      </c>
      <c r="Y63" s="45">
        <f>SUM('Statistics NZ'!Y$63,$K$12/5*(Y$8-Y$9)*1000)*'Economic Forecasts'!AA$9*1000000/SUM('Statistics NZ'!Y$30:Y$110,'Statistics NZ'!Y$130:Y$210,SUM($E$12:$T$13)*(Y$8-Y$9)*1000)</f>
        <v>32661.75157048841</v>
      </c>
      <c r="Z63" s="46">
        <f>SUM(Y$63,'Statistics NZ'!Z$63-'Statistics NZ'!Y$63,$K$12/5*(Z$8-Z$9)*1000)</f>
        <v>33725.687258835198</v>
      </c>
      <c r="AA63" s="46">
        <f>SUM(Z$63,'Statistics NZ'!AA$63-'Statistics NZ'!Z$63,$K$12/5*(AA$8-AA$9)*1000)</f>
        <v>34516.963426254559</v>
      </c>
      <c r="AB63" s="46">
        <f>SUM(AA$63,'Statistics NZ'!AB$63-'Statistics NZ'!AA$63,$K$12/5*(AB$8-AB$9)*1000)</f>
        <v>35215.580072746503</v>
      </c>
      <c r="AC63" s="46">
        <f>SUM(AB$63,'Statistics NZ'!AC$63-'Statistics NZ'!AB$63,$K$12/5*(AC$8-AC$9)*1000)</f>
        <v>36031.537198311024</v>
      </c>
      <c r="AD63" s="46">
        <f>SUM(AC$63,'Statistics NZ'!AD$63-'Statistics NZ'!AC$63,$K$12/5*(AD$8-AD$9)*1000)</f>
        <v>36544.834802948128</v>
      </c>
      <c r="AE63" s="46">
        <f>SUM(AD$63,'Statistics NZ'!AE$63-'Statistics NZ'!AD$63,$K$12/5*(AE$8-AE$9)*1000)</f>
        <v>37525.472886657808</v>
      </c>
      <c r="AF63" s="46">
        <f>SUM(AE$63,'Statistics NZ'!AF$63-'Statistics NZ'!AE$63,$K$12/5*(AF$8-AF$9)*1000)</f>
        <v>39973.451449440072</v>
      </c>
      <c r="AG63" s="46">
        <f>SUM(AF$63,'Statistics NZ'!AG$63-'Statistics NZ'!AF$63,$K$12/5*(AG$8-AG$9)*1000)</f>
        <v>40388.770491294912</v>
      </c>
      <c r="AH63" s="46">
        <f>SUM(AG$63,'Statistics NZ'!AH$63-'Statistics NZ'!AG$63,$K$12/5*(AH$8-AH$9)*1000)</f>
        <v>41981.430012222336</v>
      </c>
      <c r="AI63" s="46">
        <f>SUM(AH$63,'Statistics NZ'!AI$63-'Statistics NZ'!AH$63,$K$12/5*(AI$8-AI$9)*1000)</f>
        <v>42601.430012222336</v>
      </c>
    </row>
    <row r="64" spans="1:35" x14ac:dyDescent="0.25">
      <c r="A64" s="11">
        <v>49</v>
      </c>
      <c r="B64" s="44">
        <f>'Statistics NZ'!B$64*'Economic Forecasts'!D$9*1000000/SUM('Statistics NZ'!B$30:B$110,'Statistics NZ'!B$130:B$210)</f>
        <v>28647.378895252888</v>
      </c>
      <c r="C64" s="44">
        <f>'Statistics NZ'!C$64*'Economic Forecasts'!E$9*1000000/SUM('Statistics NZ'!C$30:C$110,'Statistics NZ'!C$130:C$210)</f>
        <v>29303.113522337178</v>
      </c>
      <c r="D64" s="44">
        <f>'Statistics NZ'!D$64*'Economic Forecasts'!F$9*1000000/SUM('Statistics NZ'!D$30:D$110,'Statistics NZ'!D$130:D$210)</f>
        <v>30676.36613321285</v>
      </c>
      <c r="E64" s="44">
        <f>'Statistics NZ'!E$64*'Economic Forecasts'!G$9*1000000/SUM('Statistics NZ'!E$30:E$110,'Statistics NZ'!E$130:E$210)</f>
        <v>31088.262618185243</v>
      </c>
      <c r="F64" s="44">
        <f>'Statistics NZ'!F$64*'Economic Forecasts'!H$9*1000000/SUM('Statistics NZ'!F$30:F$110,'Statistics NZ'!F$130:F$210)</f>
        <v>32624.173059773246</v>
      </c>
      <c r="G64" s="44">
        <f>'Statistics NZ'!G$64*'Economic Forecasts'!I$9*1000000/SUM('Statistics NZ'!G$30:G$110,'Statistics NZ'!G$130:G$210)</f>
        <v>33229.423653858335</v>
      </c>
      <c r="H64" s="44">
        <f>'Statistics NZ'!H$64*'Economic Forecasts'!J$9*1000000/SUM('Statistics NZ'!H$30:H$110,'Statistics NZ'!H$130:H$210)</f>
        <v>33336.690326656506</v>
      </c>
      <c r="I64" s="44">
        <f>'Statistics NZ'!I$64*'Economic Forecasts'!K$9*1000000/SUM('Statistics NZ'!I$30:I$110,'Statistics NZ'!I$130:I$210)</f>
        <v>32449.76806450609</v>
      </c>
      <c r="J64" s="44">
        <f>'Statistics NZ'!J$64*'Economic Forecasts'!L$9*1000000/SUM('Statistics NZ'!J$30:J$110,'Statistics NZ'!J$130:J$210)</f>
        <v>31215.775062833938</v>
      </c>
      <c r="K64" s="44">
        <f>'Statistics NZ'!K$64*'Economic Forecasts'!M$9*1000000/SUM('Statistics NZ'!K$30:K$110,'Statistics NZ'!K$130:K$210)</f>
        <v>30961.177509057135</v>
      </c>
      <c r="L64" s="44">
        <f>'Statistics NZ'!L$64*'Economic Forecasts'!N$9*1000000/SUM('Statistics NZ'!L$30:L$110,'Statistics NZ'!L$130:L$210)</f>
        <v>31653.735443368667</v>
      </c>
      <c r="M64" s="44">
        <f>'Statistics NZ'!M$64*'Economic Forecasts'!O$9*1000000/SUM('Statistics NZ'!M$30:M$110,'Statistics NZ'!M$130:M$210)</f>
        <v>32415.44600733092</v>
      </c>
      <c r="N64" s="44">
        <f>'Statistics NZ'!N$64*'Economic Forecasts'!P$9*1000000/SUM('Statistics NZ'!N$30:N$110,'Statistics NZ'!N$130:N$210)</f>
        <v>33102.432640220126</v>
      </c>
      <c r="O64" s="44">
        <f>'Statistics NZ'!O$64*'Economic Forecasts'!Q$9*1000000/SUM('Statistics NZ'!O$30:O$110,'Statistics NZ'!O$130:O$210)</f>
        <v>33127.363067837221</v>
      </c>
      <c r="P64" s="44">
        <f>'Statistics NZ'!P$64*'Economic Forecasts'!R$9*1000000/SUM('Statistics NZ'!P$30:P$110,'Statistics NZ'!P$130:P$210)</f>
        <v>34674.769265091738</v>
      </c>
      <c r="Q64" s="44">
        <f>'Statistics NZ'!Q$64*'Economic Forecasts'!S$9*1000000/SUM('Statistics NZ'!Q$30:Q$110,'Statistics NZ'!Q$130:Q$210)</f>
        <v>34591.759847660236</v>
      </c>
      <c r="R64" s="44">
        <f>'Statistics NZ'!R$64*'Economic Forecasts'!T$9*1000000/SUM('Statistics NZ'!R$30:R$110,'Statistics NZ'!R$130:R$210)</f>
        <v>33238.280923439124</v>
      </c>
      <c r="S64" s="45">
        <f>SUM('Statistics NZ'!S$64,$K$12/5*(S$8-S$9)*1000)*'Economic Forecasts'!U$9*1000000/SUM('Statistics NZ'!S$30:S$110,'Statistics NZ'!S$130:S$210,SUM($E$12:$T$13)*(S$8-S$9)*1000)</f>
        <v>32077.828537964986</v>
      </c>
      <c r="T64" s="45">
        <f>SUM('Statistics NZ'!T$64,$K$12/5*(T$8-T$9)*1000)*'Economic Forecasts'!V$9*1000000/SUM('Statistics NZ'!T$30:T$110,'Statistics NZ'!T$130:T$210,SUM($E$12:$T$13)*(T$8-T$9)*1000)</f>
        <v>31569.017731422904</v>
      </c>
      <c r="U64" s="45">
        <f>SUM('Statistics NZ'!U$64,$K$12/5*(U$8-U$9)*1000)*'Economic Forecasts'!W$9*1000000/SUM('Statistics NZ'!U$30:U$110,'Statistics NZ'!U$130:U$210,SUM($E$12:$T$13)*(U$8-U$9)*1000)</f>
        <v>30374.823736229551</v>
      </c>
      <c r="V64" s="45">
        <f>SUM('Statistics NZ'!V$64,$K$12/5*(V$8-V$9)*1000)*'Economic Forecasts'!X$9*1000000/SUM('Statistics NZ'!V$30:V$110,'Statistics NZ'!V$130:V$210,SUM($E$12:$T$13)*(V$8-V$9)*1000)</f>
        <v>30674.802676035815</v>
      </c>
      <c r="W64" s="45">
        <f>SUM('Statistics NZ'!W$64,$K$12/5*(W$8-W$9)*1000)*'Economic Forecasts'!Y$9*1000000/SUM('Statistics NZ'!W$30:W$110,'Statistics NZ'!W$130:W$210,SUM($E$12:$T$13)*(W$8-W$9)*1000)</f>
        <v>30671.596919092277</v>
      </c>
      <c r="X64" s="45">
        <f>SUM('Statistics NZ'!X$64,$K$12/5*(X$8-X$9)*1000)*'Economic Forecasts'!Z$9*1000000/SUM('Statistics NZ'!X$30:X$110,'Statistics NZ'!X$130:X$210,SUM($E$12:$T$13)*(X$8-X$9)*1000)</f>
        <v>31676.343007581578</v>
      </c>
      <c r="Y64" s="45">
        <f>SUM('Statistics NZ'!Y$64,$K$12/5*(Y$8-Y$9)*1000)*'Economic Forecasts'!AA$9*1000000/SUM('Statistics NZ'!Y$30:Y$110,'Statistics NZ'!Y$130:Y$210,SUM($E$12:$T$13)*(Y$8-Y$9)*1000)</f>
        <v>32132.760230673342</v>
      </c>
      <c r="Z64" s="46">
        <f>SUM(Y$64,'Statistics NZ'!Z$64-'Statistics NZ'!Y$64,$K$12/5*(Z$8-Z$9)*1000)</f>
        <v>32606.695919020127</v>
      </c>
      <c r="AA64" s="46">
        <f>SUM(Z$64,'Statistics NZ'!AA$64-'Statistics NZ'!Z$64,$K$12/5*(AA$8-AA$9)*1000)</f>
        <v>33657.972086439491</v>
      </c>
      <c r="AB64" s="46">
        <f>SUM(AA$64,'Statistics NZ'!AB$64-'Statistics NZ'!AA$64,$K$12/5*(AB$8-AB$9)*1000)</f>
        <v>34446.588732931436</v>
      </c>
      <c r="AC64" s="46">
        <f>SUM(AB$64,'Statistics NZ'!AC$64-'Statistics NZ'!AB$64,$K$12/5*(AC$8-AC$9)*1000)</f>
        <v>35142.545858495956</v>
      </c>
      <c r="AD64" s="46">
        <f>SUM(AC$64,'Statistics NZ'!AD$64-'Statistics NZ'!AC$64,$K$12/5*(AD$8-AD$9)*1000)</f>
        <v>35955.84346313306</v>
      </c>
      <c r="AE64" s="46">
        <f>SUM(AD$64,'Statistics NZ'!AE$64-'Statistics NZ'!AD$64,$K$12/5*(AE$8-AE$9)*1000)</f>
        <v>36466.48154684274</v>
      </c>
      <c r="AF64" s="46">
        <f>SUM(AE$64,'Statistics NZ'!AF$64-'Statistics NZ'!AE$64,$K$12/5*(AF$8-AF$9)*1000)</f>
        <v>37444.460109625004</v>
      </c>
      <c r="AG64" s="46">
        <f>SUM(AF$64,'Statistics NZ'!AG$64-'Statistics NZ'!AF$64,$K$12/5*(AG$8-AG$9)*1000)</f>
        <v>39889.779151479845</v>
      </c>
      <c r="AH64" s="46">
        <f>SUM(AG$64,'Statistics NZ'!AH$64-'Statistics NZ'!AG$64,$K$12/5*(AH$8-AH$9)*1000)</f>
        <v>40302.438672407268</v>
      </c>
      <c r="AI64" s="46">
        <f>SUM(AH$64,'Statistics NZ'!AI$64-'Statistics NZ'!AH$64,$K$12/5*(AI$8-AI$9)*1000)</f>
        <v>41892.438672407268</v>
      </c>
    </row>
    <row r="65" spans="1:35" x14ac:dyDescent="0.25">
      <c r="A65" s="11">
        <v>50</v>
      </c>
      <c r="B65" s="44">
        <f>'Statistics NZ'!B$65*'Economic Forecasts'!D$9*1000000/SUM('Statistics NZ'!B$30:B$110,'Statistics NZ'!B$130:B$210)</f>
        <v>27962.503033686051</v>
      </c>
      <c r="C65" s="44">
        <f>'Statistics NZ'!C$65*'Economic Forecasts'!E$9*1000000/SUM('Statistics NZ'!C$30:C$110,'Statistics NZ'!C$130:C$210)</f>
        <v>28674.628513815205</v>
      </c>
      <c r="D65" s="44">
        <f>'Statistics NZ'!D$65*'Economic Forecasts'!F$9*1000000/SUM('Statistics NZ'!D$30:D$110,'Statistics NZ'!D$130:D$210)</f>
        <v>29202.957577342873</v>
      </c>
      <c r="E65" s="44">
        <f>'Statistics NZ'!E$65*'Economic Forecasts'!G$9*1000000/SUM('Statistics NZ'!E$30:E$110,'Statistics NZ'!E$130:E$210)</f>
        <v>30548.876358248275</v>
      </c>
      <c r="F65" s="44">
        <f>'Statistics NZ'!F$65*'Economic Forecasts'!H$9*1000000/SUM('Statistics NZ'!F$30:F$110,'Statistics NZ'!F$130:F$210)</f>
        <v>31044.95121292313</v>
      </c>
      <c r="G65" s="44">
        <f>'Statistics NZ'!G$65*'Economic Forecasts'!I$9*1000000/SUM('Statistics NZ'!G$30:G$110,'Statistics NZ'!G$130:G$210)</f>
        <v>32502.560706655993</v>
      </c>
      <c r="H65" s="44">
        <f>'Statistics NZ'!H$65*'Economic Forecasts'!J$9*1000000/SUM('Statistics NZ'!H$30:H$110,'Statistics NZ'!H$130:H$210)</f>
        <v>33051.761349505599</v>
      </c>
      <c r="I65" s="44">
        <f>'Statistics NZ'!I$65*'Economic Forecasts'!K$9*1000000/SUM('Statistics NZ'!I$30:I$110,'Statistics NZ'!I$130:I$210)</f>
        <v>33126.213380654408</v>
      </c>
      <c r="J65" s="44">
        <f>'Statistics NZ'!J$65*'Economic Forecasts'!L$9*1000000/SUM('Statistics NZ'!J$30:J$110,'Statistics NZ'!J$130:J$210)</f>
        <v>32298.233991910653</v>
      </c>
      <c r="K65" s="44">
        <f>'Statistics NZ'!K$65*'Economic Forecasts'!M$9*1000000/SUM('Statistics NZ'!K$30:K$110,'Statistics NZ'!K$130:K$210)</f>
        <v>31292.208966701146</v>
      </c>
      <c r="L65" s="44">
        <f>'Statistics NZ'!L$65*'Economic Forecasts'!N$9*1000000/SUM('Statistics NZ'!L$30:L$110,'Statistics NZ'!L$130:L$210)</f>
        <v>31050.065311874096</v>
      </c>
      <c r="M65" s="44">
        <f>'Statistics NZ'!M$65*'Economic Forecasts'!O$9*1000000/SUM('Statistics NZ'!M$30:M$110,'Statistics NZ'!M$130:M$210)</f>
        <v>31809.73242913486</v>
      </c>
      <c r="N65" s="44">
        <f>'Statistics NZ'!N$65*'Economic Forecasts'!P$9*1000000/SUM('Statistics NZ'!N$30:N$110,'Statistics NZ'!N$130:N$210)</f>
        <v>32515.336583934812</v>
      </c>
      <c r="O65" s="44">
        <f>'Statistics NZ'!O$65*'Economic Forecasts'!Q$9*1000000/SUM('Statistics NZ'!O$30:O$110,'Statistics NZ'!O$130:O$210)</f>
        <v>33274.508595233594</v>
      </c>
      <c r="P65" s="44">
        <f>'Statistics NZ'!P$65*'Economic Forecasts'!R$9*1000000/SUM('Statistics NZ'!P$30:P$110,'Statistics NZ'!P$130:P$210)</f>
        <v>33217.353011072359</v>
      </c>
      <c r="Q65" s="44">
        <f>'Statistics NZ'!Q$65*'Economic Forecasts'!S$9*1000000/SUM('Statistics NZ'!Q$30:Q$110,'Statistics NZ'!Q$130:Q$210)</f>
        <v>34986.530288147085</v>
      </c>
      <c r="R65" s="44">
        <f>'Statistics NZ'!R$65*'Economic Forecasts'!T$9*1000000/SUM('Statistics NZ'!R$30:R$110,'Statistics NZ'!R$130:R$210)</f>
        <v>34420.436735772462</v>
      </c>
      <c r="S65" s="45">
        <f>SUM('Statistics NZ'!S$65,$L$12/5*(S$8-S$9)*1000)*'Economic Forecasts'!U$9*1000000/SUM('Statistics NZ'!S$30:S$110,'Statistics NZ'!S$130:S$210,SUM($E$12:$T$13)*(S$8-S$9)*1000)</f>
        <v>32598.961761668237</v>
      </c>
      <c r="T65" s="45">
        <f>SUM('Statistics NZ'!T$65,$L$12/5*(T$8-T$9)*1000)*'Economic Forecasts'!V$9*1000000/SUM('Statistics NZ'!T$30:T$110,'Statistics NZ'!T$130:T$210,SUM($E$12:$T$13)*(T$8-T$9)*1000)</f>
        <v>32688.716769561746</v>
      </c>
      <c r="U65" s="45">
        <f>SUM('Statistics NZ'!U$65,$L$12/5*(U$8-U$9)*1000)*'Economic Forecasts'!W$9*1000000/SUM('Statistics NZ'!U$30:U$110,'Statistics NZ'!U$130:U$210,SUM($E$12:$T$13)*(U$8-U$9)*1000)</f>
        <v>31686.527183789836</v>
      </c>
      <c r="V65" s="45">
        <f>SUM('Statistics NZ'!V$65,$L$12/5*(V$8-V$9)*1000)*'Economic Forecasts'!X$9*1000000/SUM('Statistics NZ'!V$30:V$110,'Statistics NZ'!V$130:V$210,SUM($E$12:$T$13)*(V$8-V$9)*1000)</f>
        <v>30304.252995797564</v>
      </c>
      <c r="W65" s="45">
        <f>SUM('Statistics NZ'!W$65,$L$12/5*(W$8-W$9)*1000)*'Economic Forecasts'!Y$9*1000000/SUM('Statistics NZ'!W$30:W$110,'Statistics NZ'!W$130:W$210,SUM($E$12:$T$13)*(W$8-W$9)*1000)</f>
        <v>30612.814078996347</v>
      </c>
      <c r="X65" s="45">
        <f>SUM('Statistics NZ'!X$65,$L$12/5*(X$8-X$9)*1000)*'Economic Forecasts'!Z$9*1000000/SUM('Statistics NZ'!X$30:X$110,'Statistics NZ'!X$130:X$210,SUM($E$12:$T$13)*(X$8-X$9)*1000)</f>
        <v>30622.500707998039</v>
      </c>
      <c r="Y65" s="45">
        <f>SUM('Statistics NZ'!Y$65,$L$12/5*(Y$8-Y$9)*1000)*'Economic Forecasts'!AA$9*1000000/SUM('Statistics NZ'!Y$30:Y$110,'Statistics NZ'!Y$130:Y$210,SUM($E$12:$T$13)*(Y$8-Y$9)*1000)</f>
        <v>31655.991060227174</v>
      </c>
      <c r="Z65" s="46">
        <f>SUM(Y$65,'Statistics NZ'!Z$65-'Statistics NZ'!Y$65,$L$12/5*(Z$8-Z$9)*1000)</f>
        <v>32033.127836238618</v>
      </c>
      <c r="AA65" s="46">
        <f>SUM(Z$65,'Statistics NZ'!AA$65-'Statistics NZ'!Z$65,$L$12/5*(AA$8-AA$9)*1000)</f>
        <v>32479.471637137682</v>
      </c>
      <c r="AB65" s="46">
        <f>SUM(AA$65,'Statistics NZ'!AB$65-'Statistics NZ'!AA$65,$L$12/5*(AB$8-AB$9)*1000)</f>
        <v>33515.022462924368</v>
      </c>
      <c r="AC65" s="46">
        <f>SUM(AB$65,'Statistics NZ'!AC$65-'Statistics NZ'!AB$65,$L$12/5*(AC$8-AC$9)*1000)</f>
        <v>34289.780313598661</v>
      </c>
      <c r="AD65" s="46">
        <f>SUM(AC$65,'Statistics NZ'!AD$65-'Statistics NZ'!AC$65,$L$12/5*(AD$8-AD$9)*1000)</f>
        <v>34973.745189160574</v>
      </c>
      <c r="AE65" s="46">
        <f>SUM(AD$65,'Statistics NZ'!AE$65-'Statistics NZ'!AD$65,$L$12/5*(AE$8-AE$9)*1000)</f>
        <v>35776.917089610106</v>
      </c>
      <c r="AF65" s="46">
        <f>SUM(AE$65,'Statistics NZ'!AF$65-'Statistics NZ'!AE$65,$L$12/5*(AF$8-AF$9)*1000)</f>
        <v>36279.296014947256</v>
      </c>
      <c r="AG65" s="46">
        <f>SUM(AF$65,'Statistics NZ'!AG$65-'Statistics NZ'!AF$65,$L$12/5*(AG$8-AG$9)*1000)</f>
        <v>37250.881965172019</v>
      </c>
      <c r="AH65" s="46">
        <f>SUM(AG$65,'Statistics NZ'!AH$65-'Statistics NZ'!AG$65,$L$12/5*(AH$8-AH$9)*1000)</f>
        <v>39681.6749402844</v>
      </c>
      <c r="AI65" s="46">
        <f>SUM(AH$65,'Statistics NZ'!AI$65-'Statistics NZ'!AH$65,$L$12/5*(AI$8-AI$9)*1000)</f>
        <v>40101.6749402844</v>
      </c>
    </row>
    <row r="66" spans="1:35" x14ac:dyDescent="0.25">
      <c r="A66" s="11">
        <v>51</v>
      </c>
      <c r="B66" s="44">
        <f>'Statistics NZ'!B$66*'Economic Forecasts'!D$9*1000000/SUM('Statistics NZ'!B$30:B$110,'Statistics NZ'!B$130:B$210)</f>
        <v>26954.757123094842</v>
      </c>
      <c r="C66" s="44">
        <f>'Statistics NZ'!C$66*'Economic Forecasts'!E$9*1000000/SUM('Statistics NZ'!C$30:C$110,'Statistics NZ'!C$130:C$210)</f>
        <v>27977.402957486138</v>
      </c>
      <c r="D66" s="44">
        <f>'Statistics NZ'!D$66*'Economic Forecasts'!F$9*1000000/SUM('Statistics NZ'!D$30:D$110,'Statistics NZ'!D$130:D$210)</f>
        <v>28574.303260171688</v>
      </c>
      <c r="E66" s="44">
        <f>'Statistics NZ'!E$66*'Economic Forecasts'!G$9*1000000/SUM('Statistics NZ'!E$30:E$110,'Statistics NZ'!E$130:E$210)</f>
        <v>29038.594830424765</v>
      </c>
      <c r="F66" s="44">
        <f>'Statistics NZ'!F$66*'Economic Forecasts'!H$9*1000000/SUM('Statistics NZ'!F$30:F$110,'Statistics NZ'!F$130:F$210)</f>
        <v>30495.656657497002</v>
      </c>
      <c r="G66" s="44">
        <f>'Statistics NZ'!G$66*'Economic Forecasts'!I$9*1000000/SUM('Statistics NZ'!G$30:G$110,'Statistics NZ'!G$130:G$210)</f>
        <v>30960.432561915895</v>
      </c>
      <c r="H66" s="44">
        <f>'Statistics NZ'!H$66*'Economic Forecasts'!J$9*1000000/SUM('Statistics NZ'!H$30:H$110,'Statistics NZ'!H$130:H$210)</f>
        <v>32373.826886629296</v>
      </c>
      <c r="I66" s="44">
        <f>'Statistics NZ'!I$66*'Economic Forecasts'!K$9*1000000/SUM('Statistics NZ'!I$30:I$110,'Statistics NZ'!I$130:I$210)</f>
        <v>32841.910276765986</v>
      </c>
      <c r="J66" s="44">
        <f>'Statistics NZ'!J$66*'Economic Forecasts'!L$9*1000000/SUM('Statistics NZ'!J$30:J$110,'Statistics NZ'!J$130:J$210)</f>
        <v>32932.106337766389</v>
      </c>
      <c r="K66" s="44">
        <f>'Statistics NZ'!K$66*'Economic Forecasts'!M$9*1000000/SUM('Statistics NZ'!K$30:K$110,'Statistics NZ'!K$130:K$210)</f>
        <v>32333.984436345519</v>
      </c>
      <c r="L66" s="44">
        <f>'Statistics NZ'!L$66*'Economic Forecasts'!N$9*1000000/SUM('Statistics NZ'!L$30:L$110,'Statistics NZ'!L$130:L$210)</f>
        <v>31478.476372934754</v>
      </c>
      <c r="M66" s="44">
        <f>'Statistics NZ'!M$66*'Economic Forecasts'!O$9*1000000/SUM('Statistics NZ'!M$30:M$110,'Statistics NZ'!M$130:M$210)</f>
        <v>31243.097146306292</v>
      </c>
      <c r="N66" s="44">
        <f>'Statistics NZ'!N$66*'Economic Forecasts'!P$9*1000000/SUM('Statistics NZ'!N$30:N$110,'Statistics NZ'!N$130:N$210)</f>
        <v>31879.315856292393</v>
      </c>
      <c r="O66" s="44">
        <f>'Statistics NZ'!O$66*'Economic Forecasts'!Q$9*1000000/SUM('Statistics NZ'!O$30:O$110,'Statistics NZ'!O$130:O$210)</f>
        <v>32617.258572863127</v>
      </c>
      <c r="P66" s="44">
        <f>'Statistics NZ'!P$66*'Economic Forecasts'!R$9*1000000/SUM('Statistics NZ'!P$30:P$110,'Statistics NZ'!P$130:P$210)</f>
        <v>33383.635402470543</v>
      </c>
      <c r="Q66" s="44">
        <f>'Statistics NZ'!Q$66*'Economic Forecasts'!S$9*1000000/SUM('Statistics NZ'!Q$30:Q$110,'Statistics NZ'!Q$130:Q$210)</f>
        <v>33437.056309236199</v>
      </c>
      <c r="R66" s="44">
        <f>'Statistics NZ'!R$66*'Economic Forecasts'!T$9*1000000/SUM('Statistics NZ'!R$30:R$110,'Statistics NZ'!R$130:R$210)</f>
        <v>34814.488673216911</v>
      </c>
      <c r="S66" s="45">
        <f>SUM('Statistics NZ'!S$66,$L$12/5*(S$8-S$9)*1000)*'Economic Forecasts'!U$9*1000000/SUM('Statistics NZ'!S$30:S$110,'Statistics NZ'!S$130:S$210,SUM($E$12:$T$13)*(S$8-S$9)*1000)</f>
        <v>33772.888394483503</v>
      </c>
      <c r="T66" s="45">
        <f>SUM('Statistics NZ'!T$66,$L$12/5*(T$8-T$9)*1000)*'Economic Forecasts'!V$9*1000000/SUM('Statistics NZ'!T$30:T$110,'Statistics NZ'!T$130:T$210,SUM($E$12:$T$13)*(T$8-T$9)*1000)</f>
        <v>33377.773536705317</v>
      </c>
      <c r="U66" s="45">
        <f>SUM('Statistics NZ'!U$66,$L$12/5*(U$8-U$9)*1000)*'Economic Forecasts'!W$9*1000000/SUM('Statistics NZ'!U$30:U$110,'Statistics NZ'!U$130:U$210,SUM($E$12:$T$13)*(U$8-U$9)*1000)</f>
        <v>32898.29022184707</v>
      </c>
      <c r="V66" s="45">
        <f>SUM('Statistics NZ'!V$66,$L$12/5*(V$8-V$9)*1000)*'Economic Forecasts'!X$9*1000000/SUM('Statistics NZ'!V$30:V$110,'Statistics NZ'!V$130:V$210,SUM($E$12:$T$13)*(V$8-V$9)*1000)</f>
        <v>31639.10944054346</v>
      </c>
      <c r="W66" s="45">
        <f>SUM('Statistics NZ'!W$66,$L$12/5*(W$8-W$9)*1000)*'Economic Forecasts'!Y$9*1000000/SUM('Statistics NZ'!W$30:W$110,'Statistics NZ'!W$130:W$210,SUM($E$12:$T$13)*(W$8-W$9)*1000)</f>
        <v>30258.354520951812</v>
      </c>
      <c r="X66" s="45">
        <f>SUM('Statistics NZ'!X$66,$L$12/5*(X$8-X$9)*1000)*'Economic Forecasts'!Z$9*1000000/SUM('Statistics NZ'!X$30:X$110,'Statistics NZ'!X$130:X$210,SUM($E$12:$T$13)*(X$8-X$9)*1000)</f>
        <v>30581.911370552523</v>
      </c>
      <c r="Y66" s="45">
        <f>SUM('Statistics NZ'!Y$66,$L$12/5*(Y$8-Y$9)*1000)*'Economic Forecasts'!AA$9*1000000/SUM('Statistics NZ'!Y$30:Y$110,'Statistics NZ'!Y$130:Y$210,SUM($E$12:$T$13)*(Y$8-Y$9)*1000)</f>
        <v>30608.181290978097</v>
      </c>
      <c r="Z66" s="46">
        <f>SUM(Y$66,'Statistics NZ'!Z$66-'Statistics NZ'!Y$66,$L$12/5*(Z$8-Z$9)*1000)</f>
        <v>31555.318066989541</v>
      </c>
      <c r="AA66" s="46">
        <f>SUM(Z$66,'Statistics NZ'!AA$66-'Statistics NZ'!Z$66,$L$12/5*(AA$8-AA$9)*1000)</f>
        <v>31931.661867888604</v>
      </c>
      <c r="AB66" s="46">
        <f>SUM(AA$66,'Statistics NZ'!AB$66-'Statistics NZ'!AA$66,$L$12/5*(AB$8-AB$9)*1000)</f>
        <v>32377.212693675283</v>
      </c>
      <c r="AC66" s="46">
        <f>SUM(AB$66,'Statistics NZ'!AC$66-'Statistics NZ'!AB$66,$L$12/5*(AC$8-AC$9)*1000)</f>
        <v>33411.970544349577</v>
      </c>
      <c r="AD66" s="46">
        <f>SUM(AC$66,'Statistics NZ'!AD$66-'Statistics NZ'!AC$66,$L$12/5*(AD$8-AD$9)*1000)</f>
        <v>34185.93541991149</v>
      </c>
      <c r="AE66" s="46">
        <f>SUM(AD$66,'Statistics NZ'!AE$66-'Statistics NZ'!AD$66,$L$12/5*(AE$8-AE$9)*1000)</f>
        <v>34869.107320361021</v>
      </c>
      <c r="AF66" s="46">
        <f>SUM(AE$66,'Statistics NZ'!AF$66-'Statistics NZ'!AE$66,$L$12/5*(AF$8-AF$9)*1000)</f>
        <v>35671.486245698172</v>
      </c>
      <c r="AG66" s="46">
        <f>SUM(AF$66,'Statistics NZ'!AG$66-'Statistics NZ'!AF$66,$L$12/5*(AG$8-AG$9)*1000)</f>
        <v>36173.072195922934</v>
      </c>
      <c r="AH66" s="46">
        <f>SUM(AG$66,'Statistics NZ'!AH$66-'Statistics NZ'!AG$66,$L$12/5*(AH$8-AH$9)*1000)</f>
        <v>37143.865171035315</v>
      </c>
      <c r="AI66" s="46">
        <f>SUM(AH$66,'Statistics NZ'!AI$66-'Statistics NZ'!AH$66,$L$12/5*(AI$8-AI$9)*1000)</f>
        <v>39573.865171035315</v>
      </c>
    </row>
    <row r="67" spans="1:35" x14ac:dyDescent="0.25">
      <c r="A67" s="11">
        <v>52</v>
      </c>
      <c r="B67" s="44">
        <f>'Statistics NZ'!B$67*'Economic Forecasts'!D$9*1000000/SUM('Statistics NZ'!B$30:B$110,'Statistics NZ'!B$130:B$210)</f>
        <v>26201.393675371324</v>
      </c>
      <c r="C67" s="44">
        <f>'Statistics NZ'!C$67*'Economic Forecasts'!E$9*1000000/SUM('Statistics NZ'!C$30:C$110,'Statistics NZ'!C$130:C$210)</f>
        <v>26936.474662121607</v>
      </c>
      <c r="D67" s="44">
        <f>'Statistics NZ'!D$67*'Economic Forecasts'!F$9*1000000/SUM('Statistics NZ'!D$30:D$110,'Statistics NZ'!D$130:D$210)</f>
        <v>27857.244429648297</v>
      </c>
      <c r="E67" s="44">
        <f>'Statistics NZ'!E$67*'Economic Forecasts'!G$9*1000000/SUM('Statistics NZ'!E$30:E$110,'Statistics NZ'!E$130:E$210)</f>
        <v>28410.945364316289</v>
      </c>
      <c r="F67" s="44">
        <f>'Statistics NZ'!F$67*'Economic Forecasts'!H$9*1000000/SUM('Statistics NZ'!F$30:F$110,'Statistics NZ'!F$130:F$210)</f>
        <v>29004.714292768938</v>
      </c>
      <c r="G67" s="44">
        <f>'Statistics NZ'!G$67*'Economic Forecasts'!I$9*1000000/SUM('Statistics NZ'!G$30:G$110,'Statistics NZ'!G$130:G$210)</f>
        <v>30420.196587643884</v>
      </c>
      <c r="H67" s="44">
        <f>'Statistics NZ'!H$67*'Economic Forecasts'!J$9*1000000/SUM('Statistics NZ'!H$30:H$110,'Statistics NZ'!H$130:H$210)</f>
        <v>30791.979806584586</v>
      </c>
      <c r="I67" s="44">
        <f>'Statistics NZ'!I$67*'Economic Forecasts'!K$9*1000000/SUM('Statistics NZ'!I$30:I$110,'Statistics NZ'!I$130:I$210)</f>
        <v>32126.250739391679</v>
      </c>
      <c r="J67" s="44">
        <f>'Statistics NZ'!J$67*'Economic Forecasts'!L$9*1000000/SUM('Statistics NZ'!J$30:J$110,'Statistics NZ'!J$130:J$210)</f>
        <v>32659.053634936226</v>
      </c>
      <c r="K67" s="44">
        <f>'Statistics NZ'!K$67*'Economic Forecasts'!M$9*1000000/SUM('Statistics NZ'!K$30:K$110,'Statistics NZ'!K$130:K$210)</f>
        <v>32937.63003557871</v>
      </c>
      <c r="L67" s="44">
        <f>'Statistics NZ'!L$67*'Economic Forecasts'!N$9*1000000/SUM('Statistics NZ'!L$30:L$110,'Statistics NZ'!L$130:L$210)</f>
        <v>32403.454800224827</v>
      </c>
      <c r="M67" s="44">
        <f>'Statistics NZ'!M$67*'Economic Forecasts'!O$9*1000000/SUM('Statistics NZ'!M$30:M$110,'Statistics NZ'!M$130:M$210)</f>
        <v>31682.727969190528</v>
      </c>
      <c r="N67" s="44">
        <f>'Statistics NZ'!N$67*'Economic Forecasts'!P$9*1000000/SUM('Statistics NZ'!N$30:N$110,'Statistics NZ'!N$130:N$210)</f>
        <v>31341.14447136419</v>
      </c>
      <c r="O67" s="44">
        <f>'Statistics NZ'!O$67*'Economic Forecasts'!Q$9*1000000/SUM('Statistics NZ'!O$30:O$110,'Statistics NZ'!O$130:O$210)</f>
        <v>31920.769743186949</v>
      </c>
      <c r="P67" s="44">
        <f>'Statistics NZ'!P$67*'Economic Forecasts'!R$9*1000000/SUM('Statistics NZ'!P$30:P$110,'Statistics NZ'!P$130:P$210)</f>
        <v>32757.631105442095</v>
      </c>
      <c r="Q67" s="44">
        <f>'Statistics NZ'!Q$67*'Economic Forecasts'!S$9*1000000/SUM('Statistics NZ'!Q$30:Q$110,'Statistics NZ'!Q$130:Q$210)</f>
        <v>33624.572268467455</v>
      </c>
      <c r="R67" s="44">
        <f>'Statistics NZ'!R$67*'Economic Forecasts'!T$9*1000000/SUM('Statistics NZ'!R$30:R$110,'Statistics NZ'!R$130:R$210)</f>
        <v>33257.98352031134</v>
      </c>
      <c r="S67" s="45">
        <f>SUM('Statistics NZ'!S$67,$L$12/5*(S$8-S$9)*1000)*'Economic Forecasts'!U$9*1000000/SUM('Statistics NZ'!S$30:S$110,'Statistics NZ'!S$130:S$210,SUM($E$12:$T$13)*(S$8-S$9)*1000)</f>
        <v>34170.665187420913</v>
      </c>
      <c r="T67" s="45">
        <f>SUM('Statistics NZ'!T$67,$L$12/5*(T$8-T$9)*1000)*'Economic Forecasts'!V$9*1000000/SUM('Statistics NZ'!T$30:T$110,'Statistics NZ'!T$130:T$210,SUM($E$12:$T$13)*(T$8-T$9)*1000)</f>
        <v>34586.119461696217</v>
      </c>
      <c r="U67" s="45">
        <f>SUM('Statistics NZ'!U$67,$L$12/5*(U$8-U$9)*1000)*'Economic Forecasts'!W$9*1000000/SUM('Statistics NZ'!U$30:U$110,'Statistics NZ'!U$130:U$210,SUM($E$12:$T$13)*(U$8-U$9)*1000)</f>
        <v>33605.151994047126</v>
      </c>
      <c r="V67" s="45">
        <f>SUM('Statistics NZ'!V$67,$L$12/5*(V$8-V$9)*1000)*'Economic Forecasts'!X$9*1000000/SUM('Statistics NZ'!V$30:V$110,'Statistics NZ'!V$130:V$210,SUM($E$12:$T$13)*(V$8-V$9)*1000)</f>
        <v>32852.615299403362</v>
      </c>
      <c r="W67" s="45">
        <f>SUM('Statistics NZ'!W$67,$L$12/5*(W$8-W$9)*1000)*'Economic Forecasts'!Y$9*1000000/SUM('Statistics NZ'!W$30:W$110,'Statistics NZ'!W$130:W$210,SUM($E$12:$T$13)*(W$8-W$9)*1000)</f>
        <v>31595.173425576926</v>
      </c>
      <c r="X67" s="45">
        <f>SUM('Statistics NZ'!X$67,$L$12/5*(X$8-X$9)*1000)*'Economic Forecasts'!Z$9*1000000/SUM('Statistics NZ'!X$30:X$110,'Statistics NZ'!X$130:X$210,SUM($E$12:$T$13)*(X$8-X$9)*1000)</f>
        <v>30236.902002265604</v>
      </c>
      <c r="Y67" s="45">
        <f>SUM('Statistics NZ'!Y$67,$L$12/5*(Y$8-Y$9)*1000)*'Economic Forecasts'!AA$9*1000000/SUM('Statistics NZ'!Y$30:Y$110,'Statistics NZ'!Y$130:Y$210,SUM($E$12:$T$13)*(Y$8-Y$9)*1000)</f>
        <v>30577.662559834913</v>
      </c>
      <c r="Z67" s="46">
        <f>SUM(Y$67,'Statistics NZ'!Z$67-'Statistics NZ'!Y$67,$L$12/5*(Z$8-Z$9)*1000)</f>
        <v>30534.799335846357</v>
      </c>
      <c r="AA67" s="46">
        <f>SUM(Z$67,'Statistics NZ'!AA$67-'Statistics NZ'!Z$67,$L$12/5*(AA$8-AA$9)*1000)</f>
        <v>31481.143136745421</v>
      </c>
      <c r="AB67" s="46">
        <f>SUM(AA$67,'Statistics NZ'!AB$67-'Statistics NZ'!AA$67,$L$12/5*(AB$8-AB$9)*1000)</f>
        <v>31856.693962532099</v>
      </c>
      <c r="AC67" s="46">
        <f>SUM(AB$67,'Statistics NZ'!AC$67-'Statistics NZ'!AB$67,$L$12/5*(AC$8-AC$9)*1000)</f>
        <v>32301.451813206397</v>
      </c>
      <c r="AD67" s="46">
        <f>SUM(AC$67,'Statistics NZ'!AD$67-'Statistics NZ'!AC$67,$L$12/5*(AD$8-AD$9)*1000)</f>
        <v>33335.41668876831</v>
      </c>
      <c r="AE67" s="46">
        <f>SUM(AD$67,'Statistics NZ'!AE$67-'Statistics NZ'!AD$67,$L$12/5*(AE$8-AE$9)*1000)</f>
        <v>34108.588589217841</v>
      </c>
      <c r="AF67" s="46">
        <f>SUM(AE$67,'Statistics NZ'!AF$67-'Statistics NZ'!AE$67,$L$12/5*(AF$8-AF$9)*1000)</f>
        <v>34790.967514554992</v>
      </c>
      <c r="AG67" s="46">
        <f>SUM(AF$67,'Statistics NZ'!AG$67-'Statistics NZ'!AF$67,$L$12/5*(AG$8-AG$9)*1000)</f>
        <v>35592.553464779754</v>
      </c>
      <c r="AH67" s="46">
        <f>SUM(AG$67,'Statistics NZ'!AH$67-'Statistics NZ'!AG$67,$L$12/5*(AH$8-AH$9)*1000)</f>
        <v>36093.346439892135</v>
      </c>
      <c r="AI67" s="46">
        <f>SUM(AH$67,'Statistics NZ'!AI$67-'Statistics NZ'!AH$67,$L$12/5*(AI$8-AI$9)*1000)</f>
        <v>37063.346439892135</v>
      </c>
    </row>
    <row r="68" spans="1:35" x14ac:dyDescent="0.25">
      <c r="A68" s="11">
        <v>53</v>
      </c>
      <c r="B68" s="44">
        <f>'Statistics NZ'!B$68*'Economic Forecasts'!D$9*1000000/SUM('Statistics NZ'!B$30:B$110,'Statistics NZ'!B$130:B$210)</f>
        <v>25056.672592466752</v>
      </c>
      <c r="C68" s="44">
        <f>'Statistics NZ'!C$68*'Economic Forecasts'!E$9*1000000/SUM('Statistics NZ'!C$30:C$110,'Statistics NZ'!C$130:C$210)</f>
        <v>26229.429027534388</v>
      </c>
      <c r="D68" s="44">
        <f>'Statistics NZ'!D$68*'Economic Forecasts'!F$9*1000000/SUM('Statistics NZ'!D$30:D$110,'Statistics NZ'!D$130:D$210)</f>
        <v>26865.149335362519</v>
      </c>
      <c r="E68" s="44">
        <f>'Statistics NZ'!E$68*'Economic Forecasts'!G$9*1000000/SUM('Statistics NZ'!E$30:E$110,'Statistics NZ'!E$130:E$210)</f>
        <v>27724.453760760149</v>
      </c>
      <c r="F68" s="44">
        <f>'Statistics NZ'!F$68*'Economic Forecasts'!H$9*1000000/SUM('Statistics NZ'!F$30:F$110,'Statistics NZ'!F$130:F$210)</f>
        <v>28416.18441195523</v>
      </c>
      <c r="G68" s="44">
        <f>'Statistics NZ'!G$68*'Economic Forecasts'!I$9*1000000/SUM('Statistics NZ'!G$30:G$110,'Statistics NZ'!G$130:G$210)</f>
        <v>28887.890915163276</v>
      </c>
      <c r="H68" s="44">
        <f>'Statistics NZ'!H$68*'Economic Forecasts'!J$9*1000000/SUM('Statistics NZ'!H$30:H$110,'Statistics NZ'!H$130:H$210)</f>
        <v>30290.897812284704</v>
      </c>
      <c r="I68" s="44">
        <f>'Statistics NZ'!I$68*'Economic Forecasts'!K$9*1000000/SUM('Statistics NZ'!I$30:I$110,'Statistics NZ'!I$130:I$210)</f>
        <v>30626.306777497586</v>
      </c>
      <c r="J68" s="44">
        <f>'Statistics NZ'!J$68*'Economic Forecasts'!L$9*1000000/SUM('Statistics NZ'!J$30:J$110,'Statistics NZ'!J$130:J$210)</f>
        <v>31927.662466641144</v>
      </c>
      <c r="K68" s="44">
        <f>'Statistics NZ'!K$68*'Economic Forecasts'!M$9*1000000/SUM('Statistics NZ'!K$30:K$110,'Statistics NZ'!K$130:K$210)</f>
        <v>32635.807235962115</v>
      </c>
      <c r="L68" s="44">
        <f>'Statistics NZ'!L$68*'Economic Forecasts'!N$9*1000000/SUM('Statistics NZ'!L$30:L$110,'Statistics NZ'!L$130:L$210)</f>
        <v>33065.544621864035</v>
      </c>
      <c r="M68" s="44">
        <f>'Statistics NZ'!M$68*'Economic Forecasts'!O$9*1000000/SUM('Statistics NZ'!M$30:M$110,'Statistics NZ'!M$130:M$210)</f>
        <v>32601.067910326485</v>
      </c>
      <c r="N68" s="44">
        <f>'Statistics NZ'!N$68*'Economic Forecasts'!P$9*1000000/SUM('Statistics NZ'!N$30:N$110,'Statistics NZ'!N$130:N$210)</f>
        <v>31859.745987749549</v>
      </c>
      <c r="O68" s="44">
        <f>'Statistics NZ'!O$68*'Economic Forecasts'!Q$9*1000000/SUM('Statistics NZ'!O$30:O$110,'Statistics NZ'!O$130:O$210)</f>
        <v>31440.094353692122</v>
      </c>
      <c r="P68" s="44">
        <f>'Statistics NZ'!P$68*'Economic Forecasts'!R$9*1000000/SUM('Statistics NZ'!P$30:P$110,'Statistics NZ'!P$130:P$210)</f>
        <v>32024.032319861872</v>
      </c>
      <c r="Q68" s="44">
        <f>'Statistics NZ'!Q$68*'Economic Forecasts'!S$9*1000000/SUM('Statistics NZ'!Q$30:Q$110,'Statistics NZ'!Q$130:Q$210)</f>
        <v>32904.116214578949</v>
      </c>
      <c r="R68" s="44">
        <f>'Statistics NZ'!R$68*'Economic Forecasts'!T$9*1000000/SUM('Statistics NZ'!R$30:R$110,'Statistics NZ'!R$130:R$210)</f>
        <v>33395.901698416899</v>
      </c>
      <c r="S68" s="45">
        <f>SUM('Statistics NZ'!S$68,$L$12/5*(S$8-S$9)*1000)*'Economic Forecasts'!U$9*1000000/SUM('Statistics NZ'!S$30:S$110,'Statistics NZ'!S$130:S$210,SUM($E$12:$T$13)*(S$8-S$9)*1000)</f>
        <v>32666.874872657543</v>
      </c>
      <c r="T68" s="45">
        <f>SUM('Statistics NZ'!T$68,$L$12/5*(T$8-T$9)*1000)*'Economic Forecasts'!V$9*1000000/SUM('Statistics NZ'!T$30:T$110,'Statistics NZ'!T$130:T$210,SUM($E$12:$T$13)*(T$8-T$9)*1000)</f>
        <v>35015.531649916127</v>
      </c>
      <c r="U68" s="45">
        <f>SUM('Statistics NZ'!U$68,$L$12/5*(U$8-U$9)*1000)*'Economic Forecasts'!W$9*1000000/SUM('Statistics NZ'!U$30:U$110,'Statistics NZ'!U$130:U$210,SUM($E$12:$T$13)*(U$8-U$9)*1000)</f>
        <v>34837.111082738644</v>
      </c>
      <c r="V68" s="45">
        <f>SUM('Statistics NZ'!V$68,$L$12/5*(V$8-V$9)*1000)*'Economic Forecasts'!X$9*1000000/SUM('Statistics NZ'!V$30:V$110,'Statistics NZ'!V$130:V$210,SUM($E$12:$T$13)*(V$8-V$9)*1000)</f>
        <v>33570.606265895476</v>
      </c>
      <c r="W68" s="45">
        <f>SUM('Statistics NZ'!W$68,$L$12/5*(W$8-W$9)*1000)*'Economic Forecasts'!Y$9*1000000/SUM('Statistics NZ'!W$30:W$110,'Statistics NZ'!W$130:W$210,SUM($E$12:$T$13)*(W$8-W$9)*1000)</f>
        <v>32820.590754816614</v>
      </c>
      <c r="X68" s="45">
        <f>SUM('Statistics NZ'!X$68,$L$12/5*(X$8-X$9)*1000)*'Economic Forecasts'!Z$9*1000000/SUM('Statistics NZ'!X$30:X$110,'Statistics NZ'!X$130:X$210,SUM($E$12:$T$13)*(X$8-X$9)*1000)</f>
        <v>31586.497472329131</v>
      </c>
      <c r="Y68" s="45">
        <f>SUM('Statistics NZ'!Y$68,$L$12/5*(Y$8-Y$9)*1000)*'Economic Forecasts'!AA$9*1000000/SUM('Statistics NZ'!Y$30:Y$110,'Statistics NZ'!Y$130:Y$210,SUM($E$12:$T$13)*(Y$8-Y$9)*1000)</f>
        <v>30241.956517259972</v>
      </c>
      <c r="Z68" s="46">
        <f>SUM(Y$68,'Statistics NZ'!Z$68-'Statistics NZ'!Y$68,$L$12/5*(Z$8-Z$9)*1000)</f>
        <v>30509.093293271417</v>
      </c>
      <c r="AA68" s="46">
        <f>SUM(Z$68,'Statistics NZ'!AA$68-'Statistics NZ'!Z$68,$L$12/5*(AA$8-AA$9)*1000)</f>
        <v>30475.43709417048</v>
      </c>
      <c r="AB68" s="46">
        <f>SUM(AA$68,'Statistics NZ'!AB$68-'Statistics NZ'!AA$68,$L$12/5*(AB$8-AB$9)*1000)</f>
        <v>31410.987919957159</v>
      </c>
      <c r="AC68" s="46">
        <f>SUM(AB$68,'Statistics NZ'!AC$68-'Statistics NZ'!AB$68,$L$12/5*(AC$8-AC$9)*1000)</f>
        <v>31785.745770631456</v>
      </c>
      <c r="AD68" s="46">
        <f>SUM(AC$68,'Statistics NZ'!AD$68-'Statistics NZ'!AC$68,$L$12/5*(AD$8-AD$9)*1000)</f>
        <v>32229.710646193369</v>
      </c>
      <c r="AE68" s="46">
        <f>SUM(AD$68,'Statistics NZ'!AE$68-'Statistics NZ'!AD$68,$L$12/5*(AE$8-AE$9)*1000)</f>
        <v>33262.882546642904</v>
      </c>
      <c r="AF68" s="46">
        <f>SUM(AE$68,'Statistics NZ'!AF$68-'Statistics NZ'!AE$68,$L$12/5*(AF$8-AF$9)*1000)</f>
        <v>34035.261471980055</v>
      </c>
      <c r="AG68" s="46">
        <f>SUM(AF$68,'Statistics NZ'!AG$68-'Statistics NZ'!AF$68,$L$12/5*(AG$8-AG$9)*1000)</f>
        <v>34716.847422204817</v>
      </c>
      <c r="AH68" s="46">
        <f>SUM(AG$68,'Statistics NZ'!AH$68-'Statistics NZ'!AG$68,$L$12/5*(AH$8-AH$9)*1000)</f>
        <v>35517.640397317198</v>
      </c>
      <c r="AI68" s="46">
        <f>SUM(AH$68,'Statistics NZ'!AI$68-'Statistics NZ'!AH$68,$L$12/5*(AI$8-AI$9)*1000)</f>
        <v>36017.640397317198</v>
      </c>
    </row>
    <row r="69" spans="1:35" x14ac:dyDescent="0.25">
      <c r="A69" s="11">
        <v>54</v>
      </c>
      <c r="B69" s="44">
        <f>'Statistics NZ'!B$69*'Economic Forecasts'!D$9*1000000/SUM('Statistics NZ'!B$30:B$110,'Statistics NZ'!B$130:B$210)</f>
        <v>24665.3149572857</v>
      </c>
      <c r="C69" s="44">
        <f>'Statistics NZ'!C$69*'Economic Forecasts'!E$9*1000000/SUM('Statistics NZ'!C$30:C$110,'Statistics NZ'!C$130:C$210)</f>
        <v>25080.47987133015</v>
      </c>
      <c r="D69" s="44">
        <f>'Statistics NZ'!D$69*'Economic Forecasts'!F$9*1000000/SUM('Statistics NZ'!D$30:D$110,'Statistics NZ'!D$130:D$210)</f>
        <v>26138.267781133327</v>
      </c>
      <c r="E69" s="44">
        <f>'Statistics NZ'!E$69*'Economic Forecasts'!G$9*1000000/SUM('Statistics NZ'!E$30:E$110,'Statistics NZ'!E$130:E$210)</f>
        <v>26704.523378333881</v>
      </c>
      <c r="F69" s="44">
        <f>'Statistics NZ'!F$69*'Economic Forecasts'!H$9*1000000/SUM('Statistics NZ'!F$30:F$110,'Statistics NZ'!F$130:F$210)</f>
        <v>27680.522060938096</v>
      </c>
      <c r="G69" s="44">
        <f>'Statistics NZ'!G$69*'Economic Forecasts'!I$9*1000000/SUM('Statistics NZ'!G$30:G$110,'Statistics NZ'!G$130:G$210)</f>
        <v>28386.944829929231</v>
      </c>
      <c r="H69" s="44">
        <f>'Statistics NZ'!H$69*'Economic Forecasts'!J$9*1000000/SUM('Statistics NZ'!H$30:H$110,'Statistics NZ'!H$130:H$210)</f>
        <v>28807.302103671347</v>
      </c>
      <c r="I69" s="44">
        <f>'Statistics NZ'!I$69*'Economic Forecasts'!K$9*1000000/SUM('Statistics NZ'!I$30:I$110,'Statistics NZ'!I$130:I$210)</f>
        <v>30096.914790946736</v>
      </c>
      <c r="J69" s="44">
        <f>'Statistics NZ'!J$69*'Economic Forecasts'!L$9*1000000/SUM('Statistics NZ'!J$30:J$110,'Statistics NZ'!J$130:J$210)</f>
        <v>30425.872601075254</v>
      </c>
      <c r="K69" s="44">
        <f>'Statistics NZ'!K$69*'Economic Forecasts'!M$9*1000000/SUM('Statistics NZ'!K$30:K$110,'Statistics NZ'!K$130:K$210)</f>
        <v>31895.854565934336</v>
      </c>
      <c r="L69" s="44">
        <f>'Statistics NZ'!L$69*'Economic Forecasts'!N$9*1000000/SUM('Statistics NZ'!L$30:L$110,'Statistics NZ'!L$130:L$210)</f>
        <v>32666.343405875694</v>
      </c>
      <c r="M69" s="44">
        <f>'Statistics NZ'!M$69*'Economic Forecasts'!O$9*1000000/SUM('Statistics NZ'!M$30:M$110,'Statistics NZ'!M$130:M$210)</f>
        <v>33275.168505415648</v>
      </c>
      <c r="N69" s="44">
        <f>'Statistics NZ'!N$69*'Economic Forecasts'!P$9*1000000/SUM('Statistics NZ'!N$30:N$110,'Statistics NZ'!N$130:N$210)</f>
        <v>32711.035269363249</v>
      </c>
      <c r="O69" s="44">
        <f>'Statistics NZ'!O$69*'Economic Forecasts'!Q$9*1000000/SUM('Statistics NZ'!O$30:O$110,'Statistics NZ'!O$130:O$210)</f>
        <v>31891.340637707672</v>
      </c>
      <c r="P69" s="44">
        <f>'Statistics NZ'!P$69*'Economic Forecasts'!R$9*1000000/SUM('Statistics NZ'!P$30:P$110,'Statistics NZ'!P$130:P$210)</f>
        <v>31564.310414231604</v>
      </c>
      <c r="Q69" s="44">
        <f>'Statistics NZ'!Q$69*'Economic Forecasts'!S$9*1000000/SUM('Statistics NZ'!Q$30:Q$110,'Statistics NZ'!Q$130:Q$210)</f>
        <v>32223.137204739138</v>
      </c>
      <c r="R69" s="44">
        <f>'Statistics NZ'!R$69*'Economic Forecasts'!T$9*1000000/SUM('Statistics NZ'!R$30:R$110,'Statistics NZ'!R$130:R$210)</f>
        <v>32696.459509453005</v>
      </c>
      <c r="S69" s="45">
        <f>SUM('Statistics NZ'!S$69,$L$12/5*(S$8-S$9)*1000)*'Economic Forecasts'!U$9*1000000/SUM('Statistics NZ'!S$30:S$110,'Statistics NZ'!S$130:S$210,SUM($E$12:$T$13)*(S$8-S$9)*1000)</f>
        <v>32812.402967634647</v>
      </c>
      <c r="T69" s="45">
        <f>SUM('Statistics NZ'!T$69,$L$12/5*(T$8-T$9)*1000)*'Economic Forecasts'!V$9*1000000/SUM('Statistics NZ'!T$30:T$110,'Statistics NZ'!T$130:T$210,SUM($E$12:$T$13)*(T$8-T$9)*1000)</f>
        <v>33477.636836291342</v>
      </c>
      <c r="U69" s="45">
        <f>SUM('Statistics NZ'!U$69,$L$12/5*(U$8-U$9)*1000)*'Economic Forecasts'!W$9*1000000/SUM('Statistics NZ'!U$30:U$110,'Statistics NZ'!U$130:U$210,SUM($E$12:$T$13)*(U$8-U$9)*1000)</f>
        <v>35281.424196692962</v>
      </c>
      <c r="V69" s="45">
        <f>SUM('Statistics NZ'!V$69,$L$12/5*(V$8-V$9)*1000)*'Economic Forecasts'!X$9*1000000/SUM('Statistics NZ'!V$30:V$110,'Statistics NZ'!V$130:V$210,SUM($E$12:$T$13)*(V$8-V$9)*1000)</f>
        <v>34814.449771226879</v>
      </c>
      <c r="W69" s="45">
        <f>SUM('Statistics NZ'!W$69,$L$12/5*(W$8-W$9)*1000)*'Economic Forecasts'!Y$9*1000000/SUM('Statistics NZ'!W$30:W$110,'Statistics NZ'!W$130:W$210,SUM($E$12:$T$13)*(W$8-W$9)*1000)</f>
        <v>33549.764702793946</v>
      </c>
      <c r="X69" s="45">
        <f>SUM('Statistics NZ'!X$69,$L$12/5*(X$8-X$9)*1000)*'Economic Forecasts'!Z$9*1000000/SUM('Statistics NZ'!X$30:X$110,'Statistics NZ'!X$130:X$210,SUM($E$12:$T$13)*(X$8-X$9)*1000)</f>
        <v>32824.472264417476</v>
      </c>
      <c r="Y69" s="45">
        <f>SUM('Statistics NZ'!Y$69,$L$12/5*(Y$8-Y$9)*1000)*'Economic Forecasts'!AA$9*1000000/SUM('Statistics NZ'!Y$30:Y$110,'Statistics NZ'!Y$130:Y$210,SUM($E$12:$T$13)*(Y$8-Y$9)*1000)</f>
        <v>31605.126508321879</v>
      </c>
      <c r="Z69" s="46">
        <f>SUM(Y$69,'Statistics NZ'!Z$69-'Statistics NZ'!Y$69,$L$12/5*(Z$8-Z$9)*1000)</f>
        <v>30222.263284333323</v>
      </c>
      <c r="AA69" s="46">
        <f>SUM(Z$69,'Statistics NZ'!AA$69-'Statistics NZ'!Z$69,$L$12/5*(AA$8-AA$9)*1000)</f>
        <v>30488.607085232386</v>
      </c>
      <c r="AB69" s="46">
        <f>SUM(AA$69,'Statistics NZ'!AB$69-'Statistics NZ'!AA$69,$L$12/5*(AB$8-AB$9)*1000)</f>
        <v>30444.157911019065</v>
      </c>
      <c r="AC69" s="46">
        <f>SUM(AB$69,'Statistics NZ'!AC$69-'Statistics NZ'!AB$69,$L$12/5*(AC$8-AC$9)*1000)</f>
        <v>31388.915761693363</v>
      </c>
      <c r="AD69" s="46">
        <f>SUM(AC$69,'Statistics NZ'!AD$69-'Statistics NZ'!AC$69,$L$12/5*(AD$8-AD$9)*1000)</f>
        <v>31762.880637255275</v>
      </c>
      <c r="AE69" s="46">
        <f>SUM(AD$69,'Statistics NZ'!AE$69-'Statistics NZ'!AD$69,$L$12/5*(AE$8-AE$9)*1000)</f>
        <v>32206.052537704807</v>
      </c>
      <c r="AF69" s="46">
        <f>SUM(AE$69,'Statistics NZ'!AF$69-'Statistics NZ'!AE$69,$L$12/5*(AF$8-AF$9)*1000)</f>
        <v>33238.431463041954</v>
      </c>
      <c r="AG69" s="46">
        <f>SUM(AF$69,'Statistics NZ'!AG$69-'Statistics NZ'!AF$69,$L$12/5*(AG$8-AG$9)*1000)</f>
        <v>34010.017413266716</v>
      </c>
      <c r="AH69" s="46">
        <f>SUM(AG$69,'Statistics NZ'!AH$69-'Statistics NZ'!AG$69,$L$12/5*(AH$8-AH$9)*1000)</f>
        <v>34690.810388379097</v>
      </c>
      <c r="AI69" s="46">
        <f>SUM(AH$69,'Statistics NZ'!AI$69-'Statistics NZ'!AH$69,$L$12/5*(AI$8-AI$9)*1000)</f>
        <v>35490.810388379097</v>
      </c>
    </row>
    <row r="70" spans="1:35" x14ac:dyDescent="0.25">
      <c r="A70" s="11">
        <v>55</v>
      </c>
      <c r="B70" s="44">
        <f>'Statistics NZ'!B$70*'Economic Forecasts'!D$9*1000000/SUM('Statistics NZ'!B$30:B$110,'Statistics NZ'!B$130:B$210)</f>
        <v>24234.821558586544</v>
      </c>
      <c r="C70" s="44">
        <f>'Statistics NZ'!C$70*'Economic Forecasts'!E$9*1000000/SUM('Statistics NZ'!C$30:C$110,'Statistics NZ'!C$130:C$210)</f>
        <v>24658.216506229441</v>
      </c>
      <c r="D70" s="44">
        <f>'Statistics NZ'!D$70*'Economic Forecasts'!F$9*1000000/SUM('Statistics NZ'!D$30:D$110,'Statistics NZ'!D$130:D$210)</f>
        <v>25047.945449789546</v>
      </c>
      <c r="E70" s="44">
        <f>'Statistics NZ'!E$70*'Economic Forecasts'!G$9*1000000/SUM('Statistics NZ'!E$30:E$110,'Statistics NZ'!E$130:E$210)</f>
        <v>26067.06688931747</v>
      </c>
      <c r="F70" s="44">
        <f>'Statistics NZ'!F$70*'Economic Forecasts'!H$9*1000000/SUM('Statistics NZ'!F$30:F$110,'Statistics NZ'!F$130:F$210)</f>
        <v>26689.830094901685</v>
      </c>
      <c r="G70" s="44">
        <f>'Statistics NZ'!G$70*'Economic Forecasts'!I$9*1000000/SUM('Statistics NZ'!G$30:G$110,'Statistics NZ'!G$130:G$210)</f>
        <v>27610.969521429433</v>
      </c>
      <c r="H70" s="44">
        <f>'Statistics NZ'!H$70*'Economic Forecasts'!J$9*1000000/SUM('Statistics NZ'!H$30:H$110,'Statistics NZ'!H$130:H$210)</f>
        <v>28335.695520800877</v>
      </c>
      <c r="I70" s="44">
        <f>'Statistics NZ'!I$70*'Economic Forecasts'!K$9*1000000/SUM('Statistics NZ'!I$30:I$110,'Statistics NZ'!I$130:I$210)</f>
        <v>28655.792160891629</v>
      </c>
      <c r="J70" s="44">
        <f>'Statistics NZ'!J$70*'Economic Forecasts'!L$9*1000000/SUM('Statistics NZ'!J$30:J$110,'Statistics NZ'!J$130:J$210)</f>
        <v>29909.022842146729</v>
      </c>
      <c r="K70" s="44">
        <f>'Statistics NZ'!K$70*'Economic Forecasts'!M$9*1000000/SUM('Statistics NZ'!K$30:K$110,'Statistics NZ'!K$130:K$210)</f>
        <v>30396.476787193831</v>
      </c>
      <c r="L70" s="44">
        <f>'Statistics NZ'!L$70*'Economic Forecasts'!N$9*1000000/SUM('Statistics NZ'!L$30:L$110,'Statistics NZ'!L$130:L$210)</f>
        <v>31936.097279067737</v>
      </c>
      <c r="M70" s="44">
        <f>'Statistics NZ'!M$70*'Economic Forecasts'!O$9*1000000/SUM('Statistics NZ'!M$30:M$110,'Statistics NZ'!M$130:M$210)</f>
        <v>32796.459387163923</v>
      </c>
      <c r="N70" s="44">
        <f>'Statistics NZ'!N$70*'Economic Forecasts'!P$9*1000000/SUM('Statistics NZ'!N$30:N$110,'Statistics NZ'!N$130:N$210)</f>
        <v>33386.195734091358</v>
      </c>
      <c r="O70" s="44">
        <f>'Statistics NZ'!O$70*'Economic Forecasts'!Q$9*1000000/SUM('Statistics NZ'!O$30:O$110,'Statistics NZ'!O$130:O$210)</f>
        <v>32793.833205738774</v>
      </c>
      <c r="P70" s="44">
        <f>'Statistics NZ'!P$70*'Economic Forecasts'!R$9*1000000/SUM('Statistics NZ'!P$30:P$110,'Statistics NZ'!P$130:P$210)</f>
        <v>32082.720222708289</v>
      </c>
      <c r="Q70" s="44">
        <f>'Statistics NZ'!Q$70*'Economic Forecasts'!S$9*1000000/SUM('Statistics NZ'!Q$30:Q$110,'Statistics NZ'!Q$130:Q$210)</f>
        <v>31670.458588057543</v>
      </c>
      <c r="R70" s="44">
        <f>'Statistics NZ'!R$70*'Economic Forecasts'!T$9*1000000/SUM('Statistics NZ'!R$30:R$110,'Statistics NZ'!R$130:R$210)</f>
        <v>32016.719917361326</v>
      </c>
      <c r="S70" s="45">
        <f>SUM('Statistics NZ'!S$70,$M$12/5*(S$8-S$9)*1000)*'Economic Forecasts'!U$9*1000000/SUM('Statistics NZ'!S$30:S$110,'Statistics NZ'!S$130:S$210,SUM($E$12:$T$13)*(S$8-S$9)*1000)</f>
        <v>32345.813354658654</v>
      </c>
      <c r="T70" s="45">
        <f>SUM('Statistics NZ'!T$70,$M$12/5*(T$8-T$9)*1000)*'Economic Forecasts'!V$9*1000000/SUM('Statistics NZ'!T$30:T$110,'Statistics NZ'!T$130:T$210,SUM($E$12:$T$13)*(T$8-T$9)*1000)</f>
        <v>33767.008130388058</v>
      </c>
      <c r="U70" s="45">
        <f>SUM('Statistics NZ'!U$70,$M$12/5*(U$8-U$9)*1000)*'Economic Forecasts'!W$9*1000000/SUM('Statistics NZ'!U$30:U$110,'Statistics NZ'!U$130:U$210,SUM($E$12:$T$13)*(U$8-U$9)*1000)</f>
        <v>33786.215636973167</v>
      </c>
      <c r="V70" s="45">
        <f>SUM('Statistics NZ'!V$70,$M$12/5*(V$8-V$9)*1000)*'Economic Forecasts'!X$9*1000000/SUM('Statistics NZ'!V$30:V$110,'Statistics NZ'!V$130:V$210,SUM($E$12:$T$13)*(V$8-V$9)*1000)</f>
        <v>35302.774525987894</v>
      </c>
      <c r="W70" s="45">
        <f>SUM('Statistics NZ'!W$70,$M$12/5*(W$8-W$9)*1000)*'Economic Forecasts'!Y$9*1000000/SUM('Statistics NZ'!W$30:W$110,'Statistics NZ'!W$130:W$210,SUM($E$12:$T$13)*(W$8-W$9)*1000)</f>
        <v>34841.156265752179</v>
      </c>
      <c r="X70" s="45">
        <f>SUM('Statistics NZ'!X$70,$M$12/5*(X$8-X$9)*1000)*'Economic Forecasts'!Z$9*1000000/SUM('Statistics NZ'!X$30:X$110,'Statistics NZ'!X$130:X$210,SUM($E$12:$T$13)*(X$8-X$9)*1000)</f>
        <v>33591.446178494589</v>
      </c>
      <c r="Y70" s="45">
        <f>SUM('Statistics NZ'!Y$70,$M$12/5*(Y$8-Y$9)*1000)*'Economic Forecasts'!AA$9*1000000/SUM('Statistics NZ'!Y$30:Y$110,'Statistics NZ'!Y$130:Y$210,SUM($E$12:$T$13)*(Y$8-Y$9)*1000)</f>
        <v>32882.855480397171</v>
      </c>
      <c r="Z70" s="46">
        <f>SUM(Y$70,'Statistics NZ'!Z$70-'Statistics NZ'!Y$70,$M$12/5*(Z$8-Z$9)*1000)</f>
        <v>31643.402366979208</v>
      </c>
      <c r="AA70" s="46">
        <f>SUM(Z$70,'Statistics NZ'!AA$70-'Statistics NZ'!Z$70,$M$12/5*(AA$8-AA$9)*1000)</f>
        <v>30280.55515505213</v>
      </c>
      <c r="AB70" s="46">
        <f>SUM(AA$70,'Statistics NZ'!AB$70-'Statistics NZ'!AA$70,$M$12/5*(AB$8-AB$9)*1000)</f>
        <v>30564.313844615936</v>
      </c>
      <c r="AC70" s="46">
        <f>SUM(AB$70,'Statistics NZ'!AC$70-'Statistics NZ'!AB$70,$M$12/5*(AC$8-AC$9)*1000)</f>
        <v>30544.678435670627</v>
      </c>
      <c r="AD70" s="46">
        <f>SUM(AC$70,'Statistics NZ'!AD$70-'Statistics NZ'!AC$70,$M$12/5*(AD$8-AD$9)*1000)</f>
        <v>31491.648928216204</v>
      </c>
      <c r="AE70" s="46">
        <f>SUM(AD$70,'Statistics NZ'!AE$70-'Statistics NZ'!AD$70,$M$12/5*(AE$8-AE$9)*1000)</f>
        <v>31875.225322252663</v>
      </c>
      <c r="AF70" s="46">
        <f>SUM(AE$70,'Statistics NZ'!AF$70-'Statistics NZ'!AE$70,$M$12/5*(AF$8-AF$9)*1000)</f>
        <v>32325.407617780009</v>
      </c>
      <c r="AG70" s="46">
        <f>SUM(AF$70,'Statistics NZ'!AG$70-'Statistics NZ'!AF$70,$M$12/5*(AG$8-AG$9)*1000)</f>
        <v>33362.195814798237</v>
      </c>
      <c r="AH70" s="46">
        <f>SUM(AG$70,'Statistics NZ'!AH$70-'Statistics NZ'!AG$70,$M$12/5*(AH$8-AH$9)*1000)</f>
        <v>34135.589913307354</v>
      </c>
      <c r="AI70" s="46">
        <f>SUM(AH$70,'Statistics NZ'!AI$70-'Statistics NZ'!AH$70,$M$12/5*(AI$8-AI$9)*1000)</f>
        <v>34815.589913307354</v>
      </c>
    </row>
    <row r="71" spans="1:35" x14ac:dyDescent="0.25">
      <c r="A71" s="11">
        <v>56</v>
      </c>
      <c r="B71" s="44">
        <f>'Statistics NZ'!B$71*'Economic Forecasts'!D$9*1000000/SUM('Statistics NZ'!B$30:B$110,'Statistics NZ'!B$130:B$210)</f>
        <v>24391.364612658967</v>
      </c>
      <c r="C71" s="44">
        <f>'Statistics NZ'!C$71*'Economic Forecasts'!E$9*1000000/SUM('Statistics NZ'!C$30:C$110,'Statistics NZ'!C$130:C$210)</f>
        <v>24285.053532419515</v>
      </c>
      <c r="D71" s="44">
        <f>'Statistics NZ'!D$71*'Economic Forecasts'!F$9*1000000/SUM('Statistics NZ'!D$30:D$110,'Statistics NZ'!D$130:D$210)</f>
        <v>24596.100159322759</v>
      </c>
      <c r="E71" s="44">
        <f>'Statistics NZ'!E$71*'Economic Forecasts'!G$9*1000000/SUM('Statistics NZ'!E$30:E$110,'Statistics NZ'!E$130:E$210)</f>
        <v>25007.908415259422</v>
      </c>
      <c r="F71" s="44">
        <f>'Statistics NZ'!F$71*'Economic Forecasts'!H$9*1000000/SUM('Statistics NZ'!F$30:F$110,'Statistics NZ'!F$130:F$210)</f>
        <v>26062.064888700395</v>
      </c>
      <c r="G71" s="44">
        <f>'Statistics NZ'!G$71*'Economic Forecasts'!I$9*1000000/SUM('Statistics NZ'!G$30:G$110,'Statistics NZ'!G$130:G$210)</f>
        <v>26677.834656777781</v>
      </c>
      <c r="H71" s="44">
        <f>'Statistics NZ'!H$71*'Economic Forecasts'!J$9*1000000/SUM('Statistics NZ'!H$30:H$110,'Statistics NZ'!H$130:H$210)</f>
        <v>27549.684549350088</v>
      </c>
      <c r="I71" s="44">
        <f>'Statistics NZ'!I$71*'Economic Forecasts'!K$9*1000000/SUM('Statistics NZ'!I$30:I$110,'Statistics NZ'!I$130:I$210)</f>
        <v>28224.435727405751</v>
      </c>
      <c r="J71" s="44">
        <f>'Statistics NZ'!J$71*'Economic Forecasts'!L$9*1000000/SUM('Statistics NZ'!J$30:J$110,'Statistics NZ'!J$130:J$210)</f>
        <v>28553.511210239856</v>
      </c>
      <c r="K71" s="44">
        <f>'Statistics NZ'!K$71*'Economic Forecasts'!M$9*1000000/SUM('Statistics NZ'!K$30:K$110,'Statistics NZ'!K$130:K$210)</f>
        <v>29899.929600727821</v>
      </c>
      <c r="L71" s="44">
        <f>'Statistics NZ'!L$71*'Economic Forecasts'!N$9*1000000/SUM('Statistics NZ'!L$30:L$110,'Statistics NZ'!L$130:L$210)</f>
        <v>30475.605025451834</v>
      </c>
      <c r="M71" s="44">
        <f>'Statistics NZ'!M$71*'Economic Forecasts'!O$9*1000000/SUM('Statistics NZ'!M$30:M$110,'Statistics NZ'!M$130:M$210)</f>
        <v>32102.81964439102</v>
      </c>
      <c r="N71" s="44">
        <f>'Statistics NZ'!N$71*'Economic Forecasts'!P$9*1000000/SUM('Statistics NZ'!N$30:N$110,'Statistics NZ'!N$130:N$210)</f>
        <v>32867.594217705999</v>
      </c>
      <c r="O71" s="44">
        <f>'Statistics NZ'!O$71*'Economic Forecasts'!Q$9*1000000/SUM('Statistics NZ'!O$30:O$110,'Statistics NZ'!O$130:O$210)</f>
        <v>33470.702631762098</v>
      </c>
      <c r="P71" s="44">
        <f>'Statistics NZ'!P$71*'Economic Forecasts'!R$9*1000000/SUM('Statistics NZ'!P$30:P$110,'Statistics NZ'!P$130:P$210)</f>
        <v>32943.476131122414</v>
      </c>
      <c r="Q71" s="44">
        <f>'Statistics NZ'!Q$71*'Economic Forecasts'!S$9*1000000/SUM('Statistics NZ'!Q$30:Q$110,'Statistics NZ'!Q$130:Q$210)</f>
        <v>32213.267943726969</v>
      </c>
      <c r="R71" s="44">
        <f>'Statistics NZ'!R$71*'Economic Forecasts'!T$9*1000000/SUM('Statistics NZ'!R$30:R$110,'Statistics NZ'!R$130:R$210)</f>
        <v>31465.047204939106</v>
      </c>
      <c r="S71" s="45">
        <f>SUM('Statistics NZ'!S$71,$M$12/5*(S$8-S$9)*1000)*'Economic Forecasts'!U$9*1000000/SUM('Statistics NZ'!S$30:S$110,'Statistics NZ'!S$130:S$210,SUM($E$12:$T$13)*(S$8-S$9)*1000)</f>
        <v>31686.085990762462</v>
      </c>
      <c r="T71" s="45">
        <f>SUM('Statistics NZ'!T$71,$M$12/5*(T$8-T$9)*1000)*'Economic Forecasts'!V$9*1000000/SUM('Statistics NZ'!T$30:T$110,'Statistics NZ'!T$130:T$210,SUM($E$12:$T$13)*(T$8-T$9)*1000)</f>
        <v>33097.924023161686</v>
      </c>
      <c r="U71" s="45">
        <f>SUM('Statistics NZ'!U$71,$M$12/5*(U$8-U$9)*1000)*'Economic Forecasts'!W$9*1000000/SUM('Statistics NZ'!U$30:U$110,'Statistics NZ'!U$130:U$210,SUM($E$12:$T$13)*(U$8-U$9)*1000)</f>
        <v>33967.980092681755</v>
      </c>
      <c r="V71" s="45">
        <f>SUM('Statistics NZ'!V$71,$M$12/5*(V$8-V$9)*1000)*'Economic Forecasts'!X$9*1000000/SUM('Statistics NZ'!V$30:V$110,'Statistics NZ'!V$130:V$210,SUM($E$12:$T$13)*(V$8-V$9)*1000)</f>
        <v>33785.892202413015</v>
      </c>
      <c r="W71" s="45">
        <f>SUM('Statistics NZ'!W$71,$M$12/5*(W$8-W$9)*1000)*'Economic Forecasts'!Y$9*1000000/SUM('Statistics NZ'!W$30:W$110,'Statistics NZ'!W$130:W$210,SUM($E$12:$T$13)*(W$8-W$9)*1000)</f>
        <v>35307.01739918215</v>
      </c>
      <c r="X71" s="45">
        <f>SUM('Statistics NZ'!X$71,$M$12/5*(X$8-X$9)*1000)*'Economic Forecasts'!Z$9*1000000/SUM('Statistics NZ'!X$30:X$110,'Statistics NZ'!X$130:X$210,SUM($E$12:$T$13)*(X$8-X$9)*1000)</f>
        <v>34870.010308028446</v>
      </c>
      <c r="Y71" s="45">
        <f>SUM('Statistics NZ'!Y$71,$M$12/5*(Y$8-Y$9)*1000)*'Economic Forecasts'!AA$9*1000000/SUM('Statistics NZ'!Y$30:Y$110,'Statistics NZ'!Y$130:Y$210,SUM($E$12:$T$13)*(Y$8-Y$9)*1000)</f>
        <v>33635.650848595535</v>
      </c>
      <c r="Z71" s="46">
        <f>SUM(Y$71,'Statistics NZ'!Z$71-'Statistics NZ'!Y$71,$M$12/5*(Z$8-Z$9)*1000)</f>
        <v>32896.197735177571</v>
      </c>
      <c r="AA71" s="46">
        <f>SUM(Z$71,'Statistics NZ'!AA$71-'Statistics NZ'!Z$71,$M$12/5*(AA$8-AA$9)*1000)</f>
        <v>31653.350523250494</v>
      </c>
      <c r="AB71" s="46">
        <f>SUM(AA$71,'Statistics NZ'!AB$71-'Statistics NZ'!AA$71,$M$12/5*(AB$8-AB$9)*1000)</f>
        <v>30287.109212814299</v>
      </c>
      <c r="AC71" s="46">
        <f>SUM(AB$71,'Statistics NZ'!AC$71-'Statistics NZ'!AB$71,$M$12/5*(AC$8-AC$9)*1000)</f>
        <v>30577.47380386899</v>
      </c>
      <c r="AD71" s="46">
        <f>SUM(AC$71,'Statistics NZ'!AD$71-'Statistics NZ'!AC$71,$M$12/5*(AD$8-AD$9)*1000)</f>
        <v>30554.444296414567</v>
      </c>
      <c r="AE71" s="46">
        <f>SUM(AD$71,'Statistics NZ'!AE$71-'Statistics NZ'!AD$71,$M$12/5*(AE$8-AE$9)*1000)</f>
        <v>31498.020690451027</v>
      </c>
      <c r="AF71" s="46">
        <f>SUM(AE$71,'Statistics NZ'!AF$71-'Statistics NZ'!AE$71,$M$12/5*(AF$8-AF$9)*1000)</f>
        <v>31878.202985978372</v>
      </c>
      <c r="AG71" s="46">
        <f>SUM(AF$71,'Statistics NZ'!AG$71-'Statistics NZ'!AF$71,$M$12/5*(AG$8-AG$9)*1000)</f>
        <v>32324.991182996604</v>
      </c>
      <c r="AH71" s="46">
        <f>SUM(AG$71,'Statistics NZ'!AH$71-'Statistics NZ'!AG$71,$M$12/5*(AH$8-AH$9)*1000)</f>
        <v>33358.385281505718</v>
      </c>
      <c r="AI71" s="46">
        <f>SUM(AH$71,'Statistics NZ'!AI$71-'Statistics NZ'!AH$71,$M$12/5*(AI$8-AI$9)*1000)</f>
        <v>34128.385281505718</v>
      </c>
    </row>
    <row r="72" spans="1:35" x14ac:dyDescent="0.25">
      <c r="A72" s="11">
        <v>57</v>
      </c>
      <c r="B72" s="44">
        <f>'Statistics NZ'!B$72*'Economic Forecasts'!D$9*1000000/SUM('Statistics NZ'!B$30:B$110,'Statistics NZ'!B$130:B$210)</f>
        <v>23569.513578778759</v>
      </c>
      <c r="C72" s="44">
        <f>'Statistics NZ'!C$72*'Economic Forecasts'!E$9*1000000/SUM('Statistics NZ'!C$30:C$110,'Statistics NZ'!C$130:C$210)</f>
        <v>24402.894471517393</v>
      </c>
      <c r="D72" s="44">
        <f>'Statistics NZ'!D$72*'Economic Forecasts'!F$9*1000000/SUM('Statistics NZ'!D$30:D$110,'Statistics NZ'!D$130:D$210)</f>
        <v>24242.482105913961</v>
      </c>
      <c r="E72" s="44">
        <f>'Statistics NZ'!E$72*'Economic Forecasts'!G$9*1000000/SUM('Statistics NZ'!E$30:E$110,'Statistics NZ'!E$130:E$210)</f>
        <v>24517.55726986218</v>
      </c>
      <c r="F72" s="44">
        <f>'Statistics NZ'!F$72*'Economic Forecasts'!H$9*1000000/SUM('Statistics NZ'!F$30:F$110,'Statistics NZ'!F$130:F$210)</f>
        <v>25022.328765929509</v>
      </c>
      <c r="G72" s="44">
        <f>'Statistics NZ'!G$72*'Economic Forecasts'!I$9*1000000/SUM('Statistics NZ'!G$30:G$110,'Statistics NZ'!G$130:G$210)</f>
        <v>26068.841376689335</v>
      </c>
      <c r="H72" s="44">
        <f>'Statistics NZ'!H$72*'Economic Forecasts'!J$9*1000000/SUM('Statistics NZ'!H$30:H$110,'Statistics NZ'!H$130:H$210)</f>
        <v>26665.422206467952</v>
      </c>
      <c r="I72" s="44">
        <f>'Statistics NZ'!I$72*'Economic Forecasts'!K$9*1000000/SUM('Statistics NZ'!I$30:I$110,'Statistics NZ'!I$130:I$210)</f>
        <v>27420.544192272973</v>
      </c>
      <c r="J72" s="44">
        <f>'Statistics NZ'!J$72*'Economic Forecasts'!L$9*1000000/SUM('Statistics NZ'!J$30:J$110,'Statistics NZ'!J$130:J$210)</f>
        <v>27987.90204009166</v>
      </c>
      <c r="K72" s="44">
        <f>'Statistics NZ'!K$72*'Economic Forecasts'!M$9*1000000/SUM('Statistics NZ'!K$30:K$110,'Statistics NZ'!K$130:K$210)</f>
        <v>28585.539989494268</v>
      </c>
      <c r="L72" s="44">
        <f>'Statistics NZ'!L$72*'Economic Forecasts'!N$9*1000000/SUM('Statistics NZ'!L$30:L$110,'Statistics NZ'!L$130:L$210)</f>
        <v>29959.564429174217</v>
      </c>
      <c r="M72" s="44">
        <f>'Statistics NZ'!M$72*'Economic Forecasts'!O$9*1000000/SUM('Statistics NZ'!M$30:M$110,'Statistics NZ'!M$130:M$210)</f>
        <v>30588.535698900872</v>
      </c>
      <c r="N72" s="44">
        <f>'Statistics NZ'!N$72*'Economic Forecasts'!P$9*1000000/SUM('Statistics NZ'!N$30:N$110,'Statistics NZ'!N$130:N$210)</f>
        <v>32123.939213077938</v>
      </c>
      <c r="O72" s="44">
        <f>'Statistics NZ'!O$72*'Economic Forecasts'!Q$9*1000000/SUM('Statistics NZ'!O$30:O$110,'Statistics NZ'!O$130:O$210)</f>
        <v>32970.407838614425</v>
      </c>
      <c r="P72" s="44">
        <f>'Statistics NZ'!P$72*'Economic Forecasts'!R$9*1000000/SUM('Statistics NZ'!P$30:P$110,'Statistics NZ'!P$130:P$210)</f>
        <v>33696.637550984778</v>
      </c>
      <c r="Q72" s="44">
        <f>'Statistics NZ'!Q$72*'Economic Forecasts'!S$9*1000000/SUM('Statistics NZ'!Q$30:Q$110,'Statistics NZ'!Q$130:Q$210)</f>
        <v>33052.155129761522</v>
      </c>
      <c r="R72" s="44">
        <f>'Statistics NZ'!R$72*'Economic Forecasts'!T$9*1000000/SUM('Statistics NZ'!R$30:R$110,'Statistics NZ'!R$130:R$210)</f>
        <v>31967.463425180777</v>
      </c>
      <c r="S72" s="45">
        <f>SUM('Statistics NZ'!S$72,$M$12/5*(S$8-S$9)*1000)*'Economic Forecasts'!U$9*1000000/SUM('Statistics NZ'!S$30:S$110,'Statistics NZ'!S$130:S$210,SUM($E$12:$T$13)*(S$8-S$9)*1000)</f>
        <v>31152.482975846437</v>
      </c>
      <c r="T72" s="45">
        <f>SUM('Statistics NZ'!T$72,$M$12/5*(T$8-T$9)*1000)*'Economic Forecasts'!V$9*1000000/SUM('Statistics NZ'!T$30:T$110,'Statistics NZ'!T$130:T$210,SUM($E$12:$T$13)*(T$8-T$9)*1000)</f>
        <v>32428.839915935321</v>
      </c>
      <c r="U72" s="45">
        <f>SUM('Statistics NZ'!U$72,$M$12/5*(U$8-U$9)*1000)*'Economic Forecasts'!W$9*1000000/SUM('Statistics NZ'!U$30:U$110,'Statistics NZ'!U$130:U$210,SUM($E$12:$T$13)*(U$8-U$9)*1000)</f>
        <v>33301.510421750274</v>
      </c>
      <c r="V72" s="45">
        <f>SUM('Statistics NZ'!V$72,$M$12/5*(V$8-V$9)*1000)*'Economic Forecasts'!X$9*1000000/SUM('Statistics NZ'!V$30:V$110,'Statistics NZ'!V$130:V$210,SUM($E$12:$T$13)*(V$8-V$9)*1000)</f>
        <v>33978.030630065834</v>
      </c>
      <c r="W72" s="45">
        <f>SUM('Statistics NZ'!W$72,$M$12/5*(W$8-W$9)*1000)*'Economic Forecasts'!Y$9*1000000/SUM('Statistics NZ'!W$30:W$110,'Statistics NZ'!W$130:W$210,SUM($E$12:$T$13)*(W$8-W$9)*1000)</f>
        <v>33798.032423506826</v>
      </c>
      <c r="X72" s="45">
        <f>SUM('Statistics NZ'!X$72,$M$12/5*(X$8-X$9)*1000)*'Economic Forecasts'!Z$9*1000000/SUM('Statistics NZ'!X$30:X$110,'Statistics NZ'!X$130:X$210,SUM($E$12:$T$13)*(X$8-X$9)*1000)</f>
        <v>35346.935023013306</v>
      </c>
      <c r="Y72" s="45">
        <f>SUM('Statistics NZ'!Y$72,$M$12/5*(Y$8-Y$9)*1000)*'Economic Forecasts'!AA$9*1000000/SUM('Statistics NZ'!Y$30:Y$110,'Statistics NZ'!Y$130:Y$210,SUM($E$12:$T$13)*(Y$8-Y$9)*1000)</f>
        <v>34917.437556608966</v>
      </c>
      <c r="Z72" s="46">
        <f>SUM(Y$72,'Statistics NZ'!Z$72-'Statistics NZ'!Y$72,$M$12/5*(Z$8-Z$9)*1000)</f>
        <v>33667.984443191002</v>
      </c>
      <c r="AA72" s="46">
        <f>SUM(Z$72,'Statistics NZ'!AA$72-'Statistics NZ'!Z$72,$M$12/5*(AA$8-AA$9)*1000)</f>
        <v>32925.137231263921</v>
      </c>
      <c r="AB72" s="46">
        <f>SUM(AA$72,'Statistics NZ'!AB$72-'Statistics NZ'!AA$72,$M$12/5*(AB$8-AB$9)*1000)</f>
        <v>31678.895920827727</v>
      </c>
      <c r="AC72" s="46">
        <f>SUM(AB$72,'Statistics NZ'!AC$72-'Statistics NZ'!AB$72,$M$12/5*(AC$8-AC$9)*1000)</f>
        <v>30319.260511882418</v>
      </c>
      <c r="AD72" s="46">
        <f>SUM(AC$72,'Statistics NZ'!AD$72-'Statistics NZ'!AC$72,$M$12/5*(AD$8-AD$9)*1000)</f>
        <v>30606.231004427995</v>
      </c>
      <c r="AE72" s="46">
        <f>SUM(AD$72,'Statistics NZ'!AE$72-'Statistics NZ'!AD$72,$M$12/5*(AE$8-AE$9)*1000)</f>
        <v>30579.807398464454</v>
      </c>
      <c r="AF72" s="46">
        <f>SUM(AE$72,'Statistics NZ'!AF$72-'Statistics NZ'!AE$72,$M$12/5*(AF$8-AF$9)*1000)</f>
        <v>31519.9896939918</v>
      </c>
      <c r="AG72" s="46">
        <f>SUM(AF$72,'Statistics NZ'!AG$72-'Statistics NZ'!AF$72,$M$12/5*(AG$8-AG$9)*1000)</f>
        <v>31896.777891010031</v>
      </c>
      <c r="AH72" s="46">
        <f>SUM(AG$72,'Statistics NZ'!AH$72-'Statistics NZ'!AG$72,$M$12/5*(AH$8-AH$9)*1000)</f>
        <v>32340.171989519145</v>
      </c>
      <c r="AI72" s="46">
        <f>SUM(AH$72,'Statistics NZ'!AI$72-'Statistics NZ'!AH$72,$M$12/5*(AI$8-AI$9)*1000)</f>
        <v>33370.171989519149</v>
      </c>
    </row>
    <row r="73" spans="1:35" x14ac:dyDescent="0.25">
      <c r="A73" s="11">
        <v>58</v>
      </c>
      <c r="B73" s="44">
        <f>'Statistics NZ'!B$73*'Economic Forecasts'!D$9*1000000/SUM('Statistics NZ'!B$30:B$110,'Statistics NZ'!B$130:B$210)</f>
        <v>23951.08727308028</v>
      </c>
      <c r="C73" s="44">
        <f>'Statistics NZ'!C$73*'Economic Forecasts'!E$9*1000000/SUM('Statistics NZ'!C$30:C$110,'Statistics NZ'!C$130:C$210)</f>
        <v>23617.288210864921</v>
      </c>
      <c r="D73" s="44">
        <f>'Statistics NZ'!D$73*'Economic Forecasts'!F$9*1000000/SUM('Statistics NZ'!D$30:D$110,'Statistics NZ'!D$130:D$210)</f>
        <v>24262.127553325565</v>
      </c>
      <c r="E73" s="44">
        <f>'Statistics NZ'!E$73*'Economic Forecasts'!G$9*1000000/SUM('Statistics NZ'!E$30:E$110,'Statistics NZ'!E$130:E$210)</f>
        <v>24095.855284820551</v>
      </c>
      <c r="F73" s="44">
        <f>'Statistics NZ'!F$73*'Economic Forecasts'!H$9*1000000/SUM('Statistics NZ'!F$30:F$110,'Statistics NZ'!F$130:F$210)</f>
        <v>24522.07836723786</v>
      </c>
      <c r="G73" s="44">
        <f>'Statistics NZ'!G$73*'Economic Forecasts'!I$9*1000000/SUM('Statistics NZ'!G$30:G$110,'Statistics NZ'!G$130:G$210)</f>
        <v>25027.659317183279</v>
      </c>
      <c r="H73" s="44">
        <f>'Statistics NZ'!H$73*'Economic Forecasts'!J$9*1000000/SUM('Statistics NZ'!H$30:H$110,'Statistics NZ'!H$130:H$210)</f>
        <v>26066.088840736727</v>
      </c>
      <c r="I73" s="44">
        <f>'Statistics NZ'!I$73*'Economic Forecasts'!K$9*1000000/SUM('Statistics NZ'!I$30:I$110,'Statistics NZ'!I$130:I$210)</f>
        <v>26567.6348806077</v>
      </c>
      <c r="J73" s="44">
        <f>'Statistics NZ'!J$73*'Economic Forecasts'!L$9*1000000/SUM('Statistics NZ'!J$30:J$110,'Statistics NZ'!J$130:J$210)</f>
        <v>27227.255225064775</v>
      </c>
      <c r="K73" s="44">
        <f>'Statistics NZ'!K$73*'Economic Forecasts'!M$9*1000000/SUM('Statistics NZ'!K$30:K$110,'Statistics NZ'!K$130:K$210)</f>
        <v>27913.740854863783</v>
      </c>
      <c r="L73" s="44">
        <f>'Statistics NZ'!L$73*'Economic Forecasts'!N$9*1000000/SUM('Statistics NZ'!L$30:L$110,'Statistics NZ'!L$130:L$210)</f>
        <v>28674.331245992227</v>
      </c>
      <c r="M73" s="44">
        <f>'Statistics NZ'!M$73*'Economic Forecasts'!O$9*1000000/SUM('Statistics NZ'!M$30:M$110,'Statistics NZ'!M$130:M$210)</f>
        <v>30100.057006807285</v>
      </c>
      <c r="N73" s="44">
        <f>'Statistics NZ'!N$73*'Economic Forecasts'!P$9*1000000/SUM('Statistics NZ'!N$30:N$110,'Statistics NZ'!N$130:N$210)</f>
        <v>30617.059335278973</v>
      </c>
      <c r="O73" s="44">
        <f>'Statistics NZ'!O$73*'Economic Forecasts'!Q$9*1000000/SUM('Statistics NZ'!O$30:O$110,'Statistics NZ'!O$130:O$210)</f>
        <v>32175.821990674001</v>
      </c>
      <c r="P73" s="44">
        <f>'Statistics NZ'!P$73*'Economic Forecasts'!R$9*1000000/SUM('Statistics NZ'!P$30:P$110,'Statistics NZ'!P$130:P$210)</f>
        <v>33158.665108225949</v>
      </c>
      <c r="Q73" s="44">
        <f>'Statistics NZ'!Q$73*'Economic Forecasts'!S$9*1000000/SUM('Statistics NZ'!Q$30:Q$110,'Statistics NZ'!Q$130:Q$210)</f>
        <v>33762.741922637855</v>
      </c>
      <c r="R73" s="44">
        <f>'Statistics NZ'!R$73*'Economic Forecasts'!T$9*1000000/SUM('Statistics NZ'!R$30:R$110,'Statistics NZ'!R$130:R$210)</f>
        <v>32785.121195378</v>
      </c>
      <c r="S73" s="45">
        <f>SUM('Statistics NZ'!S$73,$M$12/5*(S$8-S$9)*1000)*'Economic Forecasts'!U$9*1000000/SUM('Statistics NZ'!S$30:S$110,'Statistics NZ'!S$130:S$210,SUM($E$12:$T$13)*(S$8-S$9)*1000)</f>
        <v>31647.27849876857</v>
      </c>
      <c r="T73" s="45">
        <f>SUM('Statistics NZ'!T$73,$M$12/5*(T$8-T$9)*1000)*'Economic Forecasts'!V$9*1000000/SUM('Statistics NZ'!T$30:T$110,'Statistics NZ'!T$130:T$210,SUM($E$12:$T$13)*(T$8-T$9)*1000)</f>
        <v>31879.59176821218</v>
      </c>
      <c r="U73" s="45">
        <f>SUM('Statistics NZ'!U$73,$M$12/5*(U$8-U$9)*1000)*'Economic Forecasts'!W$9*1000000/SUM('Statistics NZ'!U$30:U$110,'Statistics NZ'!U$130:U$210,SUM($E$12:$T$13)*(U$8-U$9)*1000)</f>
        <v>32645.138776135944</v>
      </c>
      <c r="V73" s="45">
        <f>SUM('Statistics NZ'!V$73,$M$12/5*(V$8-V$9)*1000)*'Economic Forecasts'!X$9*1000000/SUM('Statistics NZ'!V$30:V$110,'Statistics NZ'!V$130:V$210,SUM($E$12:$T$13)*(V$8-V$9)*1000)</f>
        <v>33320.714956516713</v>
      </c>
      <c r="W73" s="45">
        <f>SUM('Statistics NZ'!W$73,$M$12/5*(W$8-W$9)*1000)*'Economic Forecasts'!Y$9*1000000/SUM('Statistics NZ'!W$30:W$110,'Statistics NZ'!W$130:W$210,SUM($E$12:$T$13)*(W$8-W$9)*1000)</f>
        <v>34010.708158333553</v>
      </c>
      <c r="X73" s="45">
        <f>SUM('Statistics NZ'!X$73,$M$12/5*(X$8-X$9)*1000)*'Economic Forecasts'!Z$9*1000000/SUM('Statistics NZ'!X$30:X$110,'Statistics NZ'!X$130:X$210,SUM($E$12:$T$13)*(X$8-X$9)*1000)</f>
        <v>33845.129537529087</v>
      </c>
      <c r="Y73" s="45">
        <f>SUM('Statistics NZ'!Y$73,$M$12/5*(Y$8-Y$9)*1000)*'Economic Forecasts'!AA$9*1000000/SUM('Statistics NZ'!Y$30:Y$110,'Statistics NZ'!Y$130:Y$210,SUM($E$12:$T$13)*(Y$8-Y$9)*1000)</f>
        <v>35405.737254899796</v>
      </c>
      <c r="Z73" s="46">
        <f>SUM(Y$73,'Statistics NZ'!Z$73-'Statistics NZ'!Y$73,$M$12/5*(Z$8-Z$9)*1000)</f>
        <v>34936.284141481832</v>
      </c>
      <c r="AA73" s="46">
        <f>SUM(Z$73,'Statistics NZ'!AA$73-'Statistics NZ'!Z$73,$M$12/5*(AA$8-AA$9)*1000)</f>
        <v>33683.436929554751</v>
      </c>
      <c r="AB73" s="46">
        <f>SUM(AA$73,'Statistics NZ'!AB$73-'Statistics NZ'!AA$73,$M$12/5*(AB$8-AB$9)*1000)</f>
        <v>32947.19561911856</v>
      </c>
      <c r="AC73" s="46">
        <f>SUM(AB$73,'Statistics NZ'!AC$73-'Statistics NZ'!AB$73,$M$12/5*(AC$8-AC$9)*1000)</f>
        <v>31707.560210173251</v>
      </c>
      <c r="AD73" s="46">
        <f>SUM(AC$73,'Statistics NZ'!AD$73-'Statistics NZ'!AC$73,$M$12/5*(AD$8-AD$9)*1000)</f>
        <v>30344.530702718828</v>
      </c>
      <c r="AE73" s="46">
        <f>SUM(AD$73,'Statistics NZ'!AE$73-'Statistics NZ'!AD$73,$M$12/5*(AE$8-AE$9)*1000)</f>
        <v>30628.107096755288</v>
      </c>
      <c r="AF73" s="46">
        <f>SUM(AE$73,'Statistics NZ'!AF$73-'Statistics NZ'!AE$73,$M$12/5*(AF$8-AF$9)*1000)</f>
        <v>30598.289392282633</v>
      </c>
      <c r="AG73" s="46">
        <f>SUM(AF$73,'Statistics NZ'!AG$73-'Statistics NZ'!AF$73,$M$12/5*(AG$8-AG$9)*1000)</f>
        <v>31535.077589300865</v>
      </c>
      <c r="AH73" s="46">
        <f>SUM(AG$73,'Statistics NZ'!AH$73-'Statistics NZ'!AG$73,$M$12/5*(AH$8-AH$9)*1000)</f>
        <v>31908.471687809979</v>
      </c>
      <c r="AI73" s="46">
        <f>SUM(AH$73,'Statistics NZ'!AI$73-'Statistics NZ'!AH$73,$M$12/5*(AI$8-AI$9)*1000)</f>
        <v>32358.471687809979</v>
      </c>
    </row>
    <row r="74" spans="1:35" x14ac:dyDescent="0.25">
      <c r="A74" s="11">
        <v>59</v>
      </c>
      <c r="B74" s="44">
        <f>'Statistics NZ'!B$74*'Economic Forecasts'!D$9*1000000/SUM('Statistics NZ'!B$30:B$110,'Statistics NZ'!B$130:B$210)</f>
        <v>24127.198208911756</v>
      </c>
      <c r="C74" s="44">
        <f>'Statistics NZ'!C$74*'Economic Forecasts'!E$9*1000000/SUM('Statistics NZ'!C$30:C$110,'Statistics NZ'!C$130:C$210)</f>
        <v>24010.091341191157</v>
      </c>
      <c r="D74" s="44">
        <f>'Statistics NZ'!D$74*'Economic Forecasts'!F$9*1000000/SUM('Statistics NZ'!D$30:D$110,'Statistics NZ'!D$130:D$210)</f>
        <v>23554.891446507972</v>
      </c>
      <c r="E74" s="44">
        <f>'Statistics NZ'!E$74*'Economic Forecasts'!G$9*1000000/SUM('Statistics NZ'!E$30:E$110,'Statistics NZ'!E$130:E$210)</f>
        <v>24154.697422268215</v>
      </c>
      <c r="F74" s="44">
        <f>'Statistics NZ'!F$74*'Economic Forecasts'!H$9*1000000/SUM('Statistics NZ'!F$30:F$110,'Statistics NZ'!F$130:F$210)</f>
        <v>24031.636799893102</v>
      </c>
      <c r="G74" s="44">
        <f>'Statistics NZ'!G$74*'Economic Forecasts'!I$9*1000000/SUM('Statistics NZ'!G$30:G$110,'Statistics NZ'!G$130:G$210)</f>
        <v>24526.713231949234</v>
      </c>
      <c r="H74" s="44">
        <f>'Statistics NZ'!H$74*'Economic Forecasts'!J$9*1000000/SUM('Statistics NZ'!H$30:H$110,'Statistics NZ'!H$130:H$210)</f>
        <v>25034.449440707569</v>
      </c>
      <c r="I74" s="44">
        <f>'Statistics NZ'!I$74*'Economic Forecasts'!K$9*1000000/SUM('Statistics NZ'!I$30:I$110,'Statistics NZ'!I$130:I$210)</f>
        <v>25969.618006911373</v>
      </c>
      <c r="J74" s="44">
        <f>'Statistics NZ'!J$74*'Economic Forecasts'!L$9*1000000/SUM('Statistics NZ'!J$30:J$110,'Statistics NZ'!J$130:J$210)</f>
        <v>26388.593352086424</v>
      </c>
      <c r="K74" s="44">
        <f>'Statistics NZ'!K$74*'Economic Forecasts'!M$9*1000000/SUM('Statistics NZ'!K$30:K$110,'Statistics NZ'!K$130:K$210)</f>
        <v>27183.524404178468</v>
      </c>
      <c r="L74" s="44">
        <f>'Statistics NZ'!L$74*'Economic Forecasts'!N$9*1000000/SUM('Statistics NZ'!L$30:L$110,'Statistics NZ'!L$130:L$210)</f>
        <v>27944.085119184274</v>
      </c>
      <c r="M74" s="44">
        <f>'Statistics NZ'!M$74*'Economic Forecasts'!O$9*1000000/SUM('Statistics NZ'!M$30:M$110,'Statistics NZ'!M$130:M$210)</f>
        <v>28878.860276573298</v>
      </c>
      <c r="N74" s="44">
        <f>'Statistics NZ'!N$74*'Economic Forecasts'!P$9*1000000/SUM('Statistics NZ'!N$30:N$110,'Statistics NZ'!N$130:N$210)</f>
        <v>30118.027687436457</v>
      </c>
      <c r="O74" s="44">
        <f>'Statistics NZ'!O$74*'Economic Forecasts'!Q$9*1000000/SUM('Statistics NZ'!O$30:O$110,'Statistics NZ'!O$130:O$210)</f>
        <v>30714.176418536674</v>
      </c>
      <c r="P74" s="44">
        <f>'Statistics NZ'!P$74*'Economic Forecasts'!R$9*1000000/SUM('Statistics NZ'!P$30:P$110,'Statistics NZ'!P$130:P$210)</f>
        <v>32346.81578551717</v>
      </c>
      <c r="Q74" s="44">
        <f>'Statistics NZ'!Q$74*'Economic Forecasts'!S$9*1000000/SUM('Statistics NZ'!Q$30:Q$110,'Statistics NZ'!Q$130:Q$210)</f>
        <v>33229.801827980606</v>
      </c>
      <c r="R74" s="44">
        <f>'Statistics NZ'!R$74*'Economic Forecasts'!T$9*1000000/SUM('Statistics NZ'!R$30:R$110,'Statistics NZ'!R$130:R$210)</f>
        <v>33484.563384341891</v>
      </c>
      <c r="S74" s="45">
        <f>SUM('Statistics NZ'!S$74,$M$12/5*(S$8-S$9)*1000)*'Economic Forecasts'!U$9*1000000/SUM('Statistics NZ'!S$30:S$110,'Statistics NZ'!S$130:S$210,SUM($E$12:$T$13)*(S$8-S$9)*1000)</f>
        <v>32462.235830640333</v>
      </c>
      <c r="T74" s="45">
        <f>SUM('Statistics NZ'!T$74,$M$12/5*(T$8-T$9)*1000)*'Economic Forecasts'!V$9*1000000/SUM('Statistics NZ'!T$30:T$110,'Statistics NZ'!T$130:T$210,SUM($E$12:$T$13)*(T$8-T$9)*1000)</f>
        <v>32398.880926059508</v>
      </c>
      <c r="U74" s="45">
        <f>SUM('Statistics NZ'!U$74,$M$12/5*(U$8-U$9)*1000)*'Economic Forecasts'!W$9*1000000/SUM('Statistics NZ'!U$30:U$110,'Statistics NZ'!U$130:U$210,SUM($E$12:$T$13)*(U$8-U$9)*1000)</f>
        <v>32099.845409010188</v>
      </c>
      <c r="V74" s="45">
        <f>SUM('Statistics NZ'!V$74,$M$12/5*(V$8-V$9)*1000)*'Economic Forecasts'!X$9*1000000/SUM('Statistics NZ'!V$30:V$110,'Statistics NZ'!V$130:V$210,SUM($E$12:$T$13)*(V$8-V$9)*1000)</f>
        <v>32663.399282967603</v>
      </c>
      <c r="W74" s="45">
        <f>SUM('Statistics NZ'!W$74,$M$12/5*(W$8-W$9)*1000)*'Economic Forecasts'!Y$9*1000000/SUM('Statistics NZ'!W$30:W$110,'Statistics NZ'!W$130:W$210,SUM($E$12:$T$13)*(W$8-W$9)*1000)</f>
        <v>33352.426121965123</v>
      </c>
      <c r="X74" s="45">
        <f>SUM('Statistics NZ'!X$74,$M$12/5*(X$8-X$9)*1000)*'Economic Forecasts'!Z$9*1000000/SUM('Statistics NZ'!X$30:X$110,'Statistics NZ'!X$130:X$210,SUM($E$12:$T$13)*(X$8-X$9)*1000)</f>
        <v>34058.223559118058</v>
      </c>
      <c r="Y74" s="45">
        <f>SUM('Statistics NZ'!Y$74,$M$12/5*(Y$8-Y$9)*1000)*'Economic Forecasts'!AA$9*1000000/SUM('Statistics NZ'!Y$30:Y$110,'Statistics NZ'!Y$130:Y$210,SUM($E$12:$T$13)*(Y$8-Y$9)*1000)</f>
        <v>33920.492339265184</v>
      </c>
      <c r="Z74" s="46">
        <f>SUM(Y$74,'Statistics NZ'!Z$74-'Statistics NZ'!Y$74,$M$12/5*(Z$8-Z$9)*1000)</f>
        <v>35401.03922584722</v>
      </c>
      <c r="AA74" s="46">
        <f>SUM(Z$74,'Statistics NZ'!AA$74-'Statistics NZ'!Z$74,$M$12/5*(AA$8-AA$9)*1000)</f>
        <v>34928.192013920139</v>
      </c>
      <c r="AB74" s="46">
        <f>SUM(AA$74,'Statistics NZ'!AB$74-'Statistics NZ'!AA$74,$M$12/5*(AB$8-AB$9)*1000)</f>
        <v>33681.950703483948</v>
      </c>
      <c r="AC74" s="46">
        <f>SUM(AB$74,'Statistics NZ'!AC$74-'Statistics NZ'!AB$74,$M$12/5*(AC$8-AC$9)*1000)</f>
        <v>32942.315294538639</v>
      </c>
      <c r="AD74" s="46">
        <f>SUM(AC$74,'Statistics NZ'!AD$74-'Statistics NZ'!AC$74,$M$12/5*(AD$8-AD$9)*1000)</f>
        <v>31699.285787084216</v>
      </c>
      <c r="AE74" s="46">
        <f>SUM(AD$74,'Statistics NZ'!AE$74-'Statistics NZ'!AD$74,$M$12/5*(AE$8-AE$9)*1000)</f>
        <v>30352.862181120676</v>
      </c>
      <c r="AF74" s="46">
        <f>SUM(AE$74,'Statistics NZ'!AF$74-'Statistics NZ'!AE$74,$M$12/5*(AF$8-AF$9)*1000)</f>
        <v>30623.044476648021</v>
      </c>
      <c r="AG74" s="46">
        <f>SUM(AF$74,'Statistics NZ'!AG$74-'Statistics NZ'!AF$74,$M$12/5*(AG$8-AG$9)*1000)</f>
        <v>30589.832673666253</v>
      </c>
      <c r="AH74" s="46">
        <f>SUM(AG$74,'Statistics NZ'!AH$74-'Statistics NZ'!AG$74,$M$12/5*(AH$8-AH$9)*1000)</f>
        <v>31523.226772175367</v>
      </c>
      <c r="AI74" s="46">
        <f>SUM(AH$74,'Statistics NZ'!AI$74-'Statistics NZ'!AH$74,$M$12/5*(AI$8-AI$9)*1000)</f>
        <v>31903.226772175367</v>
      </c>
    </row>
    <row r="75" spans="1:35" x14ac:dyDescent="0.25">
      <c r="A75" s="11">
        <v>60</v>
      </c>
      <c r="B75" s="44">
        <f>'Statistics NZ'!B$75*'Economic Forecasts'!D$9*1000000/SUM('Statistics NZ'!B$30:B$110,'Statistics NZ'!B$130:B$210)</f>
        <v>20350.597029414621</v>
      </c>
      <c r="C75" s="44">
        <f>'Statistics NZ'!C$75*'Economic Forecasts'!E$9*1000000/SUM('Statistics NZ'!C$30:C$110,'Statistics NZ'!C$130:C$210)</f>
        <v>24127.932280289024</v>
      </c>
      <c r="D75" s="44">
        <f>'Statistics NZ'!D$75*'Economic Forecasts'!F$9*1000000/SUM('Statistics NZ'!D$30:D$110,'Statistics NZ'!D$130:D$210)</f>
        <v>23977.268565857372</v>
      </c>
      <c r="E75" s="44">
        <f>'Statistics NZ'!E$75*'Economic Forecasts'!G$9*1000000/SUM('Statistics NZ'!E$30:E$110,'Statistics NZ'!E$130:E$210)</f>
        <v>23468.205818712075</v>
      </c>
      <c r="F75" s="44">
        <f>'Statistics NZ'!F$75*'Economic Forecasts'!H$9*1000000/SUM('Statistics NZ'!F$30:F$110,'Statistics NZ'!F$130:F$210)</f>
        <v>24090.489787974475</v>
      </c>
      <c r="G75" s="44">
        <f>'Statistics NZ'!G$75*'Economic Forecasts'!I$9*1000000/SUM('Statistics NZ'!G$30:G$110,'Statistics NZ'!G$130:G$210)</f>
        <v>24055.234563493665</v>
      </c>
      <c r="H75" s="44">
        <f>'Statistics NZ'!H$75*'Economic Forecasts'!J$9*1000000/SUM('Statistics NZ'!H$30:H$110,'Statistics NZ'!H$130:H$210)</f>
        <v>24543.192583550826</v>
      </c>
      <c r="I75" s="44">
        <f>'Statistics NZ'!I$75*'Economic Forecasts'!K$9*1000000/SUM('Statistics NZ'!I$30:I$110,'Statistics NZ'!I$130:I$210)</f>
        <v>24989.262476261636</v>
      </c>
      <c r="J75" s="44">
        <f>'Statistics NZ'!J$75*'Economic Forecasts'!L$9*1000000/SUM('Statistics NZ'!J$30:J$110,'Statistics NZ'!J$130:J$210)</f>
        <v>25813.232299694297</v>
      </c>
      <c r="K75" s="44">
        <f>'Statistics NZ'!K$75*'Economic Forecasts'!M$9*1000000/SUM('Statistics NZ'!K$30:K$110,'Statistics NZ'!K$130:K$210)</f>
        <v>26385.154418095863</v>
      </c>
      <c r="L75" s="44">
        <f>'Statistics NZ'!L$75*'Economic Forecasts'!N$9*1000000/SUM('Statistics NZ'!L$30:L$110,'Statistics NZ'!L$130:L$210)</f>
        <v>27194.365762328111</v>
      </c>
      <c r="M75" s="44">
        <f>'Statistics NZ'!M$75*'Economic Forecasts'!O$9*1000000/SUM('Statistics NZ'!M$30:M$110,'Statistics NZ'!M$130:M$210)</f>
        <v>28009.3682046467</v>
      </c>
      <c r="N75" s="44">
        <f>'Statistics NZ'!N$75*'Economic Forecasts'!P$9*1000000/SUM('Statistics NZ'!N$30:N$110,'Statistics NZ'!N$130:N$210)</f>
        <v>28924.265706322993</v>
      </c>
      <c r="O75" s="44">
        <f>'Statistics NZ'!O$75*'Economic Forecasts'!Q$9*1000000/SUM('Statistics NZ'!O$30:O$110,'Statistics NZ'!O$130:O$210)</f>
        <v>30184.452519909722</v>
      </c>
      <c r="P75" s="44">
        <f>'Statistics NZ'!P$75*'Economic Forecasts'!R$9*1000000/SUM('Statistics NZ'!P$30:P$110,'Statistics NZ'!P$130:P$210)</f>
        <v>30948.087434344216</v>
      </c>
      <c r="Q75" s="44">
        <f>'Statistics NZ'!Q$75*'Economic Forecasts'!S$9*1000000/SUM('Statistics NZ'!Q$30:Q$110,'Statistics NZ'!Q$130:Q$210)</f>
        <v>32400.783902958217</v>
      </c>
      <c r="R75" s="44">
        <f>'Statistics NZ'!R$75*'Economic Forecasts'!T$9*1000000/SUM('Statistics NZ'!R$30:R$110,'Statistics NZ'!R$130:R$210)</f>
        <v>32991.998462536336</v>
      </c>
      <c r="S75" s="45">
        <f>SUM('Statistics NZ'!S$75,$N$12/5*(S$8-S$9)*1000)*'Economic Forecasts'!U$9*1000000/SUM('Statistics NZ'!S$30:S$110,'Statistics NZ'!S$130:S$210,SUM($E$12:$T$13)*(S$8-S$9)*1000)</f>
        <v>33252.063224677004</v>
      </c>
      <c r="T75" s="45">
        <f>SUM('Statistics NZ'!T$75,$N$12/5*(T$8-T$9)*1000)*'Economic Forecasts'!V$9*1000000/SUM('Statistics NZ'!T$30:T$110,'Statistics NZ'!T$130:T$210,SUM($E$12:$T$13)*(T$8-T$9)*1000)</f>
        <v>33290.573148914336</v>
      </c>
      <c r="U75" s="45">
        <f>SUM('Statistics NZ'!U$75,$N$12/5*(U$8-U$9)*1000)*'Economic Forecasts'!W$9*1000000/SUM('Statistics NZ'!U$30:U$110,'Statistics NZ'!U$130:U$210,SUM($E$12:$T$13)*(U$8-U$9)*1000)</f>
        <v>32631.805984308772</v>
      </c>
      <c r="V75" s="45">
        <f>SUM('Statistics NZ'!V$75,$N$12/5*(V$8-V$9)*1000)*'Economic Forecasts'!X$9*1000000/SUM('Statistics NZ'!V$30:V$110,'Statistics NZ'!V$130:V$210,SUM($E$12:$T$13)*(V$8-V$9)*1000)</f>
        <v>32130.588567143728</v>
      </c>
      <c r="W75" s="45">
        <f>SUM('Statistics NZ'!W$75,$N$12/5*(W$8-W$9)*1000)*'Economic Forecasts'!Y$9*1000000/SUM('Statistics NZ'!W$30:W$110,'Statistics NZ'!W$130:W$210,SUM($E$12:$T$13)*(W$8-W$9)*1000)</f>
        <v>32708.739022404578</v>
      </c>
      <c r="X75" s="45">
        <f>SUM('Statistics NZ'!X$75,$N$12/5*(X$8-X$9)*1000)*'Economic Forecasts'!Z$9*1000000/SUM('Statistics NZ'!X$30:X$110,'Statistics NZ'!X$130:X$210,SUM($E$12:$T$13)*(X$8-X$9)*1000)</f>
        <v>33413.673878302216</v>
      </c>
      <c r="Y75" s="45">
        <f>SUM('Statistics NZ'!Y$75,$N$12/5*(Y$8-Y$9)*1000)*'Economic Forecasts'!AA$9*1000000/SUM('Statistics NZ'!Y$30:Y$110,'Statistics NZ'!Y$130:Y$210,SUM($E$12:$T$13)*(Y$8-Y$9)*1000)</f>
        <v>34139.116581646434</v>
      </c>
      <c r="Z75" s="46">
        <f>SUM(Y$75,'Statistics NZ'!Z$75-'Statistics NZ'!Y$75,$N$12/5*(Z$8-Z$9)*1000)</f>
        <v>33963.080898219283</v>
      </c>
      <c r="AA75" s="46">
        <f>SUM(Z$75,'Statistics NZ'!AA$75-'Statistics NZ'!Z$75,$N$12/5*(AA$8-AA$9)*1000)</f>
        <v>35452.160290728483</v>
      </c>
      <c r="AB75" s="46">
        <f>SUM(AA$75,'Statistics NZ'!AB$75-'Statistics NZ'!AA$75,$N$12/5*(AB$8-AB$9)*1000)</f>
        <v>34996.354759174028</v>
      </c>
      <c r="AC75" s="46">
        <f>SUM(AB$75,'Statistics NZ'!AC$75-'Statistics NZ'!AB$75,$N$12/5*(AC$8-AC$9)*1000)</f>
        <v>33755.664303555925</v>
      </c>
      <c r="AD75" s="46">
        <f>SUM(AC$75,'Statistics NZ'!AD$75-'Statistics NZ'!AC$75,$N$12/5*(AD$8-AD$9)*1000)</f>
        <v>33020.088923874173</v>
      </c>
      <c r="AE75" s="46">
        <f>SUM(AD$75,'Statistics NZ'!AE$75-'Statistics NZ'!AD$75,$N$12/5*(AE$8-AE$9)*1000)</f>
        <v>31789.628620128773</v>
      </c>
      <c r="AF75" s="46">
        <f>SUM(AE$75,'Statistics NZ'!AF$75-'Statistics NZ'!AE$75,$N$12/5*(AF$8-AF$9)*1000)</f>
        <v>30444.283392319721</v>
      </c>
      <c r="AG75" s="46">
        <f>SUM(AF$75,'Statistics NZ'!AG$75-'Statistics NZ'!AF$75,$N$12/5*(AG$8-AG$9)*1000)</f>
        <v>30724.053240447021</v>
      </c>
      <c r="AH75" s="46">
        <f>SUM(AG$75,'Statistics NZ'!AH$75-'Statistics NZ'!AG$75,$N$12/5*(AH$8-AH$9)*1000)</f>
        <v>30698.93816451067</v>
      </c>
      <c r="AI75" s="46">
        <f>SUM(AH$75,'Statistics NZ'!AI$75-'Statistics NZ'!AH$75,$N$12/5*(AI$8-AI$9)*1000)</f>
        <v>31618.93816451067</v>
      </c>
    </row>
    <row r="76" spans="1:35" x14ac:dyDescent="0.25">
      <c r="A76" s="11">
        <v>61</v>
      </c>
      <c r="B76" s="44">
        <f>'Statistics NZ'!B$76*'Economic Forecasts'!D$9*1000000/SUM('Statistics NZ'!B$30:B$110,'Statistics NZ'!B$130:B$210)</f>
        <v>19274.363532666728</v>
      </c>
      <c r="C76" s="44">
        <f>'Statistics NZ'!C$76*'Economic Forecasts'!E$9*1000000/SUM('Statistics NZ'!C$30:C$110,'Statistics NZ'!C$130:C$210)</f>
        <v>20376.662385673477</v>
      </c>
      <c r="D76" s="44">
        <f>'Statistics NZ'!D$76*'Economic Forecasts'!F$9*1000000/SUM('Statistics NZ'!D$30:D$110,'Statistics NZ'!D$130:D$210)</f>
        <v>24036.204908092164</v>
      </c>
      <c r="E76" s="44">
        <f>'Statistics NZ'!E$76*'Economic Forecasts'!G$9*1000000/SUM('Statistics NZ'!E$30:E$110,'Statistics NZ'!E$130:E$210)</f>
        <v>23870.293757937816</v>
      </c>
      <c r="F76" s="44">
        <f>'Statistics NZ'!F$76*'Economic Forecasts'!H$9*1000000/SUM('Statistics NZ'!F$30:F$110,'Statistics NZ'!F$130:F$210)</f>
        <v>23433.298087732499</v>
      </c>
      <c r="G76" s="44">
        <f>'Statistics NZ'!G$76*'Economic Forecasts'!I$9*1000000/SUM('Statistics NZ'!G$30:G$110,'Statistics NZ'!G$130:G$210)</f>
        <v>24104.34692479112</v>
      </c>
      <c r="H76" s="44">
        <f>'Statistics NZ'!H$76*'Economic Forecasts'!J$9*1000000/SUM('Statistics NZ'!H$30:H$110,'Statistics NZ'!H$130:H$210)</f>
        <v>24012.635177821547</v>
      </c>
      <c r="I76" s="44">
        <f>'Statistics NZ'!I$76*'Economic Forecasts'!K$9*1000000/SUM('Statistics NZ'!I$30:I$110,'Statistics NZ'!I$130:I$210)</f>
        <v>24479.477600323775</v>
      </c>
      <c r="J76" s="44">
        <f>'Statistics NZ'!J$76*'Economic Forecasts'!L$9*1000000/SUM('Statistics NZ'!J$30:J$110,'Statistics NZ'!J$130:J$210)</f>
        <v>24838.044075300855</v>
      </c>
      <c r="K76" s="44">
        <f>'Statistics NZ'!K$76*'Economic Forecasts'!M$9*1000000/SUM('Statistics NZ'!K$30:K$110,'Statistics NZ'!K$130:K$210)</f>
        <v>25732.827722150319</v>
      </c>
      <c r="L76" s="44">
        <f>'Statistics NZ'!L$76*'Economic Forecasts'!N$9*1000000/SUM('Statistics NZ'!L$30:L$110,'Statistics NZ'!L$130:L$210)</f>
        <v>26503.066095616581</v>
      </c>
      <c r="M76" s="44">
        <f>'Statistics NZ'!M$76*'Economic Forecasts'!O$9*1000000/SUM('Statistics NZ'!M$30:M$110,'Statistics NZ'!M$130:M$210)</f>
        <v>27227.802297296948</v>
      </c>
      <c r="N76" s="44">
        <f>'Statistics NZ'!N$76*'Economic Forecasts'!P$9*1000000/SUM('Statistics NZ'!N$30:N$110,'Statistics NZ'!N$130:N$210)</f>
        <v>27994.696950537917</v>
      </c>
      <c r="O76" s="44">
        <f>'Statistics NZ'!O$76*'Economic Forecasts'!Q$9*1000000/SUM('Statistics NZ'!O$30:O$110,'Statistics NZ'!O$130:O$210)</f>
        <v>29036.717406217998</v>
      </c>
      <c r="P76" s="44">
        <f>'Statistics NZ'!P$76*'Economic Forecasts'!R$9*1000000/SUM('Statistics NZ'!P$30:P$110,'Statistics NZ'!P$130:P$210)</f>
        <v>30390.552357303248</v>
      </c>
      <c r="Q76" s="44">
        <f>'Statistics NZ'!Q$76*'Economic Forecasts'!S$9*1000000/SUM('Statistics NZ'!Q$30:Q$110,'Statistics NZ'!Q$130:Q$210)</f>
        <v>30910.525490120359</v>
      </c>
      <c r="R76" s="44">
        <f>'Statistics NZ'!R$76*'Economic Forecasts'!T$9*1000000/SUM('Statistics NZ'!R$30:R$110,'Statistics NZ'!R$130:R$210)</f>
        <v>32125.084200158555</v>
      </c>
      <c r="S76" s="45">
        <f>SUM('Statistics NZ'!S$76,$N$12/5*(S$8-S$9)*1000)*'Economic Forecasts'!U$9*1000000/SUM('Statistics NZ'!S$30:S$110,'Statistics NZ'!S$130:S$210,SUM($E$12:$T$13)*(S$8-S$9)*1000)</f>
        <v>32766.969574753337</v>
      </c>
      <c r="T76" s="45">
        <f>SUM('Statistics NZ'!T$76,$N$12/5*(T$8-T$9)*1000)*'Economic Forecasts'!V$9*1000000/SUM('Statistics NZ'!T$30:T$110,'Statistics NZ'!T$130:T$210,SUM($E$12:$T$13)*(T$8-T$9)*1000)</f>
        <v>33979.629916057907</v>
      </c>
      <c r="U76" s="45">
        <f>SUM('Statistics NZ'!U$76,$N$12/5*(U$8-U$9)*1000)*'Economic Forecasts'!W$9*1000000/SUM('Statistics NZ'!U$30:U$110,'Statistics NZ'!U$130:U$210,SUM($E$12:$T$13)*(U$8-U$9)*1000)</f>
        <v>33459.84406031455</v>
      </c>
      <c r="V76" s="45">
        <f>SUM('Statistics NZ'!V$76,$N$12/5*(V$8-V$9)*1000)*'Economic Forecasts'!X$9*1000000/SUM('Statistics NZ'!V$30:V$110,'Statistics NZ'!V$130:V$210,SUM($E$12:$T$13)*(V$8-V$9)*1000)</f>
        <v>32636.216008335356</v>
      </c>
      <c r="W76" s="45">
        <f>SUM('Statistics NZ'!W$76,$N$12/5*(W$8-W$9)*1000)*'Economic Forecasts'!Y$9*1000000/SUM('Statistics NZ'!W$30:W$110,'Statistics NZ'!W$130:W$210,SUM($E$12:$T$13)*(W$8-W$9)*1000)</f>
        <v>32161.858561421577</v>
      </c>
      <c r="X76" s="45">
        <f>SUM('Statistics NZ'!X$76,$N$12/5*(X$8-X$9)*1000)*'Economic Forecasts'!Z$9*1000000/SUM('Statistics NZ'!X$30:X$110,'Statistics NZ'!X$130:X$210,SUM($E$12:$T$13)*(X$8-X$9)*1000)</f>
        <v>32754.09714481252</v>
      </c>
      <c r="Y76" s="45">
        <f>SUM('Statistics NZ'!Y$76,$N$12/5*(Y$8-Y$9)*1000)*'Economic Forecasts'!AA$9*1000000/SUM('Statistics NZ'!Y$30:Y$110,'Statistics NZ'!Y$130:Y$210,SUM($E$12:$T$13)*(Y$8-Y$9)*1000)</f>
        <v>33477.877406877597</v>
      </c>
      <c r="Z76" s="46">
        <f>SUM(Y$76,'Statistics NZ'!Z$76-'Statistics NZ'!Y$76,$N$12/5*(Z$8-Z$9)*1000)</f>
        <v>34151.841723450445</v>
      </c>
      <c r="AA76" s="46">
        <f>SUM(Z$76,'Statistics NZ'!AA$76-'Statistics NZ'!Z$76,$N$12/5*(AA$8-AA$9)*1000)</f>
        <v>33980.921115959645</v>
      </c>
      <c r="AB76" s="46">
        <f>SUM(AA$76,'Statistics NZ'!AB$76-'Statistics NZ'!AA$76,$N$12/5*(AB$8-AB$9)*1000)</f>
        <v>35455.11558440519</v>
      </c>
      <c r="AC76" s="46">
        <f>SUM(AB$76,'Statistics NZ'!AC$76-'Statistics NZ'!AB$76,$N$12/5*(AC$8-AC$9)*1000)</f>
        <v>35004.425128787087</v>
      </c>
      <c r="AD76" s="46">
        <f>SUM(AC$76,'Statistics NZ'!AD$76-'Statistics NZ'!AC$76,$N$12/5*(AD$8-AD$9)*1000)</f>
        <v>33758.849749105335</v>
      </c>
      <c r="AE76" s="46">
        <f>SUM(AD$76,'Statistics NZ'!AE$76-'Statistics NZ'!AD$76,$N$12/5*(AE$8-AE$9)*1000)</f>
        <v>33028.389445359935</v>
      </c>
      <c r="AF76" s="46">
        <f>SUM(AE$76,'Statistics NZ'!AF$76-'Statistics NZ'!AE$76,$N$12/5*(AF$8-AF$9)*1000)</f>
        <v>31803.044217550883</v>
      </c>
      <c r="AG76" s="46">
        <f>SUM(AF$76,'Statistics NZ'!AG$76-'Statistics NZ'!AF$76,$N$12/5*(AG$8-AG$9)*1000)</f>
        <v>30462.814065678183</v>
      </c>
      <c r="AH76" s="46">
        <f>SUM(AG$76,'Statistics NZ'!AH$76-'Statistics NZ'!AG$76,$N$12/5*(AH$8-AH$9)*1000)</f>
        <v>30737.698989741832</v>
      </c>
      <c r="AI76" s="46">
        <f>SUM(AH$76,'Statistics NZ'!AI$76-'Statistics NZ'!AH$76,$N$12/5*(AI$8-AI$9)*1000)</f>
        <v>30697.698989741832</v>
      </c>
    </row>
    <row r="77" spans="1:35" x14ac:dyDescent="0.25">
      <c r="A77" s="11">
        <v>62</v>
      </c>
      <c r="B77" s="44">
        <f>'Statistics NZ'!B$77*'Economic Forecasts'!D$9*1000000/SUM('Statistics NZ'!B$30:B$110,'Statistics NZ'!B$130:B$210)</f>
        <v>18276.401562955052</v>
      </c>
      <c r="C77" s="44">
        <f>'Statistics NZ'!C$77*'Economic Forecasts'!E$9*1000000/SUM('Statistics NZ'!C$30:C$110,'Statistics NZ'!C$130:C$210)</f>
        <v>19257.1734642437</v>
      </c>
      <c r="D77" s="44">
        <f>'Statistics NZ'!D$77*'Economic Forecasts'!F$9*1000000/SUM('Statistics NZ'!D$30:D$110,'Statistics NZ'!D$130:D$210)</f>
        <v>20313.392623594034</v>
      </c>
      <c r="E77" s="44">
        <f>'Statistics NZ'!E$77*'Economic Forecasts'!G$9*1000000/SUM('Statistics NZ'!E$30:E$110,'Statistics NZ'!E$130:E$210)</f>
        <v>23899.714826661653</v>
      </c>
      <c r="F77" s="44">
        <f>'Statistics NZ'!F$77*'Economic Forecasts'!H$9*1000000/SUM('Statistics NZ'!F$30:F$110,'Statistics NZ'!F$130:F$210)</f>
        <v>23815.842510261409</v>
      </c>
      <c r="G77" s="44">
        <f>'Statistics NZ'!G$77*'Economic Forecasts'!I$9*1000000/SUM('Statistics NZ'!G$30:G$110,'Statistics NZ'!G$130:G$210)</f>
        <v>23416.773866626743</v>
      </c>
      <c r="H77" s="44">
        <f>'Statistics NZ'!H$77*'Economic Forecasts'!J$9*1000000/SUM('Statistics NZ'!H$30:H$110,'Statistics NZ'!H$130:H$210)</f>
        <v>24081.411137823492</v>
      </c>
      <c r="I77" s="44">
        <f>'Statistics NZ'!I$77*'Economic Forecasts'!K$9*1000000/SUM('Statistics NZ'!I$30:I$110,'Statistics NZ'!I$130:I$210)</f>
        <v>23901.067837240436</v>
      </c>
      <c r="J77" s="44">
        <f>'Statistics NZ'!J$77*'Economic Forecasts'!L$9*1000000/SUM('Statistics NZ'!J$30:J$110,'Statistics NZ'!J$130:J$210)</f>
        <v>24301.690551884469</v>
      </c>
      <c r="K77" s="44">
        <f>'Statistics NZ'!K$77*'Economic Forecasts'!M$9*1000000/SUM('Statistics NZ'!K$30:K$110,'Statistics NZ'!K$130:K$210)</f>
        <v>24759.20578790324</v>
      </c>
      <c r="L77" s="44">
        <f>'Statistics NZ'!L$77*'Economic Forecasts'!N$9*1000000/SUM('Statistics NZ'!L$30:L$110,'Statistics NZ'!L$130:L$210)</f>
        <v>25704.663663639887</v>
      </c>
      <c r="M77" s="44">
        <f>'Statistics NZ'!M$77*'Economic Forecasts'!O$9*1000000/SUM('Statistics NZ'!M$30:M$110,'Statistics NZ'!M$130:M$210)</f>
        <v>26553.701702207785</v>
      </c>
      <c r="N77" s="44">
        <f>'Statistics NZ'!N$77*'Economic Forecasts'!P$9*1000000/SUM('Statistics NZ'!N$30:N$110,'Statistics NZ'!N$130:N$210)</f>
        <v>27221.687143095591</v>
      </c>
      <c r="O77" s="44">
        <f>'Statistics NZ'!O$77*'Economic Forecasts'!Q$9*1000000/SUM('Statistics NZ'!O$30:O$110,'Statistics NZ'!O$130:O$210)</f>
        <v>28094.986030881199</v>
      </c>
      <c r="P77" s="44">
        <f>'Statistics NZ'!P$77*'Economic Forecasts'!R$9*1000000/SUM('Statistics NZ'!P$30:P$110,'Statistics NZ'!P$130:P$210)</f>
        <v>29275.482203221316</v>
      </c>
      <c r="Q77" s="44">
        <f>'Statistics NZ'!Q$77*'Economic Forecasts'!S$9*1000000/SUM('Statistics NZ'!Q$30:Q$110,'Statistics NZ'!Q$130:Q$210)</f>
        <v>30446.670222548313</v>
      </c>
      <c r="R77" s="44">
        <f>'Statistics NZ'!R$77*'Economic Forecasts'!T$9*1000000/SUM('Statistics NZ'!R$30:R$110,'Statistics NZ'!R$130:R$210)</f>
        <v>30607.984240997434</v>
      </c>
      <c r="S77" s="45">
        <f>SUM('Statistics NZ'!S$77,$N$12/5*(S$8-S$9)*1000)*'Economic Forecasts'!U$9*1000000/SUM('Statistics NZ'!S$30:S$110,'Statistics NZ'!S$130:S$210,SUM($E$12:$T$13)*(S$8-S$9)*1000)</f>
        <v>31903.502877889219</v>
      </c>
      <c r="T77" s="45">
        <f>SUM('Statistics NZ'!T$77,$N$12/5*(T$8-T$9)*1000)*'Economic Forecasts'!V$9*1000000/SUM('Statistics NZ'!T$30:T$110,'Statistics NZ'!T$130:T$210,SUM($E$12:$T$13)*(T$8-T$9)*1000)</f>
        <v>33480.313418127786</v>
      </c>
      <c r="U77" s="45">
        <f>SUM('Statistics NZ'!U$77,$N$12/5*(U$8-U$9)*1000)*'Economic Forecasts'!W$9*1000000/SUM('Statistics NZ'!U$30:U$110,'Statistics NZ'!U$130:U$210,SUM($E$12:$T$13)*(U$8-U$9)*1000)</f>
        <v>34146.509781880311</v>
      </c>
      <c r="V77" s="45">
        <f>SUM('Statistics NZ'!V$77,$N$12/5*(V$8-V$9)*1000)*'Economic Forecasts'!X$9*1000000/SUM('Statistics NZ'!V$30:V$110,'Statistics NZ'!V$130:V$210,SUM($E$12:$T$13)*(V$8-V$9)*1000)</f>
        <v>33455.332463065781</v>
      </c>
      <c r="W77" s="45">
        <f>SUM('Statistics NZ'!W$77,$N$12/5*(W$8-W$9)*1000)*'Economic Forecasts'!Y$9*1000000/SUM('Statistics NZ'!W$30:W$110,'Statistics NZ'!W$130:W$210,SUM($E$12:$T$13)*(W$8-W$9)*1000)</f>
        <v>32658.10194268393</v>
      </c>
      <c r="X77" s="45">
        <f>SUM('Statistics NZ'!X$77,$N$12/5*(X$8-X$9)*1000)*'Economic Forecasts'!Z$9*1000000/SUM('Statistics NZ'!X$30:X$110,'Statistics NZ'!X$130:X$210,SUM($E$12:$T$13)*(X$8-X$9)*1000)</f>
        <v>32195.993754936626</v>
      </c>
      <c r="Y77" s="45">
        <f>SUM('Statistics NZ'!Y$77,$N$12/5*(Y$8-Y$9)*1000)*'Economic Forecasts'!AA$9*1000000/SUM('Statistics NZ'!Y$30:Y$110,'Statistics NZ'!Y$130:Y$210,SUM($E$12:$T$13)*(Y$8-Y$9)*1000)</f>
        <v>32816.638232108766</v>
      </c>
      <c r="Z77" s="46">
        <f>SUM(Y$77,'Statistics NZ'!Z$77-'Statistics NZ'!Y$77,$N$12/5*(Z$8-Z$9)*1000)</f>
        <v>33490.602548681614</v>
      </c>
      <c r="AA77" s="46">
        <f>SUM(Z$77,'Statistics NZ'!AA$77-'Statistics NZ'!Z$77,$N$12/5*(AA$8-AA$9)*1000)</f>
        <v>34159.681941190815</v>
      </c>
      <c r="AB77" s="46">
        <f>SUM(AA$77,'Statistics NZ'!AB$77-'Statistics NZ'!AA$77,$N$12/5*(AB$8-AB$9)*1000)</f>
        <v>33983.876409636359</v>
      </c>
      <c r="AC77" s="46">
        <f>SUM(AB$77,'Statistics NZ'!AC$77-'Statistics NZ'!AB$77,$N$12/5*(AC$8-AC$9)*1000)</f>
        <v>35453.185954018256</v>
      </c>
      <c r="AD77" s="46">
        <f>SUM(AC$77,'Statistics NZ'!AD$77-'Statistics NZ'!AC$77,$N$12/5*(AD$8-AD$9)*1000)</f>
        <v>34997.610574336504</v>
      </c>
      <c r="AE77" s="46">
        <f>SUM(AD$77,'Statistics NZ'!AE$77-'Statistics NZ'!AD$77,$N$12/5*(AE$8-AE$9)*1000)</f>
        <v>33757.150270591104</v>
      </c>
      <c r="AF77" s="46">
        <f>SUM(AE$77,'Statistics NZ'!AF$77-'Statistics NZ'!AE$77,$N$12/5*(AF$8-AF$9)*1000)</f>
        <v>33031.805042782056</v>
      </c>
      <c r="AG77" s="46">
        <f>SUM(AF$77,'Statistics NZ'!AG$77-'Statistics NZ'!AF$77,$N$12/5*(AG$8-AG$9)*1000)</f>
        <v>31801.574890909356</v>
      </c>
      <c r="AH77" s="46">
        <f>SUM(AG$77,'Statistics NZ'!AH$77-'Statistics NZ'!AG$77,$N$12/5*(AH$8-AH$9)*1000)</f>
        <v>30456.459814973005</v>
      </c>
      <c r="AI77" s="46">
        <f>SUM(AH$77,'Statistics NZ'!AI$77-'Statistics NZ'!AH$77,$N$12/5*(AI$8-AI$9)*1000)</f>
        <v>30736.459814973005</v>
      </c>
    </row>
    <row r="78" spans="1:35" x14ac:dyDescent="0.25">
      <c r="A78" s="11">
        <v>63</v>
      </c>
      <c r="B78" s="44">
        <f>'Statistics NZ'!B$78*'Economic Forecasts'!D$9*1000000/SUM('Statistics NZ'!B$30:B$110,'Statistics NZ'!B$130:B$210)</f>
        <v>16476.156441122221</v>
      </c>
      <c r="C78" s="44">
        <f>'Statistics NZ'!C$78*'Economic Forecasts'!E$9*1000000/SUM('Statistics NZ'!C$30:C$110,'Statistics NZ'!C$130:C$210)</f>
        <v>18265.345560169957</v>
      </c>
      <c r="D78" s="44">
        <f>'Statistics NZ'!D$78*'Economic Forecasts'!F$9*1000000/SUM('Statistics NZ'!D$30:D$110,'Statistics NZ'!D$130:D$210)</f>
        <v>19193.602121132855</v>
      </c>
      <c r="E78" s="44">
        <f>'Statistics NZ'!E$78*'Economic Forecasts'!G$9*1000000/SUM('Statistics NZ'!E$30:E$110,'Statistics NZ'!E$130:E$210)</f>
        <v>20182.853144550547</v>
      </c>
      <c r="F78" s="44">
        <f>'Statistics NZ'!F$78*'Economic Forecasts'!H$9*1000000/SUM('Statistics NZ'!F$30:F$110,'Statistics NZ'!F$130:F$210)</f>
        <v>23806.033678914511</v>
      </c>
      <c r="G78" s="44">
        <f>'Statistics NZ'!G$78*'Economic Forecasts'!I$9*1000000/SUM('Statistics NZ'!G$30:G$110,'Statistics NZ'!G$130:G$210)</f>
        <v>23770.382867968423</v>
      </c>
      <c r="H78" s="44">
        <f>'Statistics NZ'!H$78*'Economic Forecasts'!J$9*1000000/SUM('Statistics NZ'!H$30:H$110,'Statistics NZ'!H$130:H$210)</f>
        <v>23403.476674947186</v>
      </c>
      <c r="I78" s="44">
        <f>'Statistics NZ'!I$78*'Economic Forecasts'!K$9*1000000/SUM('Statistics NZ'!I$30:I$110,'Statistics NZ'!I$130:I$210)</f>
        <v>23989.29983499891</v>
      </c>
      <c r="J78" s="44">
        <f>'Statistics NZ'!J$78*'Economic Forecasts'!L$9*1000000/SUM('Statistics NZ'!J$30:J$110,'Statistics NZ'!J$130:J$210)</f>
        <v>23667.818206028729</v>
      </c>
      <c r="K78" s="44">
        <f>'Statistics NZ'!K$78*'Economic Forecasts'!M$9*1000000/SUM('Statistics NZ'!K$30:K$110,'Statistics NZ'!K$130:K$210)</f>
        <v>24262.65860143723</v>
      </c>
      <c r="L78" s="44">
        <f>'Statistics NZ'!L$78*'Economic Forecasts'!N$9*1000000/SUM('Statistics NZ'!L$30:L$110,'Statistics NZ'!L$130:L$210)</f>
        <v>24750.475391277501</v>
      </c>
      <c r="M78" s="44">
        <f>'Statistics NZ'!M$78*'Economic Forecasts'!O$9*1000000/SUM('Statistics NZ'!M$30:M$110,'Statistics NZ'!M$130:M$210)</f>
        <v>25762.366221016167</v>
      </c>
      <c r="N78" s="44">
        <f>'Statistics NZ'!N$78*'Economic Forecasts'!P$9*1000000/SUM('Statistics NZ'!N$30:N$110,'Statistics NZ'!N$130:N$210)</f>
        <v>26536.74174409606</v>
      </c>
      <c r="O78" s="44">
        <f>'Statistics NZ'!O$78*'Economic Forecasts'!Q$9*1000000/SUM('Statistics NZ'!O$30:O$110,'Statistics NZ'!O$130:O$210)</f>
        <v>27329.829288420049</v>
      </c>
      <c r="P78" s="44">
        <f>'Statistics NZ'!P$78*'Economic Forecasts'!R$9*1000000/SUM('Statistics NZ'!P$30:P$110,'Statistics NZ'!P$130:P$210)</f>
        <v>28316.913123396494</v>
      </c>
      <c r="Q78" s="44">
        <f>'Statistics NZ'!Q$78*'Economic Forecasts'!S$9*1000000/SUM('Statistics NZ'!Q$30:Q$110,'Statistics NZ'!Q$130:Q$210)</f>
        <v>29252.489640075586</v>
      </c>
      <c r="R78" s="44">
        <f>'Statistics NZ'!R$78*'Economic Forecasts'!T$9*1000000/SUM('Statistics NZ'!R$30:R$110,'Statistics NZ'!R$130:R$210)</f>
        <v>30154.82451293632</v>
      </c>
      <c r="S78" s="45">
        <f>SUM('Statistics NZ'!S$78,$N$12/5*(S$8-S$9)*1000)*'Economic Forecasts'!U$9*1000000/SUM('Statistics NZ'!S$30:S$110,'Statistics NZ'!S$130:S$210,SUM($E$12:$T$13)*(S$8-S$9)*1000)</f>
        <v>30409.414436124327</v>
      </c>
      <c r="T78" s="45">
        <f>SUM('Statistics NZ'!T$78,$N$12/5*(T$8-T$9)*1000)*'Economic Forecasts'!V$9*1000000/SUM('Statistics NZ'!T$30:T$110,'Statistics NZ'!T$130:T$210,SUM($E$12:$T$13)*(T$8-T$9)*1000)</f>
        <v>32581.543721853555</v>
      </c>
      <c r="U78" s="45">
        <f>SUM('Statistics NZ'!U$78,$N$12/5*(U$8-U$9)*1000)*'Economic Forecasts'!W$9*1000000/SUM('Statistics NZ'!U$30:U$110,'Statistics NZ'!U$130:U$210,SUM($E$12:$T$13)*(U$8-U$9)*1000)</f>
        <v>33621.412465388843</v>
      </c>
      <c r="V78" s="45">
        <f>SUM('Statistics NZ'!V$78,$N$12/5*(V$8-V$9)*1000)*'Economic Forecasts'!X$9*1000000/SUM('Statistics NZ'!V$30:V$110,'Statistics NZ'!V$130:V$210,SUM($E$12:$T$13)*(V$8-V$9)*1000)</f>
        <v>34122.760685438734</v>
      </c>
      <c r="W78" s="45">
        <f>SUM('Statistics NZ'!W$78,$N$12/5*(W$8-W$9)*1000)*'Economic Forecasts'!Y$9*1000000/SUM('Statistics NZ'!W$30:W$110,'Statistics NZ'!W$130:W$210,SUM($E$12:$T$13)*(W$8-W$9)*1000)</f>
        <v>33458.167802270167</v>
      </c>
      <c r="X78" s="45">
        <f>SUM('Statistics NZ'!X$78,$N$12/5*(X$8-X$9)*1000)*'Economic Forecasts'!Z$9*1000000/SUM('Statistics NZ'!X$30:X$110,'Statistics NZ'!X$130:X$210,SUM($E$12:$T$13)*(X$8-X$9)*1000)</f>
        <v>32683.065804282862</v>
      </c>
      <c r="Y78" s="45">
        <f>SUM('Statistics NZ'!Y$78,$N$12/5*(Y$8-Y$9)*1000)*'Economic Forecasts'!AA$9*1000000/SUM('Statistics NZ'!Y$30:Y$110,'Statistics NZ'!Y$130:Y$210,SUM($E$12:$T$13)*(Y$8-Y$9)*1000)</f>
        <v>32236.782340388403</v>
      </c>
      <c r="Z78" s="46">
        <f>SUM(Y$78,'Statistics NZ'!Z$78-'Statistics NZ'!Y$78,$N$12/5*(Z$8-Z$9)*1000)</f>
        <v>32810.746656961252</v>
      </c>
      <c r="AA78" s="46">
        <f>SUM(Z$78,'Statistics NZ'!AA$78-'Statistics NZ'!Z$78,$N$12/5*(AA$8-AA$9)*1000)</f>
        <v>33479.826049470452</v>
      </c>
      <c r="AB78" s="46">
        <f>SUM(AA$78,'Statistics NZ'!AB$78-'Statistics NZ'!AA$78,$N$12/5*(AB$8-AB$9)*1000)</f>
        <v>34144.020517915997</v>
      </c>
      <c r="AC78" s="46">
        <f>SUM(AB$78,'Statistics NZ'!AC$78-'Statistics NZ'!AB$78,$N$12/5*(AC$8-AC$9)*1000)</f>
        <v>33963.330062297893</v>
      </c>
      <c r="AD78" s="46">
        <f>SUM(AC$78,'Statistics NZ'!AD$78-'Statistics NZ'!AC$78,$N$12/5*(AD$8-AD$9)*1000)</f>
        <v>35427.754682616142</v>
      </c>
      <c r="AE78" s="46">
        <f>SUM(AD$78,'Statistics NZ'!AE$78-'Statistics NZ'!AD$78,$N$12/5*(AE$8-AE$9)*1000)</f>
        <v>34967.294378870742</v>
      </c>
      <c r="AF78" s="46">
        <f>SUM(AE$78,'Statistics NZ'!AF$78-'Statistics NZ'!AE$78,$N$12/5*(AF$8-AF$9)*1000)</f>
        <v>33741.949151061694</v>
      </c>
      <c r="AG78" s="46">
        <f>SUM(AF$78,'Statistics NZ'!AG$78-'Statistics NZ'!AF$78,$N$12/5*(AG$8-AG$9)*1000)</f>
        <v>33011.71899918899</v>
      </c>
      <c r="AH78" s="46">
        <f>SUM(AG$78,'Statistics NZ'!AH$78-'Statistics NZ'!AG$78,$N$12/5*(AH$8-AH$9)*1000)</f>
        <v>31786.603923252638</v>
      </c>
      <c r="AI78" s="46">
        <f>SUM(AH$78,'Statistics NZ'!AI$78-'Statistics NZ'!AH$78,$N$12/5*(AI$8-AI$9)*1000)</f>
        <v>30446.603923252638</v>
      </c>
    </row>
    <row r="79" spans="1:35" x14ac:dyDescent="0.25">
      <c r="A79" s="11">
        <v>64</v>
      </c>
      <c r="B79" s="44">
        <f>'Statistics NZ'!B$79*'Economic Forecasts'!D$9*1000000/SUM('Statistics NZ'!B$30:B$110,'Statistics NZ'!B$130:B$210)</f>
        <v>18325.321267352683</v>
      </c>
      <c r="C79" s="44">
        <f>'Statistics NZ'!C$79*'Economic Forecasts'!E$9*1000000/SUM('Statistics NZ'!C$30:C$110,'Statistics NZ'!C$130:C$210)</f>
        <v>16448.631082411117</v>
      </c>
      <c r="D79" s="44">
        <f>'Statistics NZ'!D$79*'Economic Forecasts'!F$9*1000000/SUM('Statistics NZ'!D$30:D$110,'Statistics NZ'!D$130:D$210)</f>
        <v>18201.507026847074</v>
      </c>
      <c r="E79" s="44">
        <f>'Statistics NZ'!E$79*'Economic Forecasts'!G$9*1000000/SUM('Statistics NZ'!E$30:E$110,'Statistics NZ'!E$130:E$210)</f>
        <v>19113.887647584554</v>
      </c>
      <c r="F79" s="44">
        <f>'Statistics NZ'!F$79*'Economic Forecasts'!H$9*1000000/SUM('Statistics NZ'!F$30:F$110,'Statistics NZ'!F$130:F$210)</f>
        <v>20127.721923828834</v>
      </c>
      <c r="G79" s="44">
        <f>'Statistics NZ'!G$79*'Economic Forecasts'!I$9*1000000/SUM('Statistics NZ'!G$30:G$110,'Statistics NZ'!G$130:G$210)</f>
        <v>23740.915451189947</v>
      </c>
      <c r="H79" s="44">
        <f>'Statistics NZ'!H$79*'Economic Forecasts'!J$9*1000000/SUM('Statistics NZ'!H$30:H$110,'Statistics NZ'!H$130:H$210)</f>
        <v>23727.706200670636</v>
      </c>
      <c r="I79" s="44">
        <f>'Statistics NZ'!I$79*'Economic Forecasts'!K$9*1000000/SUM('Statistics NZ'!I$30:I$110,'Statistics NZ'!I$130:I$210)</f>
        <v>23332.461629463593</v>
      </c>
      <c r="J79" s="44">
        <f>'Statistics NZ'!J$79*'Economic Forecasts'!L$9*1000000/SUM('Statistics NZ'!J$30:J$110,'Statistics NZ'!J$130:J$210)</f>
        <v>23765.337028468071</v>
      </c>
      <c r="K79" s="44">
        <f>'Statistics NZ'!K$79*'Economic Forecasts'!M$9*1000000/SUM('Statistics NZ'!K$30:K$110,'Statistics NZ'!K$130:K$210)</f>
        <v>23503.23349272451</v>
      </c>
      <c r="L79" s="44">
        <f>'Statistics NZ'!L$79*'Economic Forecasts'!N$9*1000000/SUM('Statistics NZ'!L$30:L$110,'Statistics NZ'!L$130:L$210)</f>
        <v>24176.01510485524</v>
      </c>
      <c r="M79" s="44">
        <f>'Statistics NZ'!M$79*'Economic Forecasts'!O$9*1000000/SUM('Statistics NZ'!M$30:M$110,'Statistics NZ'!M$130:M$210)</f>
        <v>24814.71755835459</v>
      </c>
      <c r="N79" s="44">
        <f>'Statistics NZ'!N$79*'Economic Forecasts'!P$9*1000000/SUM('Statistics NZ'!N$30:N$110,'Statistics NZ'!N$130:N$210)</f>
        <v>25675.667528210939</v>
      </c>
      <c r="O79" s="44">
        <f>'Statistics NZ'!O$79*'Economic Forecasts'!Q$9*1000000/SUM('Statistics NZ'!O$30:O$110,'Statistics NZ'!O$130:O$210)</f>
        <v>26594.101651438174</v>
      </c>
      <c r="P79" s="44">
        <f>'Statistics NZ'!P$79*'Economic Forecasts'!R$9*1000000/SUM('Statistics NZ'!P$30:P$110,'Statistics NZ'!P$130:P$210)</f>
        <v>27583.314337816271</v>
      </c>
      <c r="Q79" s="44">
        <f>'Statistics NZ'!Q$79*'Economic Forecasts'!S$9*1000000/SUM('Statistics NZ'!Q$30:Q$110,'Statistics NZ'!Q$130:Q$210)</f>
        <v>28334.648365943664</v>
      </c>
      <c r="R79" s="44">
        <f>'Statistics NZ'!R$79*'Economic Forecasts'!T$9*1000000/SUM('Statistics NZ'!R$30:R$110,'Statistics NZ'!R$130:R$210)</f>
        <v>28943.114805294645</v>
      </c>
      <c r="S79" s="45">
        <f>SUM('Statistics NZ'!S$79,$N$12/5*(S$8-S$9)*1000)*'Economic Forecasts'!U$9*1000000/SUM('Statistics NZ'!S$30:S$110,'Statistics NZ'!S$130:S$210,SUM($E$12:$T$13)*(S$8-S$9)*1000)</f>
        <v>29943.724532197608</v>
      </c>
      <c r="T79" s="45">
        <f>SUM('Statistics NZ'!T$79,$N$12/5*(T$8-T$9)*1000)*'Economic Forecasts'!V$9*1000000/SUM('Statistics NZ'!T$30:T$110,'Statistics NZ'!T$130:T$210,SUM($E$12:$T$13)*(T$8-T$9)*1000)</f>
        <v>31023.67624831156</v>
      </c>
      <c r="U79" s="45">
        <f>SUM('Statistics NZ'!U$79,$N$12/5*(U$8-U$9)*1000)*'Economic Forecasts'!W$9*1000000/SUM('Statistics NZ'!U$30:U$110,'Statistics NZ'!U$130:U$210,SUM($E$12:$T$13)*(U$8-U$9)*1000)</f>
        <v>32692.394136211638</v>
      </c>
      <c r="V79" s="45">
        <f>SUM('Statistics NZ'!V$79,$N$12/5*(V$8-V$9)*1000)*'Economic Forecasts'!X$9*1000000/SUM('Statistics NZ'!V$30:V$110,'Statistics NZ'!V$130:V$210,SUM($E$12:$T$13)*(V$8-V$9)*1000)</f>
        <v>33566.570500127949</v>
      </c>
      <c r="W79" s="45">
        <f>SUM('Statistics NZ'!W$79,$N$12/5*(W$8-W$9)*1000)*'Economic Forecasts'!Y$9*1000000/SUM('Statistics NZ'!W$30:W$110,'Statistics NZ'!W$130:W$210,SUM($E$12:$T$13)*(W$8-W$9)*1000)</f>
        <v>34096.195006750342</v>
      </c>
      <c r="X79" s="45">
        <f>SUM('Statistics NZ'!X$79,$N$12/5*(X$8-X$9)*1000)*'Economic Forecasts'!Z$9*1000000/SUM('Statistics NZ'!X$30:X$110,'Statistics NZ'!X$130:X$210,SUM($E$12:$T$13)*(X$8-X$9)*1000)</f>
        <v>33444.115881386351</v>
      </c>
      <c r="Y79" s="45">
        <f>SUM('Statistics NZ'!Y$79,$N$12/5*(Y$8-Y$9)*1000)*'Economic Forecasts'!AA$9*1000000/SUM('Statistics NZ'!Y$30:Y$110,'Statistics NZ'!Y$130:Y$210,SUM($E$12:$T$13)*(Y$8-Y$9)*1000)</f>
        <v>32694.563307536064</v>
      </c>
      <c r="Z79" s="46">
        <f>SUM(Y$79,'Statistics NZ'!Z$79-'Statistics NZ'!Y$79,$N$12/5*(Z$8-Z$9)*1000)</f>
        <v>32228.527624108912</v>
      </c>
      <c r="AA79" s="46">
        <f>SUM(Z$79,'Statistics NZ'!AA$79-'Statistics NZ'!Z$79,$N$12/5*(AA$8-AA$9)*1000)</f>
        <v>32787.607016618109</v>
      </c>
      <c r="AB79" s="46">
        <f>SUM(AA$79,'Statistics NZ'!AB$79-'Statistics NZ'!AA$79,$N$12/5*(AB$8-AB$9)*1000)</f>
        <v>33461.801485063654</v>
      </c>
      <c r="AC79" s="46">
        <f>SUM(AB$79,'Statistics NZ'!AC$79-'Statistics NZ'!AB$79,$N$12/5*(AC$8-AC$9)*1000)</f>
        <v>34121.11102944555</v>
      </c>
      <c r="AD79" s="46">
        <f>SUM(AC$79,'Statistics NZ'!AD$79-'Statistics NZ'!AC$79,$N$12/5*(AD$8-AD$9)*1000)</f>
        <v>33935.535649763799</v>
      </c>
      <c r="AE79" s="46">
        <f>SUM(AD$79,'Statistics NZ'!AE$79-'Statistics NZ'!AD$79,$N$12/5*(AE$8-AE$9)*1000)</f>
        <v>35395.075346018399</v>
      </c>
      <c r="AF79" s="46">
        <f>SUM(AE$79,'Statistics NZ'!AF$79-'Statistics NZ'!AE$79,$N$12/5*(AF$8-AF$9)*1000)</f>
        <v>34939.730118209351</v>
      </c>
      <c r="AG79" s="46">
        <f>SUM(AF$79,'Statistics NZ'!AG$79-'Statistics NZ'!AF$79,$N$12/5*(AG$8-AG$9)*1000)</f>
        <v>33709.499966336647</v>
      </c>
      <c r="AH79" s="46">
        <f>SUM(AG$79,'Statistics NZ'!AH$79-'Statistics NZ'!AG$79,$N$12/5*(AH$8-AH$9)*1000)</f>
        <v>32974.384890400295</v>
      </c>
      <c r="AI79" s="46">
        <f>SUM(AH$79,'Statistics NZ'!AI$79-'Statistics NZ'!AH$79,$N$12/5*(AI$8-AI$9)*1000)</f>
        <v>31754.384890400295</v>
      </c>
    </row>
    <row r="80" spans="1:35" x14ac:dyDescent="0.25">
      <c r="A80" s="11">
        <v>65</v>
      </c>
      <c r="B80" s="44">
        <f>'Statistics NZ'!B$80*'Economic Forecasts'!D$9*1000000/SUM('Statistics NZ'!B$30:B$110,'Statistics NZ'!B$130:B$210)</f>
        <v>18002.451218328319</v>
      </c>
      <c r="C80" s="44">
        <f>'Statistics NZ'!C$80*'Economic Forecasts'!E$9*1000000/SUM('Statistics NZ'!C$30:C$110,'Statistics NZ'!C$130:C$210)</f>
        <v>18294.805794944426</v>
      </c>
      <c r="D80" s="44">
        <f>'Statistics NZ'!D$80*'Economic Forecasts'!F$9*1000000/SUM('Statistics NZ'!D$30:D$110,'Statistics NZ'!D$130:D$210)</f>
        <v>16374.480417568304</v>
      </c>
      <c r="E80" s="44">
        <f>'Statistics NZ'!E$80*'Economic Forecasts'!G$9*1000000/SUM('Statistics NZ'!E$30:E$110,'Statistics NZ'!E$130:E$210)</f>
        <v>18084.150242250344</v>
      </c>
      <c r="F80" s="44">
        <f>'Statistics NZ'!F$80*'Economic Forecasts'!H$9*1000000/SUM('Statistics NZ'!F$30:F$110,'Statistics NZ'!F$130:F$210)</f>
        <v>19068.368138364156</v>
      </c>
      <c r="G80" s="44">
        <f>'Statistics NZ'!G$80*'Economic Forecasts'!I$9*1000000/SUM('Statistics NZ'!G$30:G$110,'Statistics NZ'!G$130:G$210)</f>
        <v>20086.955770659264</v>
      </c>
      <c r="H80" s="44">
        <f>'Statistics NZ'!H$80*'Economic Forecasts'!J$9*1000000/SUM('Statistics NZ'!H$30:H$110,'Statistics NZ'!H$130:H$210)</f>
        <v>23619.629692096154</v>
      </c>
      <c r="I80" s="44">
        <f>'Statistics NZ'!I$80*'Economic Forecasts'!K$9*1000000/SUM('Statistics NZ'!I$30:I$110,'Statistics NZ'!I$130:I$210)</f>
        <v>23577.550512126025</v>
      </c>
      <c r="J80" s="44">
        <f>'Statistics NZ'!J$80*'Economic Forecasts'!L$9*1000000/SUM('Statistics NZ'!J$30:J$110,'Statistics NZ'!J$130:J$210)</f>
        <v>23033.945860173</v>
      </c>
      <c r="K80" s="44">
        <f>'Statistics NZ'!K$80*'Economic Forecasts'!M$9*1000000/SUM('Statistics NZ'!K$30:K$110,'Statistics NZ'!K$130:K$210)</f>
        <v>23629.804344176628</v>
      </c>
      <c r="L80" s="44">
        <f>'Statistics NZ'!L$80*'Economic Forecasts'!N$9*1000000/SUM('Statistics NZ'!L$30:L$110,'Statistics NZ'!L$130:L$210)</f>
        <v>23416.559132974973</v>
      </c>
      <c r="M80" s="44">
        <f>'Statistics NZ'!M$80*'Economic Forecasts'!O$9*1000000/SUM('Statistics NZ'!M$30:M$110,'Statistics NZ'!M$130:M$210)</f>
        <v>24150.386537107301</v>
      </c>
      <c r="N80" s="44">
        <f>'Statistics NZ'!N$80*'Economic Forecasts'!P$9*1000000/SUM('Statistics NZ'!N$30:N$110,'Statistics NZ'!N$130:N$210)</f>
        <v>24755.883706697285</v>
      </c>
      <c r="O80" s="44">
        <f>'Statistics NZ'!O$80*'Economic Forecasts'!Q$9*1000000/SUM('Statistics NZ'!O$30:O$110,'Statistics NZ'!O$130:O$210)</f>
        <v>25662.179977927797</v>
      </c>
      <c r="P80" s="44">
        <f>'Statistics NZ'!P$80*'Economic Forecasts'!R$9*1000000/SUM('Statistics NZ'!P$30:P$110,'Statistics NZ'!P$130:P$210)</f>
        <v>26791.027649389634</v>
      </c>
      <c r="Q80" s="44">
        <f>'Statistics NZ'!Q$80*'Economic Forecasts'!S$9*1000000/SUM('Statistics NZ'!Q$30:Q$110,'Statistics NZ'!Q$130:Q$210)</f>
        <v>27554.976745982134</v>
      </c>
      <c r="R80" s="44">
        <f>'Statistics NZ'!R$80*'Economic Forecasts'!T$9*1000000/SUM('Statistics NZ'!R$30:R$110,'Statistics NZ'!R$130:R$210)</f>
        <v>28026.944050736303</v>
      </c>
      <c r="S80" s="45">
        <f>SUM('Statistics NZ'!S$80,$O$12/5*(S$8-S$9)*1000)*'Economic Forecasts'!U$9*1000000/SUM('Statistics NZ'!S$30:S$110,'Statistics NZ'!S$130:S$210,SUM($E$12:$T$13)*(S$8-S$9)*1000)</f>
        <v>28555.234037851569</v>
      </c>
      <c r="T80" s="45">
        <f>SUM('Statistics NZ'!T$80,$O$12/5*(T$8-T$9)*1000)*'Economic Forecasts'!V$9*1000000/SUM('Statistics NZ'!T$30:T$110,'Statistics NZ'!T$130:T$210,SUM($E$12:$T$13)*(T$8-T$9)*1000)</f>
        <v>30424.607380720663</v>
      </c>
      <c r="U80" s="45">
        <f>SUM('Statistics NZ'!U$80,$O$12/5*(U$8-U$9)*1000)*'Economic Forecasts'!W$9*1000000/SUM('Statistics NZ'!U$30:U$110,'Statistics NZ'!U$130:U$210,SUM($E$12:$T$13)*(U$8-U$9)*1000)</f>
        <v>31069.9761109135</v>
      </c>
      <c r="V80" s="45">
        <f>SUM('Statistics NZ'!V$80,$O$12/5*(V$8-V$9)*1000)*'Economic Forecasts'!X$9*1000000/SUM('Statistics NZ'!V$30:V$110,'Statistics NZ'!V$130:V$210,SUM($E$12:$T$13)*(V$8-V$9)*1000)</f>
        <v>32594.926555829548</v>
      </c>
      <c r="W80" s="45">
        <f>SUM('Statistics NZ'!W$80,$O$12/5*(W$8-W$9)*1000)*'Economic Forecasts'!Y$9*1000000/SUM('Statistics NZ'!W$30:W$110,'Statistics NZ'!W$130:W$210,SUM($E$12:$T$13)*(W$8-W$9)*1000)</f>
        <v>33495.75940530518</v>
      </c>
      <c r="X80" s="45">
        <f>SUM('Statistics NZ'!X$80,$O$12/5*(X$8-X$9)*1000)*'Economic Forecasts'!Z$9*1000000/SUM('Statistics NZ'!X$30:X$110,'Statistics NZ'!X$130:X$210,SUM($E$12:$T$13)*(X$8-X$9)*1000)</f>
        <v>34029.096964936063</v>
      </c>
      <c r="Y80" s="45">
        <f>SUM('Statistics NZ'!Y$80,$O$12/5*(Y$8-Y$9)*1000)*'Economic Forecasts'!AA$9*1000000/SUM('Statistics NZ'!Y$30:Y$110,'Statistics NZ'!Y$130:Y$210,SUM($E$12:$T$13)*(Y$8-Y$9)*1000)</f>
        <v>33402.933210110481</v>
      </c>
      <c r="Z80" s="46">
        <f>SUM(Y$80,'Statistics NZ'!Z$80-'Statistics NZ'!Y$80,$O$12/5*(Z$8-Z$9)*1000)</f>
        <v>32615.59420289116</v>
      </c>
      <c r="AA80" s="46">
        <f>SUM(Z$80,'Statistics NZ'!AA$80-'Statistics NZ'!Z$80,$O$12/5*(AA$8-AA$9)*1000)</f>
        <v>32135.737307585096</v>
      </c>
      <c r="AB80" s="46">
        <f>SUM(AA$80,'Statistics NZ'!AB$80-'Statistics NZ'!AA$80,$O$12/5*(AB$8-AB$9)*1000)</f>
        <v>32683.362524192289</v>
      </c>
      <c r="AC80" s="46">
        <f>SUM(AB$80,'Statistics NZ'!AC$80-'Statistics NZ'!AB$80,$O$12/5*(AC$8-AC$9)*1000)</f>
        <v>33328.46985271274</v>
      </c>
      <c r="AD80" s="46">
        <f>SUM(AC$80,'Statistics NZ'!AD$80-'Statistics NZ'!AC$80,$O$12/5*(AD$8-AD$9)*1000)</f>
        <v>33971.059293146449</v>
      </c>
      <c r="AE80" s="46">
        <f>SUM(AD$80,'Statistics NZ'!AE$80-'Statistics NZ'!AD$80,$O$12/5*(AE$8-AE$9)*1000)</f>
        <v>33781.130845493419</v>
      </c>
      <c r="AF80" s="46">
        <f>SUM(AE$80,'Statistics NZ'!AF$80-'Statistics NZ'!AE$80,$O$12/5*(AF$8-AF$9)*1000)</f>
        <v>35218.684509753642</v>
      </c>
      <c r="AG80" s="46">
        <f>SUM(AF$80,'Statistics NZ'!AG$80-'Statistics NZ'!AF$80,$O$12/5*(AG$8-AG$9)*1000)</f>
        <v>34753.720285927127</v>
      </c>
      <c r="AH80" s="46">
        <f>SUM(AG$80,'Statistics NZ'!AH$80-'Statistics NZ'!AG$80,$O$12/5*(AH$8-AH$9)*1000)</f>
        <v>33536.238174013866</v>
      </c>
      <c r="AI80" s="46">
        <f>SUM(AH$80,'Statistics NZ'!AI$80-'Statistics NZ'!AH$80,$O$12/5*(AI$8-AI$9)*1000)</f>
        <v>32806.238174013866</v>
      </c>
    </row>
    <row r="81" spans="1:35" x14ac:dyDescent="0.25">
      <c r="A81" s="11">
        <v>66</v>
      </c>
      <c r="B81" s="44">
        <f>'Statistics NZ'!B$81*'Economic Forecasts'!D$9*1000000/SUM('Statistics NZ'!B$30:B$110,'Statistics NZ'!B$130:B$210)</f>
        <v>16534.860086399378</v>
      </c>
      <c r="C81" s="44">
        <f>'Statistics NZ'!C$81*'Economic Forecasts'!E$9*1000000/SUM('Statistics NZ'!C$30:C$110,'Statistics NZ'!C$130:C$210)</f>
        <v>17911.822742876346</v>
      </c>
      <c r="D81" s="44">
        <f>'Statistics NZ'!D$81*'Economic Forecasts'!F$9*1000000/SUM('Statistics NZ'!D$30:D$110,'Statistics NZ'!D$130:D$210)</f>
        <v>18142.570684612274</v>
      </c>
      <c r="E81" s="44">
        <f>'Statistics NZ'!E$81*'Economic Forecasts'!G$9*1000000/SUM('Statistics NZ'!E$30:E$110,'Statistics NZ'!E$130:E$210)</f>
        <v>16250.236958464653</v>
      </c>
      <c r="F81" s="44">
        <f>'Statistics NZ'!F$81*'Economic Forecasts'!H$9*1000000/SUM('Statistics NZ'!F$30:F$110,'Statistics NZ'!F$130:F$210)</f>
        <v>17989.396690205693</v>
      </c>
      <c r="G81" s="44">
        <f>'Statistics NZ'!G$81*'Economic Forecasts'!I$9*1000000/SUM('Statistics NZ'!G$30:G$110,'Statistics NZ'!G$130:G$210)</f>
        <v>18986.838877596263</v>
      </c>
      <c r="H81" s="44">
        <f>'Statistics NZ'!H$81*'Economic Forecasts'!J$9*1000000/SUM('Statistics NZ'!H$30:H$110,'Statistics NZ'!H$130:H$210)</f>
        <v>19994.154086279399</v>
      </c>
      <c r="I81" s="44">
        <f>'Statistics NZ'!I$81*'Economic Forecasts'!K$9*1000000/SUM('Statistics NZ'!I$30:I$110,'Statistics NZ'!I$130:I$210)</f>
        <v>23469.711403754554</v>
      </c>
      <c r="J81" s="44">
        <f>'Statistics NZ'!J$81*'Economic Forecasts'!L$9*1000000/SUM('Statistics NZ'!J$30:J$110,'Statistics NZ'!J$130:J$210)</f>
        <v>23316.750445247093</v>
      </c>
      <c r="K81" s="44">
        <f>'Statistics NZ'!K$81*'Economic Forecasts'!M$9*1000000/SUM('Statistics NZ'!K$30:K$110,'Statistics NZ'!K$130:K$210)</f>
        <v>22831.434358094026</v>
      </c>
      <c r="L81" s="44">
        <f>'Statistics NZ'!L$81*'Economic Forecasts'!N$9*1000000/SUM('Statistics NZ'!L$30:L$110,'Statistics NZ'!L$130:L$210)</f>
        <v>23455.505593071397</v>
      </c>
      <c r="M81" s="44">
        <f>'Statistics NZ'!M$81*'Economic Forecasts'!O$9*1000000/SUM('Statistics NZ'!M$30:M$110,'Statistics NZ'!M$130:M$210)</f>
        <v>23398.129351283169</v>
      </c>
      <c r="N81" s="44">
        <f>'Statistics NZ'!N$81*'Economic Forecasts'!P$9*1000000/SUM('Statistics NZ'!N$30:N$110,'Statistics NZ'!N$130:N$210)</f>
        <v>24041.583504883489</v>
      </c>
      <c r="O81" s="44">
        <f>'Statistics NZ'!O$81*'Economic Forecasts'!Q$9*1000000/SUM('Statistics NZ'!O$30:O$110,'Statistics NZ'!O$130:O$210)</f>
        <v>24710.638900764574</v>
      </c>
      <c r="P81" s="44">
        <f>'Statistics NZ'!P$81*'Economic Forecasts'!R$9*1000000/SUM('Statistics NZ'!P$30:P$110,'Statistics NZ'!P$130:P$210)</f>
        <v>25822.677252423746</v>
      </c>
      <c r="Q81" s="44">
        <f>'Statistics NZ'!Q$81*'Economic Forecasts'!S$9*1000000/SUM('Statistics NZ'!Q$30:Q$110,'Statistics NZ'!Q$130:Q$210)</f>
        <v>26755.566603996263</v>
      </c>
      <c r="R81" s="44">
        <f>'Statistics NZ'!R$81*'Economic Forecasts'!T$9*1000000/SUM('Statistics NZ'!R$30:R$110,'Statistics NZ'!R$130:R$210)</f>
        <v>27219.137578975184</v>
      </c>
      <c r="S81" s="45">
        <f>SUM('Statistics NZ'!S$81,$O$12/5*(S$8-S$9)*1000)*'Economic Forecasts'!U$9*1000000/SUM('Statistics NZ'!S$30:S$110,'Statistics NZ'!S$130:S$210,SUM($E$12:$T$13)*(S$8-S$9)*1000)</f>
        <v>27633.556102996605</v>
      </c>
      <c r="T81" s="45">
        <f>SUM('Statistics NZ'!T$81,$O$12/5*(T$8-T$9)*1000)*'Economic Forecasts'!V$9*1000000/SUM('Statistics NZ'!T$30:T$110,'Statistics NZ'!T$130:T$210,SUM($E$12:$T$13)*(T$8-T$9)*1000)</f>
        <v>29156.343475978138</v>
      </c>
      <c r="U81" s="45">
        <f>SUM('Statistics NZ'!U$81,$O$12/5*(U$8-U$9)*1000)*'Economic Forecasts'!W$9*1000000/SUM('Statistics NZ'!U$30:U$110,'Statistics NZ'!U$130:U$210,SUM($E$12:$T$13)*(U$8-U$9)*1000)</f>
        <v>30544.878794422035</v>
      </c>
      <c r="V81" s="45">
        <f>SUM('Statistics NZ'!V$81,$O$12/5*(V$8-V$9)*1000)*'Economic Forecasts'!X$9*1000000/SUM('Statistics NZ'!V$30:V$110,'Statistics NZ'!V$130:V$210,SUM($E$12:$T$13)*(V$8-V$9)*1000)</f>
        <v>30987.031292840173</v>
      </c>
      <c r="W81" s="45">
        <f>SUM('Statistics NZ'!W$81,$O$12/5*(W$8-W$9)*1000)*'Economic Forecasts'!Y$9*1000000/SUM('Statistics NZ'!W$30:W$110,'Statistics NZ'!W$130:W$210,SUM($E$12:$T$13)*(W$8-W$9)*1000)</f>
        <v>32523.527474668728</v>
      </c>
      <c r="X81" s="45">
        <f>SUM('Statistics NZ'!X$81,$O$12/5*(X$8-X$9)*1000)*'Economic Forecasts'!Z$9*1000000/SUM('Statistics NZ'!X$30:X$110,'Statistics NZ'!X$130:X$210,SUM($E$12:$T$13)*(X$8-X$9)*1000)</f>
        <v>33430.404237614646</v>
      </c>
      <c r="Y81" s="45">
        <f>SUM('Statistics NZ'!Y$81,$O$12/5*(Y$8-Y$9)*1000)*'Economic Forecasts'!AA$9*1000000/SUM('Statistics NZ'!Y$30:Y$110,'Statistics NZ'!Y$130:Y$210,SUM($E$12:$T$13)*(Y$8-Y$9)*1000)</f>
        <v>33992.962012211901</v>
      </c>
      <c r="Z81" s="46">
        <f>SUM(Y$81,'Statistics NZ'!Z$81-'Statistics NZ'!Y$81,$O$12/5*(Z$8-Z$9)*1000)</f>
        <v>33325.62300499258</v>
      </c>
      <c r="AA81" s="46">
        <f>SUM(Z$81,'Statistics NZ'!AA$81-'Statistics NZ'!Z$81,$O$12/5*(AA$8-AA$9)*1000)</f>
        <v>32535.766109686516</v>
      </c>
      <c r="AB81" s="46">
        <f>SUM(AA$81,'Statistics NZ'!AB$81-'Statistics NZ'!AA$81,$O$12/5*(AB$8-AB$9)*1000)</f>
        <v>32053.391326293709</v>
      </c>
      <c r="AC81" s="46">
        <f>SUM(AB$81,'Statistics NZ'!AC$81-'Statistics NZ'!AB$81,$O$12/5*(AC$8-AC$9)*1000)</f>
        <v>32598.498654814161</v>
      </c>
      <c r="AD81" s="46">
        <f>SUM(AC$81,'Statistics NZ'!AD$81-'Statistics NZ'!AC$81,$O$12/5*(AD$8-AD$9)*1000)</f>
        <v>33251.088095247869</v>
      </c>
      <c r="AE81" s="46">
        <f>SUM(AD$81,'Statistics NZ'!AE$81-'Statistics NZ'!AD$81,$O$12/5*(AE$8-AE$9)*1000)</f>
        <v>33891.159647594839</v>
      </c>
      <c r="AF81" s="46">
        <f>SUM(AE$81,'Statistics NZ'!AF$81-'Statistics NZ'!AE$81,$O$12/5*(AF$8-AF$9)*1000)</f>
        <v>33698.713311855063</v>
      </c>
      <c r="AG81" s="46">
        <f>SUM(AF$81,'Statistics NZ'!AG$81-'Statistics NZ'!AF$81,$O$12/5*(AG$8-AG$9)*1000)</f>
        <v>35133.749088028548</v>
      </c>
      <c r="AH81" s="46">
        <f>SUM(AG$81,'Statistics NZ'!AH$81-'Statistics NZ'!AG$81,$O$12/5*(AH$8-AH$9)*1000)</f>
        <v>34676.266976115287</v>
      </c>
      <c r="AI81" s="46">
        <f>SUM(AH$81,'Statistics NZ'!AI$81-'Statistics NZ'!AH$81,$O$12/5*(AI$8-AI$9)*1000)</f>
        <v>33456.266976115287</v>
      </c>
    </row>
    <row r="82" spans="1:35" x14ac:dyDescent="0.25">
      <c r="A82" s="11">
        <v>67</v>
      </c>
      <c r="B82" s="44">
        <f>'Statistics NZ'!B$82*'Economic Forecasts'!D$9*1000000/SUM('Statistics NZ'!B$30:B$110,'Statistics NZ'!B$130:B$210)</f>
        <v>15282.515653820017</v>
      </c>
      <c r="C82" s="44">
        <f>'Statistics NZ'!C$82*'Economic Forecasts'!E$9*1000000/SUM('Statistics NZ'!C$30:C$110,'Statistics NZ'!C$130:C$210)</f>
        <v>16438.811004152962</v>
      </c>
      <c r="D82" s="44">
        <f>'Statistics NZ'!D$82*'Economic Forecasts'!F$9*1000000/SUM('Statistics NZ'!D$30:D$110,'Statistics NZ'!D$130:D$210)</f>
        <v>17730.016288968684</v>
      </c>
      <c r="E82" s="44">
        <f>'Statistics NZ'!E$82*'Economic Forecasts'!G$9*1000000/SUM('Statistics NZ'!E$30:E$110,'Statistics NZ'!E$130:E$210)</f>
        <v>18015.50108189473</v>
      </c>
      <c r="F82" s="44">
        <f>'Statistics NZ'!F$82*'Economic Forecasts'!H$9*1000000/SUM('Statistics NZ'!F$30:F$110,'Statistics NZ'!F$130:F$210)</f>
        <v>16115.909902948722</v>
      </c>
      <c r="G82" s="44">
        <f>'Statistics NZ'!G$82*'Economic Forecasts'!I$9*1000000/SUM('Statistics NZ'!G$30:G$110,'Statistics NZ'!G$130:G$210)</f>
        <v>17886.721984533262</v>
      </c>
      <c r="H82" s="44">
        <f>'Statistics NZ'!H$82*'Economic Forecasts'!J$9*1000000/SUM('Statistics NZ'!H$30:H$110,'Statistics NZ'!H$130:H$210)</f>
        <v>18854.438177675755</v>
      </c>
      <c r="I82" s="44">
        <f>'Statistics NZ'!I$82*'Economic Forecasts'!K$9*1000000/SUM('Statistics NZ'!I$30:I$110,'Statistics NZ'!I$130:I$210)</f>
        <v>19793.378163818063</v>
      </c>
      <c r="J82" s="44">
        <f>'Statistics NZ'!J$82*'Economic Forecasts'!L$9*1000000/SUM('Statistics NZ'!J$30:J$110,'Statistics NZ'!J$130:J$210)</f>
        <v>23141.216564856273</v>
      </c>
      <c r="K82" s="44">
        <f>'Statistics NZ'!K$82*'Economic Forecasts'!M$9*1000000/SUM('Statistics NZ'!K$30:K$110,'Statistics NZ'!K$130:K$210)</f>
        <v>23094.312280340731</v>
      </c>
      <c r="L82" s="44">
        <f>'Statistics NZ'!L$82*'Economic Forecasts'!N$9*1000000/SUM('Statistics NZ'!L$30:L$110,'Statistics NZ'!L$130:L$210)</f>
        <v>22666.839776118813</v>
      </c>
      <c r="M82" s="44">
        <f>'Statistics NZ'!M$82*'Economic Forecasts'!O$9*1000000/SUM('Statistics NZ'!M$30:M$110,'Statistics NZ'!M$130:M$210)</f>
        <v>23359.051055915683</v>
      </c>
      <c r="N82" s="44">
        <f>'Statistics NZ'!N$82*'Economic Forecasts'!P$9*1000000/SUM('Statistics NZ'!N$30:N$110,'Statistics NZ'!N$130:N$210)</f>
        <v>23200.079157541211</v>
      </c>
      <c r="O82" s="44">
        <f>'Statistics NZ'!O$82*'Economic Forecasts'!Q$9*1000000/SUM('Statistics NZ'!O$30:O$110,'Statistics NZ'!O$130:O$210)</f>
        <v>23994.530667435549</v>
      </c>
      <c r="P82" s="44">
        <f>'Statistics NZ'!P$82*'Economic Forecasts'!R$9*1000000/SUM('Statistics NZ'!P$30:P$110,'Statistics NZ'!P$130:P$210)</f>
        <v>24795.63895261144</v>
      </c>
      <c r="Q82" s="44">
        <f>'Statistics NZ'!Q$82*'Economic Forecasts'!S$9*1000000/SUM('Statistics NZ'!Q$30:Q$110,'Statistics NZ'!Q$130:Q$210)</f>
        <v>25669.947892657427</v>
      </c>
      <c r="R82" s="44">
        <f>'Statistics NZ'!R$82*'Economic Forecasts'!T$9*1000000/SUM('Statistics NZ'!R$30:R$110,'Statistics NZ'!R$130:R$210)</f>
        <v>26371.925913469626</v>
      </c>
      <c r="S82" s="45">
        <f>SUM('Statistics NZ'!S$82,$O$12/5*(S$8-S$9)*1000)*'Economic Forecasts'!U$9*1000000/SUM('Statistics NZ'!S$30:S$110,'Statistics NZ'!S$130:S$210,SUM($E$12:$T$13)*(S$8-S$9)*1000)</f>
        <v>26828.300644123323</v>
      </c>
      <c r="T82" s="45">
        <f>SUM('Statistics NZ'!T$82,$O$12/5*(T$8-T$9)*1000)*'Economic Forecasts'!V$9*1000000/SUM('Statistics NZ'!T$30:T$110,'Statistics NZ'!T$130:T$210,SUM($E$12:$T$13)*(T$8-T$9)*1000)</f>
        <v>28187.669469993696</v>
      </c>
      <c r="U82" s="45">
        <f>SUM('Statistics NZ'!U$82,$O$12/5*(U$8-U$9)*1000)*'Economic Forecasts'!W$9*1000000/SUM('Statistics NZ'!U$30:U$110,'Statistics NZ'!U$130:U$210,SUM($E$12:$T$13)*(U$8-U$9)*1000)</f>
        <v>29252.331553827655</v>
      </c>
      <c r="V82" s="45">
        <f>SUM('Statistics NZ'!V$82,$O$12/5*(V$8-V$9)*1000)*'Economic Forecasts'!X$9*1000000/SUM('Statistics NZ'!V$30:V$110,'Statistics NZ'!V$130:V$210,SUM($E$12:$T$13)*(V$8-V$9)*1000)</f>
        <v>30430.841107529384</v>
      </c>
      <c r="W82" s="45">
        <f>SUM('Statistics NZ'!W$82,$O$12/5*(W$8-W$9)*1000)*'Economic Forecasts'!Y$9*1000000/SUM('Statistics NZ'!W$30:W$110,'Statistics NZ'!W$130:W$210,SUM($E$12:$T$13)*(W$8-W$9)*1000)</f>
        <v>30882.886091719727</v>
      </c>
      <c r="X82" s="45">
        <f>SUM('Statistics NZ'!X$82,$O$12/5*(X$8-X$9)*1000)*'Economic Forecasts'!Z$9*1000000/SUM('Statistics NZ'!X$30:X$110,'Statistics NZ'!X$130:X$210,SUM($E$12:$T$13)*(X$8-X$9)*1000)</f>
        <v>32425.818135838039</v>
      </c>
      <c r="Y82" s="45">
        <f>SUM('Statistics NZ'!Y$82,$O$12/5*(Y$8-Y$9)*1000)*'Economic Forecasts'!AA$9*1000000/SUM('Statistics NZ'!Y$30:Y$110,'Statistics NZ'!Y$130:Y$210,SUM($E$12:$T$13)*(Y$8-Y$9)*1000)</f>
        <v>33362.241568586251</v>
      </c>
      <c r="Z82" s="46">
        <f>SUM(Y$82,'Statistics NZ'!Z$82-'Statistics NZ'!Y$82,$O$12/5*(Z$8-Z$9)*1000)</f>
        <v>33844.902561366929</v>
      </c>
      <c r="AA82" s="46">
        <f>SUM(Z$82,'Statistics NZ'!AA$82-'Statistics NZ'!Z$82,$O$12/5*(AA$8-AA$9)*1000)</f>
        <v>33185.045666060862</v>
      </c>
      <c r="AB82" s="46">
        <f>SUM(AA$82,'Statistics NZ'!AB$82-'Statistics NZ'!AA$82,$O$12/5*(AB$8-AB$9)*1000)</f>
        <v>32402.670882668055</v>
      </c>
      <c r="AC82" s="46">
        <f>SUM(AB$82,'Statistics NZ'!AC$82-'Statistics NZ'!AB$82,$O$12/5*(AC$8-AC$9)*1000)</f>
        <v>31937.778211188506</v>
      </c>
      <c r="AD82" s="46">
        <f>SUM(AC$82,'Statistics NZ'!AD$82-'Statistics NZ'!AC$82,$O$12/5*(AD$8-AD$9)*1000)</f>
        <v>32470.367651622215</v>
      </c>
      <c r="AE82" s="46">
        <f>SUM(AD$82,'Statistics NZ'!AE$82-'Statistics NZ'!AD$82,$O$12/5*(AE$8-AE$9)*1000)</f>
        <v>33120.439203969188</v>
      </c>
      <c r="AF82" s="46">
        <f>SUM(AE$82,'Statistics NZ'!AF$82-'Statistics NZ'!AE$82,$O$12/5*(AF$8-AF$9)*1000)</f>
        <v>33757.992868229412</v>
      </c>
      <c r="AG82" s="46">
        <f>SUM(AF$82,'Statistics NZ'!AG$82-'Statistics NZ'!AF$82,$O$12/5*(AG$8-AG$9)*1000)</f>
        <v>33573.028644402897</v>
      </c>
      <c r="AH82" s="46">
        <f>SUM(AG$82,'Statistics NZ'!AH$82-'Statistics NZ'!AG$82,$O$12/5*(AH$8-AH$9)*1000)</f>
        <v>34995.546532489636</v>
      </c>
      <c r="AI82" s="46">
        <f>SUM(AH$82,'Statistics NZ'!AI$82-'Statistics NZ'!AH$82,$O$12/5*(AI$8-AI$9)*1000)</f>
        <v>34545.546532489636</v>
      </c>
    </row>
    <row r="83" spans="1:35" x14ac:dyDescent="0.25">
      <c r="A83" s="11">
        <v>68</v>
      </c>
      <c r="B83" s="44">
        <f>'Statistics NZ'!B$83*'Economic Forecasts'!D$9*1000000/SUM('Statistics NZ'!B$30:B$110,'Statistics NZ'!B$130:B$210)</f>
        <v>14441.096738180757</v>
      </c>
      <c r="C83" s="44">
        <f>'Statistics NZ'!C$83*'Economic Forecasts'!E$9*1000000/SUM('Statistics NZ'!C$30:C$110,'Statistics NZ'!C$130:C$210)</f>
        <v>15132.740595818228</v>
      </c>
      <c r="D83" s="44">
        <f>'Statistics NZ'!D$83*'Economic Forecasts'!F$9*1000000/SUM('Statistics NZ'!D$30:D$110,'Statistics NZ'!D$130:D$210)</f>
        <v>16276.253180510306</v>
      </c>
      <c r="E83" s="44">
        <f>'Statistics NZ'!E$83*'Economic Forecasts'!G$9*1000000/SUM('Statistics NZ'!E$30:E$110,'Statistics NZ'!E$130:E$210)</f>
        <v>17515.342913589542</v>
      </c>
      <c r="F83" s="44">
        <f>'Statistics NZ'!F$83*'Economic Forecasts'!H$9*1000000/SUM('Statistics NZ'!F$30:F$110,'Statistics NZ'!F$130:F$210)</f>
        <v>17842.264220002267</v>
      </c>
      <c r="G83" s="44">
        <f>'Statistics NZ'!G$83*'Economic Forecasts'!I$9*1000000/SUM('Statistics NZ'!G$30:G$110,'Statistics NZ'!G$130:G$210)</f>
        <v>16000.807310710974</v>
      </c>
      <c r="H83" s="44">
        <f>'Statistics NZ'!H$83*'Economic Forecasts'!J$9*1000000/SUM('Statistics NZ'!H$30:H$110,'Statistics NZ'!H$130:H$210)</f>
        <v>17734.372543358386</v>
      </c>
      <c r="I83" s="44">
        <f>'Statistics NZ'!I$83*'Economic Forecasts'!K$9*1000000/SUM('Statistics NZ'!I$30:I$110,'Statistics NZ'!I$130:I$210)</f>
        <v>18734.594190716354</v>
      </c>
      <c r="J83" s="44">
        <f>'Statistics NZ'!J$83*'Economic Forecasts'!L$9*1000000/SUM('Statistics NZ'!J$30:J$110,'Statistics NZ'!J$130:J$210)</f>
        <v>19513.516370112684</v>
      </c>
      <c r="K83" s="44">
        <f>'Statistics NZ'!K$83*'Economic Forecasts'!M$9*1000000/SUM('Statistics NZ'!K$30:K$110,'Statistics NZ'!K$130:K$210)</f>
        <v>22841.170577436496</v>
      </c>
      <c r="L83" s="44">
        <f>'Statistics NZ'!L$83*'Economic Forecasts'!N$9*1000000/SUM('Statistics NZ'!L$30:L$110,'Statistics NZ'!L$130:L$210)</f>
        <v>22890.78192167325</v>
      </c>
      <c r="M83" s="44">
        <f>'Statistics NZ'!M$83*'Economic Forecasts'!O$9*1000000/SUM('Statistics NZ'!M$30:M$110,'Statistics NZ'!M$130:M$210)</f>
        <v>22538.406853198441</v>
      </c>
      <c r="N83" s="44">
        <f>'Statistics NZ'!N$83*'Economic Forecasts'!P$9*1000000/SUM('Statistics NZ'!N$30:N$110,'Statistics NZ'!N$130:N$210)</f>
        <v>23170.724354726943</v>
      </c>
      <c r="O83" s="44">
        <f>'Statistics NZ'!O$83*'Economic Forecasts'!Q$9*1000000/SUM('Statistics NZ'!O$30:O$110,'Statistics NZ'!O$130:O$210)</f>
        <v>23111.6575030573</v>
      </c>
      <c r="P83" s="44">
        <f>'Statistics NZ'!P$83*'Economic Forecasts'!R$9*1000000/SUM('Statistics NZ'!P$30:P$110,'Statistics NZ'!P$130:P$210)</f>
        <v>24022.914898466941</v>
      </c>
      <c r="Q83" s="44">
        <f>'Statistics NZ'!Q$83*'Economic Forecasts'!S$9*1000000/SUM('Statistics NZ'!Q$30:Q$110,'Statistics NZ'!Q$130:Q$210)</f>
        <v>24692.891052452473</v>
      </c>
      <c r="R83" s="44">
        <f>'Statistics NZ'!R$83*'Economic Forecasts'!T$9*1000000/SUM('Statistics NZ'!R$30:R$110,'Statistics NZ'!R$130:R$210)</f>
        <v>25317.836980805732</v>
      </c>
      <c r="S83" s="45">
        <f>SUM('Statistics NZ'!S$83,$O$12/5*(S$8-S$9)*1000)*'Economic Forecasts'!U$9*1000000/SUM('Statistics NZ'!S$30:S$110,'Statistics NZ'!S$130:S$210,SUM($E$12:$T$13)*(S$8-S$9)*1000)</f>
        <v>25964.833947259198</v>
      </c>
      <c r="T83" s="45">
        <f>SUM('Statistics NZ'!T$83,$O$12/5*(T$8-T$9)*1000)*'Economic Forecasts'!V$9*1000000/SUM('Statistics NZ'!T$30:T$110,'Statistics NZ'!T$130:T$210,SUM($E$12:$T$13)*(T$8-T$9)*1000)</f>
        <v>27338.831423512482</v>
      </c>
      <c r="U83" s="45">
        <f>SUM('Statistics NZ'!U$83,$O$12/5*(U$8-U$9)*1000)*'Economic Forecasts'!W$9*1000000/SUM('Statistics NZ'!U$30:U$110,'Statistics NZ'!U$130:U$210,SUM($E$12:$T$13)*(U$8-U$9)*1000)</f>
        <v>28242.529022113296</v>
      </c>
      <c r="V83" s="45">
        <f>SUM('Statistics NZ'!V$83,$O$12/5*(V$8-V$9)*1000)*'Economic Forecasts'!X$9*1000000/SUM('Statistics NZ'!V$30:V$110,'Statistics NZ'!V$130:V$210,SUM($E$12:$T$13)*(V$8-V$9)*1000)</f>
        <v>29106.097211607321</v>
      </c>
      <c r="W83" s="45">
        <f>SUM('Statistics NZ'!W$83,$O$12/5*(W$8-W$9)*1000)*'Economic Forecasts'!Y$9*1000000/SUM('Statistics NZ'!W$30:W$110,'Statistics NZ'!W$130:W$210,SUM($E$12:$T$13)*(W$8-W$9)*1000)</f>
        <v>30305.623382904334</v>
      </c>
      <c r="X83" s="45">
        <f>SUM('Statistics NZ'!X$83,$O$12/5*(X$8-X$9)*1000)*'Economic Forecasts'!Z$9*1000000/SUM('Statistics NZ'!X$30:X$110,'Statistics NZ'!X$130:X$210,SUM($E$12:$T$13)*(X$8-X$9)*1000)</f>
        <v>30771.802634933116</v>
      </c>
      <c r="Y83" s="45">
        <f>SUM('Statistics NZ'!Y$83,$O$12/5*(Y$8-Y$9)*1000)*'Economic Forecasts'!AA$9*1000000/SUM('Statistics NZ'!Y$30:Y$110,'Statistics NZ'!Y$130:Y$210,SUM($E$12:$T$13)*(Y$8-Y$9)*1000)</f>
        <v>32324.604709718235</v>
      </c>
      <c r="Z83" s="46">
        <f>SUM(Y$83,'Statistics NZ'!Z$83-'Statistics NZ'!Y$83,$O$12/5*(Z$8-Z$9)*1000)</f>
        <v>33177.265702498909</v>
      </c>
      <c r="AA83" s="46">
        <f>SUM(Z$83,'Statistics NZ'!AA$83-'Statistics NZ'!Z$83,$O$12/5*(AA$8-AA$9)*1000)</f>
        <v>33667.408807192842</v>
      </c>
      <c r="AB83" s="46">
        <f>SUM(AA$83,'Statistics NZ'!AB$83-'Statistics NZ'!AA$83,$O$12/5*(AB$8-AB$9)*1000)</f>
        <v>33015.034023800035</v>
      </c>
      <c r="AC83" s="46">
        <f>SUM(AB$83,'Statistics NZ'!AC$83-'Statistics NZ'!AB$83,$O$12/5*(AC$8-AC$9)*1000)</f>
        <v>32240.141352320486</v>
      </c>
      <c r="AD83" s="46">
        <f>SUM(AC$83,'Statistics NZ'!AD$83-'Statistics NZ'!AC$83,$O$12/5*(AD$8-AD$9)*1000)</f>
        <v>31772.730792754195</v>
      </c>
      <c r="AE83" s="46">
        <f>SUM(AD$83,'Statistics NZ'!AE$83-'Statistics NZ'!AD$83,$O$12/5*(AE$8-AE$9)*1000)</f>
        <v>32312.802345101161</v>
      </c>
      <c r="AF83" s="46">
        <f>SUM(AE$83,'Statistics NZ'!AF$83-'Statistics NZ'!AE$83,$O$12/5*(AF$8-AF$9)*1000)</f>
        <v>32950.356009361385</v>
      </c>
      <c r="AG83" s="46">
        <f>SUM(AF$83,'Statistics NZ'!AG$83-'Statistics NZ'!AF$83,$O$12/5*(AG$8-AG$9)*1000)</f>
        <v>33585.39178553487</v>
      </c>
      <c r="AH83" s="46">
        <f>SUM(AG$83,'Statistics NZ'!AH$83-'Statistics NZ'!AG$83,$O$12/5*(AH$8-AH$9)*1000)</f>
        <v>33407.909673621609</v>
      </c>
      <c r="AI83" s="46">
        <f>SUM(AH$83,'Statistics NZ'!AI$83-'Statistics NZ'!AH$83,$O$12/5*(AI$8-AI$9)*1000)</f>
        <v>34827.909673621609</v>
      </c>
    </row>
    <row r="84" spans="1:35" x14ac:dyDescent="0.25">
      <c r="A84" s="11">
        <v>69</v>
      </c>
      <c r="B84" s="44">
        <f>'Statistics NZ'!B$84*'Economic Forecasts'!D$9*1000000/SUM('Statistics NZ'!B$30:B$110,'Statistics NZ'!B$130:B$210)</f>
        <v>13922.547871565865</v>
      </c>
      <c r="C84" s="44">
        <f>'Statistics NZ'!C$84*'Economic Forecasts'!E$9*1000000/SUM('Statistics NZ'!C$30:C$110,'Statistics NZ'!C$130:C$210)</f>
        <v>14337.314256907603</v>
      </c>
      <c r="D84" s="44">
        <f>'Statistics NZ'!D$84*'Economic Forecasts'!F$9*1000000/SUM('Statistics NZ'!D$30:D$110,'Statistics NZ'!D$130:D$210)</f>
        <v>14950.18548022733</v>
      </c>
      <c r="E84" s="44">
        <f>'Statistics NZ'!E$84*'Economic Forecasts'!G$9*1000000/SUM('Statistics NZ'!E$30:E$110,'Statistics NZ'!E$130:E$210)</f>
        <v>16063.903523213698</v>
      </c>
      <c r="F84" s="44">
        <f>'Statistics NZ'!F$84*'Economic Forecasts'!H$9*1000000/SUM('Statistics NZ'!F$30:F$110,'Statistics NZ'!F$130:F$210)</f>
        <v>17342.013821310615</v>
      </c>
      <c r="G84" s="44">
        <f>'Statistics NZ'!G$84*'Economic Forecasts'!I$9*1000000/SUM('Statistics NZ'!G$30:G$110,'Statistics NZ'!G$130:G$210)</f>
        <v>17680.450067083952</v>
      </c>
      <c r="H84" s="44">
        <f>'Statistics NZ'!H$84*'Economic Forecasts'!J$9*1000000/SUM('Statistics NZ'!H$30:H$110,'Statistics NZ'!H$130:H$210)</f>
        <v>15828.295937590226</v>
      </c>
      <c r="I84" s="44">
        <f>'Statistics NZ'!I$84*'Economic Forecasts'!K$9*1000000/SUM('Statistics NZ'!I$30:I$110,'Statistics NZ'!I$130:I$210)</f>
        <v>17548.363998630182</v>
      </c>
      <c r="J84" s="44">
        <f>'Statistics NZ'!J$84*'Economic Forecasts'!L$9*1000000/SUM('Statistics NZ'!J$30:J$110,'Statistics NZ'!J$130:J$210)</f>
        <v>18411.553676548101</v>
      </c>
      <c r="K84" s="44">
        <f>'Statistics NZ'!K$84*'Economic Forecasts'!M$9*1000000/SUM('Statistics NZ'!K$30:K$110,'Statistics NZ'!K$130:K$210)</f>
        <v>19258.241859407237</v>
      </c>
      <c r="L84" s="44">
        <f>'Statistics NZ'!L$84*'Economic Forecasts'!N$9*1000000/SUM('Statistics NZ'!L$30:L$110,'Statistics NZ'!L$130:L$210)</f>
        <v>22559.737010853642</v>
      </c>
      <c r="M84" s="44">
        <f>'Statistics NZ'!M$84*'Economic Forecasts'!O$9*1000000/SUM('Statistics NZ'!M$30:M$110,'Statistics NZ'!M$130:M$210)</f>
        <v>22733.798330035879</v>
      </c>
      <c r="N84" s="44">
        <f>'Statistics NZ'!N$84*'Economic Forecasts'!P$9*1000000/SUM('Statistics NZ'!N$30:N$110,'Statistics NZ'!N$130:N$210)</f>
        <v>22250.940533213292</v>
      </c>
      <c r="O84" s="44">
        <f>'Statistics NZ'!O$84*'Economic Forecasts'!Q$9*1000000/SUM('Statistics NZ'!O$30:O$110,'Statistics NZ'!O$130:O$210)</f>
        <v>23042.989590272322</v>
      </c>
      <c r="P84" s="44">
        <f>'Statistics NZ'!P$84*'Economic Forecasts'!R$9*1000000/SUM('Statistics NZ'!P$30:P$110,'Statistics NZ'!P$130:P$210)</f>
        <v>23093.689770065328</v>
      </c>
      <c r="Q84" s="44">
        <f>'Statistics NZ'!Q$84*'Economic Forecasts'!S$9*1000000/SUM('Statistics NZ'!Q$30:Q$110,'Statistics NZ'!Q$130:Q$210)</f>
        <v>23942.827215527457</v>
      </c>
      <c r="R84" s="44">
        <f>'Statistics NZ'!R$84*'Economic Forecasts'!T$9*1000000/SUM('Statistics NZ'!R$30:R$110,'Statistics NZ'!R$130:R$210)</f>
        <v>24342.558435630723</v>
      </c>
      <c r="S84" s="45">
        <f>SUM('Statistics NZ'!S$84,$O$12/5*(S$8-S$9)*1000)*'Economic Forecasts'!U$9*1000000/SUM('Statistics NZ'!S$30:S$110,'Statistics NZ'!S$130:S$210,SUM($E$12:$T$13)*(S$8-S$9)*1000)</f>
        <v>24907.329790425607</v>
      </c>
      <c r="T84" s="45">
        <f>SUM('Statistics NZ'!T$84,$O$12/5*(T$8-T$9)*1000)*'Economic Forecasts'!V$9*1000000/SUM('Statistics NZ'!T$30:T$110,'Statistics NZ'!T$130:T$210,SUM($E$12:$T$13)*(T$8-T$9)*1000)</f>
        <v>26430.075397279652</v>
      </c>
      <c r="U84" s="45">
        <f>SUM('Statistics NZ'!U$84,$O$12/5*(U$8-U$9)*1000)*'Economic Forecasts'!W$9*1000000/SUM('Statistics NZ'!U$30:U$110,'Statistics NZ'!U$130:U$210,SUM($E$12:$T$13)*(U$8-U$9)*1000)</f>
        <v>27353.90279420466</v>
      </c>
      <c r="V84" s="45">
        <f>SUM('Statistics NZ'!V$84,$O$12/5*(V$8-V$9)*1000)*'Economic Forecasts'!X$9*1000000/SUM('Statistics NZ'!V$30:V$110,'Statistics NZ'!V$130:V$210,SUM($E$12:$T$13)*(V$8-V$9)*1000)</f>
        <v>28084.72978040023</v>
      </c>
      <c r="W84" s="45">
        <f>SUM('Statistics NZ'!W$84,$O$12/5*(W$8-W$9)*1000)*'Economic Forecasts'!Y$9*1000000/SUM('Statistics NZ'!W$30:W$110,'Statistics NZ'!W$130:W$210,SUM($E$12:$T$13)*(W$8-W$9)*1000)</f>
        <v>28958.677062335097</v>
      </c>
      <c r="X84" s="45">
        <f>SUM('Statistics NZ'!X$84,$O$12/5*(X$8-X$9)*1000)*'Economic Forecasts'!Z$9*1000000/SUM('Statistics NZ'!X$30:X$110,'Statistics NZ'!X$130:X$210,SUM($E$12:$T$13)*(X$8-X$9)*1000)</f>
        <v>30152.81523888895</v>
      </c>
      <c r="Y84" s="45">
        <f>SUM('Statistics NZ'!Y$84,$O$12/5*(Y$8-Y$9)*1000)*'Economic Forecasts'!AA$9*1000000/SUM('Statistics NZ'!Y$30:Y$110,'Statistics NZ'!Y$130:Y$210,SUM($E$12:$T$13)*(Y$8-Y$9)*1000)</f>
        <v>30646.074496843496</v>
      </c>
      <c r="Z84" s="46">
        <f>SUM(Y$84,'Statistics NZ'!Z$84-'Statistics NZ'!Y$84,$O$12/5*(Z$8-Z$9)*1000)</f>
        <v>32108.735489624174</v>
      </c>
      <c r="AA84" s="46">
        <f>SUM(Z$84,'Statistics NZ'!AA$84-'Statistics NZ'!Z$84,$O$12/5*(AA$8-AA$9)*1000)</f>
        <v>32958.878594318106</v>
      </c>
      <c r="AB84" s="46">
        <f>SUM(AA$84,'Statistics NZ'!AB$84-'Statistics NZ'!AA$84,$O$12/5*(AB$8-AB$9)*1000)</f>
        <v>33456.5038109253</v>
      </c>
      <c r="AC84" s="46">
        <f>SUM(AB$84,'Statistics NZ'!AC$84-'Statistics NZ'!AB$84,$O$12/5*(AC$8-AC$9)*1000)</f>
        <v>32801.611139445755</v>
      </c>
      <c r="AD84" s="46">
        <f>SUM(AC$84,'Statistics NZ'!AD$84-'Statistics NZ'!AC$84,$O$12/5*(AD$8-AD$9)*1000)</f>
        <v>32044.200579879463</v>
      </c>
      <c r="AE84" s="46">
        <f>SUM(AD$84,'Statistics NZ'!AE$84-'Statistics NZ'!AD$84,$O$12/5*(AE$8-AE$9)*1000)</f>
        <v>31574.27213222643</v>
      </c>
      <c r="AF84" s="46">
        <f>SUM(AE$84,'Statistics NZ'!AF$84-'Statistics NZ'!AE$84,$O$12/5*(AF$8-AF$9)*1000)</f>
        <v>32111.825796486657</v>
      </c>
      <c r="AG84" s="46">
        <f>SUM(AF$84,'Statistics NZ'!AG$84-'Statistics NZ'!AF$84,$O$12/5*(AG$8-AG$9)*1000)</f>
        <v>32756.861572660142</v>
      </c>
      <c r="AH84" s="46">
        <f>SUM(AG$84,'Statistics NZ'!AH$84-'Statistics NZ'!AG$84,$O$12/5*(AH$8-AH$9)*1000)</f>
        <v>33389.379460746881</v>
      </c>
      <c r="AI84" s="46">
        <f>SUM(AH$84,'Statistics NZ'!AI$84-'Statistics NZ'!AH$84,$O$12/5*(AI$8-AI$9)*1000)</f>
        <v>33209.379460746881</v>
      </c>
    </row>
    <row r="85" spans="1:35" x14ac:dyDescent="0.25">
      <c r="A85" s="11">
        <v>70</v>
      </c>
      <c r="B85" s="44">
        <f>'Statistics NZ'!B$85*'Economic Forecasts'!D$9*1000000/SUM('Statistics NZ'!B$30:B$110,'Statistics NZ'!B$130:B$210)</f>
        <v>13169.184423842345</v>
      </c>
      <c r="C85" s="44">
        <f>'Statistics NZ'!C$85*'Economic Forecasts'!E$9*1000000/SUM('Statistics NZ'!C$30:C$110,'Statistics NZ'!C$130:C$210)</f>
        <v>13738.289483160093</v>
      </c>
      <c r="D85" s="44">
        <f>'Statistics NZ'!D$85*'Economic Forecasts'!F$9*1000000/SUM('Statistics NZ'!D$30:D$110,'Statistics NZ'!D$130:D$210)</f>
        <v>14144.722136351747</v>
      </c>
      <c r="E85" s="44">
        <f>'Statistics NZ'!E$85*'Economic Forecasts'!G$9*1000000/SUM('Statistics NZ'!E$30:E$110,'Statistics NZ'!E$130:E$210)</f>
        <v>14710.534361917307</v>
      </c>
      <c r="F85" s="44">
        <f>'Statistics NZ'!F$85*'Economic Forecasts'!H$9*1000000/SUM('Statistics NZ'!F$30:F$110,'Statistics NZ'!F$130:F$210)</f>
        <v>15860.880287929447</v>
      </c>
      <c r="G85" s="44">
        <f>'Statistics NZ'!G$85*'Economic Forecasts'!I$9*1000000/SUM('Statistics NZ'!G$30:G$110,'Statistics NZ'!G$130:G$210)</f>
        <v>17140.214092811941</v>
      </c>
      <c r="H85" s="44">
        <f>'Statistics NZ'!H$85*'Economic Forecasts'!J$9*1000000/SUM('Statistics NZ'!H$30:H$110,'Statistics NZ'!H$130:H$210)</f>
        <v>17478.918977636877</v>
      </c>
      <c r="I85" s="44">
        <f>'Statistics NZ'!I$85*'Economic Forecasts'!K$9*1000000/SUM('Statistics NZ'!I$30:I$110,'Statistics NZ'!I$130:I$210)</f>
        <v>15617.06360325021</v>
      </c>
      <c r="J85" s="44">
        <f>'Statistics NZ'!J$85*'Economic Forecasts'!L$9*1000000/SUM('Statistics NZ'!J$30:J$110,'Statistics NZ'!J$130:J$210)</f>
        <v>17251.079689519913</v>
      </c>
      <c r="K85" s="44">
        <f>'Statistics NZ'!K$85*'Economic Forecasts'!M$9*1000000/SUM('Statistics NZ'!K$30:K$110,'Statistics NZ'!K$130:K$210)</f>
        <v>18148.312854365566</v>
      </c>
      <c r="L85" s="44">
        <f>'Statistics NZ'!L$85*'Economic Forecasts'!N$9*1000000/SUM('Statistics NZ'!L$30:L$110,'Statistics NZ'!L$130:L$210)</f>
        <v>19035.082372127268</v>
      </c>
      <c r="M85" s="44">
        <f>'Statistics NZ'!M$85*'Economic Forecasts'!O$9*1000000/SUM('Statistics NZ'!M$30:M$110,'Statistics NZ'!M$130:M$210)</f>
        <v>22343.015376361007</v>
      </c>
      <c r="N85" s="44">
        <f>'Statistics NZ'!N$85*'Economic Forecasts'!P$9*1000000/SUM('Statistics NZ'!N$30:N$110,'Statistics NZ'!N$130:N$210)</f>
        <v>22475.994021455994</v>
      </c>
      <c r="O85" s="44">
        <f>'Statistics NZ'!O$85*'Economic Forecasts'!Q$9*1000000/SUM('Statistics NZ'!O$30:O$110,'Statistics NZ'!O$130:O$210)</f>
        <v>22111.067916761949</v>
      </c>
      <c r="P85" s="44">
        <f>'Statistics NZ'!P$85*'Economic Forecasts'!R$9*1000000/SUM('Statistics NZ'!P$30:P$110,'Statistics NZ'!P$130:P$210)</f>
        <v>22956.751330090352</v>
      </c>
      <c r="Q85" s="44">
        <f>'Statistics NZ'!Q$85*'Economic Forecasts'!S$9*1000000/SUM('Statistics NZ'!Q$30:Q$110,'Statistics NZ'!Q$130:Q$210)</f>
        <v>22985.508897346845</v>
      </c>
      <c r="R85" s="44">
        <f>'Statistics NZ'!R$85*'Economic Forecasts'!T$9*1000000/SUM('Statistics NZ'!R$30:R$110,'Statistics NZ'!R$130:R$210)</f>
        <v>23584.008456050164</v>
      </c>
      <c r="S85" s="45">
        <f>SUM('Statistics NZ'!S$85,$P$12/5*(S$8-S$9)*1000)*'Economic Forecasts'!U$9*1000000/SUM('Statistics NZ'!S$30:S$110,'Statistics NZ'!S$130:S$210,SUM($E$12:$T$13)*(S$8-S$9)*1000)</f>
        <v>23827.237969789821</v>
      </c>
      <c r="T85" s="45">
        <f>SUM('Statistics NZ'!T$85,$P$12/5*(T$8-T$9)*1000)*'Economic Forecasts'!V$9*1000000/SUM('Statistics NZ'!T$30:T$110,'Statistics NZ'!T$130:T$210,SUM($E$12:$T$13)*(T$8-T$9)*1000)</f>
        <v>25269.201639133338</v>
      </c>
      <c r="U85" s="45">
        <f>SUM('Statistics NZ'!U$85,$P$12/5*(U$8-U$9)*1000)*'Economic Forecasts'!W$9*1000000/SUM('Statistics NZ'!U$30:U$110,'Statistics NZ'!U$130:U$210,SUM($E$12:$T$13)*(U$8-U$9)*1000)</f>
        <v>26397.94647242453</v>
      </c>
      <c r="V85" s="45">
        <f>SUM('Statistics NZ'!V$85,$P$12/5*(V$8-V$9)*1000)*'Economic Forecasts'!X$9*1000000/SUM('Statistics NZ'!V$30:V$110,'Statistics NZ'!V$130:V$210,SUM($E$12:$T$13)*(V$8-V$9)*1000)</f>
        <v>27161.428358222965</v>
      </c>
      <c r="W85" s="45">
        <f>SUM('Statistics NZ'!W$85,$P$12/5*(W$8-W$9)*1000)*'Economic Forecasts'!Y$9*1000000/SUM('Statistics NZ'!W$30:W$110,'Statistics NZ'!W$130:W$210,SUM($E$12:$T$13)*(W$8-W$9)*1000)</f>
        <v>27890.93525870212</v>
      </c>
      <c r="X85" s="45">
        <f>SUM('Statistics NZ'!X$85,$P$12/5*(X$8-X$9)*1000)*'Economic Forecasts'!Z$9*1000000/SUM('Statistics NZ'!X$30:X$110,'Statistics NZ'!X$130:X$210,SUM($E$12:$T$13)*(X$8-X$9)*1000)</f>
        <v>28768.005529533879</v>
      </c>
      <c r="Y85" s="45">
        <f>SUM('Statistics NZ'!Y$85,$P$12/5*(Y$8-Y$9)*1000)*'Economic Forecasts'!AA$9*1000000/SUM('Statistics NZ'!Y$30:Y$110,'Statistics NZ'!Y$130:Y$210,SUM($E$12:$T$13)*(Y$8-Y$9)*1000)</f>
        <v>29990.123584261415</v>
      </c>
      <c r="Z85" s="46">
        <f>SUM(Y$85,'Statistics NZ'!Z$85-'Statistics NZ'!Y$85,$P$12/5*(Z$8-Z$9)*1000)</f>
        <v>30399.463116211118</v>
      </c>
      <c r="AA85" s="46">
        <f>SUM(Z$85,'Statistics NZ'!AA$85-'Statistics NZ'!Z$85,$P$12/5*(AA$8-AA$9)*1000)</f>
        <v>31847.764922388633</v>
      </c>
      <c r="AB85" s="46">
        <f>SUM(AA$85,'Statistics NZ'!AB$85-'Statistics NZ'!AA$85,$P$12/5*(AB$8-AB$9)*1000)</f>
        <v>32685.029002793955</v>
      </c>
      <c r="AC85" s="46">
        <f>SUM(AB$85,'Statistics NZ'!AC$85-'Statistics NZ'!AB$85,$P$12/5*(AC$8-AC$9)*1000)</f>
        <v>33171.255357427093</v>
      </c>
      <c r="AD85" s="46">
        <f>SUM(AC$85,'Statistics NZ'!AD$85-'Statistics NZ'!AC$85,$P$12/5*(AD$8-AD$9)*1000)</f>
        <v>32516.443986288039</v>
      </c>
      <c r="AE85" s="46">
        <f>SUM(AD$85,'Statistics NZ'!AE$85-'Statistics NZ'!AD$85,$P$12/5*(AE$8-AE$9)*1000)</f>
        <v>31760.594889376796</v>
      </c>
      <c r="AF85" s="46">
        <f>SUM(AE$85,'Statistics NZ'!AF$85-'Statistics NZ'!AE$85,$P$12/5*(AF$8-AF$9)*1000)</f>
        <v>31293.708066693365</v>
      </c>
      <c r="AG85" s="46">
        <f>SUM(AF$85,'Statistics NZ'!AG$85-'Statistics NZ'!AF$85,$P$12/5*(AG$8-AG$9)*1000)</f>
        <v>31825.783518237742</v>
      </c>
      <c r="AH85" s="46">
        <f>SUM(AG$85,'Statistics NZ'!AH$85-'Statistics NZ'!AG$85,$P$12/5*(AH$8-AH$9)*1000)</f>
        <v>32466.821244009931</v>
      </c>
      <c r="AI85" s="46">
        <f>SUM(AH$85,'Statistics NZ'!AI$85-'Statistics NZ'!AH$85,$P$12/5*(AI$8-AI$9)*1000)</f>
        <v>33096.821244009931</v>
      </c>
    </row>
    <row r="86" spans="1:35" x14ac:dyDescent="0.25">
      <c r="A86" s="11">
        <v>71</v>
      </c>
      <c r="B86" s="44">
        <f>'Statistics NZ'!B$86*'Economic Forecasts'!D$9*1000000/SUM('Statistics NZ'!B$30:B$110,'Statistics NZ'!B$130:B$210)</f>
        <v>12376.685212600718</v>
      </c>
      <c r="C86" s="44">
        <f>'Statistics NZ'!C$86*'Economic Forecasts'!E$9*1000000/SUM('Statistics NZ'!C$30:C$110,'Statistics NZ'!C$130:C$210)</f>
        <v>13011.603692056557</v>
      </c>
      <c r="D86" s="44">
        <f>'Statistics NZ'!D$86*'Economic Forecasts'!F$9*1000000/SUM('Statistics NZ'!D$30:D$110,'Statistics NZ'!D$130:D$210)</f>
        <v>13525.890542886358</v>
      </c>
      <c r="E86" s="44">
        <f>'Statistics NZ'!E$86*'Economic Forecasts'!G$9*1000000/SUM('Statistics NZ'!E$30:E$110,'Statistics NZ'!E$130:E$210)</f>
        <v>13916.165506373773</v>
      </c>
      <c r="F86" s="44">
        <f>'Statistics NZ'!F$86*'Economic Forecasts'!H$9*1000000/SUM('Statistics NZ'!F$30:F$110,'Statistics NZ'!F$130:F$210)</f>
        <v>14497.452730711024</v>
      </c>
      <c r="G86" s="44">
        <f>'Statistics NZ'!G$86*'Economic Forecasts'!I$9*1000000/SUM('Statistics NZ'!G$30:G$110,'Statistics NZ'!G$130:G$210)</f>
        <v>15617.730892590822</v>
      </c>
      <c r="H86" s="44">
        <f>'Statistics NZ'!H$86*'Economic Forecasts'!J$9*1000000/SUM('Statistics NZ'!H$30:H$110,'Statistics NZ'!H$130:H$210)</f>
        <v>16909.061023335056</v>
      </c>
      <c r="I86" s="44">
        <f>'Statistics NZ'!I$86*'Economic Forecasts'!K$9*1000000/SUM('Statistics NZ'!I$30:I$110,'Statistics NZ'!I$130:I$210)</f>
        <v>17224.846673515771</v>
      </c>
      <c r="J86" s="44">
        <f>'Statistics NZ'!J$86*'Economic Forecasts'!L$9*1000000/SUM('Statistics NZ'!J$30:J$110,'Statistics NZ'!J$130:J$210)</f>
        <v>15310.455122976971</v>
      </c>
      <c r="K86" s="44">
        <f>'Statistics NZ'!K$86*'Economic Forecasts'!M$9*1000000/SUM('Statistics NZ'!K$30:K$110,'Statistics NZ'!K$130:K$210)</f>
        <v>16999.438971954016</v>
      </c>
      <c r="L86" s="44">
        <f>'Statistics NZ'!L$86*'Economic Forecasts'!N$9*1000000/SUM('Statistics NZ'!L$30:L$110,'Statistics NZ'!L$130:L$210)</f>
        <v>17886.161799282756</v>
      </c>
      <c r="M86" s="44">
        <f>'Statistics NZ'!M$86*'Economic Forecasts'!O$9*1000000/SUM('Statistics NZ'!M$30:M$110,'Statistics NZ'!M$130:M$210)</f>
        <v>18845.507940970871</v>
      </c>
      <c r="N86" s="44">
        <f>'Statistics NZ'!N$86*'Economic Forecasts'!P$9*1000000/SUM('Statistics NZ'!N$30:N$110,'Statistics NZ'!N$130:N$210)</f>
        <v>22035.671979242008</v>
      </c>
      <c r="O86" s="44">
        <f>'Statistics NZ'!O$86*'Economic Forecasts'!Q$9*1000000/SUM('Statistics NZ'!O$30:O$110,'Statistics NZ'!O$130:O$210)</f>
        <v>22317.071655116877</v>
      </c>
      <c r="P86" s="44">
        <f>'Statistics NZ'!P$86*'Economic Forecasts'!R$9*1000000/SUM('Statistics NZ'!P$30:P$110,'Statistics NZ'!P$130:P$210)</f>
        <v>22017.744884547672</v>
      </c>
      <c r="Q86" s="44">
        <f>'Statistics NZ'!Q$86*'Economic Forecasts'!S$9*1000000/SUM('Statistics NZ'!Q$30:Q$110,'Statistics NZ'!Q$130:Q$210)</f>
        <v>22827.600721152106</v>
      </c>
      <c r="R86" s="44">
        <f>'Statistics NZ'!R$86*'Economic Forecasts'!T$9*1000000/SUM('Statistics NZ'!R$30:R$110,'Statistics NZ'!R$130:R$210)</f>
        <v>22618.581209311269</v>
      </c>
      <c r="S86" s="45">
        <f>SUM('Statistics NZ'!S$86,$P$12/5*(S$8-S$9)*1000)*'Economic Forecasts'!U$9*1000000/SUM('Statistics NZ'!S$30:S$110,'Statistics NZ'!S$130:S$210,SUM($E$12:$T$13)*(S$8-S$9)*1000)</f>
        <v>23051.088129911957</v>
      </c>
      <c r="T86" s="45">
        <f>SUM('Statistics NZ'!T$86,$P$12/5*(T$8-T$9)*1000)*'Economic Forecasts'!V$9*1000000/SUM('Statistics NZ'!T$30:T$110,'Statistics NZ'!T$130:T$210,SUM($E$12:$T$13)*(T$8-T$9)*1000)</f>
        <v>24230.623323438675</v>
      </c>
      <c r="U86" s="45">
        <f>SUM('Statistics NZ'!U$86,$P$12/5*(U$8-U$9)*1000)*'Economic Forecasts'!W$9*1000000/SUM('Statistics NZ'!U$30:U$110,'Statistics NZ'!U$130:U$210,SUM($E$12:$T$13)*(U$8-U$9)*1000)</f>
        <v>25266.967636904446</v>
      </c>
      <c r="V86" s="45">
        <f>SUM('Statistics NZ'!V$86,$P$12/5*(V$8-V$9)*1000)*'Economic Forecasts'!X$9*1000000/SUM('Statistics NZ'!V$30:V$110,'Statistics NZ'!V$130:V$210,SUM($E$12:$T$13)*(V$8-V$9)*1000)</f>
        <v>26190.623671135043</v>
      </c>
      <c r="W86" s="45">
        <f>SUM('Statistics NZ'!W$86,$P$12/5*(W$8-W$9)*1000)*'Economic Forecasts'!Y$9*1000000/SUM('Statistics NZ'!W$30:W$110,'Statistics NZ'!W$130:W$210,SUM($E$12:$T$13)*(W$8-W$9)*1000)</f>
        <v>26949.085575898065</v>
      </c>
      <c r="X86" s="45">
        <f>SUM('Statistics NZ'!X$86,$P$12/5*(X$8-X$9)*1000)*'Economic Forecasts'!Z$9*1000000/SUM('Statistics NZ'!X$30:X$110,'Statistics NZ'!X$130:X$210,SUM($E$12:$T$13)*(X$8-X$9)*1000)</f>
        <v>27692.38808722761</v>
      </c>
      <c r="Y86" s="45">
        <f>SUM('Statistics NZ'!Y$86,$P$12/5*(Y$8-Y$9)*1000)*'Economic Forecasts'!AA$9*1000000/SUM('Statistics NZ'!Y$30:Y$110,'Statistics NZ'!Y$130:Y$210,SUM($E$12:$T$13)*(Y$8-Y$9)*1000)</f>
        <v>28596.434862056332</v>
      </c>
      <c r="Z86" s="46">
        <f>SUM(Y$86,'Statistics NZ'!Z$86-'Statistics NZ'!Y$86,$P$12/5*(Z$8-Z$9)*1000)</f>
        <v>29715.774394006035</v>
      </c>
      <c r="AA86" s="46">
        <f>SUM(Z$86,'Statistics NZ'!AA$86-'Statistics NZ'!Z$86,$P$12/5*(AA$8-AA$9)*1000)</f>
        <v>30134.07620018355</v>
      </c>
      <c r="AB86" s="46">
        <f>SUM(AA$86,'Statistics NZ'!AB$86-'Statistics NZ'!AA$86,$P$12/5*(AB$8-AB$9)*1000)</f>
        <v>31571.340280588873</v>
      </c>
      <c r="AC86" s="46">
        <f>SUM(AB$86,'Statistics NZ'!AC$86-'Statistics NZ'!AB$86,$P$12/5*(AC$8-AC$9)*1000)</f>
        <v>32407.566635222007</v>
      </c>
      <c r="AD86" s="46">
        <f>SUM(AC$86,'Statistics NZ'!AD$86-'Statistics NZ'!AC$86,$P$12/5*(AD$8-AD$9)*1000)</f>
        <v>32892.755264082953</v>
      </c>
      <c r="AE86" s="46">
        <f>SUM(AD$86,'Statistics NZ'!AE$86-'Statistics NZ'!AD$86,$P$12/5*(AE$8-AE$9)*1000)</f>
        <v>32256.90616717171</v>
      </c>
      <c r="AF86" s="46">
        <f>SUM(AE$86,'Statistics NZ'!AF$86-'Statistics NZ'!AE$86,$P$12/5*(AF$8-AF$9)*1000)</f>
        <v>31500.019344488279</v>
      </c>
      <c r="AG86" s="46">
        <f>SUM(AF$86,'Statistics NZ'!AG$86-'Statistics NZ'!AF$86,$P$12/5*(AG$8-AG$9)*1000)</f>
        <v>31052.094796032656</v>
      </c>
      <c r="AH86" s="46">
        <f>SUM(AG$86,'Statistics NZ'!AH$86-'Statistics NZ'!AG$86,$P$12/5*(AH$8-AH$9)*1000)</f>
        <v>31583.132521804844</v>
      </c>
      <c r="AI86" s="46">
        <f>SUM(AH$86,'Statistics NZ'!AI$86-'Statistics NZ'!AH$86,$P$12/5*(AI$8-AI$9)*1000)</f>
        <v>32213.132521804844</v>
      </c>
    </row>
    <row r="87" spans="1:35" x14ac:dyDescent="0.25">
      <c r="A87" s="11">
        <v>72</v>
      </c>
      <c r="B87" s="44">
        <f>'Statistics NZ'!B$87*'Economic Forecasts'!D$9*1000000/SUM('Statistics NZ'!B$30:B$110,'Statistics NZ'!B$130:B$210)</f>
        <v>12141.870631492087</v>
      </c>
      <c r="C87" s="44">
        <f>'Statistics NZ'!C$87*'Economic Forecasts'!E$9*1000000/SUM('Statistics NZ'!C$30:C$110,'Statistics NZ'!C$130:C$210)</f>
        <v>12216.177353145929</v>
      </c>
      <c r="D87" s="44">
        <f>'Statistics NZ'!D$87*'Economic Forecasts'!F$9*1000000/SUM('Statistics NZ'!D$30:D$110,'Statistics NZ'!D$130:D$210)</f>
        <v>12808.831712362971</v>
      </c>
      <c r="E87" s="44">
        <f>'Statistics NZ'!E$87*'Economic Forecasts'!G$9*1000000/SUM('Statistics NZ'!E$30:E$110,'Statistics NZ'!E$130:E$210)</f>
        <v>13278.709017357354</v>
      </c>
      <c r="F87" s="44">
        <f>'Statistics NZ'!F$87*'Economic Forecasts'!H$9*1000000/SUM('Statistics NZ'!F$30:F$110,'Statistics NZ'!F$130:F$210)</f>
        <v>13732.363885653202</v>
      </c>
      <c r="G87" s="44">
        <f>'Statistics NZ'!G$87*'Economic Forecasts'!I$9*1000000/SUM('Statistics NZ'!G$30:G$110,'Statistics NZ'!G$130:G$210)</f>
        <v>14311.342082078509</v>
      </c>
      <c r="H87" s="44">
        <f>'Statistics NZ'!H$87*'Economic Forecasts'!J$9*1000000/SUM('Statistics NZ'!H$30:H$110,'Statistics NZ'!H$130:H$210)</f>
        <v>15405.815040435427</v>
      </c>
      <c r="I87" s="44">
        <f>'Statistics NZ'!I$87*'Economic Forecasts'!K$9*1000000/SUM('Statistics NZ'!I$30:I$110,'Statistics NZ'!I$130:I$210)</f>
        <v>16626.829799819436</v>
      </c>
      <c r="J87" s="44">
        <f>'Statistics NZ'!J$87*'Economic Forecasts'!L$9*1000000/SUM('Statistics NZ'!J$30:J$110,'Statistics NZ'!J$130:J$210)</f>
        <v>16890.260046494339</v>
      </c>
      <c r="K87" s="44">
        <f>'Statistics NZ'!K$87*'Economic Forecasts'!M$9*1000000/SUM('Statistics NZ'!K$30:K$110,'Statistics NZ'!K$130:K$210)</f>
        <v>15052.195103459853</v>
      </c>
      <c r="L87" s="44">
        <f>'Statistics NZ'!L$87*'Economic Forecasts'!N$9*1000000/SUM('Statistics NZ'!L$30:L$110,'Statistics NZ'!L$130:L$210)</f>
        <v>16727.504611414137</v>
      </c>
      <c r="M87" s="44">
        <f>'Statistics NZ'!M$87*'Economic Forecasts'!O$9*1000000/SUM('Statistics NZ'!M$30:M$110,'Statistics NZ'!M$130:M$210)</f>
        <v>17653.6199322625</v>
      </c>
      <c r="N87" s="44">
        <f>'Statistics NZ'!N$87*'Economic Forecasts'!P$9*1000000/SUM('Statistics NZ'!N$30:N$110,'Statistics NZ'!N$130:N$210)</f>
        <v>18571.805247158674</v>
      </c>
      <c r="O87" s="44">
        <f>'Statistics NZ'!O$87*'Economic Forecasts'!Q$9*1000000/SUM('Statistics NZ'!O$30:O$110,'Statistics NZ'!O$130:O$210)</f>
        <v>21836.39626562205</v>
      </c>
      <c r="P87" s="44">
        <f>'Statistics NZ'!P$87*'Economic Forecasts'!R$9*1000000/SUM('Statistics NZ'!P$30:P$110,'Statistics NZ'!P$130:P$210)</f>
        <v>22193.80859308692</v>
      </c>
      <c r="Q87" s="44">
        <f>'Statistics NZ'!Q$87*'Economic Forecasts'!S$9*1000000/SUM('Statistics NZ'!Q$30:Q$110,'Statistics NZ'!Q$130:Q$210)</f>
        <v>21850.543880947149</v>
      </c>
      <c r="R87" s="44">
        <f>'Statistics NZ'!R$87*'Economic Forecasts'!T$9*1000000/SUM('Statistics NZ'!R$30:R$110,'Statistics NZ'!R$130:R$210)</f>
        <v>22421.555240589045</v>
      </c>
      <c r="S87" s="45">
        <f>SUM('Statistics NZ'!S$87,$P$12/5*(S$8-S$9)*1000)*'Economic Forecasts'!U$9*1000000/SUM('Statistics NZ'!S$30:S$110,'Statistics NZ'!S$130:S$210,SUM($E$12:$T$13)*(S$8-S$9)*1000)</f>
        <v>22080.900830064627</v>
      </c>
      <c r="T87" s="45">
        <f>SUM('Statistics NZ'!T$87,$P$12/5*(T$8-T$9)*1000)*'Economic Forecasts'!V$9*1000000/SUM('Statistics NZ'!T$30:T$110,'Statistics NZ'!T$130:T$210,SUM($E$12:$T$13)*(T$8-T$9)*1000)</f>
        <v>23421.730596791873</v>
      </c>
      <c r="U87" s="45">
        <f>SUM('Statistics NZ'!U$87,$P$12/5*(U$8-U$9)*1000)*'Economic Forecasts'!W$9*1000000/SUM('Statistics NZ'!U$30:U$110,'Statistics NZ'!U$130:U$210,SUM($E$12:$T$13)*(U$8-U$9)*1000)</f>
        <v>24206.674978604369</v>
      </c>
      <c r="V87" s="45">
        <f>SUM('Statistics NZ'!V$87,$P$12/5*(V$8-V$9)*1000)*'Economic Forecasts'!X$9*1000000/SUM('Statistics NZ'!V$30:V$110,'Statistics NZ'!V$130:V$210,SUM($E$12:$T$13)*(V$8-V$9)*1000)</f>
        <v>25027.680556394298</v>
      </c>
      <c r="W87" s="45">
        <f>SUM('Statistics NZ'!W$87,$P$12/5*(W$8-W$9)*1000)*'Economic Forecasts'!Y$9*1000000/SUM('Statistics NZ'!W$30:W$110,'Statistics NZ'!W$130:W$210,SUM($E$12:$T$13)*(W$8-W$9)*1000)</f>
        <v>25956.598813373359</v>
      </c>
      <c r="X87" s="45">
        <f>SUM('Statistics NZ'!X$87,$P$12/5*(X$8-X$9)*1000)*'Economic Forecasts'!Z$9*1000000/SUM('Statistics NZ'!X$30:X$110,'Statistics NZ'!X$130:X$210,SUM($E$12:$T$13)*(X$8-X$9)*1000)</f>
        <v>26728.391322896518</v>
      </c>
      <c r="Y87" s="45">
        <f>SUM('Statistics NZ'!Y$87,$P$12/5*(Y$8-Y$9)*1000)*'Economic Forecasts'!AA$9*1000000/SUM('Statistics NZ'!Y$30:Y$110,'Statistics NZ'!Y$130:Y$210,SUM($E$12:$T$13)*(Y$8-Y$9)*1000)</f>
        <v>27487.587630520906</v>
      </c>
      <c r="Z87" s="46">
        <f>SUM(Y$87,'Statistics NZ'!Z$87-'Statistics NZ'!Y$87,$P$12/5*(Z$8-Z$9)*1000)</f>
        <v>28306.927162470609</v>
      </c>
      <c r="AA87" s="46">
        <f>SUM(Z$87,'Statistics NZ'!AA$87-'Statistics NZ'!Z$87,$P$12/5*(AA$8-AA$9)*1000)</f>
        <v>29425.228968648124</v>
      </c>
      <c r="AB87" s="46">
        <f>SUM(AA$87,'Statistics NZ'!AB$87-'Statistics NZ'!AA$87,$P$12/5*(AB$8-AB$9)*1000)</f>
        <v>29842.493049053446</v>
      </c>
      <c r="AC87" s="46">
        <f>SUM(AB$87,'Statistics NZ'!AC$87-'Statistics NZ'!AB$87,$P$12/5*(AC$8-AC$9)*1000)</f>
        <v>31278.71940368658</v>
      </c>
      <c r="AD87" s="46">
        <f>SUM(AC$87,'Statistics NZ'!AD$87-'Statistics NZ'!AC$87,$P$12/5*(AD$8-AD$9)*1000)</f>
        <v>32113.908032547526</v>
      </c>
      <c r="AE87" s="46">
        <f>SUM(AD$87,'Statistics NZ'!AE$87-'Statistics NZ'!AD$87,$P$12/5*(AE$8-AE$9)*1000)</f>
        <v>32588.058935636283</v>
      </c>
      <c r="AF87" s="46">
        <f>SUM(AE$87,'Statistics NZ'!AF$87-'Statistics NZ'!AE$87,$P$12/5*(AF$8-AF$9)*1000)</f>
        <v>31961.172112952852</v>
      </c>
      <c r="AG87" s="46">
        <f>SUM(AF$87,'Statistics NZ'!AG$87-'Statistics NZ'!AF$87,$P$12/5*(AG$8-AG$9)*1000)</f>
        <v>31223.247564497229</v>
      </c>
      <c r="AH87" s="46">
        <f>SUM(AG$87,'Statistics NZ'!AH$87-'Statistics NZ'!AG$87,$P$12/5*(AH$8-AH$9)*1000)</f>
        <v>30774.285290269418</v>
      </c>
      <c r="AI87" s="46">
        <f>SUM(AH$87,'Statistics NZ'!AI$87-'Statistics NZ'!AH$87,$P$12/5*(AI$8-AI$9)*1000)</f>
        <v>31314.285290269418</v>
      </c>
    </row>
    <row r="88" spans="1:35" x14ac:dyDescent="0.25">
      <c r="A88" s="11">
        <v>73</v>
      </c>
      <c r="B88" s="44">
        <f>'Statistics NZ'!B$88*'Economic Forecasts'!D$9*1000000/SUM('Statistics NZ'!B$30:B$110,'Statistics NZ'!B$130:B$210)</f>
        <v>12034.247281817297</v>
      </c>
      <c r="C88" s="44">
        <f>'Statistics NZ'!C$88*'Economic Forecasts'!E$9*1000000/SUM('Statistics NZ'!C$30:C$110,'Statistics NZ'!C$130:C$210)</f>
        <v>11931.395083659409</v>
      </c>
      <c r="D88" s="44">
        <f>'Statistics NZ'!D$88*'Economic Forecasts'!F$9*1000000/SUM('Statistics NZ'!D$30:D$110,'Statistics NZ'!D$130:D$210)</f>
        <v>11964.077473664185</v>
      </c>
      <c r="E88" s="44">
        <f>'Statistics NZ'!E$88*'Economic Forecasts'!G$9*1000000/SUM('Statistics NZ'!E$30:E$110,'Statistics NZ'!E$130:E$210)</f>
        <v>12533.375276353547</v>
      </c>
      <c r="F88" s="44">
        <f>'Statistics NZ'!F$88*'Economic Forecasts'!H$9*1000000/SUM('Statistics NZ'!F$30:F$110,'Statistics NZ'!F$130:F$210)</f>
        <v>13026.128028676751</v>
      </c>
      <c r="G88" s="44">
        <f>'Statistics NZ'!G$88*'Economic Forecasts'!I$9*1000000/SUM('Statistics NZ'!G$30:G$110,'Statistics NZ'!G$130:G$210)</f>
        <v>13515.72182905973</v>
      </c>
      <c r="H88" s="44">
        <f>'Statistics NZ'!H$88*'Economic Forecasts'!J$9*1000000/SUM('Statistics NZ'!H$30:H$110,'Statistics NZ'!H$130:H$210)</f>
        <v>14099.071800398495</v>
      </c>
      <c r="I88" s="44">
        <f>'Statistics NZ'!I$88*'Economic Forecasts'!K$9*1000000/SUM('Statistics NZ'!I$30:I$110,'Statistics NZ'!I$130:I$210)</f>
        <v>15185.707169764328</v>
      </c>
      <c r="J88" s="44">
        <f>'Statistics NZ'!J$88*'Economic Forecasts'!L$9*1000000/SUM('Statistics NZ'!J$30:J$110,'Statistics NZ'!J$130:J$210)</f>
        <v>16285.643347370407</v>
      </c>
      <c r="K88" s="44">
        <f>'Statistics NZ'!K$88*'Economic Forecasts'!M$9*1000000/SUM('Statistics NZ'!K$30:K$110,'Statistics NZ'!K$130:K$210)</f>
        <v>16600.253978912711</v>
      </c>
      <c r="L88" s="44">
        <f>'Statistics NZ'!L$88*'Economic Forecasts'!N$9*1000000/SUM('Statistics NZ'!L$30:L$110,'Statistics NZ'!L$130:L$210)</f>
        <v>14809.391451665255</v>
      </c>
      <c r="M88" s="44">
        <f>'Statistics NZ'!M$88*'Economic Forecasts'!O$9*1000000/SUM('Statistics NZ'!M$30:M$110,'Statistics NZ'!M$130:M$210)</f>
        <v>16451.962349712259</v>
      </c>
      <c r="N88" s="44">
        <f>'Statistics NZ'!N$88*'Economic Forecasts'!P$9*1000000/SUM('Statistics NZ'!N$30:N$110,'Statistics NZ'!N$130:N$210)</f>
        <v>17338.903528959523</v>
      </c>
      <c r="O88" s="44">
        <f>'Statistics NZ'!O$88*'Economic Forecasts'!Q$9*1000000/SUM('Statistics NZ'!O$30:O$110,'Statistics NZ'!O$130:O$210)</f>
        <v>18334.332713588323</v>
      </c>
      <c r="P88" s="44">
        <f>'Statistics NZ'!P$88*'Economic Forecasts'!R$9*1000000/SUM('Statistics NZ'!P$30:P$110,'Statistics NZ'!P$130:P$210)</f>
        <v>21646.054833187027</v>
      </c>
      <c r="Q88" s="44">
        <f>'Statistics NZ'!Q$88*'Economic Forecasts'!S$9*1000000/SUM('Statistics NZ'!Q$30:Q$110,'Statistics NZ'!Q$130:Q$210)</f>
        <v>22028.190579166236</v>
      </c>
      <c r="R88" s="44">
        <f>'Statistics NZ'!R$88*'Economic Forecasts'!T$9*1000000/SUM('Statistics NZ'!R$30:R$110,'Statistics NZ'!R$130:R$210)</f>
        <v>21456.12799385015</v>
      </c>
      <c r="S88" s="45">
        <f>SUM('Statistics NZ'!S$88,$P$12/5*(S$8-S$9)*1000)*'Economic Forecasts'!U$9*1000000/SUM('Statistics NZ'!S$30:S$110,'Statistics NZ'!S$130:S$210,SUM($E$12:$T$13)*(S$8-S$9)*1000)</f>
        <v>21857.757751099743</v>
      </c>
      <c r="T88" s="45">
        <f>SUM('Statistics NZ'!T$88,$P$12/5*(T$8-T$9)*1000)*'Economic Forecasts'!V$9*1000000/SUM('Statistics NZ'!T$30:T$110,'Statistics NZ'!T$130:T$210,SUM($E$12:$T$13)*(T$8-T$9)*1000)</f>
        <v>22403.124941014416</v>
      </c>
      <c r="U88" s="45">
        <f>SUM('Statistics NZ'!U$88,$P$12/5*(U$8-U$9)*1000)*'Economic Forecasts'!W$9*1000000/SUM('Statistics NZ'!U$30:U$110,'Statistics NZ'!U$130:U$210,SUM($E$12:$T$13)*(U$8-U$9)*1000)</f>
        <v>23358.440851964308</v>
      </c>
      <c r="V88" s="45">
        <f>SUM('Statistics NZ'!V$88,$P$12/5*(V$8-V$9)*1000)*'Economic Forecasts'!X$9*1000000/SUM('Statistics NZ'!V$30:V$110,'Statistics NZ'!V$130:V$210,SUM($E$12:$T$13)*(V$8-V$9)*1000)</f>
        <v>23945.637832244214</v>
      </c>
      <c r="W88" s="45">
        <f>SUM('Statistics NZ'!W$88,$P$12/5*(W$8-W$9)*1000)*'Economic Forecasts'!Y$9*1000000/SUM('Statistics NZ'!W$30:W$110,'Statistics NZ'!W$130:W$210,SUM($E$12:$T$13)*(W$8-W$9)*1000)</f>
        <v>24781.818563854322</v>
      </c>
      <c r="X88" s="45">
        <f>SUM('Statistics NZ'!X$88,$P$12/5*(X$8-X$9)*1000)*'Economic Forecasts'!Z$9*1000000/SUM('Statistics NZ'!X$30:X$110,'Statistics NZ'!X$130:X$210,SUM($E$12:$T$13)*(X$8-X$9)*1000)</f>
        <v>25713.65788675853</v>
      </c>
      <c r="Y88" s="45">
        <f>SUM('Statistics NZ'!Y$88,$P$12/5*(Y$8-Y$9)*1000)*'Economic Forecasts'!AA$9*1000000/SUM('Statistics NZ'!Y$30:Y$110,'Statistics NZ'!Y$130:Y$210,SUM($E$12:$T$13)*(Y$8-Y$9)*1000)</f>
        <v>26490.642413177127</v>
      </c>
      <c r="Z88" s="46">
        <f>SUM(Y$88,'Statistics NZ'!Z$88-'Statistics NZ'!Y$88,$P$12/5*(Z$8-Z$9)*1000)</f>
        <v>27179.98194512683</v>
      </c>
      <c r="AA88" s="46">
        <f>SUM(Z$88,'Statistics NZ'!AA$88-'Statistics NZ'!Z$88,$P$12/5*(AA$8-AA$9)*1000)</f>
        <v>27998.283751304345</v>
      </c>
      <c r="AB88" s="46">
        <f>SUM(AA$88,'Statistics NZ'!AB$88-'Statistics NZ'!AA$88,$P$12/5*(AB$8-AB$9)*1000)</f>
        <v>29115.547831709668</v>
      </c>
      <c r="AC88" s="46">
        <f>SUM(AB$88,'Statistics NZ'!AC$88-'Statistics NZ'!AB$88,$P$12/5*(AC$8-AC$9)*1000)</f>
        <v>29531.774186342802</v>
      </c>
      <c r="AD88" s="46">
        <f>SUM(AC$88,'Statistics NZ'!AD$88-'Statistics NZ'!AC$88,$P$12/5*(AD$8-AD$9)*1000)</f>
        <v>30946.962815203748</v>
      </c>
      <c r="AE88" s="46">
        <f>SUM(AD$88,'Statistics NZ'!AE$88-'Statistics NZ'!AD$88,$P$12/5*(AE$8-AE$9)*1000)</f>
        <v>31781.113718292505</v>
      </c>
      <c r="AF88" s="46">
        <f>SUM(AE$88,'Statistics NZ'!AF$88-'Statistics NZ'!AE$88,$P$12/5*(AF$8-AF$9)*1000)</f>
        <v>32264.226895609074</v>
      </c>
      <c r="AG88" s="46">
        <f>SUM(AF$88,'Statistics NZ'!AG$88-'Statistics NZ'!AF$88,$P$12/5*(AG$8-AG$9)*1000)</f>
        <v>31646.302347153451</v>
      </c>
      <c r="AH88" s="46">
        <f>SUM(AG$88,'Statistics NZ'!AH$88-'Statistics NZ'!AG$88,$P$12/5*(AH$8-AH$9)*1000)</f>
        <v>30917.340072925639</v>
      </c>
      <c r="AI88" s="46">
        <f>SUM(AH$88,'Statistics NZ'!AI$88-'Statistics NZ'!AH$88,$P$12/5*(AI$8-AI$9)*1000)</f>
        <v>30477.340072925639</v>
      </c>
    </row>
    <row r="89" spans="1:35" x14ac:dyDescent="0.25">
      <c r="A89" s="11">
        <v>74</v>
      </c>
      <c r="B89" s="44">
        <f>'Statistics NZ'!B$89*'Economic Forecasts'!D$9*1000000/SUM('Statistics NZ'!B$30:B$110,'Statistics NZ'!B$130:B$210)</f>
        <v>11701.593291913407</v>
      </c>
      <c r="C89" s="44">
        <f>'Statistics NZ'!C$89*'Economic Forecasts'!E$9*1000000/SUM('Statistics NZ'!C$30:C$110,'Statistics NZ'!C$130:C$210)</f>
        <v>11813.554144561538</v>
      </c>
      <c r="D89" s="44">
        <f>'Statistics NZ'!D$89*'Economic Forecasts'!F$9*1000000/SUM('Statistics NZ'!D$30:D$110,'Statistics NZ'!D$130:D$210)</f>
        <v>11669.395762490189</v>
      </c>
      <c r="E89" s="44">
        <f>'Statistics NZ'!E$89*'Economic Forecasts'!G$9*1000000/SUM('Statistics NZ'!E$30:E$110,'Statistics NZ'!E$130:E$210)</f>
        <v>11699.778329178233</v>
      </c>
      <c r="F89" s="44">
        <f>'Statistics NZ'!F$89*'Economic Forecasts'!H$9*1000000/SUM('Statistics NZ'!F$30:F$110,'Statistics NZ'!F$130:F$210)</f>
        <v>12261.03918361893</v>
      </c>
      <c r="G89" s="44">
        <f>'Statistics NZ'!G$89*'Economic Forecasts'!I$9*1000000/SUM('Statistics NZ'!G$30:G$110,'Statistics NZ'!G$130:G$210)</f>
        <v>12818.326298635864</v>
      </c>
      <c r="H89" s="44">
        <f>'Statistics NZ'!H$89*'Economic Forecasts'!J$9*1000000/SUM('Statistics NZ'!H$30:H$110,'Statistics NZ'!H$130:H$210)</f>
        <v>13273.760280375165</v>
      </c>
      <c r="I89" s="44">
        <f>'Statistics NZ'!I$89*'Economic Forecasts'!K$9*1000000/SUM('Statistics NZ'!I$30:I$110,'Statistics NZ'!I$130:I$210)</f>
        <v>13783.798760935213</v>
      </c>
      <c r="J89" s="44">
        <f>'Statistics NZ'!J$89*'Economic Forecasts'!L$9*1000000/SUM('Statistics NZ'!J$30:J$110,'Statistics NZ'!J$130:J$210)</f>
        <v>14852.116657512055</v>
      </c>
      <c r="K89" s="44">
        <f>'Statistics NZ'!K$89*'Economic Forecasts'!M$9*1000000/SUM('Statistics NZ'!K$30:K$110,'Statistics NZ'!K$130:K$210)</f>
        <v>15938.191063624696</v>
      </c>
      <c r="L89" s="44">
        <f>'Statistics NZ'!L$89*'Economic Forecasts'!N$9*1000000/SUM('Statistics NZ'!L$30:L$110,'Statistics NZ'!L$130:L$210)</f>
        <v>16299.093550353473</v>
      </c>
      <c r="M89" s="44">
        <f>'Statistics NZ'!M$89*'Economic Forecasts'!O$9*1000000/SUM('Statistics NZ'!M$30:M$110,'Statistics NZ'!M$130:M$210)</f>
        <v>14556.665024389109</v>
      </c>
      <c r="N89" s="44">
        <f>'Statistics NZ'!N$89*'Economic Forecasts'!P$9*1000000/SUM('Statistics NZ'!N$30:N$110,'Statistics NZ'!N$130:N$210)</f>
        <v>16135.356613574633</v>
      </c>
      <c r="O89" s="44">
        <f>'Statistics NZ'!O$89*'Economic Forecasts'!Q$9*1000000/SUM('Statistics NZ'!O$30:O$110,'Statistics NZ'!O$130:O$210)</f>
        <v>17088.50058163235</v>
      </c>
      <c r="P89" s="44">
        <f>'Statistics NZ'!P$89*'Economic Forecasts'!R$9*1000000/SUM('Statistics NZ'!P$30:P$110,'Statistics NZ'!P$130:P$210)</f>
        <v>18173.687248107319</v>
      </c>
      <c r="Q89" s="44">
        <f>'Statistics NZ'!Q$89*'Economic Forecasts'!S$9*1000000/SUM('Statistics NZ'!Q$30:Q$110,'Statistics NZ'!Q$130:Q$210)</f>
        <v>21485.381223496814</v>
      </c>
      <c r="R89" s="44">
        <f>'Statistics NZ'!R$89*'Economic Forecasts'!T$9*1000000/SUM('Statistics NZ'!R$30:R$110,'Statistics NZ'!R$130:R$210)</f>
        <v>21643.302664136263</v>
      </c>
      <c r="S89" s="45">
        <f>SUM('Statistics NZ'!S$89,$P$12/5*(S$8-S$9)*1000)*'Economic Forecasts'!U$9*1000000/SUM('Statistics NZ'!S$30:S$110,'Statistics NZ'!S$130:S$210,SUM($E$12:$T$13)*(S$8-S$9)*1000)</f>
        <v>20887.570451252413</v>
      </c>
      <c r="T89" s="45">
        <f>SUM('Statistics NZ'!T$89,$P$12/5*(T$8-T$9)*1000)*'Economic Forecasts'!V$9*1000000/SUM('Statistics NZ'!T$30:T$110,'Statistics NZ'!T$130:T$210,SUM($E$12:$T$13)*(T$8-T$9)*1000)</f>
        <v>22133.494032132148</v>
      </c>
      <c r="U89" s="45">
        <f>SUM('Statistics NZ'!U$89,$P$12/5*(U$8-U$9)*1000)*'Economic Forecasts'!W$9*1000000/SUM('Statistics NZ'!U$30:U$110,'Statistics NZ'!U$130:U$210,SUM($E$12:$T$13)*(U$8-U$9)*1000)</f>
        <v>22298.14819366423</v>
      </c>
      <c r="V89" s="45">
        <f>SUM('Statistics NZ'!V$89,$P$12/5*(V$8-V$9)*1000)*'Economic Forecasts'!X$9*1000000/SUM('Statistics NZ'!V$30:V$110,'Statistics NZ'!V$130:V$210,SUM($E$12:$T$13)*(V$8-V$9)*1000)</f>
        <v>23075.958633394617</v>
      </c>
      <c r="W89" s="45">
        <f>SUM('Statistics NZ'!W$89,$P$12/5*(W$8-W$9)*1000)*'Economic Forecasts'!Y$9*1000000/SUM('Statistics NZ'!W$30:W$110,'Statistics NZ'!W$130:W$210,SUM($E$12:$T$13)*(W$8-W$9)*1000)</f>
        <v>23667.802810000056</v>
      </c>
      <c r="X89" s="45">
        <f>SUM('Statistics NZ'!X$89,$P$12/5*(X$8-X$9)*1000)*'Economic Forecasts'!Z$9*1000000/SUM('Statistics NZ'!X$30:X$110,'Statistics NZ'!X$130:X$210,SUM($E$12:$T$13)*(X$8-X$9)*1000)</f>
        <v>24506.12509775432</v>
      </c>
      <c r="Y89" s="45">
        <f>SUM('Statistics NZ'!Y$89,$P$12/5*(Y$8-Y$9)*1000)*'Economic Forecasts'!AA$9*1000000/SUM('Statistics NZ'!Y$30:Y$110,'Statistics NZ'!Y$130:Y$210,SUM($E$12:$T$13)*(Y$8-Y$9)*1000)</f>
        <v>25453.005554309108</v>
      </c>
      <c r="Z89" s="46">
        <f>SUM(Y$89,'Statistics NZ'!Z$89-'Statistics NZ'!Y$89,$P$12/5*(Z$8-Z$9)*1000)</f>
        <v>26162.345086258811</v>
      </c>
      <c r="AA89" s="46">
        <f>SUM(Z$89,'Statistics NZ'!AA$89-'Statistics NZ'!Z$89,$P$12/5*(AA$8-AA$9)*1000)</f>
        <v>26840.646892436325</v>
      </c>
      <c r="AB89" s="46">
        <f>SUM(AA$89,'Statistics NZ'!AB$89-'Statistics NZ'!AA$89,$P$12/5*(AB$8-AB$9)*1000)</f>
        <v>27657.910972841648</v>
      </c>
      <c r="AC89" s="46">
        <f>SUM(AB$89,'Statistics NZ'!AC$89-'Statistics NZ'!AB$89,$P$12/5*(AC$8-AC$9)*1000)</f>
        <v>28764.137327474782</v>
      </c>
      <c r="AD89" s="46">
        <f>SUM(AC$89,'Statistics NZ'!AD$89-'Statistics NZ'!AC$89,$P$12/5*(AD$8-AD$9)*1000)</f>
        <v>29179.325956335728</v>
      </c>
      <c r="AE89" s="46">
        <f>SUM(AD$89,'Statistics NZ'!AE$89-'Statistics NZ'!AD$89,$P$12/5*(AE$8-AE$9)*1000)</f>
        <v>30593.476859424485</v>
      </c>
      <c r="AF89" s="46">
        <f>SUM(AE$89,'Statistics NZ'!AF$89-'Statistics NZ'!AE$89,$P$12/5*(AF$8-AF$9)*1000)</f>
        <v>31416.590036741054</v>
      </c>
      <c r="AG89" s="46">
        <f>SUM(AF$89,'Statistics NZ'!AG$89-'Statistics NZ'!AF$89,$P$12/5*(AG$8-AG$9)*1000)</f>
        <v>31898.665488285431</v>
      </c>
      <c r="AH89" s="46">
        <f>SUM(AG$89,'Statistics NZ'!AH$89-'Statistics NZ'!AG$89,$P$12/5*(AH$8-AH$9)*1000)</f>
        <v>31289.703214057619</v>
      </c>
      <c r="AI89" s="46">
        <f>SUM(AH$89,'Statistics NZ'!AI$89-'Statistics NZ'!AH$89,$P$12/5*(AI$8-AI$9)*1000)</f>
        <v>30579.703214057619</v>
      </c>
    </row>
    <row r="90" spans="1:35" x14ac:dyDescent="0.25">
      <c r="A90" s="11">
        <v>75</v>
      </c>
      <c r="B90" s="44">
        <f>'Statistics NZ'!B$90*'Economic Forecasts'!D$9*1000000/SUM('Statistics NZ'!B$30:B$110,'Statistics NZ'!B$130:B$210)</f>
        <v>11867.92028686535</v>
      </c>
      <c r="C90" s="44">
        <f>'Statistics NZ'!C$90*'Economic Forecasts'!E$9*1000000/SUM('Statistics NZ'!C$30:C$110,'Statistics NZ'!C$130:C$210)</f>
        <v>11440.391170751613</v>
      </c>
      <c r="D90" s="44">
        <f>'Statistics NZ'!D$90*'Economic Forecasts'!F$9*1000000/SUM('Statistics NZ'!D$30:D$110,'Statistics NZ'!D$130:D$210)</f>
        <v>11512.232183197393</v>
      </c>
      <c r="E90" s="44">
        <f>'Statistics NZ'!E$90*'Economic Forecasts'!G$9*1000000/SUM('Statistics NZ'!E$30:E$110,'Statistics NZ'!E$130:E$210)</f>
        <v>11356.532527400163</v>
      </c>
      <c r="F90" s="44">
        <f>'Statistics NZ'!F$90*'Economic Forecasts'!H$9*1000000/SUM('Statistics NZ'!F$30:F$110,'Statistics NZ'!F$130:F$210)</f>
        <v>11437.097350479737</v>
      </c>
      <c r="G90" s="44">
        <f>'Statistics NZ'!G$90*'Economic Forecasts'!I$9*1000000/SUM('Statistics NZ'!G$30:G$110,'Statistics NZ'!G$130:G$210)</f>
        <v>11993.238628838613</v>
      </c>
      <c r="H90" s="44">
        <f>'Statistics NZ'!H$90*'Economic Forecasts'!J$9*1000000/SUM('Statistics NZ'!H$30:H$110,'Statistics NZ'!H$130:H$210)</f>
        <v>12527.049857496921</v>
      </c>
      <c r="I90" s="44">
        <f>'Statistics NZ'!I$90*'Economic Forecasts'!K$9*1000000/SUM('Statistics NZ'!I$30:I$110,'Statistics NZ'!I$130:I$210)</f>
        <v>12960.30011518944</v>
      </c>
      <c r="J90" s="44">
        <f>'Statistics NZ'!J$90*'Economic Forecasts'!L$9*1000000/SUM('Statistics NZ'!J$30:J$110,'Statistics NZ'!J$130:J$210)</f>
        <v>13457.59749662944</v>
      </c>
      <c r="K90" s="44">
        <f>'Statistics NZ'!K$90*'Economic Forecasts'!M$9*1000000/SUM('Statistics NZ'!K$30:K$110,'Statistics NZ'!K$130:K$210)</f>
        <v>14555.647916993843</v>
      </c>
      <c r="L90" s="44">
        <f>'Statistics NZ'!L$90*'Economic Forecasts'!N$9*1000000/SUM('Statistics NZ'!L$30:L$110,'Statistics NZ'!L$130:L$210)</f>
        <v>15627.267113690161</v>
      </c>
      <c r="M90" s="44">
        <f>'Statistics NZ'!M$90*'Economic Forecasts'!O$9*1000000/SUM('Statistics NZ'!M$30:M$110,'Statistics NZ'!M$130:M$210)</f>
        <v>16002.561952986151</v>
      </c>
      <c r="N90" s="44">
        <f>'Statistics NZ'!N$90*'Economic Forecasts'!P$9*1000000/SUM('Statistics NZ'!N$30:N$110,'Statistics NZ'!N$130:N$210)</f>
        <v>14227.294430647373</v>
      </c>
      <c r="O90" s="44">
        <f>'Statistics NZ'!O$90*'Economic Forecasts'!Q$9*1000000/SUM('Statistics NZ'!O$30:O$110,'Statistics NZ'!O$130:O$210)</f>
        <v>15891.716958808498</v>
      </c>
      <c r="P90" s="44">
        <f>'Statistics NZ'!P$90*'Economic Forecasts'!R$9*1000000/SUM('Statistics NZ'!P$30:P$110,'Statistics NZ'!P$130:P$210)</f>
        <v>16862.990751203994</v>
      </c>
      <c r="Q90" s="44">
        <f>'Statistics NZ'!Q$90*'Economic Forecasts'!S$9*1000000/SUM('Statistics NZ'!Q$30:Q$110,'Statistics NZ'!Q$130:Q$210)</f>
        <v>17991.662825188192</v>
      </c>
      <c r="R90" s="44">
        <f>'Statistics NZ'!R$90*'Economic Forecasts'!T$9*1000000/SUM('Statistics NZ'!R$30:R$110,'Statistics NZ'!R$130:R$210)</f>
        <v>21002.968265789033</v>
      </c>
      <c r="S90" s="45">
        <f>SUM('Statistics NZ'!S$90,$Q$12/5*(S$8-S$9)*1000)*'Economic Forecasts'!U$9*1000000/SUM('Statistics NZ'!S$30:S$110,'Statistics NZ'!S$130:S$210,SUM($E$12:$T$13)*(S$8-S$9)*1000)</f>
        <v>20998.315420188537</v>
      </c>
      <c r="T90" s="45">
        <f>SUM('Statistics NZ'!T$90,$Q$12/5*(T$8-T$9)*1000)*'Economic Forecasts'!V$9*1000000/SUM('Statistics NZ'!T$30:T$110,'Statistics NZ'!T$130:T$210,SUM($E$12:$T$13)*(T$8-T$9)*1000)</f>
        <v>21095.146848602722</v>
      </c>
      <c r="U90" s="45">
        <f>SUM('Statistics NZ'!U$90,$Q$12/5*(U$8-U$9)*1000)*'Economic Forecasts'!W$9*1000000/SUM('Statistics NZ'!U$30:U$110,'Statistics NZ'!U$130:U$210,SUM($E$12:$T$13)*(U$8-U$9)*1000)</f>
        <v>21989.877838056651</v>
      </c>
      <c r="V90" s="45">
        <f>SUM('Statistics NZ'!V$90,$Q$12/5*(V$8-V$9)*1000)*'Economic Forecasts'!X$9*1000000/SUM('Statistics NZ'!V$30:V$110,'Statistics NZ'!V$130:V$210,SUM($E$12:$T$13)*(V$8-V$9)*1000)</f>
        <v>21989.747160698276</v>
      </c>
      <c r="W90" s="45">
        <f>SUM('Statistics NZ'!W$90,$Q$12/5*(W$8-W$9)*1000)*'Economic Forecasts'!Y$9*1000000/SUM('Statistics NZ'!W$30:W$110,'Statistics NZ'!W$130:W$210,SUM($E$12:$T$13)*(W$8-W$9)*1000)</f>
        <v>22761.876751518023</v>
      </c>
      <c r="X90" s="45">
        <f>SUM('Statistics NZ'!X$90,$Q$12/5*(X$8-X$9)*1000)*'Economic Forecasts'!Z$9*1000000/SUM('Statistics NZ'!X$30:X$110,'Statistics NZ'!X$130:X$210,SUM($E$12:$T$13)*(X$8-X$9)*1000)</f>
        <v>23364.901829832783</v>
      </c>
      <c r="Y90" s="45">
        <f>SUM('Statistics NZ'!Y$90,$Q$12/5*(Y$8-Y$9)*1000)*'Economic Forecasts'!AA$9*1000000/SUM('Statistics NZ'!Y$30:Y$110,'Statistics NZ'!Y$130:Y$210,SUM($E$12:$T$13)*(Y$8-Y$9)*1000)</f>
        <v>24207.144997246469</v>
      </c>
      <c r="Z90" s="46">
        <f>SUM(Y$90,'Statistics NZ'!Z$90-'Statistics NZ'!Y$90,$Q$12/5*(Z$8-Z$9)*1000)</f>
        <v>25072.268487419096</v>
      </c>
      <c r="AA90" s="46">
        <f>SUM(Z$90,'Statistics NZ'!AA$90-'Statistics NZ'!Z$90,$Q$12/5*(AA$8-AA$9)*1000)</f>
        <v>25776.822700905876</v>
      </c>
      <c r="AB90" s="46">
        <f>SUM(AA$90,'Statistics NZ'!AB$90-'Statistics NZ'!AA$90,$Q$12/5*(AB$8-AB$9)*1000)</f>
        <v>26450.807637706806</v>
      </c>
      <c r="AC90" s="46">
        <f>SUM(AB$90,'Statistics NZ'!AC$90-'Statistics NZ'!AB$90,$Q$12/5*(AC$8-AC$9)*1000)</f>
        <v>27254.223297821889</v>
      </c>
      <c r="AD90" s="46">
        <f>SUM(AC$90,'Statistics NZ'!AD$90-'Statistics NZ'!AC$90,$Q$12/5*(AD$8-AD$9)*1000)</f>
        <v>28357.069681251127</v>
      </c>
      <c r="AE90" s="46">
        <f>SUM(AD$90,'Statistics NZ'!AE$90-'Statistics NZ'!AD$90,$Q$12/5*(AE$8-AE$9)*1000)</f>
        <v>28769.346787994516</v>
      </c>
      <c r="AF90" s="46">
        <f>SUM(AE$90,'Statistics NZ'!AF$90-'Statistics NZ'!AE$90,$Q$12/5*(AF$8-AF$9)*1000)</f>
        <v>30171.054618052058</v>
      </c>
      <c r="AG90" s="46">
        <f>SUM(AF$90,'Statistics NZ'!AG$90-'Statistics NZ'!AF$90,$Q$12/5*(AG$8-AG$9)*1000)</f>
        <v>30982.193171423751</v>
      </c>
      <c r="AH90" s="46">
        <f>SUM(AG$90,'Statistics NZ'!AH$90-'Statistics NZ'!AG$90,$Q$12/5*(AH$8-AH$9)*1000)</f>
        <v>31462.762448109599</v>
      </c>
      <c r="AI90" s="46">
        <f>SUM(AH$90,'Statistics NZ'!AI$90-'Statistics NZ'!AH$90,$Q$12/5*(AI$8-AI$9)*1000)</f>
        <v>30882.762448109599</v>
      </c>
    </row>
    <row r="91" spans="1:35" x14ac:dyDescent="0.25">
      <c r="A91" s="11">
        <v>76</v>
      </c>
      <c r="B91" s="44">
        <f>'Statistics NZ'!B$91*'Economic Forecasts'!D$9*1000000/SUM('Statistics NZ'!B$30:B$110,'Statistics NZ'!B$130:B$210)</f>
        <v>11554.834178720512</v>
      </c>
      <c r="C91" s="44">
        <f>'Statistics NZ'!C$91*'Economic Forecasts'!E$9*1000000/SUM('Statistics NZ'!C$30:C$110,'Statistics NZ'!C$130:C$210)</f>
        <v>11597.512422882106</v>
      </c>
      <c r="D91" s="44">
        <f>'Statistics NZ'!D$91*'Economic Forecasts'!F$9*1000000/SUM('Statistics NZ'!D$30:D$110,'Statistics NZ'!D$130:D$210)</f>
        <v>11168.436853494397</v>
      </c>
      <c r="E91" s="44">
        <f>'Statistics NZ'!E$91*'Economic Forecasts'!G$9*1000000/SUM('Statistics NZ'!E$30:E$110,'Statistics NZ'!E$130:E$210)</f>
        <v>11229.041229596876</v>
      </c>
      <c r="F91" s="44">
        <f>'Statistics NZ'!F$91*'Economic Forecasts'!H$9*1000000/SUM('Statistics NZ'!F$30:F$110,'Statistics NZ'!F$130:F$210)</f>
        <v>11103.597084685302</v>
      </c>
      <c r="G91" s="44">
        <f>'Statistics NZ'!G$91*'Economic Forecasts'!I$9*1000000/SUM('Statistics NZ'!G$30:G$110,'Statistics NZ'!G$130:G$210)</f>
        <v>11177.973431300852</v>
      </c>
      <c r="H91" s="44">
        <f>'Statistics NZ'!H$91*'Economic Forecasts'!J$9*1000000/SUM('Statistics NZ'!H$30:H$110,'Statistics NZ'!H$130:H$210)</f>
        <v>11672.262926044188</v>
      </c>
      <c r="I91" s="44">
        <f>'Statistics NZ'!I$91*'Economic Forecasts'!K$9*1000000/SUM('Statistics NZ'!I$30:I$110,'Statistics NZ'!I$130:I$210)</f>
        <v>12225.033467202144</v>
      </c>
      <c r="J91" s="44">
        <f>'Statistics NZ'!J$91*'Economic Forecasts'!L$9*1000000/SUM('Statistics NZ'!J$30:J$110,'Statistics NZ'!J$130:J$210)</f>
        <v>12609.183741407149</v>
      </c>
      <c r="K91" s="44">
        <f>'Statistics NZ'!K$91*'Economic Forecasts'!M$9*1000000/SUM('Statistics NZ'!K$30:K$110,'Statistics NZ'!K$130:K$210)</f>
        <v>13143.896112335577</v>
      </c>
      <c r="L91" s="44">
        <f>'Statistics NZ'!L$91*'Economic Forecasts'!N$9*1000000/SUM('Statistics NZ'!L$30:L$110,'Statistics NZ'!L$130:L$210)</f>
        <v>14254.404395291212</v>
      </c>
      <c r="M91" s="44">
        <f>'Statistics NZ'!M$91*'Economic Forecasts'!O$9*1000000/SUM('Statistics NZ'!M$30:M$110,'Statistics NZ'!M$130:M$210)</f>
        <v>15318.691784055118</v>
      </c>
      <c r="N91" s="44">
        <f>'Statistics NZ'!N$91*'Economic Forecasts'!P$9*1000000/SUM('Statistics NZ'!N$30:N$110,'Statistics NZ'!N$130:N$210)</f>
        <v>15675.464702817806</v>
      </c>
      <c r="O91" s="44">
        <f>'Statistics NZ'!O$91*'Economic Forecasts'!Q$9*1000000/SUM('Statistics NZ'!O$30:O$110,'Statistics NZ'!O$130:O$210)</f>
        <v>13969.015400829199</v>
      </c>
      <c r="P91" s="44">
        <f>'Statistics NZ'!P$91*'Economic Forecasts'!R$9*1000000/SUM('Statistics NZ'!P$30:P$110,'Statistics NZ'!P$130:P$210)</f>
        <v>15640.326108570291</v>
      </c>
      <c r="Q91" s="44">
        <f>'Statistics NZ'!Q$91*'Economic Forecasts'!S$9*1000000/SUM('Statistics NZ'!Q$30:Q$110,'Statistics NZ'!Q$130:Q$210)</f>
        <v>16649.443327532903</v>
      </c>
      <c r="R91" s="44">
        <f>'Statistics NZ'!R$91*'Economic Forecasts'!T$9*1000000/SUM('Statistics NZ'!R$30:R$110,'Statistics NZ'!R$130:R$210)</f>
        <v>17584.567708458457</v>
      </c>
      <c r="S91" s="45">
        <f>SUM('Statistics NZ'!S$91,$Q$12/5*(S$8-S$9)*1000)*'Economic Forecasts'!U$9*1000000/SUM('Statistics NZ'!S$30:S$110,'Statistics NZ'!S$130:S$210,SUM($E$12:$T$13)*(S$8-S$9)*1000)</f>
        <v>20328.886183293878</v>
      </c>
      <c r="T91" s="45">
        <f>SUM('Statistics NZ'!T$91,$Q$12/5*(T$8-T$9)*1000)*'Economic Forecasts'!V$9*1000000/SUM('Statistics NZ'!T$30:T$110,'Statistics NZ'!T$130:T$210,SUM($E$12:$T$13)*(T$8-T$9)*1000)</f>
        <v>21195.01014818875</v>
      </c>
      <c r="U91" s="45">
        <f>SUM('Statistics NZ'!U$91,$Q$12/5*(U$8-U$9)*1000)*'Economic Forecasts'!W$9*1000000/SUM('Statistics NZ'!U$30:U$110,'Statistics NZ'!U$130:U$210,SUM($E$12:$T$13)*(U$8-U$9)*1000)</f>
        <v>20929.585179756574</v>
      </c>
      <c r="V91" s="45">
        <f>SUM('Statistics NZ'!V$91,$Q$12/5*(V$8-V$9)*1000)*'Economic Forecasts'!X$9*1000000/SUM('Statistics NZ'!V$30:V$110,'Statistics NZ'!V$130:V$210,SUM($E$12:$T$13)*(V$8-V$9)*1000)</f>
        <v>21645.920500687964</v>
      </c>
      <c r="W91" s="45">
        <f>SUM('Statistics NZ'!W$91,$Q$12/5*(W$8-W$9)*1000)*'Economic Forecasts'!Y$9*1000000/SUM('Statistics NZ'!W$30:W$110,'Statistics NZ'!W$130:W$210,SUM($E$12:$T$13)*(W$8-W$9)*1000)</f>
        <v>21647.860997663764</v>
      </c>
      <c r="X91" s="45">
        <f>SUM('Statistics NZ'!X$91,$Q$12/5*(X$8-X$9)*1000)*'Economic Forecasts'!Z$9*1000000/SUM('Statistics NZ'!X$30:X$110,'Statistics NZ'!X$130:X$210,SUM($E$12:$T$13)*(X$8-X$9)*1000)</f>
        <v>22421.199734224454</v>
      </c>
      <c r="Y91" s="45">
        <f>SUM('Statistics NZ'!Y$91,$Q$12/5*(Y$8-Y$9)*1000)*'Economic Forecasts'!AA$9*1000000/SUM('Statistics NZ'!Y$30:Y$110,'Statistics NZ'!Y$130:Y$210,SUM($E$12:$T$13)*(Y$8-Y$9)*1000)</f>
        <v>23037.260303424686</v>
      </c>
      <c r="Z91" s="46">
        <f>SUM(Y$91,'Statistics NZ'!Z$91-'Statistics NZ'!Y$91,$Q$12/5*(Z$8-Z$9)*1000)</f>
        <v>23812.383793597313</v>
      </c>
      <c r="AA91" s="46">
        <f>SUM(Z$91,'Statistics NZ'!AA$91-'Statistics NZ'!Z$91,$Q$12/5*(AA$8-AA$9)*1000)</f>
        <v>24666.938007084093</v>
      </c>
      <c r="AB91" s="46">
        <f>SUM(AA$91,'Statistics NZ'!AB$91-'Statistics NZ'!AA$91,$Q$12/5*(AB$8-AB$9)*1000)</f>
        <v>25370.922943885023</v>
      </c>
      <c r="AC91" s="46">
        <f>SUM(AB$91,'Statistics NZ'!AC$91-'Statistics NZ'!AB$91,$Q$12/5*(AC$8-AC$9)*1000)</f>
        <v>26044.338604000106</v>
      </c>
      <c r="AD91" s="46">
        <f>SUM(AC$91,'Statistics NZ'!AD$91-'Statistics NZ'!AC$91,$Q$12/5*(AD$8-AD$9)*1000)</f>
        <v>26847.184987429344</v>
      </c>
      <c r="AE91" s="46">
        <f>SUM(AD$91,'Statistics NZ'!AE$91-'Statistics NZ'!AD$91,$Q$12/5*(AE$8-AE$9)*1000)</f>
        <v>27929.462094172733</v>
      </c>
      <c r="AF91" s="46">
        <f>SUM(AE$91,'Statistics NZ'!AF$91-'Statistics NZ'!AE$91,$Q$12/5*(AF$8-AF$9)*1000)</f>
        <v>28351.169924230275</v>
      </c>
      <c r="AG91" s="46">
        <f>SUM(AF$91,'Statistics NZ'!AG$91-'Statistics NZ'!AF$91,$Q$12/5*(AG$8-AG$9)*1000)</f>
        <v>29732.308477601968</v>
      </c>
      <c r="AH91" s="46">
        <f>SUM(AG$91,'Statistics NZ'!AH$91-'Statistics NZ'!AG$91,$Q$12/5*(AH$8-AH$9)*1000)</f>
        <v>30542.877754287816</v>
      </c>
      <c r="AI91" s="46">
        <f>SUM(AH$91,'Statistics NZ'!AI$91-'Statistics NZ'!AH$91,$Q$12/5*(AI$8-AI$9)*1000)</f>
        <v>31022.877754287816</v>
      </c>
    </row>
    <row r="92" spans="1:35" x14ac:dyDescent="0.25">
      <c r="A92" s="11">
        <v>77</v>
      </c>
      <c r="B92" s="44">
        <f>'Statistics NZ'!B$92*'Economic Forecasts'!D$9*1000000/SUM('Statistics NZ'!B$30:B$110,'Statistics NZ'!B$130:B$210)</f>
        <v>10840.606494515096</v>
      </c>
      <c r="C92" s="44">
        <f>'Statistics NZ'!C$92*'Economic Forecasts'!E$9*1000000/SUM('Statistics NZ'!C$30:C$110,'Statistics NZ'!C$130:C$210)</f>
        <v>11253.809683846652</v>
      </c>
      <c r="D92" s="44">
        <f>'Statistics NZ'!D$92*'Economic Forecasts'!F$9*1000000/SUM('Statistics NZ'!D$30:D$110,'Statistics NZ'!D$130:D$210)</f>
        <v>11266.664090552396</v>
      </c>
      <c r="E92" s="44">
        <f>'Statistics NZ'!E$92*'Economic Forecasts'!G$9*1000000/SUM('Statistics NZ'!E$30:E$110,'Statistics NZ'!E$130:E$210)</f>
        <v>10836.760313279081</v>
      </c>
      <c r="F92" s="44">
        <f>'Statistics NZ'!F$92*'Economic Forecasts'!H$9*1000000/SUM('Statistics NZ'!F$30:F$110,'Statistics NZ'!F$130:F$210)</f>
        <v>10907.420457747399</v>
      </c>
      <c r="G92" s="44">
        <f>'Statistics NZ'!G$92*'Economic Forecasts'!I$9*1000000/SUM('Statistics NZ'!G$30:G$110,'Statistics NZ'!G$130:G$210)</f>
        <v>10853.831846737647</v>
      </c>
      <c r="H92" s="44">
        <f>'Statistics NZ'!H$92*'Economic Forecasts'!J$9*1000000/SUM('Statistics NZ'!H$30:H$110,'Statistics NZ'!H$130:H$210)</f>
        <v>10876.426817450267</v>
      </c>
      <c r="I92" s="44">
        <f>'Statistics NZ'!I$92*'Economic Forecasts'!K$9*1000000/SUM('Statistics NZ'!I$30:I$110,'Statistics NZ'!I$130:I$210)</f>
        <v>11313.302823697892</v>
      </c>
      <c r="J92" s="44">
        <f>'Statistics NZ'!J$92*'Economic Forecasts'!L$9*1000000/SUM('Statistics NZ'!J$30:J$110,'Statistics NZ'!J$130:J$210)</f>
        <v>11819.281279648463</v>
      </c>
      <c r="K92" s="44">
        <f>'Statistics NZ'!K$92*'Economic Forecasts'!M$9*1000000/SUM('Statistics NZ'!K$30:K$110,'Statistics NZ'!K$130:K$210)</f>
        <v>12287.108810198148</v>
      </c>
      <c r="L92" s="44">
        <f>'Statistics NZ'!L$92*'Economic Forecasts'!N$9*1000000/SUM('Statistics NZ'!L$30:L$110,'Statistics NZ'!L$130:L$210)</f>
        <v>12832.858601771733</v>
      </c>
      <c r="M92" s="44">
        <f>'Statistics NZ'!M$92*'Economic Forecasts'!O$9*1000000/SUM('Statistics NZ'!M$30:M$110,'Statistics NZ'!M$130:M$210)</f>
        <v>13960.721020034925</v>
      </c>
      <c r="N92" s="44">
        <f>'Statistics NZ'!N$92*'Economic Forecasts'!P$9*1000000/SUM('Statistics NZ'!N$30:N$110,'Statistics NZ'!N$130:N$210)</f>
        <v>14922.024763918324</v>
      </c>
      <c r="O92" s="44">
        <f>'Statistics NZ'!O$92*'Economic Forecasts'!Q$9*1000000/SUM('Statistics NZ'!O$30:O$110,'Statistics NZ'!O$130:O$210)</f>
        <v>15371.802762007974</v>
      </c>
      <c r="P92" s="44">
        <f>'Statistics NZ'!P$92*'Economic Forecasts'!R$9*1000000/SUM('Statistics NZ'!P$30:P$110,'Statistics NZ'!P$130:P$210)</f>
        <v>13732.96926606172</v>
      </c>
      <c r="Q92" s="44">
        <f>'Statistics NZ'!Q$92*'Economic Forecasts'!S$9*1000000/SUM('Statistics NZ'!Q$30:Q$110,'Statistics NZ'!Q$130:Q$210)</f>
        <v>15445.393484048007</v>
      </c>
      <c r="R92" s="44">
        <f>'Statistics NZ'!R$92*'Economic Forecasts'!T$9*1000000/SUM('Statistics NZ'!R$30:R$110,'Statistics NZ'!R$130:R$210)</f>
        <v>16205.385927402887</v>
      </c>
      <c r="S92" s="45">
        <f>SUM('Statistics NZ'!S$92,$Q$12/5*(S$8-S$9)*1000)*'Economic Forecasts'!U$9*1000000/SUM('Statistics NZ'!S$30:S$110,'Statistics NZ'!S$130:S$210,SUM($E$12:$T$13)*(S$8-S$9)*1000)</f>
        <v>16991.441871819061</v>
      </c>
      <c r="T92" s="45">
        <f>SUM('Statistics NZ'!T$92,$Q$12/5*(T$8-T$9)*1000)*'Economic Forecasts'!V$9*1000000/SUM('Statistics NZ'!T$30:T$110,'Statistics NZ'!T$130:T$210,SUM($E$12:$T$13)*(T$8-T$9)*1000)</f>
        <v>20475.99439116937</v>
      </c>
      <c r="U92" s="45">
        <f>SUM('Statistics NZ'!U$92,$Q$12/5*(U$8-U$9)*1000)*'Economic Forecasts'!W$9*1000000/SUM('Statistics NZ'!U$30:U$110,'Statistics NZ'!U$130:U$210,SUM($E$12:$T$13)*(U$8-U$9)*1000)</f>
        <v>20990.173331659436</v>
      </c>
      <c r="V92" s="45">
        <f>SUM('Statistics NZ'!V$92,$Q$12/5*(V$8-V$9)*1000)*'Economic Forecasts'!X$9*1000000/SUM('Statistics NZ'!V$30:V$110,'Statistics NZ'!V$130:V$210,SUM($E$12:$T$13)*(V$8-V$9)*1000)</f>
        <v>20553.765227714055</v>
      </c>
      <c r="W92" s="45">
        <f>SUM('Statistics NZ'!W$92,$Q$12/5*(W$8-W$9)*1000)*'Economic Forecasts'!Y$9*1000000/SUM('Statistics NZ'!W$30:W$110,'Statistics NZ'!W$130:W$210,SUM($E$12:$T$13)*(W$8-W$9)*1000)</f>
        <v>21263.019191786832</v>
      </c>
      <c r="X92" s="45">
        <f>SUM('Statistics NZ'!X$92,$Q$12/5*(X$8-X$9)*1000)*'Economic Forecasts'!Z$9*1000000/SUM('Statistics NZ'!X$30:X$110,'Statistics NZ'!X$130:X$210,SUM($E$12:$T$13)*(X$8-X$9)*1000)</f>
        <v>21284.698285749906</v>
      </c>
      <c r="Y92" s="45">
        <f>SUM('Statistics NZ'!Y$92,$Q$12/5*(Y$8-Y$9)*1000)*'Economic Forecasts'!AA$9*1000000/SUM('Statistics NZ'!Y$30:Y$110,'Statistics NZ'!Y$130:Y$210,SUM($E$12:$T$13)*(Y$8-Y$9)*1000)</f>
        <v>22070.833817224084</v>
      </c>
      <c r="Z92" s="46">
        <f>SUM(Y$92,'Statistics NZ'!Z$92-'Statistics NZ'!Y$92,$Q$12/5*(Z$8-Z$9)*1000)</f>
        <v>22615.957307396711</v>
      </c>
      <c r="AA92" s="46">
        <f>SUM(Z$92,'Statistics NZ'!AA$92-'Statistics NZ'!Z$92,$Q$12/5*(AA$8-AA$9)*1000)</f>
        <v>23380.51152088349</v>
      </c>
      <c r="AB92" s="46">
        <f>SUM(AA$92,'Statistics NZ'!AB$92-'Statistics NZ'!AA$92,$Q$12/5*(AB$8-AB$9)*1000)</f>
        <v>24234.496457684421</v>
      </c>
      <c r="AC92" s="46">
        <f>SUM(AB$92,'Statistics NZ'!AC$92-'Statistics NZ'!AB$92,$Q$12/5*(AC$8-AC$9)*1000)</f>
        <v>24927.912117799504</v>
      </c>
      <c r="AD92" s="46">
        <f>SUM(AC$92,'Statistics NZ'!AD$92-'Statistics NZ'!AC$92,$Q$12/5*(AD$8-AD$9)*1000)</f>
        <v>25600.758501228742</v>
      </c>
      <c r="AE92" s="46">
        <f>SUM(AD$92,'Statistics NZ'!AE$92-'Statistics NZ'!AD$92,$Q$12/5*(AE$8-AE$9)*1000)</f>
        <v>26393.035607972131</v>
      </c>
      <c r="AF92" s="46">
        <f>SUM(AE$92,'Statistics NZ'!AF$92-'Statistics NZ'!AE$92,$Q$12/5*(AF$8-AF$9)*1000)</f>
        <v>27464.743438029673</v>
      </c>
      <c r="AG92" s="46">
        <f>SUM(AF$92,'Statistics NZ'!AG$92-'Statistics NZ'!AF$92,$Q$12/5*(AG$8-AG$9)*1000)</f>
        <v>27885.881991401366</v>
      </c>
      <c r="AH92" s="46">
        <f>SUM(AG$92,'Statistics NZ'!AH$92-'Statistics NZ'!AG$92,$Q$12/5*(AH$8-AH$9)*1000)</f>
        <v>29246.451268087214</v>
      </c>
      <c r="AI92" s="46">
        <f>SUM(AH$92,'Statistics NZ'!AI$92-'Statistics NZ'!AH$92,$Q$12/5*(AI$8-AI$9)*1000)</f>
        <v>30066.451268087214</v>
      </c>
    </row>
    <row r="93" spans="1:35" x14ac:dyDescent="0.25">
      <c r="A93" s="11">
        <v>78</v>
      </c>
      <c r="B93" s="44">
        <f>'Statistics NZ'!B$93*'Economic Forecasts'!D$9*1000000/SUM('Statistics NZ'!B$30:B$110,'Statistics NZ'!B$130:B$210)</f>
        <v>10566.65614988836</v>
      </c>
      <c r="C93" s="44">
        <f>'Statistics NZ'!C$93*'Economic Forecasts'!E$9*1000000/SUM('Statistics NZ'!C$30:C$110,'Statistics NZ'!C$130:C$210)</f>
        <v>10546.764049259426</v>
      </c>
      <c r="D93" s="44">
        <f>'Statistics NZ'!D$93*'Economic Forecasts'!F$9*1000000/SUM('Statistics NZ'!D$30:D$110,'Statistics NZ'!D$130:D$210)</f>
        <v>10913.046037143604</v>
      </c>
      <c r="E93" s="44">
        <f>'Statistics NZ'!E$93*'Economic Forecasts'!G$9*1000000/SUM('Statistics NZ'!E$30:E$110,'Statistics NZ'!E$130:E$210)</f>
        <v>10915.216496542644</v>
      </c>
      <c r="F93" s="44">
        <f>'Statistics NZ'!F$93*'Economic Forecasts'!H$9*1000000/SUM('Statistics NZ'!F$30:F$110,'Statistics NZ'!F$130:F$210)</f>
        <v>10505.258372524699</v>
      </c>
      <c r="G93" s="44">
        <f>'Statistics NZ'!G$93*'Economic Forecasts'!I$9*1000000/SUM('Statistics NZ'!G$30:G$110,'Statistics NZ'!G$130:G$210)</f>
        <v>10608.270040250371</v>
      </c>
      <c r="H93" s="44">
        <f>'Statistics NZ'!H$93*'Economic Forecasts'!J$9*1000000/SUM('Statistics NZ'!H$30:H$110,'Statistics NZ'!H$130:H$210)</f>
        <v>10562.022428869952</v>
      </c>
      <c r="I93" s="44">
        <f>'Statistics NZ'!I$93*'Economic Forecasts'!K$9*1000000/SUM('Statistics NZ'!I$30:I$110,'Statistics NZ'!I$130:I$210)</f>
        <v>10519.214843871612</v>
      </c>
      <c r="J93" s="44">
        <f>'Statistics NZ'!J$93*'Economic Forecasts'!L$9*1000000/SUM('Statistics NZ'!J$30:J$110,'Statistics NZ'!J$130:J$210)</f>
        <v>10902.604348718631</v>
      </c>
      <c r="K93" s="44">
        <f>'Statistics NZ'!K$93*'Economic Forecasts'!M$9*1000000/SUM('Statistics NZ'!K$30:K$110,'Statistics NZ'!K$130:K$210)</f>
        <v>11440.057727403188</v>
      </c>
      <c r="L93" s="44">
        <f>'Statistics NZ'!L$93*'Economic Forecasts'!N$9*1000000/SUM('Statistics NZ'!L$30:L$110,'Statistics NZ'!L$130:L$210)</f>
        <v>11898.143559457556</v>
      </c>
      <c r="M93" s="44">
        <f>'Statistics NZ'!M$93*'Economic Forecasts'!O$9*1000000/SUM('Statistics NZ'!M$30:M$110,'Statistics NZ'!M$130:M$210)</f>
        <v>12544.132812963502</v>
      </c>
      <c r="N93" s="44">
        <f>'Statistics NZ'!N$93*'Economic Forecasts'!P$9*1000000/SUM('Statistics NZ'!N$30:N$110,'Statistics NZ'!N$130:N$210)</f>
        <v>13561.918900190687</v>
      </c>
      <c r="O93" s="44">
        <f>'Statistics NZ'!O$93*'Economic Forecasts'!Q$9*1000000/SUM('Statistics NZ'!O$30:O$110,'Statistics NZ'!O$130:O$210)</f>
        <v>14596.836317720399</v>
      </c>
      <c r="P93" s="44">
        <f>'Statistics NZ'!P$93*'Economic Forecasts'!R$9*1000000/SUM('Statistics NZ'!P$30:P$110,'Statistics NZ'!P$130:P$210)</f>
        <v>15033.884445823976</v>
      </c>
      <c r="Q93" s="44">
        <f>'Statistics NZ'!Q$93*'Economic Forecasts'!S$9*1000000/SUM('Statistics NZ'!Q$30:Q$110,'Statistics NZ'!Q$130:Q$210)</f>
        <v>13511.018325662444</v>
      </c>
      <c r="R93" s="44">
        <f>'Statistics NZ'!R$93*'Economic Forecasts'!T$9*1000000/SUM('Statistics NZ'!R$30:R$110,'Statistics NZ'!R$130:R$210)</f>
        <v>14993.676219761215</v>
      </c>
      <c r="S93" s="45">
        <f>SUM('Statistics NZ'!S$93,$Q$12/5*(S$8-S$9)*1000)*'Economic Forecasts'!U$9*1000000/SUM('Statistics NZ'!S$30:S$110,'Statistics NZ'!S$130:S$210,SUM($E$12:$T$13)*(S$8-S$9)*1000)</f>
        <v>15623.477779034327</v>
      </c>
      <c r="T93" s="45">
        <f>SUM('Statistics NZ'!T$93,$Q$12/5*(T$8-T$9)*1000)*'Economic Forecasts'!V$9*1000000/SUM('Statistics NZ'!T$30:T$110,'Statistics NZ'!T$130:T$210,SUM($E$12:$T$13)*(T$8-T$9)*1000)</f>
        <v>17060.669545327306</v>
      </c>
      <c r="U93" s="45">
        <f>SUM('Statistics NZ'!U$93,$Q$12/5*(U$8-U$9)*1000)*'Economic Forecasts'!W$9*1000000/SUM('Statistics NZ'!U$30:U$110,'Statistics NZ'!U$130:U$210,SUM($E$12:$T$13)*(U$8-U$9)*1000)</f>
        <v>20212.625382239381</v>
      </c>
      <c r="V93" s="45">
        <f>SUM('Statistics NZ'!V$93,$Q$12/5*(V$8-V$9)*1000)*'Economic Forecasts'!X$9*1000000/SUM('Statistics NZ'!V$30:V$110,'Statistics NZ'!V$130:V$210,SUM($E$12:$T$13)*(V$8-V$9)*1000)</f>
        <v>20553.765227714055</v>
      </c>
      <c r="W93" s="45">
        <f>SUM('Statistics NZ'!W$93,$Q$12/5*(W$8-W$9)*1000)*'Economic Forecasts'!Y$9*1000000/SUM('Statistics NZ'!W$30:W$110,'Statistics NZ'!W$130:W$210,SUM($E$12:$T$13)*(W$8-W$9)*1000)</f>
        <v>20138.876021988446</v>
      </c>
      <c r="X93" s="45">
        <f>SUM('Statistics NZ'!X$93,$Q$12/5*(X$8-X$9)*1000)*'Economic Forecasts'!Z$9*1000000/SUM('Statistics NZ'!X$30:X$110,'Statistics NZ'!X$130:X$210,SUM($E$12:$T$13)*(X$8-X$9)*1000)</f>
        <v>20848.362908210569</v>
      </c>
      <c r="Y93" s="45">
        <f>SUM('Statistics NZ'!Y$93,$Q$12/5*(Y$8-Y$9)*1000)*'Economic Forecasts'!AA$9*1000000/SUM('Statistics NZ'!Y$30:Y$110,'Statistics NZ'!Y$130:Y$210,SUM($E$12:$T$13)*(Y$8-Y$9)*1000)</f>
        <v>20890.776213021236</v>
      </c>
      <c r="Z93" s="46">
        <f>SUM(Y$93,'Statistics NZ'!Z$93-'Statistics NZ'!Y$93,$Q$12/5*(Z$8-Z$9)*1000)</f>
        <v>21605.899703193863</v>
      </c>
      <c r="AA93" s="46">
        <f>SUM(Z$93,'Statistics NZ'!AA$93-'Statistics NZ'!Z$93,$Q$12/5*(AA$8-AA$9)*1000)</f>
        <v>22150.453916680643</v>
      </c>
      <c r="AB93" s="46">
        <f>SUM(AA$93,'Statistics NZ'!AB$93-'Statistics NZ'!AA$93,$Q$12/5*(AB$8-AB$9)*1000)</f>
        <v>22904.438853481573</v>
      </c>
      <c r="AC93" s="46">
        <f>SUM(AB$93,'Statistics NZ'!AC$93-'Statistics NZ'!AB$93,$Q$12/5*(AC$8-AC$9)*1000)</f>
        <v>23747.854513596656</v>
      </c>
      <c r="AD93" s="46">
        <f>SUM(AC$93,'Statistics NZ'!AD$93-'Statistics NZ'!AC$93,$Q$12/5*(AD$8-AD$9)*1000)</f>
        <v>24440.700897025894</v>
      </c>
      <c r="AE93" s="46">
        <f>SUM(AD$93,'Statistics NZ'!AE$93-'Statistics NZ'!AD$93,$Q$12/5*(AE$8-AE$9)*1000)</f>
        <v>25102.978003769284</v>
      </c>
      <c r="AF93" s="46">
        <f>SUM(AE$93,'Statistics NZ'!AF$93-'Statistics NZ'!AE$93,$Q$12/5*(AF$8-AF$9)*1000)</f>
        <v>25884.685833826825</v>
      </c>
      <c r="AG93" s="46">
        <f>SUM(AF$93,'Statistics NZ'!AG$93-'Statistics NZ'!AF$93,$Q$12/5*(AG$8-AG$9)*1000)</f>
        <v>26945.824387198518</v>
      </c>
      <c r="AH93" s="46">
        <f>SUM(AG$93,'Statistics NZ'!AH$93-'Statistics NZ'!AG$93,$Q$12/5*(AH$8-AH$9)*1000)</f>
        <v>27366.393663884366</v>
      </c>
      <c r="AI93" s="46">
        <f>SUM(AH$93,'Statistics NZ'!AI$93-'Statistics NZ'!AH$93,$Q$12/5*(AI$8-AI$9)*1000)</f>
        <v>28716.393663884366</v>
      </c>
    </row>
    <row r="94" spans="1:35" x14ac:dyDescent="0.25">
      <c r="A94" s="11">
        <v>79</v>
      </c>
      <c r="B94" s="44">
        <f>'Statistics NZ'!B$94*'Economic Forecasts'!D$9*1000000/SUM('Statistics NZ'!B$30:B$110,'Statistics NZ'!B$130:B$210)</f>
        <v>9999.1875788758352</v>
      </c>
      <c r="C94" s="44">
        <f>'Statistics NZ'!C$94*'Economic Forecasts'!E$9*1000000/SUM('Statistics NZ'!C$30:C$110,'Statistics NZ'!C$130:C$210)</f>
        <v>10203.061310223971</v>
      </c>
      <c r="D94" s="44">
        <f>'Statistics NZ'!D$94*'Economic Forecasts'!F$9*1000000/SUM('Statistics NZ'!D$30:D$110,'Statistics NZ'!D$130:D$210)</f>
        <v>10176.341759208617</v>
      </c>
      <c r="E94" s="44">
        <f>'Statistics NZ'!E$94*'Economic Forecasts'!G$9*1000000/SUM('Statistics NZ'!E$30:E$110,'Statistics NZ'!E$130:E$210)</f>
        <v>10503.321534408959</v>
      </c>
      <c r="F94" s="44">
        <f>'Statistics NZ'!F$94*'Economic Forecasts'!H$9*1000000/SUM('Statistics NZ'!F$30:F$110,'Statistics NZ'!F$130:F$210)</f>
        <v>10593.537854646755</v>
      </c>
      <c r="G94" s="44">
        <f>'Statistics NZ'!G$94*'Economic Forecasts'!I$9*1000000/SUM('Statistics NZ'!G$30:G$110,'Statistics NZ'!G$130:G$210)</f>
        <v>10176.081260832761</v>
      </c>
      <c r="H94" s="44">
        <f>'Statistics NZ'!H$94*'Economic Forecasts'!J$9*1000000/SUM('Statistics NZ'!H$30:H$110,'Statistics NZ'!H$130:H$210)</f>
        <v>10277.093451719042</v>
      </c>
      <c r="I94" s="44">
        <f>'Statistics NZ'!I$94*'Economic Forecasts'!K$9*1000000/SUM('Statistics NZ'!I$30:I$110,'Statistics NZ'!I$130:I$210)</f>
        <v>10176.090408144204</v>
      </c>
      <c r="J94" s="44">
        <f>'Statistics NZ'!J$94*'Economic Forecasts'!L$9*1000000/SUM('Statistics NZ'!J$30:J$110,'Statistics NZ'!J$130:J$210)</f>
        <v>10122.453769203883</v>
      </c>
      <c r="K94" s="44">
        <f>'Statistics NZ'!K$94*'Economic Forecasts'!M$9*1000000/SUM('Statistics NZ'!K$30:K$110,'Statistics NZ'!K$130:K$210)</f>
        <v>10544.325547895874</v>
      </c>
      <c r="L94" s="44">
        <f>'Statistics NZ'!L$94*'Economic Forecasts'!N$9*1000000/SUM('Statistics NZ'!L$30:L$110,'Statistics NZ'!L$130:L$210)</f>
        <v>11041.321437336226</v>
      </c>
      <c r="M94" s="44">
        <f>'Statistics NZ'!M$94*'Economic Forecasts'!O$9*1000000/SUM('Statistics NZ'!M$30:M$110,'Statistics NZ'!M$130:M$210)</f>
        <v>11557.405854934441</v>
      </c>
      <c r="N94" s="44">
        <f>'Statistics NZ'!N$94*'Economic Forecasts'!P$9*1000000/SUM('Statistics NZ'!N$30:N$110,'Statistics NZ'!N$130:N$210)</f>
        <v>12143.103430834517</v>
      </c>
      <c r="O94" s="44">
        <f>'Statistics NZ'!O$94*'Economic Forecasts'!Q$9*1000000/SUM('Statistics NZ'!O$30:O$110,'Statistics NZ'!O$130:O$210)</f>
        <v>13184.239254715199</v>
      </c>
      <c r="P94" s="44">
        <f>'Statistics NZ'!P$94*'Economic Forecasts'!R$9*1000000/SUM('Statistics NZ'!P$30:P$110,'Statistics NZ'!P$130:P$210)</f>
        <v>14231.816440256269</v>
      </c>
      <c r="Q94" s="44">
        <f>'Statistics NZ'!Q$94*'Economic Forecasts'!S$9*1000000/SUM('Statistics NZ'!Q$30:Q$110,'Statistics NZ'!Q$130:Q$210)</f>
        <v>14754.545213196021</v>
      </c>
      <c r="R94" s="44">
        <f>'Statistics NZ'!R$94*'Economic Forecasts'!T$9*1000000/SUM('Statistics NZ'!R$30:R$110,'Statistics NZ'!R$130:R$210)</f>
        <v>13092.375621591756</v>
      </c>
      <c r="S94" s="45">
        <f>SUM('Statistics NZ'!S$94,$Q$12/5*(S$8-S$9)*1000)*'Economic Forecasts'!U$9*1000000/SUM('Statistics NZ'!S$30:S$110,'Statistics NZ'!S$130:S$210,SUM($E$12:$T$13)*(S$8-S$9)*1000)</f>
        <v>14401.041781226691</v>
      </c>
      <c r="T94" s="45">
        <f>SUM('Statistics NZ'!T$94,$Q$12/5*(T$8-T$9)*1000)*'Economic Forecasts'!V$9*1000000/SUM('Statistics NZ'!T$30:T$110,'Statistics NZ'!T$130:T$210,SUM($E$12:$T$13)*(T$8-T$9)*1000)</f>
        <v>15632.62436124715</v>
      </c>
      <c r="U94" s="45">
        <f>SUM('Statistics NZ'!U$94,$Q$12/5*(U$8-U$9)*1000)*'Economic Forecasts'!W$9*1000000/SUM('Statistics NZ'!U$30:U$110,'Statistics NZ'!U$130:U$210,SUM($E$12:$T$13)*(U$8-U$9)*1000)</f>
        <v>16789.394799727703</v>
      </c>
      <c r="V94" s="45">
        <f>SUM('Statistics NZ'!V$94,$Q$12/5*(V$8-V$9)*1000)*'Economic Forecasts'!X$9*1000000/SUM('Statistics NZ'!V$30:V$110,'Statistics NZ'!V$130:V$210,SUM($E$12:$T$13)*(V$8-V$9)*1000)</f>
        <v>19734.648772983615</v>
      </c>
      <c r="W94" s="45">
        <f>SUM('Statistics NZ'!W$94,$Q$12/5*(W$8-W$9)*1000)*'Economic Forecasts'!Y$9*1000000/SUM('Statistics NZ'!W$30:W$110,'Statistics NZ'!W$130:W$210,SUM($E$12:$T$13)*(W$8-W$9)*1000)</f>
        <v>20067.984110379537</v>
      </c>
      <c r="X94" s="45">
        <f>SUM('Statistics NZ'!X$94,$Q$12/5*(X$8-X$9)*1000)*'Economic Forecasts'!Z$9*1000000/SUM('Statistics NZ'!X$30:X$110,'Statistics NZ'!X$130:X$210,SUM($E$12:$T$13)*(X$8-X$9)*1000)</f>
        <v>19681.419456651885</v>
      </c>
      <c r="Y94" s="45">
        <f>SUM('Statistics NZ'!Y$94,$Q$12/5*(Y$8-Y$9)*1000)*'Economic Forecasts'!AA$9*1000000/SUM('Statistics NZ'!Y$30:Y$110,'Statistics NZ'!Y$130:Y$210,SUM($E$12:$T$13)*(Y$8-Y$9)*1000)</f>
        <v>20402.47651473041</v>
      </c>
      <c r="Z94" s="46">
        <f>SUM(Y$94,'Statistics NZ'!Z$94-'Statistics NZ'!Y$94,$Q$12/5*(Z$8-Z$9)*1000)</f>
        <v>20397.600004903037</v>
      </c>
      <c r="AA94" s="46">
        <f>SUM(Z$94,'Statistics NZ'!AA$94-'Statistics NZ'!Z$94,$Q$12/5*(AA$8-AA$9)*1000)</f>
        <v>21102.154218389816</v>
      </c>
      <c r="AB94" s="46">
        <f>SUM(AA$94,'Statistics NZ'!AB$94-'Statistics NZ'!AA$94,$Q$12/5*(AB$8-AB$9)*1000)</f>
        <v>21646.139155190747</v>
      </c>
      <c r="AC94" s="46">
        <f>SUM(AB$94,'Statistics NZ'!AC$94-'Statistics NZ'!AB$94,$Q$12/5*(AC$8-AC$9)*1000)</f>
        <v>22389.55481530583</v>
      </c>
      <c r="AD94" s="46">
        <f>SUM(AC$94,'Statistics NZ'!AD$94-'Statistics NZ'!AC$94,$Q$12/5*(AD$8-AD$9)*1000)</f>
        <v>23222.401198735068</v>
      </c>
      <c r="AE94" s="46">
        <f>SUM(AD$94,'Statistics NZ'!AE$94-'Statistics NZ'!AD$94,$Q$12/5*(AE$8-AE$9)*1000)</f>
        <v>23904.678305478457</v>
      </c>
      <c r="AF94" s="46">
        <f>SUM(AE$94,'Statistics NZ'!AF$94-'Statistics NZ'!AE$94,$Q$12/5*(AF$8-AF$9)*1000)</f>
        <v>24566.386135535999</v>
      </c>
      <c r="AG94" s="46">
        <f>SUM(AF$94,'Statistics NZ'!AG$94-'Statistics NZ'!AF$94,$Q$12/5*(AG$8-AG$9)*1000)</f>
        <v>25337.524688907692</v>
      </c>
      <c r="AH94" s="46">
        <f>SUM(AG$94,'Statistics NZ'!AH$94-'Statistics NZ'!AG$94,$Q$12/5*(AH$8-AH$9)*1000)</f>
        <v>26388.09396559354</v>
      </c>
      <c r="AI94" s="46">
        <f>SUM(AH$94,'Statistics NZ'!AI$94-'Statistics NZ'!AH$94,$Q$12/5*(AI$8-AI$9)*1000)</f>
        <v>26808.09396559354</v>
      </c>
    </row>
    <row r="95" spans="1:35" x14ac:dyDescent="0.25">
      <c r="A95" s="11">
        <v>80</v>
      </c>
      <c r="B95" s="44">
        <f>'Statistics NZ'!B$95*'Economic Forecasts'!D$9*1000000/SUM('Statistics NZ'!B$30:B$110,'Statistics NZ'!B$130:B$210)</f>
        <v>9676.3175298514689</v>
      </c>
      <c r="C95" s="44">
        <f>'Statistics NZ'!C$95*'Economic Forecasts'!E$9*1000000/SUM('Statistics NZ'!C$30:C$110,'Statistics NZ'!C$130:C$210)</f>
        <v>9653.1369277672402</v>
      </c>
      <c r="D95" s="44">
        <f>'Statistics NZ'!D$95*'Economic Forecasts'!F$9*1000000/SUM('Statistics NZ'!D$30:D$110,'Statistics NZ'!D$130:D$210)</f>
        <v>9812.9009820940228</v>
      </c>
      <c r="E95" s="44">
        <f>'Statistics NZ'!E$95*'Economic Forecasts'!G$9*1000000/SUM('Statistics NZ'!E$30:E$110,'Statistics NZ'!E$130:E$210)</f>
        <v>9757.9877934051492</v>
      </c>
      <c r="F95" s="44">
        <f>'Statistics NZ'!F$95*'Economic Forecasts'!H$9*1000000/SUM('Statistics NZ'!F$30:F$110,'Statistics NZ'!F$130:F$210)</f>
        <v>10103.096287301998</v>
      </c>
      <c r="G95" s="44">
        <f>'Statistics NZ'!G$95*'Economic Forecasts'!I$9*1000000/SUM('Statistics NZ'!G$30:G$110,'Statistics NZ'!G$130:G$210)</f>
        <v>10225.193622130219</v>
      </c>
      <c r="H95" s="44">
        <f>'Statistics NZ'!H$95*'Economic Forecasts'!J$9*1000000/SUM('Statistics NZ'!H$30:H$110,'Statistics NZ'!H$130:H$210)</f>
        <v>9756.3611831328944</v>
      </c>
      <c r="I95" s="44">
        <f>'Statistics NZ'!I$95*'Economic Forecasts'!K$9*1000000/SUM('Statistics NZ'!I$30:I$110,'Statistics NZ'!I$130:I$210)</f>
        <v>9891.7873042557858</v>
      </c>
      <c r="J95" s="44">
        <f>'Statistics NZ'!J$95*'Economic Forecasts'!L$9*1000000/SUM('Statistics NZ'!J$30:J$110,'Statistics NZ'!J$130:J$210)</f>
        <v>9751.8822439343749</v>
      </c>
      <c r="K95" s="44">
        <f>'Statistics NZ'!K$95*'Economic Forecasts'!M$9*1000000/SUM('Statistics NZ'!K$30:K$110,'Statistics NZ'!K$130:K$210)</f>
        <v>9745.955561813269</v>
      </c>
      <c r="L95" s="44">
        <f>'Statistics NZ'!L$95*'Economic Forecasts'!N$9*1000000/SUM('Statistics NZ'!L$30:L$110,'Statistics NZ'!L$130:L$210)</f>
        <v>10145.552855118473</v>
      </c>
      <c r="M95" s="44">
        <f>'Statistics NZ'!M$95*'Economic Forecasts'!O$9*1000000/SUM('Statistics NZ'!M$30:M$110,'Statistics NZ'!M$130:M$210)</f>
        <v>10687.913783007842</v>
      </c>
      <c r="N95" s="44">
        <f>'Statistics NZ'!N$95*'Economic Forecasts'!P$9*1000000/SUM('Statistics NZ'!N$30:N$110,'Statistics NZ'!N$130:N$210)</f>
        <v>11154.825069420911</v>
      </c>
      <c r="O95" s="44">
        <f>'Statistics NZ'!O$95*'Economic Forecasts'!Q$9*1000000/SUM('Statistics NZ'!O$30:O$110,'Statistics NZ'!O$130:O$210)</f>
        <v>11781.451893536427</v>
      </c>
      <c r="P95" s="44">
        <f>'Statistics NZ'!P$95*'Economic Forecasts'!R$9*1000000/SUM('Statistics NZ'!P$30:P$110,'Statistics NZ'!P$130:P$210)</f>
        <v>12764.618869095828</v>
      </c>
      <c r="Q95" s="44">
        <f>'Statistics NZ'!Q$95*'Economic Forecasts'!S$9*1000000/SUM('Statistics NZ'!Q$30:Q$110,'Statistics NZ'!Q$130:Q$210)</f>
        <v>13935.396549185807</v>
      </c>
      <c r="R95" s="44">
        <f>'Statistics NZ'!R$95*'Economic Forecasts'!T$9*1000000/SUM('Statistics NZ'!R$30:R$110,'Statistics NZ'!R$130:R$210)</f>
        <v>14274.531433925098</v>
      </c>
      <c r="S95" s="45">
        <f>SUM('Statistics NZ'!S$95,$R$12/5*(S$8-S$9)*1000)*'Economic Forecasts'!U$9*1000000/SUM('Statistics NZ'!S$30:S$110,'Statistics NZ'!S$130:S$210,SUM($E$12:$T$13)*(S$8-S$9)*1000)</f>
        <v>12519.547998507651</v>
      </c>
      <c r="T95" s="45">
        <f>SUM('Statistics NZ'!T$95,$R$12/5*(T$8-T$9)*1000)*'Economic Forecasts'!V$9*1000000/SUM('Statistics NZ'!T$30:T$110,'Statistics NZ'!T$130:T$210,SUM($E$12:$T$13)*(T$8-T$9)*1000)</f>
        <v>14343.741353702524</v>
      </c>
      <c r="U95" s="45">
        <f>SUM('Statistics NZ'!U$95,$R$12/5*(U$8-U$9)*1000)*'Economic Forecasts'!W$9*1000000/SUM('Statistics NZ'!U$30:U$110,'Statistics NZ'!U$130:U$210,SUM($E$12:$T$13)*(U$8-U$9)*1000)</f>
        <v>15312.212586749471</v>
      </c>
      <c r="V95" s="45">
        <f>SUM('Statistics NZ'!V$95,$R$12/5*(V$8-V$9)*1000)*'Economic Forecasts'!X$9*1000000/SUM('Statistics NZ'!V$30:V$110,'Statistics NZ'!V$130:V$210,SUM($E$12:$T$13)*(V$8-V$9)*1000)</f>
        <v>16324.474534342144</v>
      </c>
      <c r="W95" s="45">
        <f>SUM('Statistics NZ'!W$95,$R$12/5*(W$8-W$9)*1000)*'Economic Forecasts'!Y$9*1000000/SUM('Statistics NZ'!W$30:W$110,'Statistics NZ'!W$130:W$210,SUM($E$12:$T$13)*(W$8-W$9)*1000)</f>
        <v>19194.556301587316</v>
      </c>
      <c r="X95" s="45">
        <f>SUM('Statistics NZ'!X$95,$R$12/5*(X$8-X$9)*1000)*'Economic Forecasts'!Z$9*1000000/SUM('Statistics NZ'!X$30:X$110,'Statistics NZ'!X$130:X$210,SUM($E$12:$T$13)*(X$8-X$9)*1000)</f>
        <v>19546.960941349225</v>
      </c>
      <c r="Y95" s="45">
        <f>SUM('Statistics NZ'!Y$95,$R$12/5*(Y$8-Y$9)*1000)*'Economic Forecasts'!AA$9*1000000/SUM('Statistics NZ'!Y$30:Y$110,'Statistics NZ'!Y$130:Y$210,SUM($E$12:$T$13)*(Y$8-Y$9)*1000)</f>
        <v>19179.160579160885</v>
      </c>
      <c r="Z95" s="46">
        <f>SUM(Y$95,'Statistics NZ'!Z$95-'Statistics NZ'!Y$95,$R$12/5*(Z$8-Z$9)*1000)</f>
        <v>19832.01331222304</v>
      </c>
      <c r="AA95" s="46">
        <f>SUM(Z$95,'Statistics NZ'!AA$95-'Statistics NZ'!Z$95,$R$12/5*(AA$8-AA$9)*1000)</f>
        <v>19834.549074944953</v>
      </c>
      <c r="AB95" s="46">
        <f>SUM(AA$95,'Statistics NZ'!AB$95-'Statistics NZ'!AA$95,$R$12/5*(AB$8-AB$9)*1000)</f>
        <v>20526.767867326627</v>
      </c>
      <c r="AC95" s="46">
        <f>SUM(AB$95,'Statistics NZ'!AC$95-'Statistics NZ'!AB$95,$R$12/5*(AC$8-AC$9)*1000)</f>
        <v>21058.669689368064</v>
      </c>
      <c r="AD95" s="46">
        <f>SUM(AC$95,'Statistics NZ'!AD$95-'Statistics NZ'!AC$95,$R$12/5*(AD$8-AD$9)*1000)</f>
        <v>21800.254541069258</v>
      </c>
      <c r="AE95" s="46">
        <f>SUM(AD$95,'Statistics NZ'!AE$95-'Statistics NZ'!AD$95,$R$12/5*(AE$8-AE$9)*1000)</f>
        <v>22621.522422430215</v>
      </c>
      <c r="AF95" s="46">
        <f>SUM(AE$95,'Statistics NZ'!AF$95-'Statistics NZ'!AE$95,$R$12/5*(AF$8-AF$9)*1000)</f>
        <v>23292.473333450933</v>
      </c>
      <c r="AG95" s="46">
        <f>SUM(AF$95,'Statistics NZ'!AG$95-'Statistics NZ'!AF$95,$R$12/5*(AG$8-AG$9)*1000)</f>
        <v>23933.107274131413</v>
      </c>
      <c r="AH95" s="46">
        <f>SUM(AG$95,'Statistics NZ'!AH$95-'Statistics NZ'!AG$95,$R$12/5*(AH$8-AH$9)*1000)</f>
        <v>24703.424244471651</v>
      </c>
      <c r="AI95" s="46">
        <f>SUM(AH$95,'Statistics NZ'!AI$95-'Statistics NZ'!AH$95,$R$12/5*(AI$8-AI$9)*1000)</f>
        <v>25733.424244471651</v>
      </c>
    </row>
    <row r="96" spans="1:35" x14ac:dyDescent="0.25">
      <c r="A96" s="11">
        <v>81</v>
      </c>
      <c r="B96" s="44">
        <f>'Statistics NZ'!B$96*'Economic Forecasts'!D$9*1000000/SUM('Statistics NZ'!B$30:B$110,'Statistics NZ'!B$130:B$210)</f>
        <v>9402.3671852247353</v>
      </c>
      <c r="C96" s="44">
        <f>'Statistics NZ'!C$96*'Economic Forecasts'!E$9*1000000/SUM('Statistics NZ'!C$30:C$110,'Statistics NZ'!C$130:C$210)</f>
        <v>9279.9739539573166</v>
      </c>
      <c r="D96" s="44">
        <f>'Statistics NZ'!D$96*'Economic Forecasts'!F$9*1000000/SUM('Statistics NZ'!D$30:D$110,'Statistics NZ'!D$130:D$210)</f>
        <v>9213.7148360402334</v>
      </c>
      <c r="E96" s="44">
        <f>'Statistics NZ'!E$96*'Economic Forecasts'!G$9*1000000/SUM('Statistics NZ'!E$30:E$110,'Statistics NZ'!E$130:E$210)</f>
        <v>9355.8998541794081</v>
      </c>
      <c r="F96" s="44">
        <f>'Statistics NZ'!F$96*'Economic Forecasts'!H$9*1000000/SUM('Statistics NZ'!F$30:F$110,'Statistics NZ'!F$130:F$210)</f>
        <v>9328.1986108972815</v>
      </c>
      <c r="G96" s="44">
        <f>'Statistics NZ'!G$96*'Economic Forecasts'!I$9*1000000/SUM('Statistics NZ'!G$30:G$110,'Statistics NZ'!G$130:G$210)</f>
        <v>9645.6677588202419</v>
      </c>
      <c r="H96" s="44">
        <f>'Statistics NZ'!H$96*'Economic Forecasts'!J$9*1000000/SUM('Statistics NZ'!H$30:H$110,'Statistics NZ'!H$130:H$210)</f>
        <v>9785.8365945622991</v>
      </c>
      <c r="I96" s="44">
        <f>'Statistics NZ'!I$96*'Economic Forecasts'!K$9*1000000/SUM('Statistics NZ'!I$30:I$110,'Statistics NZ'!I$130:I$210)</f>
        <v>9332.9846517854367</v>
      </c>
      <c r="J96" s="44">
        <f>'Statistics NZ'!J$96*'Economic Forecasts'!L$9*1000000/SUM('Statistics NZ'!J$30:J$110,'Statistics NZ'!J$130:J$210)</f>
        <v>9420.3182476406073</v>
      </c>
      <c r="K96" s="44">
        <f>'Statistics NZ'!K$96*'Economic Forecasts'!M$9*1000000/SUM('Statistics NZ'!K$30:K$110,'Statistics NZ'!K$130:K$210)</f>
        <v>9337.0343494294957</v>
      </c>
      <c r="L96" s="44">
        <f>'Statistics NZ'!L$96*'Economic Forecasts'!N$9*1000000/SUM('Statistics NZ'!L$30:L$110,'Statistics NZ'!L$130:L$210)</f>
        <v>9376.3602682140936</v>
      </c>
      <c r="M96" s="44">
        <f>'Statistics NZ'!M$96*'Economic Forecasts'!O$9*1000000/SUM('Statistics NZ'!M$30:M$110,'Statistics NZ'!M$130:M$210)</f>
        <v>9740.2651203462719</v>
      </c>
      <c r="N96" s="44">
        <f>'Statistics NZ'!N$96*'Economic Forecasts'!P$9*1000000/SUM('Statistics NZ'!N$30:N$110,'Statistics NZ'!N$130:N$210)</f>
        <v>10235.041247907257</v>
      </c>
      <c r="O96" s="44">
        <f>'Statistics NZ'!O$96*'Economic Forecasts'!Q$9*1000000/SUM('Statistics NZ'!O$30:O$110,'Statistics NZ'!O$130:O$210)</f>
        <v>10731.813798108949</v>
      </c>
      <c r="P96" s="44">
        <f>'Statistics NZ'!P$96*'Economic Forecasts'!R$9*1000000/SUM('Statistics NZ'!P$30:P$110,'Statistics NZ'!P$130:P$210)</f>
        <v>11365.890517922877</v>
      </c>
      <c r="Q96" s="44">
        <f>'Statistics NZ'!Q$96*'Economic Forecasts'!S$9*1000000/SUM('Statistics NZ'!Q$30:Q$110,'Statistics NZ'!Q$130:Q$210)</f>
        <v>12455.007397360119</v>
      </c>
      <c r="R96" s="44">
        <f>'Statistics NZ'!R$96*'Economic Forecasts'!T$9*1000000/SUM('Statistics NZ'!R$30:R$110,'Statistics NZ'!R$130:R$210)</f>
        <v>13397.765873111204</v>
      </c>
      <c r="S96" s="45">
        <f>SUM('Statistics NZ'!S$96,$R$12/5*(S$8-S$9)*1000)*'Economic Forecasts'!U$9*1000000/SUM('Statistics NZ'!S$30:S$110,'Statistics NZ'!S$130:S$210,SUM($E$12:$T$13)*(S$8-S$9)*1000)</f>
        <v>13577.05215534124</v>
      </c>
      <c r="T96" s="45">
        <f>SUM('Statistics NZ'!T$96,$R$12/5*(T$8-T$9)*1000)*'Economic Forecasts'!V$9*1000000/SUM('Statistics NZ'!T$30:T$110,'Statistics NZ'!T$130:T$210,SUM($E$12:$T$13)*(T$8-T$9)*1000)</f>
        <v>12426.36600165084</v>
      </c>
      <c r="U96" s="45">
        <f>SUM('Statistics NZ'!U$96,$R$12/5*(U$8-U$9)*1000)*'Economic Forecasts'!W$9*1000000/SUM('Statistics NZ'!U$30:U$110,'Statistics NZ'!U$130:U$210,SUM($E$12:$T$13)*(U$8-U$9)*1000)</f>
        <v>13999.469295520801</v>
      </c>
      <c r="V96" s="45">
        <f>SUM('Statistics NZ'!V$96,$R$12/5*(V$8-V$9)*1000)*'Economic Forecasts'!X$9*1000000/SUM('Statistics NZ'!V$30:V$110,'Statistics NZ'!V$130:V$210,SUM($E$12:$T$13)*(V$8-V$9)*1000)</f>
        <v>14827.817308414929</v>
      </c>
      <c r="W96" s="45">
        <f>SUM('Statistics NZ'!W$96,$R$12/5*(W$8-W$9)*1000)*'Economic Forecasts'!Y$9*1000000/SUM('Statistics NZ'!W$30:W$110,'Statistics NZ'!W$130:W$210,SUM($E$12:$T$13)*(W$8-W$9)*1000)</f>
        <v>15811.999376248015</v>
      </c>
      <c r="X96" s="45">
        <f>SUM('Statistics NZ'!X$96,$R$12/5*(X$8-X$9)*1000)*'Economic Forecasts'!Z$9*1000000/SUM('Statistics NZ'!X$30:X$110,'Statistics NZ'!X$130:X$210,SUM($E$12:$T$13)*(X$8-X$9)*1000)</f>
        <v>18603.258845740897</v>
      </c>
      <c r="Y96" s="45">
        <f>SUM('Statistics NZ'!Y$96,$R$12/5*(Y$8-Y$9)*1000)*'Economic Forecasts'!AA$9*1000000/SUM('Statistics NZ'!Y$30:Y$110,'Statistics NZ'!Y$130:Y$210,SUM($E$12:$T$13)*(Y$8-Y$9)*1000)</f>
        <v>18965.529461158651</v>
      </c>
      <c r="Z96" s="46">
        <f>SUM(Y$96,'Statistics NZ'!Z$96-'Statistics NZ'!Y$96,$R$12/5*(Z$8-Z$9)*1000)</f>
        <v>18588.382194220805</v>
      </c>
      <c r="AA96" s="46">
        <f>SUM(Z$96,'Statistics NZ'!AA$96-'Statistics NZ'!Z$96,$R$12/5*(AA$8-AA$9)*1000)</f>
        <v>19220.917956942718</v>
      </c>
      <c r="AB96" s="46">
        <f>SUM(AA$96,'Statistics NZ'!AB$96-'Statistics NZ'!AA$96,$R$12/5*(AB$8-AB$9)*1000)</f>
        <v>19233.136749324392</v>
      </c>
      <c r="AC96" s="46">
        <f>SUM(AB$96,'Statistics NZ'!AC$96-'Statistics NZ'!AB$96,$R$12/5*(AC$8-AC$9)*1000)</f>
        <v>19915.038571365829</v>
      </c>
      <c r="AD96" s="46">
        <f>SUM(AC$96,'Statistics NZ'!AD$96-'Statistics NZ'!AC$96,$R$12/5*(AD$8-AD$9)*1000)</f>
        <v>20446.623423067023</v>
      </c>
      <c r="AE96" s="46">
        <f>SUM(AD$96,'Statistics NZ'!AE$96-'Statistics NZ'!AD$96,$R$12/5*(AE$8-AE$9)*1000)</f>
        <v>21167.89130442798</v>
      </c>
      <c r="AF96" s="46">
        <f>SUM(AE$96,'Statistics NZ'!AF$96-'Statistics NZ'!AE$96,$R$12/5*(AF$8-AF$9)*1000)</f>
        <v>21968.842215448698</v>
      </c>
      <c r="AG96" s="46">
        <f>SUM(AF$96,'Statistics NZ'!AG$96-'Statistics NZ'!AF$96,$R$12/5*(AG$8-AG$9)*1000)</f>
        <v>22629.476156129178</v>
      </c>
      <c r="AH96" s="46">
        <f>SUM(AG$96,'Statistics NZ'!AH$96-'Statistics NZ'!AG$96,$R$12/5*(AH$8-AH$9)*1000)</f>
        <v>23269.793126469416</v>
      </c>
      <c r="AI96" s="46">
        <f>SUM(AH$96,'Statistics NZ'!AI$96-'Statistics NZ'!AH$96,$R$12/5*(AI$8-AI$9)*1000)</f>
        <v>24019.793126469416</v>
      </c>
    </row>
    <row r="97" spans="1:35" x14ac:dyDescent="0.25">
      <c r="A97" s="11">
        <v>82</v>
      </c>
      <c r="B97" s="44">
        <f>'Statistics NZ'!B$97*'Economic Forecasts'!D$9*1000000/SUM('Statistics NZ'!B$30:B$110,'Statistics NZ'!B$130:B$210)</f>
        <v>8580.5161513445291</v>
      </c>
      <c r="C97" s="44">
        <f>'Statistics NZ'!C$97*'Economic Forecasts'!E$9*1000000/SUM('Statistics NZ'!C$30:C$110,'Statistics NZ'!C$130:C$210)</f>
        <v>8946.0912931800176</v>
      </c>
      <c r="D97" s="44">
        <f>'Statistics NZ'!D$97*'Economic Forecasts'!F$9*1000000/SUM('Statistics NZ'!D$30:D$110,'Statistics NZ'!D$130:D$210)</f>
        <v>8810.983164102443</v>
      </c>
      <c r="E97" s="44">
        <f>'Statistics NZ'!E$97*'Economic Forecasts'!G$9*1000000/SUM('Statistics NZ'!E$30:E$110,'Statistics NZ'!E$130:E$210)</f>
        <v>8757.6714567947711</v>
      </c>
      <c r="F97" s="44">
        <f>'Statistics NZ'!F$97*'Economic Forecasts'!H$9*1000000/SUM('Statistics NZ'!F$30:F$110,'Statistics NZ'!F$130:F$210)</f>
        <v>8906.4188629807904</v>
      </c>
      <c r="G97" s="44">
        <f>'Statistics NZ'!G$97*'Economic Forecasts'!I$9*1000000/SUM('Statistics NZ'!G$30:G$110,'Statistics NZ'!G$130:G$210)</f>
        <v>8879.5149225799396</v>
      </c>
      <c r="H97" s="44">
        <f>'Statistics NZ'!H$97*'Economic Forecasts'!J$9*1000000/SUM('Statistics NZ'!H$30:H$110,'Statistics NZ'!H$130:H$210)</f>
        <v>9176.6780916879397</v>
      </c>
      <c r="I97" s="44">
        <f>'Statistics NZ'!I$97*'Economic Forecasts'!K$9*1000000/SUM('Statistics NZ'!I$30:I$110,'Statistics NZ'!I$130:I$210)</f>
        <v>9342.788207091935</v>
      </c>
      <c r="J97" s="44">
        <f>'Statistics NZ'!J$97*'Economic Forecasts'!L$9*1000000/SUM('Statistics NZ'!J$30:J$110,'Statistics NZ'!J$130:J$210)</f>
        <v>8844.9571952484803</v>
      </c>
      <c r="K97" s="44">
        <f>'Statistics NZ'!K$97*'Economic Forecasts'!M$9*1000000/SUM('Statistics NZ'!K$30:K$110,'Statistics NZ'!K$130:K$210)</f>
        <v>8918.37691770325</v>
      </c>
      <c r="L97" s="44">
        <f>'Statistics NZ'!L$97*'Economic Forecasts'!N$9*1000000/SUM('Statistics NZ'!L$30:L$110,'Statistics NZ'!L$130:L$210)</f>
        <v>8909.0027470570058</v>
      </c>
      <c r="M97" s="44">
        <f>'Statistics NZ'!M$97*'Economic Forecasts'!O$9*1000000/SUM('Statistics NZ'!M$30:M$110,'Statistics NZ'!M$130:M$210)</f>
        <v>8968.4687868383917</v>
      </c>
      <c r="N97" s="44">
        <f>'Statistics NZ'!N$97*'Economic Forecasts'!P$9*1000000/SUM('Statistics NZ'!N$30:N$110,'Statistics NZ'!N$130:N$210)</f>
        <v>9276.1176893079155</v>
      </c>
      <c r="O97" s="44">
        <f>'Statistics NZ'!O$97*'Economic Forecasts'!Q$9*1000000/SUM('Statistics NZ'!O$30:O$110,'Statistics NZ'!O$130:O$210)</f>
        <v>9799.8921245985748</v>
      </c>
      <c r="P97" s="44">
        <f>'Statistics NZ'!P$97*'Economic Forecasts'!R$9*1000000/SUM('Statistics NZ'!P$30:P$110,'Statistics NZ'!P$130:P$210)</f>
        <v>10368.196169533778</v>
      </c>
      <c r="Q97" s="44">
        <f>'Statistics NZ'!Q$97*'Economic Forecasts'!S$9*1000000/SUM('Statistics NZ'!Q$30:Q$110,'Statistics NZ'!Q$130:Q$210)</f>
        <v>10974.618245534431</v>
      </c>
      <c r="R97" s="44">
        <f>'Statistics NZ'!R$97*'Economic Forecasts'!T$9*1000000/SUM('Statistics NZ'!R$30:R$110,'Statistics NZ'!R$130:R$210)</f>
        <v>11920.071107694526</v>
      </c>
      <c r="S97" s="45">
        <f>SUM('Statistics NZ'!S$97,$R$12/5*(S$8-S$9)*1000)*'Economic Forecasts'!U$9*1000000/SUM('Statistics NZ'!S$30:S$110,'Statistics NZ'!S$130:S$210,SUM($E$12:$T$13)*(S$8-S$9)*1000)</f>
        <v>12684.479839481695</v>
      </c>
      <c r="T97" s="45">
        <f>SUM('Statistics NZ'!T$97,$R$12/5*(T$8-T$9)*1000)*'Economic Forecasts'!V$9*1000000/SUM('Statistics NZ'!T$30:T$110,'Statistics NZ'!T$130:T$210,SUM($E$12:$T$13)*(T$8-T$9)*1000)</f>
        <v>13405.026337593888</v>
      </c>
      <c r="U97" s="45">
        <f>SUM('Statistics NZ'!U$97,$R$12/5*(U$8-U$9)*1000)*'Economic Forecasts'!W$9*1000000/SUM('Statistics NZ'!U$30:U$110,'Statistics NZ'!U$130:U$210,SUM($E$12:$T$13)*(U$8-U$9)*1000)</f>
        <v>12060.648434629235</v>
      </c>
      <c r="V97" s="45">
        <f>SUM('Statistics NZ'!V$97,$R$12/5*(V$8-V$9)*1000)*'Economic Forecasts'!X$9*1000000/SUM('Statistics NZ'!V$30:V$110,'Statistics NZ'!V$130:V$210,SUM($E$12:$T$13)*(V$8-V$9)*1000)</f>
        <v>13482.848314845198</v>
      </c>
      <c r="W97" s="45">
        <f>SUM('Statistics NZ'!W$97,$R$12/5*(W$8-W$9)*1000)*'Economic Forecasts'!Y$9*1000000/SUM('Statistics NZ'!W$30:W$110,'Statistics NZ'!W$130:W$210,SUM($E$12:$T$13)*(W$8-W$9)*1000)</f>
        <v>14282.759568684438</v>
      </c>
      <c r="X97" s="45">
        <f>SUM('Statistics NZ'!X$97,$R$12/5*(X$8-X$9)*1000)*'Economic Forecasts'!Z$9*1000000/SUM('Statistics NZ'!X$30:X$110,'Statistics NZ'!X$130:X$210,SUM($E$12:$T$13)*(X$8-X$9)*1000)</f>
        <v>15244.491172124151</v>
      </c>
      <c r="Y97" s="45">
        <f>SUM('Statistics NZ'!Y$97,$R$12/5*(Y$8-Y$9)*1000)*'Economic Forecasts'!AA$9*1000000/SUM('Statistics NZ'!Y$30:Y$110,'Statistics NZ'!Y$130:Y$210,SUM($E$12:$T$13)*(Y$8-Y$9)*1000)</f>
        <v>17958.411333433811</v>
      </c>
      <c r="Z97" s="46">
        <f>SUM(Y$97,'Statistics NZ'!Z$97-'Statistics NZ'!Y$97,$R$12/5*(Z$8-Z$9)*1000)</f>
        <v>18261.264066495965</v>
      </c>
      <c r="AA97" s="46">
        <f>SUM(Z$97,'Statistics NZ'!AA$97-'Statistics NZ'!Z$97,$R$12/5*(AA$8-AA$9)*1000)</f>
        <v>17913.799829217878</v>
      </c>
      <c r="AB97" s="46">
        <f>SUM(AA$97,'Statistics NZ'!AB$97-'Statistics NZ'!AA$97,$R$12/5*(AB$8-AB$9)*1000)</f>
        <v>18536.018621599553</v>
      </c>
      <c r="AC97" s="46">
        <f>SUM(AB$97,'Statistics NZ'!AC$97-'Statistics NZ'!AB$97,$R$12/5*(AC$8-AC$9)*1000)</f>
        <v>18557.920443640989</v>
      </c>
      <c r="AD97" s="46">
        <f>SUM(AC$97,'Statistics NZ'!AD$97-'Statistics NZ'!AC$97,$R$12/5*(AD$8-AD$9)*1000)</f>
        <v>19229.505295342184</v>
      </c>
      <c r="AE97" s="46">
        <f>SUM(AD$97,'Statistics NZ'!AE$97-'Statistics NZ'!AD$97,$R$12/5*(AE$8-AE$9)*1000)</f>
        <v>19740.77317670314</v>
      </c>
      <c r="AF97" s="46">
        <f>SUM(AE$97,'Statistics NZ'!AF$97-'Statistics NZ'!AE$97,$R$12/5*(AF$8-AF$9)*1000)</f>
        <v>20451.724087723858</v>
      </c>
      <c r="AG97" s="46">
        <f>SUM(AF$97,'Statistics NZ'!AG$97-'Statistics NZ'!AF$97,$R$12/5*(AG$8-AG$9)*1000)</f>
        <v>21232.358028404338</v>
      </c>
      <c r="AH97" s="46">
        <f>SUM(AG$97,'Statistics NZ'!AH$97-'Statistics NZ'!AG$97,$R$12/5*(AH$8-AH$9)*1000)</f>
        <v>21882.674998744576</v>
      </c>
      <c r="AI97" s="46">
        <f>SUM(AH$97,'Statistics NZ'!AI$97-'Statistics NZ'!AH$97,$R$12/5*(AI$8-AI$9)*1000)</f>
        <v>22512.674998744576</v>
      </c>
    </row>
    <row r="98" spans="1:35" x14ac:dyDescent="0.25">
      <c r="A98" s="11">
        <v>83</v>
      </c>
      <c r="B98" s="44">
        <f>'Statistics NZ'!B$98*'Economic Forecasts'!D$9*1000000/SUM('Statistics NZ'!B$30:B$110,'Statistics NZ'!B$130:B$210)</f>
        <v>7856.5045262595868</v>
      </c>
      <c r="C98" s="44">
        <f>'Statistics NZ'!C$98*'Economic Forecasts'!E$9*1000000/SUM('Statistics NZ'!C$30:C$110,'Statistics NZ'!C$130:C$210)</f>
        <v>8121.2047194949228</v>
      </c>
      <c r="D98" s="44">
        <f>'Statistics NZ'!D$98*'Economic Forecasts'!F$9*1000000/SUM('Statistics NZ'!D$30:D$110,'Statistics NZ'!D$130:D$210)</f>
        <v>8418.0742158704488</v>
      </c>
      <c r="E98" s="44">
        <f>'Statistics NZ'!E$98*'Economic Forecasts'!G$9*1000000/SUM('Statistics NZ'!E$30:E$110,'Statistics NZ'!E$130:E$210)</f>
        <v>8277.1273343054709</v>
      </c>
      <c r="F98" s="44">
        <f>'Statistics NZ'!F$98*'Economic Forecasts'!H$9*1000000/SUM('Statistics NZ'!F$30:F$110,'Statistics NZ'!F$130:F$210)</f>
        <v>8239.4183313919202</v>
      </c>
      <c r="G98" s="44">
        <f>'Statistics NZ'!G$98*'Economic Forecasts'!I$9*1000000/SUM('Statistics NZ'!G$30:G$110,'Statistics NZ'!G$130:G$210)</f>
        <v>8437.5036709028409</v>
      </c>
      <c r="H98" s="44">
        <f>'Statistics NZ'!H$98*'Economic Forecasts'!J$9*1000000/SUM('Statistics NZ'!H$30:H$110,'Statistics NZ'!H$130:H$210)</f>
        <v>8400.4922573802869</v>
      </c>
      <c r="I98" s="44">
        <f>'Statistics NZ'!I$98*'Economic Forecasts'!K$9*1000000/SUM('Statistics NZ'!I$30:I$110,'Statistics NZ'!I$130:I$210)</f>
        <v>8646.735780330624</v>
      </c>
      <c r="J98" s="44">
        <f>'Statistics NZ'!J$98*'Economic Forecasts'!L$9*1000000/SUM('Statistics NZ'!J$30:J$110,'Statistics NZ'!J$130:J$210)</f>
        <v>8796.1977840288073</v>
      </c>
      <c r="K98" s="44">
        <f>'Statistics NZ'!K$98*'Economic Forecasts'!M$9*1000000/SUM('Statistics NZ'!K$30:K$110,'Statistics NZ'!K$130:K$210)</f>
        <v>8324.4675378125321</v>
      </c>
      <c r="L98" s="44">
        <f>'Statistics NZ'!L$98*'Economic Forecasts'!N$9*1000000/SUM('Statistics NZ'!L$30:L$110,'Statistics NZ'!L$130:L$210)</f>
        <v>8461.1184559481298</v>
      </c>
      <c r="M98" s="44">
        <f>'Statistics NZ'!M$98*'Economic Forecasts'!O$9*1000000/SUM('Statistics NZ'!M$30:M$110,'Statistics NZ'!M$130:M$210)</f>
        <v>8479.9900947447968</v>
      </c>
      <c r="N98" s="44">
        <f>'Statistics NZ'!N$98*'Economic Forecasts'!P$9*1000000/SUM('Statistics NZ'!N$30:N$110,'Statistics NZ'!N$130:N$210)</f>
        <v>8512.8928161370113</v>
      </c>
      <c r="O98" s="44">
        <f>'Statistics NZ'!O$98*'Economic Forecasts'!Q$9*1000000/SUM('Statistics NZ'!O$30:O$110,'Statistics NZ'!O$130:O$210)</f>
        <v>8848.3510474353498</v>
      </c>
      <c r="P98" s="44">
        <f>'Statistics NZ'!P$98*'Economic Forecasts'!R$9*1000000/SUM('Statistics NZ'!P$30:P$110,'Statistics NZ'!P$130:P$210)</f>
        <v>9282.4699668750509</v>
      </c>
      <c r="Q98" s="44">
        <f>'Statistics NZ'!Q$98*'Economic Forecasts'!S$9*1000000/SUM('Statistics NZ'!Q$30:Q$110,'Statistics NZ'!Q$130:Q$210)</f>
        <v>9948.2151002686223</v>
      </c>
      <c r="R98" s="44">
        <f>'Statistics NZ'!R$98*'Economic Forecasts'!T$9*1000000/SUM('Statistics NZ'!R$30:R$110,'Statistics NZ'!R$130:R$210)</f>
        <v>10402.971148533406</v>
      </c>
      <c r="S98" s="45">
        <f>SUM('Statistics NZ'!S$98,$R$12/5*(S$8-S$9)*1000)*'Economic Forecasts'!U$9*1000000/SUM('Statistics NZ'!S$30:S$110,'Statistics NZ'!S$130:S$210,SUM($E$12:$T$13)*(S$8-S$9)*1000)</f>
        <v>11219.497016712226</v>
      </c>
      <c r="T98" s="45">
        <f>SUM('Statistics NZ'!T$98,$R$12/5*(T$8-T$9)*1000)*'Economic Forecasts'!V$9*1000000/SUM('Statistics NZ'!T$30:T$110,'Statistics NZ'!T$130:T$210,SUM($E$12:$T$13)*(T$8-T$9)*1000)</f>
        <v>12436.352331609443</v>
      </c>
      <c r="U98" s="45">
        <f>SUM('Statistics NZ'!U$98,$R$12/5*(U$8-U$9)*1000)*'Economic Forecasts'!W$9*1000000/SUM('Statistics NZ'!U$30:U$110,'Statistics NZ'!U$130:U$210,SUM($E$12:$T$13)*(U$8-U$9)*1000)</f>
        <v>12939.176637220724</v>
      </c>
      <c r="V98" s="45">
        <f>SUM('Statistics NZ'!V$98,$R$12/5*(V$8-V$9)*1000)*'Economic Forecasts'!X$9*1000000/SUM('Statistics NZ'!V$30:V$110,'Statistics NZ'!V$130:V$210,SUM($E$12:$T$13)*(V$8-V$9)*1000)</f>
        <v>11541.238940669349</v>
      </c>
      <c r="W98" s="45">
        <f>SUM('Statistics NZ'!W$98,$R$12/5*(W$8-W$9)*1000)*'Economic Forecasts'!Y$9*1000000/SUM('Statistics NZ'!W$30:W$110,'Statistics NZ'!W$130:W$210,SUM($E$12:$T$13)*(W$8-W$9)*1000)</f>
        <v>12905.431000282804</v>
      </c>
      <c r="X98" s="45">
        <f>SUM('Statistics NZ'!X$98,$R$12/5*(X$8-X$9)*1000)*'Economic Forecasts'!Z$9*1000000/SUM('Statistics NZ'!X$30:X$110,'Statistics NZ'!X$130:X$210,SUM($E$12:$T$13)*(X$8-X$9)*1000)</f>
        <v>13691.94901483303</v>
      </c>
      <c r="Y98" s="45">
        <f>SUM('Statistics NZ'!Y$98,$R$12/5*(Y$8-Y$9)*1000)*'Economic Forecasts'!AA$9*1000000/SUM('Statistics NZ'!Y$30:Y$110,'Statistics NZ'!Y$130:Y$210,SUM($E$12:$T$13)*(Y$8-Y$9)*1000)</f>
        <v>14631.869638827522</v>
      </c>
      <c r="Z98" s="46">
        <f>SUM(Y$98,'Statistics NZ'!Z$98-'Statistics NZ'!Y$98,$R$12/5*(Z$8-Z$9)*1000)</f>
        <v>17154.722371889675</v>
      </c>
      <c r="AA98" s="46">
        <f>SUM(Z$98,'Statistics NZ'!AA$98-'Statistics NZ'!Z$98,$R$12/5*(AA$8-AA$9)*1000)</f>
        <v>17457.258134611588</v>
      </c>
      <c r="AB98" s="46">
        <f>SUM(AA$98,'Statistics NZ'!AB$98-'Statistics NZ'!AA$98,$R$12/5*(AB$8-AB$9)*1000)</f>
        <v>17129.476926993262</v>
      </c>
      <c r="AC98" s="46">
        <f>SUM(AB$98,'Statistics NZ'!AC$98-'Statistics NZ'!AB$98,$R$12/5*(AC$8-AC$9)*1000)</f>
        <v>17741.378749034699</v>
      </c>
      <c r="AD98" s="46">
        <f>SUM(AC$98,'Statistics NZ'!AD$98-'Statistics NZ'!AC$98,$R$12/5*(AD$8-AD$9)*1000)</f>
        <v>17772.963600735893</v>
      </c>
      <c r="AE98" s="46">
        <f>SUM(AD$98,'Statistics NZ'!AE$98-'Statistics NZ'!AD$98,$R$12/5*(AE$8-AE$9)*1000)</f>
        <v>18424.23148209685</v>
      </c>
      <c r="AF98" s="46">
        <f>SUM(AE$98,'Statistics NZ'!AF$98-'Statistics NZ'!AE$98,$R$12/5*(AF$8-AF$9)*1000)</f>
        <v>18925.182393117568</v>
      </c>
      <c r="AG98" s="46">
        <f>SUM(AF$98,'Statistics NZ'!AG$98-'Statistics NZ'!AF$98,$R$12/5*(AG$8-AG$9)*1000)</f>
        <v>19615.816333798048</v>
      </c>
      <c r="AH98" s="46">
        <f>SUM(AG$98,'Statistics NZ'!AH$98-'Statistics NZ'!AG$98,$R$12/5*(AH$8-AH$9)*1000)</f>
        <v>20376.133304138286</v>
      </c>
      <c r="AI98" s="46">
        <f>SUM(AH$98,'Statistics NZ'!AI$98-'Statistics NZ'!AH$98,$R$12/5*(AI$8-AI$9)*1000)</f>
        <v>21016.133304138286</v>
      </c>
    </row>
    <row r="99" spans="1:35" x14ac:dyDescent="0.25">
      <c r="A99" s="11">
        <v>84</v>
      </c>
      <c r="B99" s="44">
        <f>'Statistics NZ'!B$99*'Economic Forecasts'!D$9*1000000/SUM('Statistics NZ'!B$30:B$110,'Statistics NZ'!B$130:B$210)</f>
        <v>7533.6344772352195</v>
      </c>
      <c r="C99" s="44">
        <f>'Statistics NZ'!C$99*'Economic Forecasts'!E$9*1000000/SUM('Statistics NZ'!C$30:C$110,'Statistics NZ'!C$130:C$210)</f>
        <v>7355.2386153587622</v>
      </c>
      <c r="D99" s="44">
        <f>'Statistics NZ'!D$99*'Economic Forecasts'!F$9*1000000/SUM('Statistics NZ'!D$30:D$110,'Statistics NZ'!D$130:D$210)</f>
        <v>7592.9654245832626</v>
      </c>
      <c r="E99" s="44">
        <f>'Statistics NZ'!E$99*'Economic Forecasts'!G$9*1000000/SUM('Statistics NZ'!E$30:E$110,'Statistics NZ'!E$130:E$210)</f>
        <v>7884.8464179876773</v>
      </c>
      <c r="F99" s="44">
        <f>'Statistics NZ'!F$99*'Economic Forecasts'!H$9*1000000/SUM('Statistics NZ'!F$30:F$110,'Statistics NZ'!F$130:F$210)</f>
        <v>7739.1679327002685</v>
      </c>
      <c r="G99" s="44">
        <f>'Statistics NZ'!G$99*'Economic Forecasts'!I$9*1000000/SUM('Statistics NZ'!G$30:G$110,'Statistics NZ'!G$130:G$210)</f>
        <v>7730.2856682194824</v>
      </c>
      <c r="H99" s="44">
        <f>'Statistics NZ'!H$99*'Economic Forecasts'!J$9*1000000/SUM('Statistics NZ'!H$30:H$110,'Statistics NZ'!H$130:H$210)</f>
        <v>7840.4594402216017</v>
      </c>
      <c r="I99" s="44">
        <f>'Statistics NZ'!I$99*'Economic Forecasts'!K$9*1000000/SUM('Statistics NZ'!I$30:I$110,'Statistics NZ'!I$130:I$210)</f>
        <v>7901.6655770368307</v>
      </c>
      <c r="J99" s="44">
        <f>'Statistics NZ'!J$99*'Economic Forecasts'!L$9*1000000/SUM('Statistics NZ'!J$30:J$110,'Statistics NZ'!J$130:J$210)</f>
        <v>8142.8216736852037</v>
      </c>
      <c r="K99" s="44">
        <f>'Statistics NZ'!K$99*'Economic Forecasts'!M$9*1000000/SUM('Statistics NZ'!K$30:K$110,'Statistics NZ'!K$130:K$210)</f>
        <v>8227.1053443878245</v>
      </c>
      <c r="L99" s="44">
        <f>'Statistics NZ'!L$99*'Economic Forecasts'!N$9*1000000/SUM('Statistics NZ'!L$30:L$110,'Statistics NZ'!L$130:L$210)</f>
        <v>7876.9215545017696</v>
      </c>
      <c r="M99" s="44">
        <f>'Statistics NZ'!M$99*'Economic Forecasts'!O$9*1000000/SUM('Statistics NZ'!M$30:M$110,'Statistics NZ'!M$130:M$210)</f>
        <v>7952.4331072837149</v>
      </c>
      <c r="N99" s="44">
        <f>'Statistics NZ'!N$99*'Economic Forecasts'!P$9*1000000/SUM('Statistics NZ'!N$30:N$110,'Statistics NZ'!N$130:N$210)</f>
        <v>7994.2912997516523</v>
      </c>
      <c r="O99" s="44">
        <f>'Statistics NZ'!O$99*'Economic Forecasts'!Q$9*1000000/SUM('Statistics NZ'!O$30:O$110,'Statistics NZ'!O$130:O$210)</f>
        <v>8063.574901321349</v>
      </c>
      <c r="P99" s="44">
        <f>'Statistics NZ'!P$99*'Economic Forecasts'!R$9*1000000/SUM('Statistics NZ'!P$30:P$110,'Statistics NZ'!P$130:P$210)</f>
        <v>8372.8074727555795</v>
      </c>
      <c r="Q99" s="44">
        <f>'Statistics NZ'!Q$99*'Economic Forecasts'!S$9*1000000/SUM('Statistics NZ'!Q$30:Q$110,'Statistics NZ'!Q$130:Q$210)</f>
        <v>8892.2041719662975</v>
      </c>
      <c r="R99" s="44">
        <f>'Statistics NZ'!R$99*'Economic Forecasts'!T$9*1000000/SUM('Statistics NZ'!R$30:R$110,'Statistics NZ'!R$130:R$210)</f>
        <v>9407.9900064861758</v>
      </c>
      <c r="S99" s="45">
        <f>SUM('Statistics NZ'!S$99,$R$12/5*(S$8-S$9)*1000)*'Economic Forecasts'!U$9*1000000/SUM('Statistics NZ'!S$30:S$110,'Statistics NZ'!S$130:S$210,SUM($E$12:$T$13)*(S$8-S$9)*1000)</f>
        <v>9715.7067019488659</v>
      </c>
      <c r="T99" s="45">
        <f>SUM('Statistics NZ'!T$99,$R$12/5*(T$8-T$9)*1000)*'Economic Forecasts'!V$9*1000000/SUM('Statistics NZ'!T$30:T$110,'Statistics NZ'!T$130:T$210,SUM($E$12:$T$13)*(T$8-T$9)*1000)</f>
        <v>10918.430177901862</v>
      </c>
      <c r="U99" s="45">
        <f>SUM('Statistics NZ'!U$99,$R$12/5*(U$8-U$9)*1000)*'Economic Forecasts'!W$9*1000000/SUM('Statistics NZ'!U$30:U$110,'Statistics NZ'!U$130:U$210,SUM($E$12:$T$13)*(U$8-U$9)*1000)</f>
        <v>11909.17805487208</v>
      </c>
      <c r="V99" s="45">
        <f>SUM('Statistics NZ'!V$99,$R$12/5*(V$8-V$9)*1000)*'Economic Forecasts'!X$9*1000000/SUM('Statistics NZ'!V$30:V$110,'Statistics NZ'!V$130:V$210,SUM($E$12:$T$13)*(V$8-V$9)*1000)</f>
        <v>12289.56755363296</v>
      </c>
      <c r="W99" s="45">
        <f>SUM('Statistics NZ'!W$99,$R$12/5*(W$8-W$9)*1000)*'Economic Forecasts'!Y$9*1000000/SUM('Statistics NZ'!W$30:W$110,'Statistics NZ'!W$130:W$210,SUM($E$12:$T$13)*(W$8-W$9)*1000)</f>
        <v>10971.094554954043</v>
      </c>
      <c r="X99" s="45">
        <f>SUM('Statistics NZ'!X$99,$R$12/5*(X$8-X$9)*1000)*'Economic Forecasts'!Z$9*1000000/SUM('Statistics NZ'!X$30:X$110,'Statistics NZ'!X$130:X$210,SUM($E$12:$T$13)*(X$8-X$9)*1000)</f>
        <v>12281.469538601223</v>
      </c>
      <c r="Y99" s="45">
        <f>SUM('Statistics NZ'!Y$99,$R$12/5*(Y$8-Y$9)*1000)*'Economic Forecasts'!AA$9*1000000/SUM('Statistics NZ'!Y$30:Y$110,'Statistics NZ'!Y$130:Y$210,SUM($E$12:$T$13)*(Y$8-Y$9)*1000)</f>
        <v>13044.895619382323</v>
      </c>
      <c r="Z99" s="46">
        <f>SUM(Y$99,'Statistics NZ'!Z$99-'Statistics NZ'!Y$99,$R$12/5*(Z$8-Z$9)*1000)</f>
        <v>13897.748352444476</v>
      </c>
      <c r="AA99" s="46">
        <f>SUM(Z$99,'Statistics NZ'!AA$99-'Statistics NZ'!Z$99,$R$12/5*(AA$8-AA$9)*1000)</f>
        <v>16310.284115166391</v>
      </c>
      <c r="AB99" s="46">
        <f>SUM(AA$99,'Statistics NZ'!AB$99-'Statistics NZ'!AA$99,$R$12/5*(AB$8-AB$9)*1000)</f>
        <v>16612.502907548063</v>
      </c>
      <c r="AC99" s="46">
        <f>SUM(AB$99,'Statistics NZ'!AC$99-'Statistics NZ'!AB$99,$R$12/5*(AC$8-AC$9)*1000)</f>
        <v>16304.404729589498</v>
      </c>
      <c r="AD99" s="46">
        <f>SUM(AC$99,'Statistics NZ'!AD$99-'Statistics NZ'!AC$99,$R$12/5*(AD$8-AD$9)*1000)</f>
        <v>16895.989581290694</v>
      </c>
      <c r="AE99" s="46">
        <f>SUM(AD$99,'Statistics NZ'!AE$99-'Statistics NZ'!AD$99,$R$12/5*(AE$8-AE$9)*1000)</f>
        <v>16937.257462651651</v>
      </c>
      <c r="AF99" s="46">
        <f>SUM(AE$99,'Statistics NZ'!AF$99-'Statistics NZ'!AE$99,$R$12/5*(AF$8-AF$9)*1000)</f>
        <v>17568.208373672369</v>
      </c>
      <c r="AG99" s="46">
        <f>SUM(AF$99,'Statistics NZ'!AG$99-'Statistics NZ'!AF$99,$R$12/5*(AG$8-AG$9)*1000)</f>
        <v>18048.842314352849</v>
      </c>
      <c r="AH99" s="46">
        <f>SUM(AG$99,'Statistics NZ'!AH$99-'Statistics NZ'!AG$99,$R$12/5*(AH$8-AH$9)*1000)</f>
        <v>18719.159284693087</v>
      </c>
      <c r="AI99" s="46">
        <f>SUM(AH$99,'Statistics NZ'!AI$99-'Statistics NZ'!AH$99,$R$12/5*(AI$8-AI$9)*1000)</f>
        <v>19459.159284693087</v>
      </c>
    </row>
    <row r="100" spans="1:35" x14ac:dyDescent="0.25">
      <c r="A100" s="11">
        <v>85</v>
      </c>
      <c r="B100" s="44">
        <f>'Statistics NZ'!B$100*'Economic Forecasts'!D$9*1000000/SUM('Statistics NZ'!B$30:B$110,'Statistics NZ'!B$130:B$210)</f>
        <v>6790.0549703912238</v>
      </c>
      <c r="C100" s="44">
        <f>'Statistics NZ'!C$100*'Economic Forecasts'!E$9*1000000/SUM('Statistics NZ'!C$30:C$110,'Statistics NZ'!C$130:C$210)</f>
        <v>7001.7157980651509</v>
      </c>
      <c r="D100" s="44">
        <f>'Statistics NZ'!D$100*'Economic Forecasts'!F$9*1000000/SUM('Statistics NZ'!D$30:D$110,'Statistics NZ'!D$130:D$210)</f>
        <v>6836.6156992366778</v>
      </c>
      <c r="E100" s="44">
        <f>'Statistics NZ'!E$100*'Economic Forecasts'!G$9*1000000/SUM('Statistics NZ'!E$30:E$110,'Statistics NZ'!E$130:E$210)</f>
        <v>7021.8284020885276</v>
      </c>
      <c r="F100" s="44">
        <f>'Statistics NZ'!F$100*'Economic Forecasts'!H$9*1000000/SUM('Statistics NZ'!F$30:F$110,'Statistics NZ'!F$130:F$210)</f>
        <v>7337.0058474775669</v>
      </c>
      <c r="G100" s="44">
        <f>'Statistics NZ'!G$100*'Economic Forecasts'!I$9*1000000/SUM('Statistics NZ'!G$30:G$110,'Statistics NZ'!G$130:G$210)</f>
        <v>7160.582277169</v>
      </c>
      <c r="H100" s="44">
        <f>'Statistics NZ'!H$100*'Economic Forecasts'!J$9*1000000/SUM('Statistics NZ'!H$30:H$110,'Statistics NZ'!H$130:H$210)</f>
        <v>7221.4758002041053</v>
      </c>
      <c r="I100" s="44">
        <f>'Statistics NZ'!I$100*'Economic Forecasts'!K$9*1000000/SUM('Statistics NZ'!I$30:I$110,'Statistics NZ'!I$130:I$210)</f>
        <v>7235.0238161950138</v>
      </c>
      <c r="J100" s="44">
        <f>'Statistics NZ'!J$100*'Economic Forecasts'!L$9*1000000/SUM('Statistics NZ'!J$30:J$110,'Statistics NZ'!J$130:J$210)</f>
        <v>7323.6635651947172</v>
      </c>
      <c r="K100" s="44">
        <f>'Statistics NZ'!K$100*'Economic Forecasts'!M$9*1000000/SUM('Statistics NZ'!K$30:K$110,'Statistics NZ'!K$130:K$210)</f>
        <v>7545.5699904148687</v>
      </c>
      <c r="L100" s="44">
        <f>'Statistics NZ'!L$100*'Economic Forecasts'!N$9*1000000/SUM('Statistics NZ'!L$30:L$110,'Statistics NZ'!L$130:L$210)</f>
        <v>7643.2427939232239</v>
      </c>
      <c r="M100" s="44">
        <f>'Statistics NZ'!M$100*'Economic Forecasts'!O$9*1000000/SUM('Statistics NZ'!M$30:M$110,'Statistics NZ'!M$130:M$210)</f>
        <v>7356.4891029295304</v>
      </c>
      <c r="N100" s="44">
        <f>'Statistics NZ'!N$100*'Economic Forecasts'!P$9*1000000/SUM('Statistics NZ'!N$30:N$110,'Statistics NZ'!N$130:N$210)</f>
        <v>7436.5500462806076</v>
      </c>
      <c r="O100" s="44">
        <f>'Statistics NZ'!O$100*'Economic Forecasts'!Q$9*1000000/SUM('Statistics NZ'!O$30:O$110,'Statistics NZ'!O$130:O$210)</f>
        <v>7504.4218972151248</v>
      </c>
      <c r="P100" s="44">
        <f>'Statistics NZ'!P$100*'Economic Forecasts'!R$9*1000000/SUM('Statistics NZ'!P$30:P$110,'Statistics NZ'!P$130:P$210)</f>
        <v>7541.3955157646624</v>
      </c>
      <c r="Q100" s="44">
        <f>'Statistics NZ'!Q$100*'Economic Forecasts'!S$9*1000000/SUM('Statistics NZ'!Q$30:Q$110,'Statistics NZ'!Q$130:Q$210)</f>
        <v>7944.7551147978565</v>
      </c>
      <c r="R100" s="44">
        <f>'Statistics NZ'!R$100*'Economic Forecasts'!T$9*1000000/SUM('Statistics NZ'!R$30:R$110,'Statistics NZ'!R$130:R$210)</f>
        <v>8314.495880077835</v>
      </c>
      <c r="S100" s="45">
        <f>SUM('Statistics NZ'!S$100,$S$12/5*(S$8-S$9)*1000)*'Economic Forecasts'!U$9*1000000/SUM('Statistics NZ'!S$30:S$110,'Statistics NZ'!S$130:S$210,SUM($E$12:$T$13)*(S$8-S$9)*1000)</f>
        <v>8691.3088897193265</v>
      </c>
      <c r="T100" s="45">
        <f>SUM('Statistics NZ'!T$100,$S$12/5*(T$8-T$9)*1000)*'Economic Forecasts'!V$9*1000000/SUM('Statistics NZ'!T$30:T$110,'Statistics NZ'!T$130:T$210,SUM($E$12:$T$13)*(T$8-T$9)*1000)</f>
        <v>9361.8068886556048</v>
      </c>
      <c r="U100" s="45">
        <f>SUM('Statistics NZ'!U$100,$S$12/5*(U$8-U$9)*1000)*'Economic Forecasts'!W$9*1000000/SUM('Statistics NZ'!U$30:U$110,'Statistics NZ'!U$130:U$210,SUM($E$12:$T$13)*(U$8-U$9)*1000)</f>
        <v>10361.820074980595</v>
      </c>
      <c r="V100" s="45">
        <f>SUM('Statistics NZ'!V$100,$S$12/5*(V$8-V$9)*1000)*'Economic Forecasts'!X$9*1000000/SUM('Statistics NZ'!V$30:V$110,'Statistics NZ'!V$130:V$210,SUM($E$12:$T$13)*(V$8-V$9)*1000)</f>
        <v>11215.791330347241</v>
      </c>
      <c r="W100" s="45">
        <f>SUM('Statistics NZ'!W$100,$S$12/5*(W$8-W$9)*1000)*'Economic Forecasts'!Y$9*1000000/SUM('Statistics NZ'!W$30:W$110,'Statistics NZ'!W$130:W$210,SUM($E$12:$T$13)*(W$8-W$9)*1000)</f>
        <v>11576.708674605285</v>
      </c>
      <c r="X100" s="45">
        <f>SUM('Statistics NZ'!X$100,$S$12/5*(X$8-X$9)*1000)*'Economic Forecasts'!Z$9*1000000/SUM('Statistics NZ'!X$30:X$110,'Statistics NZ'!X$130:X$210,SUM($E$12:$T$13)*(X$8-X$9)*1000)</f>
        <v>10351.385045454532</v>
      </c>
      <c r="Y100" s="45">
        <f>SUM('Statistics NZ'!Y$100,$S$12/5*(Y$8-Y$9)*1000)*'Economic Forecasts'!AA$9*1000000/SUM('Statistics NZ'!Y$30:Y$110,'Statistics NZ'!Y$130:Y$210,SUM($E$12:$T$13)*(Y$8-Y$9)*1000)</f>
        <v>11598.232041891606</v>
      </c>
      <c r="Z100" s="46">
        <f>SUM(Y$100,'Statistics NZ'!Z$100-'Statistics NZ'!Y$100,$S$12/5*(Z$8-Z$9)*1000)</f>
        <v>12289.217784121083</v>
      </c>
      <c r="AA100" s="46">
        <f>SUM(Z$100,'Statistics NZ'!AA$100-'Statistics NZ'!Z$100,$S$12/5*(AA$8-AA$9)*1000)</f>
        <v>13100.093999436174</v>
      </c>
      <c r="AB100" s="46">
        <f>SUM(AA$100,'Statistics NZ'!AB$100-'Statistics NZ'!AA$100,$S$12/5*(AB$8-AB$9)*1000)</f>
        <v>15390.860687836879</v>
      </c>
      <c r="AC100" s="46">
        <f>SUM(AB$100,'Statistics NZ'!AC$100-'Statistics NZ'!AB$100,$S$12/5*(AC$8-AC$9)*1000)</f>
        <v>15681.517849323198</v>
      </c>
      <c r="AD100" s="46">
        <f>SUM(AC$100,'Statistics NZ'!AD$100-'Statistics NZ'!AC$100,$S$12/5*(AD$8-AD$9)*1000)</f>
        <v>15402.06548389513</v>
      </c>
      <c r="AE100" s="46">
        <f>SUM(AD$100,'Statistics NZ'!AE$100-'Statistics NZ'!AD$100,$S$12/5*(AE$8-AE$9)*1000)</f>
        <v>15962.503591552675</v>
      </c>
      <c r="AF100" s="46">
        <f>SUM(AE$100,'Statistics NZ'!AF$100-'Statistics NZ'!AE$100,$S$12/5*(AF$8-AF$9)*1000)</f>
        <v>16012.832172295834</v>
      </c>
      <c r="AG100" s="46">
        <f>SUM(AF$100,'Statistics NZ'!AG$100-'Statistics NZ'!AF$100,$S$12/5*(AG$8-AG$9)*1000)</f>
        <v>16613.051226124608</v>
      </c>
      <c r="AH100" s="46">
        <f>SUM(AG$100,'Statistics NZ'!AH$100-'Statistics NZ'!AG$100,$S$12/5*(AH$8-AH$9)*1000)</f>
        <v>17083.160753038996</v>
      </c>
      <c r="AI100" s="46">
        <f>SUM(AH$100,'Statistics NZ'!AI$100-'Statistics NZ'!AH$100,$S$12/5*(AI$8-AI$9)*1000)</f>
        <v>17733.160753038996</v>
      </c>
    </row>
    <row r="101" spans="1:35" x14ac:dyDescent="0.25">
      <c r="A101" s="11">
        <v>86</v>
      </c>
      <c r="B101" s="44">
        <f>'Statistics NZ'!B$101*'Economic Forecasts'!D$9*1000000/SUM('Statistics NZ'!B$30:B$110,'Statistics NZ'!B$130:B$210)</f>
        <v>6105.1791088243863</v>
      </c>
      <c r="C101" s="44">
        <f>'Statistics NZ'!C$101*'Economic Forecasts'!E$9*1000000/SUM('Statistics NZ'!C$30:C$110,'Statistics NZ'!C$130:C$210)</f>
        <v>6275.0300069616142</v>
      </c>
      <c r="D101" s="44">
        <f>'Statistics NZ'!D$101*'Economic Forecasts'!F$9*1000000/SUM('Statistics NZ'!D$30:D$110,'Statistics NZ'!D$130:D$210)</f>
        <v>6424.0613035930846</v>
      </c>
      <c r="E101" s="44">
        <f>'Statistics NZ'!E$101*'Economic Forecasts'!G$9*1000000/SUM('Statistics NZ'!E$30:E$110,'Statistics NZ'!E$130:E$210)</f>
        <v>6256.8806152688285</v>
      </c>
      <c r="F101" s="44">
        <f>'Statistics NZ'!F$101*'Economic Forecasts'!H$9*1000000/SUM('Statistics NZ'!F$30:F$110,'Statistics NZ'!F$130:F$210)</f>
        <v>6434.5933635632136</v>
      </c>
      <c r="G101" s="44">
        <f>'Statistics NZ'!G$101*'Economic Forecasts'!I$9*1000000/SUM('Statistics NZ'!G$30:G$110,'Statistics NZ'!G$130:G$210)</f>
        <v>6777.5058590488479</v>
      </c>
      <c r="H101" s="44">
        <f>'Statistics NZ'!H$101*'Economic Forecasts'!J$9*1000000/SUM('Statistics NZ'!H$30:H$110,'Statistics NZ'!H$130:H$210)</f>
        <v>6533.7162001846682</v>
      </c>
      <c r="I101" s="44">
        <f>'Statistics NZ'!I$101*'Economic Forecasts'!K$9*1000000/SUM('Statistics NZ'!I$30:I$110,'Statistics NZ'!I$130:I$210)</f>
        <v>6617.399831885682</v>
      </c>
      <c r="J101" s="44">
        <f>'Statistics NZ'!J$101*'Economic Forecasts'!L$9*1000000/SUM('Statistics NZ'!J$30:J$110,'Statistics NZ'!J$130:J$210)</f>
        <v>6680.0393370950478</v>
      </c>
      <c r="K101" s="44">
        <f>'Statistics NZ'!K$101*'Economic Forecasts'!M$9*1000000/SUM('Statistics NZ'!K$30:K$110,'Statistics NZ'!K$130:K$210)</f>
        <v>6756.9362236747338</v>
      </c>
      <c r="L101" s="44">
        <f>'Statistics NZ'!L$101*'Economic Forecasts'!N$9*1000000/SUM('Statistics NZ'!L$30:L$110,'Statistics NZ'!L$130:L$210)</f>
        <v>6971.4163572599082</v>
      </c>
      <c r="M101" s="44">
        <f>'Statistics NZ'!M$101*'Economic Forecasts'!O$9*1000000/SUM('Statistics NZ'!M$30:M$110,'Statistics NZ'!M$130:M$210)</f>
        <v>7034.0931661477589</v>
      </c>
      <c r="N101" s="44">
        <f>'Statistics NZ'!N$101*'Economic Forecasts'!P$9*1000000/SUM('Statistics NZ'!N$30:N$110,'Statistics NZ'!N$130:N$210)</f>
        <v>6780.9594500953435</v>
      </c>
      <c r="O101" s="44">
        <f>'Statistics NZ'!O$101*'Economic Forecasts'!Q$9*1000000/SUM('Statistics NZ'!O$30:O$110,'Statistics NZ'!O$130:O$210)</f>
        <v>6886.4106821503492</v>
      </c>
      <c r="P101" s="44">
        <f>'Statistics NZ'!P$101*'Economic Forecasts'!R$9*1000000/SUM('Statistics NZ'!P$30:P$110,'Statistics NZ'!P$130:P$210)</f>
        <v>6993.6417558647636</v>
      </c>
      <c r="Q101" s="44">
        <f>'Statistics NZ'!Q$101*'Economic Forecasts'!S$9*1000000/SUM('Statistics NZ'!Q$30:Q$110,'Statistics NZ'!Q$130:Q$210)</f>
        <v>7105.8679287633004</v>
      </c>
      <c r="R101" s="44">
        <f>'Statistics NZ'!R$101*'Economic Forecasts'!T$9*1000000/SUM('Statistics NZ'!R$30:R$110,'Statistics NZ'!R$130:R$210)</f>
        <v>7398.3251255194946</v>
      </c>
      <c r="S101" s="45">
        <f>SUM('Statistics NZ'!S$101,$S$12/5*(S$8-S$9)*1000)*'Economic Forecasts'!U$9*1000000/SUM('Statistics NZ'!S$30:S$110,'Statistics NZ'!S$130:S$210,SUM($E$12:$T$13)*(S$8-S$9)*1000)</f>
        <v>7614.4009868887888</v>
      </c>
      <c r="T101" s="45">
        <f>SUM('Statistics NZ'!T$101,$S$12/5*(T$8-T$9)*1000)*'Economic Forecasts'!V$9*1000000/SUM('Statistics NZ'!T$30:T$110,'Statistics NZ'!T$130:T$210,SUM($E$12:$T$13)*(T$8-T$9)*1000)</f>
        <v>8313.2422430023416</v>
      </c>
      <c r="U101" s="45">
        <f>SUM('Statistics NZ'!U$101,$S$12/5*(U$8-U$9)*1000)*'Economic Forecasts'!W$9*1000000/SUM('Statistics NZ'!U$30:U$110,'Statistics NZ'!U$130:U$210,SUM($E$12:$T$13)*(U$8-U$9)*1000)</f>
        <v>8806.7241761404821</v>
      </c>
      <c r="V101" s="45">
        <f>SUM('Statistics NZ'!V$101,$S$12/5*(V$8-V$9)*1000)*'Economic Forecasts'!X$9*1000000/SUM('Statistics NZ'!V$30:V$110,'Statistics NZ'!V$130:V$210,SUM($E$12:$T$13)*(V$8-V$9)*1000)</f>
        <v>9668.5713603008608</v>
      </c>
      <c r="W101" s="45">
        <f>SUM('Statistics NZ'!W$101,$S$12/5*(W$8-W$9)*1000)*'Economic Forecasts'!Y$9*1000000/SUM('Statistics NZ'!W$30:W$110,'Statistics NZ'!W$130:W$210,SUM($E$12:$T$13)*(W$8-W$9)*1000)</f>
        <v>10472.820336695153</v>
      </c>
      <c r="X101" s="45">
        <f>SUM('Statistics NZ'!X$101,$S$12/5*(X$8-X$9)*1000)*'Economic Forecasts'!Z$9*1000000/SUM('Statistics NZ'!X$30:X$110,'Statistics NZ'!X$130:X$210,SUM($E$12:$T$13)*(X$8-X$9)*1000)</f>
        <v>10828.309760439386</v>
      </c>
      <c r="Y101" s="45">
        <f>SUM('Statistics NZ'!Y$101,$S$12/5*(Y$8-Y$9)*1000)*'Economic Forecasts'!AA$9*1000000/SUM('Statistics NZ'!Y$30:Y$110,'Statistics NZ'!Y$130:Y$210,SUM($E$12:$T$13)*(Y$8-Y$9)*1000)</f>
        <v>9685.7248902525171</v>
      </c>
      <c r="Z101" s="46">
        <f>SUM(Y$101,'Statistics NZ'!Z$101-'Statistics NZ'!Y$101,$S$12/5*(Z$8-Z$9)*1000)</f>
        <v>10816.710632481994</v>
      </c>
      <c r="AA101" s="46">
        <f>SUM(Z$101,'Statistics NZ'!AA$101-'Statistics NZ'!Z$101,$S$12/5*(AA$8-AA$9)*1000)</f>
        <v>11467.586847797085</v>
      </c>
      <c r="AB101" s="46">
        <f>SUM(AA$101,'Statistics NZ'!AB$101-'Statistics NZ'!AA$101,$S$12/5*(AB$8-AB$9)*1000)</f>
        <v>12228.35353619779</v>
      </c>
      <c r="AC101" s="46">
        <f>SUM(AB$101,'Statistics NZ'!AC$101-'Statistics NZ'!AB$101,$S$12/5*(AC$8-AC$9)*1000)</f>
        <v>14389.010697684109</v>
      </c>
      <c r="AD101" s="46">
        <f>SUM(AC$101,'Statistics NZ'!AD$101-'Statistics NZ'!AC$101,$S$12/5*(AD$8-AD$9)*1000)</f>
        <v>14669.558332256041</v>
      </c>
      <c r="AE101" s="46">
        <f>SUM(AD$101,'Statistics NZ'!AE$101-'Statistics NZ'!AD$101,$S$12/5*(AE$8-AE$9)*1000)</f>
        <v>14419.996439913586</v>
      </c>
      <c r="AF101" s="46">
        <f>SUM(AE$101,'Statistics NZ'!AF$101-'Statistics NZ'!AE$101,$S$12/5*(AF$8-AF$9)*1000)</f>
        <v>14950.325020656745</v>
      </c>
      <c r="AG101" s="46">
        <f>SUM(AF$101,'Statistics NZ'!AG$101-'Statistics NZ'!AF$101,$S$12/5*(AG$8-AG$9)*1000)</f>
        <v>15010.544074485517</v>
      </c>
      <c r="AH101" s="46">
        <f>SUM(AG$101,'Statistics NZ'!AH$101-'Statistics NZ'!AG$101,$S$12/5*(AH$8-AH$9)*1000)</f>
        <v>15580.653601399903</v>
      </c>
      <c r="AI101" s="46">
        <f>SUM(AH$101,'Statistics NZ'!AI$101-'Statistics NZ'!AH$101,$S$12/5*(AI$8-AI$9)*1000)</f>
        <v>16040.653601399903</v>
      </c>
    </row>
    <row r="102" spans="1:35" x14ac:dyDescent="0.25">
      <c r="A102" s="11">
        <v>87</v>
      </c>
      <c r="B102" s="44">
        <f>'Statistics NZ'!B$102*'Economic Forecasts'!D$9*1000000/SUM('Statistics NZ'!B$30:B$110,'Statistics NZ'!B$130:B$210)</f>
        <v>4598.4522133773416</v>
      </c>
      <c r="C102" s="44">
        <f>'Statistics NZ'!C$102*'Economic Forecasts'!E$9*1000000/SUM('Statistics NZ'!C$30:C$110,'Statistics NZ'!C$130:C$210)</f>
        <v>5528.704059341766</v>
      </c>
      <c r="D102" s="44">
        <f>'Statistics NZ'!D$102*'Economic Forecasts'!F$9*1000000/SUM('Statistics NZ'!D$30:D$110,'Statistics NZ'!D$130:D$210)</f>
        <v>5628.4206834232991</v>
      </c>
      <c r="E102" s="44">
        <f>'Statistics NZ'!E$102*'Economic Forecasts'!G$9*1000000/SUM('Statistics NZ'!E$30:E$110,'Statistics NZ'!E$130:E$210)</f>
        <v>5786.1435156874732</v>
      </c>
      <c r="F102" s="44">
        <f>'Statistics NZ'!F$102*'Economic Forecasts'!H$9*1000000/SUM('Statistics NZ'!F$30:F$110,'Statistics NZ'!F$130:F$210)</f>
        <v>5679.3133498522884</v>
      </c>
      <c r="G102" s="44">
        <f>'Statistics NZ'!G$102*'Economic Forecasts'!I$9*1000000/SUM('Statistics NZ'!G$30:G$110,'Statistics NZ'!G$130:G$210)</f>
        <v>5824.7260498782125</v>
      </c>
      <c r="H102" s="44">
        <f>'Statistics NZ'!H$102*'Economic Forecasts'!J$9*1000000/SUM('Statistics NZ'!H$30:H$110,'Statistics NZ'!H$130:H$210)</f>
        <v>6140.7107144592746</v>
      </c>
      <c r="I102" s="44">
        <f>'Statistics NZ'!I$102*'Economic Forecasts'!K$9*1000000/SUM('Statistics NZ'!I$30:I$110,'Statistics NZ'!I$130:I$210)</f>
        <v>5921.3474051243747</v>
      </c>
      <c r="J102" s="44">
        <f>'Statistics NZ'!J$102*'Economic Forecasts'!L$9*1000000/SUM('Statistics NZ'!J$30:J$110,'Statistics NZ'!J$130:J$210)</f>
        <v>6055.9188734832478</v>
      </c>
      <c r="K102" s="44">
        <f>'Statistics NZ'!K$102*'Economic Forecasts'!M$9*1000000/SUM('Statistics NZ'!K$30:K$110,'Statistics NZ'!K$130:K$210)</f>
        <v>6085.1370890442486</v>
      </c>
      <c r="L102" s="44">
        <f>'Statistics NZ'!L$102*'Economic Forecasts'!N$9*1000000/SUM('Statistics NZ'!L$30:L$110,'Statistics NZ'!L$130:L$210)</f>
        <v>6192.4871553314279</v>
      </c>
      <c r="M102" s="44">
        <f>'Statistics NZ'!M$102*'Economic Forecasts'!O$9*1000000/SUM('Statistics NZ'!M$30:M$110,'Statistics NZ'!M$130:M$210)</f>
        <v>6399.0708664260846</v>
      </c>
      <c r="N102" s="44">
        <f>'Statistics NZ'!N$102*'Economic Forecasts'!P$9*1000000/SUM('Statistics NZ'!N$30:N$110,'Statistics NZ'!N$130:N$210)</f>
        <v>6418.9168820527348</v>
      </c>
      <c r="O102" s="44">
        <f>'Statistics NZ'!O$102*'Economic Forecasts'!Q$9*1000000/SUM('Statistics NZ'!O$30:O$110,'Statistics NZ'!O$130:O$210)</f>
        <v>6199.7315543006007</v>
      </c>
      <c r="P102" s="44">
        <f>'Statistics NZ'!P$102*'Economic Forecasts'!R$9*1000000/SUM('Statistics NZ'!P$30:P$110,'Statistics NZ'!P$130:P$210)</f>
        <v>6308.9495559898915</v>
      </c>
      <c r="Q102" s="44">
        <f>'Statistics NZ'!Q$102*'Economic Forecasts'!S$9*1000000/SUM('Statistics NZ'!Q$30:Q$110,'Statistics NZ'!Q$130:Q$210)</f>
        <v>6513.7122680330267</v>
      </c>
      <c r="R102" s="44">
        <f>'Statistics NZ'!R$102*'Economic Forecasts'!T$9*1000000/SUM('Statistics NZ'!R$30:R$110,'Statistics NZ'!R$130:R$210)</f>
        <v>6492.0056693972674</v>
      </c>
      <c r="S102" s="45">
        <f>SUM('Statistics NZ'!S$102,$S$12/5*(S$8-S$9)*1000)*'Economic Forecasts'!U$9*1000000/SUM('Statistics NZ'!S$30:S$110,'Statistics NZ'!S$130:S$210,SUM($E$12:$T$13)*(S$8-S$9)*1000)</f>
        <v>6702.4249250322991</v>
      </c>
      <c r="T102" s="45">
        <f>SUM('Statistics NZ'!T$102,$S$12/5*(T$8-T$9)*1000)*'Economic Forecasts'!V$9*1000000/SUM('Statistics NZ'!T$30:T$110,'Statistics NZ'!T$130:T$210,SUM($E$12:$T$13)*(T$8-T$9)*1000)</f>
        <v>7204.7596175974622</v>
      </c>
      <c r="U102" s="45">
        <f>SUM('Statistics NZ'!U$102,$S$12/5*(U$8-U$9)*1000)*'Economic Forecasts'!W$9*1000000/SUM('Statistics NZ'!U$30:U$110,'Statistics NZ'!U$130:U$210,SUM($E$12:$T$13)*(U$8-U$9)*1000)</f>
        <v>7736.3334925232602</v>
      </c>
      <c r="V102" s="45">
        <f>SUM('Statistics NZ'!V$102,$S$12/5*(V$8-V$9)*1000)*'Economic Forecasts'!X$9*1000000/SUM('Statistics NZ'!V$30:V$110,'Statistics NZ'!V$130:V$210,SUM($E$12:$T$13)*(V$8-V$9)*1000)</f>
        <v>8131.4639390783159</v>
      </c>
      <c r="W102" s="45">
        <f>SUM('Statistics NZ'!W$102,$S$12/5*(W$8-W$9)*1000)*'Economic Forecasts'!Y$9*1000000/SUM('Statistics NZ'!W$30:W$110,'Statistics NZ'!W$130:W$210,SUM($E$12:$T$13)*(W$8-W$9)*1000)</f>
        <v>8923.3256972433173</v>
      </c>
      <c r="X102" s="45">
        <f>SUM('Statistics NZ'!X$102,$S$12/5*(X$8-X$9)*1000)*'Economic Forecasts'!Z$9*1000000/SUM('Statistics NZ'!X$30:X$110,'Statistics NZ'!X$130:X$210,SUM($E$12:$T$13)*(X$8-X$9)*1000)</f>
        <v>9681.6609776034584</v>
      </c>
      <c r="Y102" s="45">
        <f>SUM('Statistics NZ'!Y$102,$S$12/5*(Y$8-Y$9)*1000)*'Economic Forecasts'!AA$9*1000000/SUM('Statistics NZ'!Y$30:Y$110,'Statistics NZ'!Y$130:Y$210,SUM($E$12:$T$13)*(Y$8-Y$9)*1000)</f>
        <v>10021.430932827463</v>
      </c>
      <c r="Z102" s="46">
        <f>SUM(Y$102,'Statistics NZ'!Z$102-'Statistics NZ'!Y$102,$S$12/5*(Z$8-Z$9)*1000)</f>
        <v>8962.4166750569402</v>
      </c>
      <c r="AA102" s="46">
        <f>SUM(Z$102,'Statistics NZ'!AA$102-'Statistics NZ'!Z$102,$S$12/5*(AA$8-AA$9)*1000)</f>
        <v>10023.292890372031</v>
      </c>
      <c r="AB102" s="46">
        <f>SUM(AA$102,'Statistics NZ'!AB$102-'Statistics NZ'!AA$102,$S$12/5*(AB$8-AB$9)*1000)</f>
        <v>10624.059578772736</v>
      </c>
      <c r="AC102" s="46">
        <f>SUM(AB$102,'Statistics NZ'!AC$102-'Statistics NZ'!AB$102,$S$12/5*(AC$8-AC$9)*1000)</f>
        <v>11344.716740259055</v>
      </c>
      <c r="AD102" s="46">
        <f>SUM(AC$102,'Statistics NZ'!AD$102-'Statistics NZ'!AC$102,$S$12/5*(AD$8-AD$9)*1000)</f>
        <v>13355.264374830987</v>
      </c>
      <c r="AE102" s="46">
        <f>SUM(AD$102,'Statistics NZ'!AE$102-'Statistics NZ'!AD$102,$S$12/5*(AE$8-AE$9)*1000)</f>
        <v>13615.702482488532</v>
      </c>
      <c r="AF102" s="46">
        <f>SUM(AE$102,'Statistics NZ'!AF$102-'Statistics NZ'!AE$102,$S$12/5*(AF$8-AF$9)*1000)</f>
        <v>13396.03106323169</v>
      </c>
      <c r="AG102" s="46">
        <f>SUM(AF$102,'Statistics NZ'!AG$102-'Statistics NZ'!AF$102,$S$12/5*(AG$8-AG$9)*1000)</f>
        <v>13906.250117060463</v>
      </c>
      <c r="AH102" s="46">
        <f>SUM(AG$102,'Statistics NZ'!AH$102-'Statistics NZ'!AG$102,$S$12/5*(AH$8-AH$9)*1000)</f>
        <v>13966.359643974849</v>
      </c>
      <c r="AI102" s="46">
        <f>SUM(AH$102,'Statistics NZ'!AI$102-'Statistics NZ'!AH$102,$S$12/5*(AI$8-AI$9)*1000)</f>
        <v>14506.359643974849</v>
      </c>
    </row>
    <row r="103" spans="1:35" x14ac:dyDescent="0.25">
      <c r="A103" s="11">
        <v>88</v>
      </c>
      <c r="B103" s="44">
        <f>'Statistics NZ'!B$103*'Economic Forecasts'!D$9*1000000/SUM('Statistics NZ'!B$30:B$110,'Statistics NZ'!B$130:B$210)</f>
        <v>4167.9588146781862</v>
      </c>
      <c r="C103" s="44">
        <f>'Statistics NZ'!C$103*'Economic Forecasts'!E$9*1000000/SUM('Statistics NZ'!C$30:C$110,'Statistics NZ'!C$130:C$210)</f>
        <v>4134.2529466836304</v>
      </c>
      <c r="D103" s="44">
        <f>'Statistics NZ'!D$103*'Economic Forecasts'!F$9*1000000/SUM('Statistics NZ'!D$30:D$110,'Statistics NZ'!D$130:D$210)</f>
        <v>4901.5391291941114</v>
      </c>
      <c r="E103" s="44">
        <f>'Statistics NZ'!E$103*'Economic Forecasts'!G$9*1000000/SUM('Statistics NZ'!E$30:E$110,'Statistics NZ'!E$130:E$210)</f>
        <v>5040.8097746836638</v>
      </c>
      <c r="F103" s="44">
        <f>'Statistics NZ'!F$103*'Economic Forecasts'!H$9*1000000/SUM('Statistics NZ'!F$30:F$110,'Statistics NZ'!F$130:F$210)</f>
        <v>5179.0629511606357</v>
      </c>
      <c r="G103" s="44">
        <f>'Statistics NZ'!G$103*'Economic Forecasts'!I$9*1000000/SUM('Statistics NZ'!G$30:G$110,'Statistics NZ'!G$130:G$210)</f>
        <v>5078.2181581568902</v>
      </c>
      <c r="H103" s="44">
        <f>'Statistics NZ'!H$103*'Economic Forecasts'!J$9*1000000/SUM('Statistics NZ'!H$30:H$110,'Statistics NZ'!H$130:H$210)</f>
        <v>5187.6724115751949</v>
      </c>
      <c r="I103" s="44">
        <f>'Statistics NZ'!I$103*'Economic Forecasts'!K$9*1000000/SUM('Statistics NZ'!I$30:I$110,'Statistics NZ'!I$130:I$210)</f>
        <v>5499.7945269449892</v>
      </c>
      <c r="J103" s="44">
        <f>'Statistics NZ'!J$103*'Economic Forecasts'!L$9*1000000/SUM('Statistics NZ'!J$30:J$110,'Statistics NZ'!J$130:J$210)</f>
        <v>5334.2795874321046</v>
      </c>
      <c r="K103" s="44">
        <f>'Statistics NZ'!K$103*'Economic Forecasts'!M$9*1000000/SUM('Statistics NZ'!K$30:K$110,'Statistics NZ'!K$130:K$210)</f>
        <v>5442.546612441176</v>
      </c>
      <c r="L103" s="44">
        <f>'Statistics NZ'!L$103*'Economic Forecasts'!N$9*1000000/SUM('Statistics NZ'!L$30:L$110,'Statistics NZ'!L$130:L$210)</f>
        <v>5471.9776435475815</v>
      </c>
      <c r="M103" s="44">
        <f>'Statistics NZ'!M$103*'Economic Forecasts'!O$9*1000000/SUM('Statistics NZ'!M$30:M$110,'Statistics NZ'!M$130:M$210)</f>
        <v>5617.5049590763347</v>
      </c>
      <c r="N103" s="44">
        <f>'Statistics NZ'!N$103*'Economic Forecasts'!P$9*1000000/SUM('Statistics NZ'!N$30:N$110,'Statistics NZ'!N$130:N$210)</f>
        <v>5763.3262858674707</v>
      </c>
      <c r="O103" s="44">
        <f>'Statistics NZ'!O$103*'Economic Forecasts'!Q$9*1000000/SUM('Statistics NZ'!O$30:O$110,'Statistics NZ'!O$130:O$210)</f>
        <v>5817.1531830700242</v>
      </c>
      <c r="P103" s="44">
        <f>'Statistics NZ'!P$103*'Economic Forecasts'!R$9*1000000/SUM('Statistics NZ'!P$30:P$110,'Statistics NZ'!P$130:P$210)</f>
        <v>5624.2573561150211</v>
      </c>
      <c r="Q103" s="44">
        <f>'Statistics NZ'!Q$103*'Economic Forecasts'!S$9*1000000/SUM('Statistics NZ'!Q$30:Q$110,'Statistics NZ'!Q$130:Q$210)</f>
        <v>5783.3869531323535</v>
      </c>
      <c r="R103" s="44">
        <f>'Statistics NZ'!R$103*'Economic Forecasts'!T$9*1000000/SUM('Statistics NZ'!R$30:R$110,'Statistics NZ'!R$130:R$210)</f>
        <v>5920.6303601028176</v>
      </c>
      <c r="S103" s="45">
        <f>SUM('Statistics NZ'!S$103,$S$12/5*(S$8-S$9)*1000)*'Economic Forecasts'!U$9*1000000/SUM('Statistics NZ'!S$30:S$110,'Statistics NZ'!S$130:S$210,SUM($E$12:$T$13)*(S$8-S$9)*1000)</f>
        <v>5800.1507361742815</v>
      </c>
      <c r="T103" s="45">
        <f>SUM('Statistics NZ'!T$103,$S$12/5*(T$8-T$9)*1000)*'Economic Forecasts'!V$9*1000000/SUM('Statistics NZ'!T$30:T$110,'Statistics NZ'!T$130:T$210,SUM($E$12:$T$13)*(T$8-T$9)*1000)</f>
        <v>6256.0582715302235</v>
      </c>
      <c r="U103" s="45">
        <f>SUM('Statistics NZ'!U$103,$S$12/5*(U$8-U$9)*1000)*'Economic Forecasts'!W$9*1000000/SUM('Statistics NZ'!U$30:U$110,'Statistics NZ'!U$130:U$210,SUM($E$12:$T$13)*(U$8-U$9)*1000)</f>
        <v>6615.4526823203223</v>
      </c>
      <c r="V103" s="45">
        <f>SUM('Statistics NZ'!V$103,$S$12/5*(V$8-V$9)*1000)*'Economic Forecasts'!X$9*1000000/SUM('Statistics NZ'!V$30:V$110,'Statistics NZ'!V$130:V$210,SUM($E$12:$T$13)*(V$8-V$9)*1000)</f>
        <v>7049.4212149282321</v>
      </c>
      <c r="W103" s="45">
        <f>SUM('Statistics NZ'!W$103,$S$12/5*(W$8-W$9)*1000)*'Economic Forecasts'!Y$9*1000000/SUM('Statistics NZ'!W$30:W$110,'Statistics NZ'!W$130:W$210,SUM($E$12:$T$13)*(W$8-W$9)*1000)</f>
        <v>7414.3407215680008</v>
      </c>
      <c r="X103" s="45">
        <f>SUM('Statistics NZ'!X$103,$S$12/5*(X$8-X$9)*1000)*'Economic Forecasts'!Z$9*1000000/SUM('Statistics NZ'!X$30:X$110,'Statistics NZ'!X$130:X$210,SUM($E$12:$T$13)*(X$8-X$9)*1000)</f>
        <v>8149.4134890350924</v>
      </c>
      <c r="Y103" s="45">
        <f>SUM('Statistics NZ'!Y$103,$S$12/5*(Y$8-Y$9)*1000)*'Economic Forecasts'!AA$9*1000000/SUM('Statistics NZ'!Y$30:Y$110,'Statistics NZ'!Y$130:Y$210,SUM($E$12:$T$13)*(Y$8-Y$9)*1000)</f>
        <v>8851.54623900568</v>
      </c>
      <c r="Z103" s="46">
        <f>SUM(Y$103,'Statistics NZ'!Z$103-'Statistics NZ'!Y$103,$S$12/5*(Z$8-Z$9)*1000)</f>
        <v>9132.5319812351572</v>
      </c>
      <c r="AA103" s="46">
        <f>SUM(Z$103,'Statistics NZ'!AA$103-'Statistics NZ'!Z$103,$S$12/5*(AA$8-AA$9)*1000)</f>
        <v>8183.4081965502482</v>
      </c>
      <c r="AB103" s="46">
        <f>SUM(AA$103,'Statistics NZ'!AB$103-'Statistics NZ'!AA$103,$S$12/5*(AB$8-AB$9)*1000)</f>
        <v>9154.1748849509531</v>
      </c>
      <c r="AC103" s="46">
        <f>SUM(AB$103,'Statistics NZ'!AC$103-'Statistics NZ'!AB$103,$S$12/5*(AC$8-AC$9)*1000)</f>
        <v>9714.8320464372719</v>
      </c>
      <c r="AD103" s="46">
        <f>SUM(AC$103,'Statistics NZ'!AD$103-'Statistics NZ'!AC$103,$S$12/5*(AD$8-AD$9)*1000)</f>
        <v>10385.379681009204</v>
      </c>
      <c r="AE103" s="46">
        <f>SUM(AD$103,'Statistics NZ'!AE$103-'Statistics NZ'!AD$103,$S$12/5*(AE$8-AE$9)*1000)</f>
        <v>12225.817788666749</v>
      </c>
      <c r="AF103" s="46">
        <f>SUM(AE$103,'Statistics NZ'!AF$103-'Statistics NZ'!AE$103,$S$12/5*(AF$8-AF$9)*1000)</f>
        <v>12476.146369409907</v>
      </c>
      <c r="AG103" s="46">
        <f>SUM(AF$103,'Statistics NZ'!AG$103-'Statistics NZ'!AF$103,$S$12/5*(AG$8-AG$9)*1000)</f>
        <v>12276.36542323868</v>
      </c>
      <c r="AH103" s="46">
        <f>SUM(AG$103,'Statistics NZ'!AH$103-'Statistics NZ'!AG$103,$S$12/5*(AH$8-AH$9)*1000)</f>
        <v>12756.474950153066</v>
      </c>
      <c r="AI103" s="46">
        <f>SUM(AH$103,'Statistics NZ'!AI$103-'Statistics NZ'!AH$103,$S$12/5*(AI$8-AI$9)*1000)</f>
        <v>12826.474950153066</v>
      </c>
    </row>
    <row r="104" spans="1:35" x14ac:dyDescent="0.25">
      <c r="A104" s="11">
        <v>89</v>
      </c>
      <c r="B104" s="44">
        <f>'Statistics NZ'!B$104*'Economic Forecasts'!D$9*1000000/SUM('Statistics NZ'!B$30:B$110,'Statistics NZ'!B$130:B$210)</f>
        <v>3688.5457115813992</v>
      </c>
      <c r="C104" s="44">
        <f>'Statistics NZ'!C$104*'Economic Forecasts'!E$9*1000000/SUM('Statistics NZ'!C$30:C$110,'Statistics NZ'!C$130:C$210)</f>
        <v>3682.5293468084592</v>
      </c>
      <c r="D104" s="44">
        <f>'Statistics NZ'!D$104*'Economic Forecasts'!F$9*1000000/SUM('Statistics NZ'!D$30:D$110,'Statistics NZ'!D$130:D$210)</f>
        <v>3654.0532185575344</v>
      </c>
      <c r="E104" s="44">
        <f>'Statistics NZ'!E$104*'Economic Forecasts'!G$9*1000000/SUM('Statistics NZ'!E$30:E$110,'Statistics NZ'!E$130:E$210)</f>
        <v>4315.0900794957433</v>
      </c>
      <c r="F104" s="44">
        <f>'Statistics NZ'!F$104*'Economic Forecasts'!H$9*1000000/SUM('Statistics NZ'!F$30:F$110,'Statistics NZ'!F$130:F$210)</f>
        <v>4433.5917687966048</v>
      </c>
      <c r="G104" s="44">
        <f>'Statistics NZ'!G$104*'Economic Forecasts'!I$9*1000000/SUM('Statistics NZ'!G$30:G$110,'Statistics NZ'!G$130:G$210)</f>
        <v>4577.2720729228449</v>
      </c>
      <c r="H104" s="44">
        <f>'Statistics NZ'!H$104*'Economic Forecasts'!J$9*1000000/SUM('Statistics NZ'!H$30:H$110,'Statistics NZ'!H$130:H$210)</f>
        <v>4460.6122629832171</v>
      </c>
      <c r="I104" s="44">
        <f>'Statistics NZ'!I$104*'Economic Forecasts'!K$9*1000000/SUM('Statistics NZ'!I$30:I$110,'Statistics NZ'!I$130:I$210)</f>
        <v>4568.4567728277452</v>
      </c>
      <c r="J104" s="44">
        <f>'Statistics NZ'!J$104*'Economic Forecasts'!L$9*1000000/SUM('Statistics NZ'!J$30:J$110,'Statistics NZ'!J$130:J$210)</f>
        <v>4885.6930042111235</v>
      </c>
      <c r="K104" s="44">
        <f>'Statistics NZ'!K$104*'Economic Forecasts'!M$9*1000000/SUM('Statistics NZ'!K$30:K$110,'Statistics NZ'!K$130:K$210)</f>
        <v>4761.0112584682201</v>
      </c>
      <c r="L104" s="44">
        <f>'Statistics NZ'!L$104*'Economic Forecasts'!N$9*1000000/SUM('Statistics NZ'!L$30:L$110,'Statistics NZ'!L$130:L$210)</f>
        <v>4858.5708970289033</v>
      </c>
      <c r="M104" s="44">
        <f>'Statistics NZ'!M$104*'Economic Forecasts'!O$9*1000000/SUM('Statistics NZ'!M$30:M$110,'Statistics NZ'!M$130:M$210)</f>
        <v>4835.9390517265838</v>
      </c>
      <c r="N104" s="44">
        <f>'Statistics NZ'!N$104*'Economic Forecasts'!P$9*1000000/SUM('Statistics NZ'!N$30:N$110,'Statistics NZ'!N$130:N$210)</f>
        <v>5000.1014126965665</v>
      </c>
      <c r="O104" s="44">
        <f>'Statistics NZ'!O$104*'Economic Forecasts'!Q$9*1000000/SUM('Statistics NZ'!O$30:O$110,'Statistics NZ'!O$130:O$210)</f>
        <v>5140.2837570467</v>
      </c>
      <c r="P104" s="44">
        <f>'Statistics NZ'!P$104*'Economic Forecasts'!R$9*1000000/SUM('Statistics NZ'!P$30:P$110,'Statistics NZ'!P$130:P$210)</f>
        <v>5154.7541333436802</v>
      </c>
      <c r="Q104" s="44">
        <f>'Statistics NZ'!Q$104*'Economic Forecasts'!S$9*1000000/SUM('Statistics NZ'!Q$30:Q$110,'Statistics NZ'!Q$130:Q$210)</f>
        <v>5092.5386822803657</v>
      </c>
      <c r="R104" s="44">
        <f>'Statistics NZ'!R$104*'Economic Forecasts'!T$9*1000000/SUM('Statistics NZ'!R$30:R$110,'Statistics NZ'!R$130:R$210)</f>
        <v>5201.4855742667032</v>
      </c>
      <c r="S104" s="45">
        <f>SUM('Statistics NZ'!S$104,$S$12/5*(S$8-S$9)*1000)*'Economic Forecasts'!U$9*1000000/SUM('Statistics NZ'!S$30:S$110,'Statistics NZ'!S$130:S$210,SUM($E$12:$T$13)*(S$8-S$9)*1000)</f>
        <v>5218.0383562658844</v>
      </c>
      <c r="T104" s="45">
        <f>SUM('Statistics NZ'!T$104,$S$12/5*(T$8-T$9)*1000)*'Economic Forecasts'!V$9*1000000/SUM('Statistics NZ'!T$30:T$110,'Statistics NZ'!T$130:T$210,SUM($E$12:$T$13)*(T$8-T$9)*1000)</f>
        <v>5337.3159153387924</v>
      </c>
      <c r="U104" s="45">
        <f>SUM('Statistics NZ'!U$104,$S$12/5*(U$8-U$9)*1000)*'Economic Forecasts'!W$9*1000000/SUM('Statistics NZ'!U$30:U$110,'Statistics NZ'!U$130:U$210,SUM($E$12:$T$13)*(U$8-U$9)*1000)</f>
        <v>5666.2383025088247</v>
      </c>
      <c r="V104" s="45">
        <f>SUM('Statistics NZ'!V$104,$S$12/5*(V$8-V$9)*1000)*'Economic Forecasts'!X$9*1000000/SUM('Statistics NZ'!V$30:V$110,'Statistics NZ'!V$130:V$210,SUM($E$12:$T$13)*(V$8-V$9)*1000)</f>
        <v>5937.0408443066508</v>
      </c>
      <c r="W104" s="45">
        <f>SUM('Statistics NZ'!W$104,$S$12/5*(W$8-W$9)*1000)*'Economic Forecasts'!Y$9*1000000/SUM('Statistics NZ'!W$30:W$110,'Statistics NZ'!W$130:W$210,SUM($E$12:$T$13)*(W$8-W$9)*1000)</f>
        <v>6330.7072155461283</v>
      </c>
      <c r="X104" s="45">
        <f>SUM('Statistics NZ'!X$104,$S$12/5*(X$8-X$9)*1000)*'Economic Forecasts'!Z$9*1000000/SUM('Statistics NZ'!X$30:X$110,'Statistics NZ'!X$130:X$210,SUM($E$12:$T$13)*(X$8-X$9)*1000)</f>
        <v>6667.902672273628</v>
      </c>
      <c r="Y104" s="45">
        <f>SUM('Statistics NZ'!Y$104,$S$12/5*(Y$8-Y$9)*1000)*'Economic Forecasts'!AA$9*1000000/SUM('Statistics NZ'!Y$30:Y$110,'Statistics NZ'!Y$130:Y$210,SUM($E$12:$T$13)*(Y$8-Y$9)*1000)</f>
        <v>7345.9555026089511</v>
      </c>
      <c r="Z104" s="46">
        <f>SUM(Y$104,'Statistics NZ'!Z$104-'Statistics NZ'!Y$104,$S$12/5*(Z$8-Z$9)*1000)</f>
        <v>7946.9412448384282</v>
      </c>
      <c r="AA104" s="46">
        <f>SUM(Z$104,'Statistics NZ'!AA$104-'Statistics NZ'!Z$104,$S$12/5*(AA$8-AA$9)*1000)</f>
        <v>8207.8174601535193</v>
      </c>
      <c r="AB104" s="46">
        <f>SUM(AA$104,'Statistics NZ'!AB$104-'Statistics NZ'!AA$104,$S$12/5*(AB$8-AB$9)*1000)</f>
        <v>7358.5841485542242</v>
      </c>
      <c r="AC104" s="46">
        <f>SUM(AB$104,'Statistics NZ'!AC$104-'Statistics NZ'!AB$104,$S$12/5*(AC$8-AC$9)*1000)</f>
        <v>8249.2413100405429</v>
      </c>
      <c r="AD104" s="46">
        <f>SUM(AC$104,'Statistics NZ'!AD$104-'Statistics NZ'!AC$104,$S$12/5*(AD$8-AD$9)*1000)</f>
        <v>8759.7889446124755</v>
      </c>
      <c r="AE104" s="46">
        <f>SUM(AD$104,'Statistics NZ'!AE$104-'Statistics NZ'!AD$104,$S$12/5*(AE$8-AE$9)*1000)</f>
        <v>9370.2270522700201</v>
      </c>
      <c r="AF104" s="46">
        <f>SUM(AE$104,'Statistics NZ'!AF$104-'Statistics NZ'!AE$104,$S$12/5*(AF$8-AF$9)*1000)</f>
        <v>11040.555633013179</v>
      </c>
      <c r="AG104" s="46">
        <f>SUM(AF$104,'Statistics NZ'!AG$104-'Statistics NZ'!AF$104,$S$12/5*(AG$8-AG$9)*1000)</f>
        <v>11270.774686841951</v>
      </c>
      <c r="AH104" s="46">
        <f>SUM(AG$104,'Statistics NZ'!AH$104-'Statistics NZ'!AG$104,$S$12/5*(AH$8-AH$9)*1000)</f>
        <v>11100.884213756337</v>
      </c>
      <c r="AI104" s="46">
        <f>SUM(AH$104,'Statistics NZ'!AI$104-'Statistics NZ'!AH$104,$S$12/5*(AI$8-AI$9)*1000)</f>
        <v>11550.884213756337</v>
      </c>
    </row>
    <row r="105" spans="1:35" x14ac:dyDescent="0.25">
      <c r="A105" s="11">
        <v>90</v>
      </c>
      <c r="B105" s="44">
        <f>'Statistics NZ'!B$105*'Economic Forecasts'!D$9*1000000/SUM('Statistics NZ'!B$30:B$110,'Statistics NZ'!B$130:B$210)</f>
        <v>3179.7807858460337</v>
      </c>
      <c r="C105" s="44">
        <f>'Statistics NZ'!C$105*'Economic Forecasts'!E$9*1000000/SUM('Statistics NZ'!C$30:C$110,'Statistics NZ'!C$130:C$210)</f>
        <v>3191.5254339006642</v>
      </c>
      <c r="D105" s="44">
        <f>'Statistics NZ'!D$105*'Economic Forecasts'!F$9*1000000/SUM('Statistics NZ'!D$30:D$110,'Statistics NZ'!D$130:D$210)</f>
        <v>3182.5624806791425</v>
      </c>
      <c r="E105" s="44">
        <f>'Statistics NZ'!E$105*'Economic Forecasts'!G$9*1000000/SUM('Statistics NZ'!E$30:E$110,'Statistics NZ'!E$130:E$210)</f>
        <v>3128.4403076344142</v>
      </c>
      <c r="F105" s="44">
        <f>'Statistics NZ'!F$105*'Economic Forecasts'!H$9*1000000/SUM('Statistics NZ'!F$30:F$110,'Statistics NZ'!F$130:F$210)</f>
        <v>3727.3559118201547</v>
      </c>
      <c r="G105" s="44">
        <f>'Statistics NZ'!G$105*'Economic Forecasts'!I$9*1000000/SUM('Statistics NZ'!G$30:G$110,'Statistics NZ'!G$130:G$210)</f>
        <v>3860.2315979799955</v>
      </c>
      <c r="H105" s="44">
        <f>'Statistics NZ'!H$105*'Economic Forecasts'!J$9*1000000/SUM('Statistics NZ'!H$30:H$110,'Statistics NZ'!H$130:H$210)</f>
        <v>3939.8799943970698</v>
      </c>
      <c r="I105" s="44">
        <f>'Statistics NZ'!I$105*'Economic Forecasts'!K$9*1000000/SUM('Statistics NZ'!I$30:I$110,'Statistics NZ'!I$130:I$210)</f>
        <v>3852.7972354534418</v>
      </c>
      <c r="J105" s="44">
        <f>'Statistics NZ'!J$105*'Economic Forecasts'!L$9*1000000/SUM('Statistics NZ'!J$30:J$110,'Statistics NZ'!J$130:J$210)</f>
        <v>3969.0160732812906</v>
      </c>
      <c r="K105" s="44">
        <f>'Statistics NZ'!K$105*'Economic Forecasts'!M$9*1000000/SUM('Statistics NZ'!K$30:K$110,'Statistics NZ'!K$130:K$210)</f>
        <v>4293.6727300296225</v>
      </c>
      <c r="L105" s="44">
        <f>'Statistics NZ'!L$105*'Economic Forecasts'!N$9*1000000/SUM('Statistics NZ'!L$30:L$110,'Statistics NZ'!L$130:L$210)</f>
        <v>4128.3247702209519</v>
      </c>
      <c r="M105" s="44">
        <f>'Statistics NZ'!M$105*'Economic Forecasts'!O$9*1000000/SUM('Statistics NZ'!M$30:M$110,'Statistics NZ'!M$130:M$210)</f>
        <v>4239.9950473723984</v>
      </c>
      <c r="N105" s="44">
        <f>'Statistics NZ'!N$105*'Economic Forecasts'!P$9*1000000/SUM('Statistics NZ'!N$30:N$110,'Statistics NZ'!N$130:N$210)</f>
        <v>4227.0916052542398</v>
      </c>
      <c r="O105" s="44">
        <f>'Statistics NZ'!O$105*'Economic Forecasts'!Q$9*1000000/SUM('Statistics NZ'!O$30:O$110,'Statistics NZ'!O$130:O$210)</f>
        <v>4404.5561200648244</v>
      </c>
      <c r="P105" s="44">
        <f>'Statistics NZ'!P$105*'Economic Forecasts'!R$9*1000000/SUM('Statistics NZ'!P$30:P$110,'Statistics NZ'!P$130:P$210)</f>
        <v>4518.9685191741555</v>
      </c>
      <c r="Q105" s="44">
        <f>'Statistics NZ'!Q$105*'Economic Forecasts'!S$9*1000000/SUM('Statistics NZ'!Q$30:Q$110,'Statistics NZ'!Q$130:Q$210)</f>
        <v>4579.3371096474611</v>
      </c>
      <c r="R105" s="44">
        <f>'Statistics NZ'!R$105*'Economic Forecasts'!T$9*1000000/SUM('Statistics NZ'!R$30:R$110,'Statistics NZ'!R$130:R$210)</f>
        <v>4482.3407884305871</v>
      </c>
      <c r="S105" s="45">
        <f>SUM('Statistics NZ'!S$105,$T$12/6*(S$8-S$9)*1000)*'Economic Forecasts'!U$9*1000000/SUM('Statistics NZ'!S$30:S$110,'Statistics NZ'!S$130:S$210,SUM($E$12:$T$13)*(S$8-S$9)*1000)</f>
        <v>4507.978372331334</v>
      </c>
      <c r="T105" s="45">
        <f>SUM('Statistics NZ'!T$105,$T$12/6*(T$8-T$9)*1000)*'Economic Forecasts'!V$9*1000000/SUM('Statistics NZ'!T$30:T$110,'Statistics NZ'!T$130:T$210,SUM($E$12:$T$13)*(T$8-T$9)*1000)</f>
        <v>4727.1149803528597</v>
      </c>
      <c r="U105" s="45">
        <f>SUM('Statistics NZ'!U$105,$T$12/6*(U$8-U$9)*1000)*'Economic Forecasts'!W$9*1000000/SUM('Statistics NZ'!U$30:U$110,'Statistics NZ'!U$130:U$210,SUM($E$12:$T$13)*(U$8-U$9)*1000)</f>
        <v>4757.1366582482051</v>
      </c>
      <c r="V105" s="45">
        <f>SUM('Statistics NZ'!V$105,$T$12/6*(V$8-V$9)*1000)*'Economic Forecasts'!X$9*1000000/SUM('Statistics NZ'!V$30:V$110,'Statistics NZ'!V$130:V$210,SUM($E$12:$T$13)*(V$8-V$9)*1000)</f>
        <v>5006.4678358743067</v>
      </c>
      <c r="W105" s="45">
        <f>SUM('Statistics NZ'!W$105,$T$12/6*(W$8-W$9)*1000)*'Economic Forecasts'!Y$9*1000000/SUM('Statistics NZ'!W$30:W$110,'Statistics NZ'!W$130:W$210,SUM($E$12:$T$13)*(W$8-W$9)*1000)</f>
        <v>5256.9607353560441</v>
      </c>
      <c r="X105" s="45">
        <f>SUM('Statistics NZ'!X$105,$T$12/6*(X$8-X$9)*1000)*'Economic Forecasts'!Z$9*1000000/SUM('Statistics NZ'!X$30:X$110,'Statistics NZ'!X$130:X$210,SUM($E$12:$T$13)*(X$8-X$9)*1000)</f>
        <v>5612.33239128889</v>
      </c>
      <c r="Y105" s="45">
        <f>SUM('Statistics NZ'!Y$105,$T$12/6*(Y$8-Y$9)*1000)*'Economic Forecasts'!AA$9*1000000/SUM('Statistics NZ'!Y$30:Y$110,'Statistics NZ'!Y$130:Y$210,SUM($E$12:$T$13)*(Y$8-Y$9)*1000)</f>
        <v>5911.3253423339056</v>
      </c>
      <c r="Z105" s="46">
        <f>SUM(Y$105,'Statistics NZ'!Z$105-'Statistics NZ'!Y$105,$T$12/6*(Z$8-Z$9)*1000)</f>
        <v>6492.0900889163804</v>
      </c>
      <c r="AA105" s="46">
        <f>SUM(Z$105,'Statistics NZ'!AA$105-'Statistics NZ'!Z$105,$T$12/6*(AA$8-AA$9)*1000)</f>
        <v>7032.7698636563582</v>
      </c>
      <c r="AB105" s="46">
        <f>SUM(AA$105,'Statistics NZ'!AB$105-'Statistics NZ'!AA$105,$T$12/6*(AB$8-AB$9)*1000)</f>
        <v>7273.3646665538381</v>
      </c>
      <c r="AC105" s="46">
        <f>SUM(AB$105,'Statistics NZ'!AC$105-'Statistics NZ'!AB$105,$T$12/6*(AC$8-AC$9)*1000)</f>
        <v>6523.874497608821</v>
      </c>
      <c r="AD105" s="46">
        <f>SUM(AC$105,'Statistics NZ'!AD$105-'Statistics NZ'!AC$105,$T$12/6*(AD$8-AD$9)*1000)</f>
        <v>7314.2993568213069</v>
      </c>
      <c r="AE105" s="46">
        <f>SUM(AD$105,'Statistics NZ'!AE$105-'Statistics NZ'!AD$105,$T$12/6*(AE$8-AE$9)*1000)</f>
        <v>7774.6392441912958</v>
      </c>
      <c r="AF105" s="46">
        <f>SUM(AE$105,'Statistics NZ'!AF$105-'Statistics NZ'!AE$105,$T$12/6*(AF$8-AF$9)*1000)</f>
        <v>8314.8941597187877</v>
      </c>
      <c r="AG105" s="46">
        <f>SUM(AF$105,'Statistics NZ'!AG$105-'Statistics NZ'!AF$105,$T$12/6*(AG$8-AG$9)*1000)</f>
        <v>9815.0641034037817</v>
      </c>
      <c r="AH105" s="46">
        <f>SUM(AG$105,'Statistics NZ'!AH$105-'Statistics NZ'!AG$105,$T$12/6*(AH$8-AH$9)*1000)</f>
        <v>10035.14907524628</v>
      </c>
      <c r="AI105" s="46">
        <f>SUM(AH$105,'Statistics NZ'!AI$105-'Statistics NZ'!AH$105,$T$12/6*(AI$8-AI$9)*1000)</f>
        <v>9895.1490752462796</v>
      </c>
    </row>
    <row r="106" spans="1:35" x14ac:dyDescent="0.25">
      <c r="A106" s="11">
        <v>91</v>
      </c>
      <c r="B106" s="44">
        <f>'Statistics NZ'!B$106*'Economic Forecasts'!D$9*1000000/SUM('Statistics NZ'!B$30:B$110,'Statistics NZ'!B$130:B$210)</f>
        <v>2641.6640374720901</v>
      </c>
      <c r="C106" s="44">
        <f>'Statistics NZ'!C$106*'Economic Forecasts'!E$9*1000000/SUM('Statistics NZ'!C$30:C$110,'Statistics NZ'!C$130:C$210)</f>
        <v>2671.0612862184025</v>
      </c>
      <c r="D106" s="44">
        <f>'Statistics NZ'!D$106*'Economic Forecasts'!F$9*1000000/SUM('Statistics NZ'!D$30:D$110,'Statistics NZ'!D$130:D$210)</f>
        <v>2711.0717428007515</v>
      </c>
      <c r="E106" s="44">
        <f>'Statistics NZ'!E$106*'Economic Forecasts'!G$9*1000000/SUM('Statistics NZ'!E$30:E$110,'Statistics NZ'!E$130:E$210)</f>
        <v>2677.3172538689496</v>
      </c>
      <c r="F106" s="44">
        <f>'Statistics NZ'!F$106*'Economic Forecasts'!H$9*1000000/SUM('Statistics NZ'!F$30:F$110,'Statistics NZ'!F$130:F$210)</f>
        <v>2648.3844636616886</v>
      </c>
      <c r="G106" s="44">
        <f>'Statistics NZ'!G$106*'Economic Forecasts'!I$9*1000000/SUM('Statistics NZ'!G$30:G$110,'Statistics NZ'!G$130:G$210)</f>
        <v>3143.1911230371461</v>
      </c>
      <c r="H106" s="44">
        <f>'Statistics NZ'!H$106*'Economic Forecasts'!J$9*1000000/SUM('Statistics NZ'!H$30:H$110,'Statistics NZ'!H$130:H$210)</f>
        <v>3261.9455315207665</v>
      </c>
      <c r="I106" s="44">
        <f>'Statistics NZ'!I$106*'Economic Forecasts'!K$9*1000000/SUM('Statistics NZ'!I$30:I$110,'Statistics NZ'!I$130:I$210)</f>
        <v>3343.0123595155824</v>
      </c>
      <c r="J106" s="44">
        <f>'Statistics NZ'!J$106*'Economic Forecasts'!L$9*1000000/SUM('Statistics NZ'!J$30:J$110,'Statistics NZ'!J$130:J$210)</f>
        <v>3286.3843162058852</v>
      </c>
      <c r="K106" s="44">
        <f>'Statistics NZ'!K$106*'Economic Forecasts'!M$9*1000000/SUM('Statistics NZ'!K$30:K$110,'Statistics NZ'!K$130:K$210)</f>
        <v>3417.4129892072501</v>
      </c>
      <c r="L106" s="44">
        <f>'Statistics NZ'!L$106*'Economic Forecasts'!N$9*1000000/SUM('Statistics NZ'!L$30:L$110,'Statistics NZ'!L$130:L$210)</f>
        <v>3641.4940190156512</v>
      </c>
      <c r="M106" s="44">
        <f>'Statistics NZ'!M$106*'Economic Forecasts'!O$9*1000000/SUM('Statistics NZ'!M$30:M$110,'Statistics NZ'!M$130:M$210)</f>
        <v>3575.6640261251105</v>
      </c>
      <c r="N106" s="44">
        <f>'Statistics NZ'!N$106*'Economic Forecasts'!P$9*1000000/SUM('Statistics NZ'!N$30:N$110,'Statistics NZ'!N$130:N$210)</f>
        <v>3610.6407461546632</v>
      </c>
      <c r="O106" s="44">
        <f>'Statistics NZ'!O$106*'Economic Forecasts'!Q$9*1000000/SUM('Statistics NZ'!O$30:O$110,'Statistics NZ'!O$130:O$210)</f>
        <v>3629.5896757772498</v>
      </c>
      <c r="P106" s="44">
        <f>'Statistics NZ'!P$106*'Economic Forecasts'!R$9*1000000/SUM('Statistics NZ'!P$30:P$110,'Statistics NZ'!P$130:P$210)</f>
        <v>3804.9323678760747</v>
      </c>
      <c r="Q106" s="44">
        <f>'Statistics NZ'!Q$106*'Economic Forecasts'!S$9*1000000/SUM('Statistics NZ'!Q$30:Q$110,'Statistics NZ'!Q$130:Q$210)</f>
        <v>3957.5736658806718</v>
      </c>
      <c r="R106" s="44">
        <f>'Statistics NZ'!R$106*'Economic Forecasts'!T$9*1000000/SUM('Statistics NZ'!R$30:R$110,'Statistics NZ'!R$130:R$210)</f>
        <v>3910.9654791361381</v>
      </c>
      <c r="S106" s="45">
        <f>SUM('Statistics NZ'!S$106,$T$12/6*(S$8-S$9)*1000)*'Economic Forecasts'!U$9*1000000/SUM('Statistics NZ'!S$30:S$110,'Statistics NZ'!S$130:S$210,SUM($E$12:$T$13)*(S$8-S$9)*1000)</f>
        <v>3819.14538943973</v>
      </c>
      <c r="T106" s="45">
        <f>SUM('Statistics NZ'!T$106,$T$12/6*(T$8-T$9)*1000)*'Economic Forecasts'!V$9*1000000/SUM('Statistics NZ'!T$30:T$110,'Statistics NZ'!T$130:T$210,SUM($E$12:$T$13)*(T$8-T$9)*1000)</f>
        <v>4008.0992233334787</v>
      </c>
      <c r="U106" s="45">
        <f>SUM('Statistics NZ'!U$106,$T$12/6*(U$8-U$9)*1000)*'Economic Forecasts'!W$9*1000000/SUM('Statistics NZ'!U$30:U$110,'Statistics NZ'!U$130:U$210,SUM($E$12:$T$13)*(U$8-U$9)*1000)</f>
        <v>4131.0590885853017</v>
      </c>
      <c r="V106" s="45">
        <f>SUM('Statistics NZ'!V$106,$T$12/6*(V$8-V$9)*1000)*'Economic Forecasts'!X$9*1000000/SUM('Statistics NZ'!V$30:V$110,'Statistics NZ'!V$130:V$210,SUM($E$12:$T$13)*(V$8-V$9)*1000)</f>
        <v>4126.6760882008748</v>
      </c>
      <c r="W106" s="45">
        <f>SUM('Statistics NZ'!W$106,$T$12/6*(W$8-W$9)*1000)*'Economic Forecasts'!Y$9*1000000/SUM('Statistics NZ'!W$30:W$110,'Statistics NZ'!W$130:W$210,SUM($E$12:$T$13)*(W$8-W$9)*1000)</f>
        <v>4345.4933003843762</v>
      </c>
      <c r="X106" s="45">
        <f>SUM('Statistics NZ'!X$106,$T$12/6*(X$8-X$9)*1000)*'Economic Forecasts'!Z$9*1000000/SUM('Statistics NZ'!X$30:X$110,'Statistics NZ'!X$130:X$210,SUM($E$12:$T$13)*(X$8-X$9)*1000)</f>
        <v>4567.1569520667608</v>
      </c>
      <c r="Y106" s="45">
        <f>SUM('Statistics NZ'!Y$106,$T$12/6*(Y$8-Y$9)*1000)*'Economic Forecasts'!AA$9*1000000/SUM('Statistics NZ'!Y$30:Y$110,'Statistics NZ'!Y$130:Y$210,SUM($E$12:$T$13)*(Y$8-Y$9)*1000)</f>
        <v>4883.861393846948</v>
      </c>
      <c r="Z106" s="46">
        <f>SUM(Y$106,'Statistics NZ'!Z$106-'Statistics NZ'!Y$106,$T$12/6*(Z$8-Z$9)*1000)</f>
        <v>5134.6261404294228</v>
      </c>
      <c r="AA106" s="46">
        <f>SUM(Z$106,'Statistics NZ'!AA$106-'Statistics NZ'!Z$106,$T$12/6*(AA$8-AA$9)*1000)</f>
        <v>5645.3059151694006</v>
      </c>
      <c r="AB106" s="46">
        <f>SUM(AA$106,'Statistics NZ'!AB$106-'Statistics NZ'!AA$106,$T$12/6*(AB$8-AB$9)*1000)</f>
        <v>6115.9007180668805</v>
      </c>
      <c r="AC106" s="46">
        <f>SUM(AB$106,'Statistics NZ'!AC$106-'Statistics NZ'!AB$106,$T$12/6*(AC$8-AC$9)*1000)</f>
        <v>6336.4105491218634</v>
      </c>
      <c r="AD106" s="46">
        <f>SUM(AC$106,'Statistics NZ'!AD$106-'Statistics NZ'!AC$106,$T$12/6*(AD$8-AD$9)*1000)</f>
        <v>5686.8354083343493</v>
      </c>
      <c r="AE106" s="46">
        <f>SUM(AD$106,'Statistics NZ'!AE$106-'Statistics NZ'!AD$106,$T$12/6*(AE$8-AE$9)*1000)</f>
        <v>6387.1752957043382</v>
      </c>
      <c r="AF106" s="46">
        <f>SUM(AE$106,'Statistics NZ'!AF$106-'Statistics NZ'!AE$106,$T$12/6*(AF$8-AF$9)*1000)</f>
        <v>6787.4302112318301</v>
      </c>
      <c r="AG106" s="46">
        <f>SUM(AF$106,'Statistics NZ'!AG$106-'Statistics NZ'!AF$106,$T$12/6*(AG$8-AG$9)*1000)</f>
        <v>7267.6001549168241</v>
      </c>
      <c r="AH106" s="46">
        <f>SUM(AG$106,'Statistics NZ'!AH$106-'Statistics NZ'!AG$106,$T$12/6*(AH$8-AH$9)*1000)</f>
        <v>8587.6851267593229</v>
      </c>
      <c r="AI106" s="46">
        <f>SUM(AH$106,'Statistics NZ'!AI$106-'Statistics NZ'!AH$106,$T$12/6*(AI$8-AI$9)*1000)</f>
        <v>8787.6851267593229</v>
      </c>
    </row>
    <row r="107" spans="1:35" x14ac:dyDescent="0.25">
      <c r="A107" s="11">
        <v>92</v>
      </c>
      <c r="B107" s="44">
        <f>'Statistics NZ'!B$107*'Economic Forecasts'!D$9*1000000/SUM('Statistics NZ'!B$30:B$110,'Statistics NZ'!B$130:B$210)</f>
        <v>2035.0597029414621</v>
      </c>
      <c r="C107" s="44">
        <f>'Statistics NZ'!C$107*'Economic Forecasts'!E$9*1000000/SUM('Statistics NZ'!C$30:C$110,'Statistics NZ'!C$130:C$210)</f>
        <v>2199.6975298269199</v>
      </c>
      <c r="D107" s="44">
        <f>'Statistics NZ'!D$107*'Economic Forecasts'!F$9*1000000/SUM('Statistics NZ'!D$30:D$110,'Statistics NZ'!D$130:D$210)</f>
        <v>2249.4037286281596</v>
      </c>
      <c r="E107" s="44">
        <f>'Statistics NZ'!E$107*'Economic Forecasts'!G$9*1000000/SUM('Statistics NZ'!E$30:E$110,'Statistics NZ'!E$130:E$210)</f>
        <v>2245.8082459193756</v>
      </c>
      <c r="F107" s="44">
        <f>'Statistics NZ'!F$107*'Economic Forecasts'!H$9*1000000/SUM('Statistics NZ'!F$30:F$110,'Statistics NZ'!F$130:F$210)</f>
        <v>2256.0312097858828</v>
      </c>
      <c r="G107" s="44">
        <f>'Statistics NZ'!G$107*'Economic Forecasts'!I$9*1000000/SUM('Statistics NZ'!G$30:G$110,'Statistics NZ'!G$130:G$210)</f>
        <v>2200.2337861260025</v>
      </c>
      <c r="H107" s="44">
        <f>'Statistics NZ'!H$107*'Economic Forecasts'!J$9*1000000/SUM('Statistics NZ'!H$30:H$110,'Statistics NZ'!H$130:H$210)</f>
        <v>2603.6613429307322</v>
      </c>
      <c r="I107" s="44">
        <f>'Statistics NZ'!I$107*'Economic Forecasts'!K$9*1000000/SUM('Statistics NZ'!I$30:I$110,'Statistics NZ'!I$130:I$210)</f>
        <v>2686.1741539802629</v>
      </c>
      <c r="J107" s="44">
        <f>'Statistics NZ'!J$107*'Economic Forecasts'!L$9*1000000/SUM('Statistics NZ'!J$30:J$110,'Statistics NZ'!J$130:J$210)</f>
        <v>2818.2939684970343</v>
      </c>
      <c r="K107" s="44">
        <f>'Statistics NZ'!K$107*'Economic Forecasts'!M$9*1000000/SUM('Statistics NZ'!K$30:K$110,'Statistics NZ'!K$130:K$210)</f>
        <v>2765.0862932617065</v>
      </c>
      <c r="L107" s="44">
        <f>'Statistics NZ'!L$107*'Economic Forecasts'!N$9*1000000/SUM('Statistics NZ'!L$30:L$110,'Statistics NZ'!L$130:L$210)</f>
        <v>2891.7746621594874</v>
      </c>
      <c r="M107" s="44">
        <f>'Statistics NZ'!M$107*'Economic Forecasts'!O$9*1000000/SUM('Statistics NZ'!M$30:M$110,'Statistics NZ'!M$130:M$210)</f>
        <v>3096.954907873388</v>
      </c>
      <c r="N107" s="44">
        <f>'Statistics NZ'!N$107*'Economic Forecasts'!P$9*1000000/SUM('Statistics NZ'!N$30:N$110,'Statistics NZ'!N$130:N$210)</f>
        <v>3023.5446898693522</v>
      </c>
      <c r="O107" s="44">
        <f>'Statistics NZ'!O$107*'Economic Forecasts'!Q$9*1000000/SUM('Statistics NZ'!O$30:O$110,'Statistics NZ'!O$130:O$210)</f>
        <v>3011.5784607124747</v>
      </c>
      <c r="P107" s="44">
        <f>'Statistics NZ'!P$107*'Economic Forecasts'!R$9*1000000/SUM('Statistics NZ'!P$30:P$110,'Statistics NZ'!P$130:P$210)</f>
        <v>3061.5522651547853</v>
      </c>
      <c r="Q107" s="44">
        <f>'Statistics NZ'!Q$107*'Economic Forecasts'!S$9*1000000/SUM('Statistics NZ'!Q$30:Q$110,'Statistics NZ'!Q$130:Q$210)</f>
        <v>3296.3331780651984</v>
      </c>
      <c r="R107" s="44">
        <f>'Statistics NZ'!R$107*'Economic Forecasts'!T$9*1000000/SUM('Statistics NZ'!R$30:R$110,'Statistics NZ'!R$130:R$210)</f>
        <v>3339.5901698416897</v>
      </c>
      <c r="S107" s="45">
        <f>SUM('Statistics NZ'!S$107,$T$12/6*(S$8-S$9)*1000)*'Economic Forecasts'!U$9*1000000/SUM('Statistics NZ'!S$30:S$110,'Statistics NZ'!S$130:S$210,SUM($E$12:$T$13)*(S$8-S$9)*1000)</f>
        <v>3266.1386285267517</v>
      </c>
      <c r="T107" s="45">
        <f>SUM('Statistics NZ'!T$107,$T$12/6*(T$8-T$9)*1000)*'Economic Forecasts'!V$9*1000000/SUM('Statistics NZ'!T$30:T$110,'Statistics NZ'!T$130:T$210,SUM($E$12:$T$13)*(T$8-T$9)*1000)</f>
        <v>3329.0287861485072</v>
      </c>
      <c r="U107" s="45">
        <f>SUM('Statistics NZ'!U$107,$T$12/6*(U$8-U$9)*1000)*'Economic Forecasts'!W$9*1000000/SUM('Statistics NZ'!U$30:U$110,'Statistics NZ'!U$130:U$210,SUM($E$12:$T$13)*(U$8-U$9)*1000)</f>
        <v>3444.3933670195374</v>
      </c>
      <c r="V107" s="45">
        <f>SUM('Statistics NZ'!V$107,$T$12/6*(V$8-V$9)*1000)*'Economic Forecasts'!X$9*1000000/SUM('Statistics NZ'!V$30:V$110,'Statistics NZ'!V$130:V$210,SUM($E$12:$T$13)*(V$8-V$9)*1000)</f>
        <v>3519.9231587709223</v>
      </c>
      <c r="W107" s="45">
        <f>SUM('Statistics NZ'!W$107,$T$12/6*(W$8-W$9)*1000)*'Economic Forecasts'!Y$9*1000000/SUM('Statistics NZ'!W$30:W$110,'Statistics NZ'!W$130:W$210,SUM($E$12:$T$13)*(W$8-W$9)*1000)</f>
        <v>3515.0451929657452</v>
      </c>
      <c r="X107" s="45">
        <f>SUM('Statistics NZ'!X$107,$T$12/6*(X$8-X$9)*1000)*'Economic Forecasts'!Z$9*1000000/SUM('Statistics NZ'!X$30:X$110,'Statistics NZ'!X$130:X$210,SUM($E$12:$T$13)*(X$8-X$9)*1000)</f>
        <v>3714.780865710849</v>
      </c>
      <c r="Y107" s="45">
        <f>SUM('Statistics NZ'!Y$107,$T$12/6*(Y$8-Y$9)*1000)*'Economic Forecasts'!AA$9*1000000/SUM('Statistics NZ'!Y$30:Y$110,'Statistics NZ'!Y$130:Y$210,SUM($E$12:$T$13)*(Y$8-Y$9)*1000)</f>
        <v>3907.2619972652865</v>
      </c>
      <c r="Z107" s="46">
        <f>SUM(Y$107,'Statistics NZ'!Z$107-'Statistics NZ'!Y$107,$T$12/6*(Z$8-Z$9)*1000)</f>
        <v>4158.0267438477613</v>
      </c>
      <c r="AA107" s="46">
        <f>SUM(Z$107,'Statistics NZ'!AA$107-'Statistics NZ'!Z$107,$T$12/6*(AA$8-AA$9)*1000)</f>
        <v>4378.7065185877391</v>
      </c>
      <c r="AB107" s="46">
        <f>SUM(AA$107,'Statistics NZ'!AB$107-'Statistics NZ'!AA$107,$T$12/6*(AB$8-AB$9)*1000)</f>
        <v>4819.301321485219</v>
      </c>
      <c r="AC107" s="46">
        <f>SUM(AB$107,'Statistics NZ'!AC$107-'Statistics NZ'!AB$107,$T$12/6*(AC$8-AC$9)*1000)</f>
        <v>5229.8111525402019</v>
      </c>
      <c r="AD107" s="46">
        <f>SUM(AC$107,'Statistics NZ'!AD$107-'Statistics NZ'!AC$107,$T$12/6*(AD$8-AD$9)*1000)</f>
        <v>5420.2360117526878</v>
      </c>
      <c r="AE107" s="46">
        <f>SUM(AD$107,'Statistics NZ'!AE$107-'Statistics NZ'!AD$107,$T$12/6*(AE$8-AE$9)*1000)</f>
        <v>4870.5758991226767</v>
      </c>
      <c r="AF107" s="46">
        <f>SUM(AE$107,'Statistics NZ'!AF$107-'Statistics NZ'!AE$107,$T$12/6*(AF$8-AF$9)*1000)</f>
        <v>5470.8308146501686</v>
      </c>
      <c r="AG107" s="46">
        <f>SUM(AF$107,'Statistics NZ'!AG$107-'Statistics NZ'!AF$107,$T$12/6*(AG$8-AG$9)*1000)</f>
        <v>5821.0007583351626</v>
      </c>
      <c r="AH107" s="46">
        <f>SUM(AG$107,'Statistics NZ'!AH$107-'Statistics NZ'!AG$107,$T$12/6*(AH$8-AH$9)*1000)</f>
        <v>6241.0857301776596</v>
      </c>
      <c r="AI107" s="46">
        <f>SUM(AH$107,'Statistics NZ'!AI$107-'Statistics NZ'!AH$107,$T$12/6*(AI$8-AI$9)*1000)</f>
        <v>7371.0857301776596</v>
      </c>
    </row>
    <row r="108" spans="1:35" x14ac:dyDescent="0.25">
      <c r="A108" s="11">
        <v>93</v>
      </c>
      <c r="B108" s="44">
        <f>'Statistics NZ'!B$108*'Economic Forecasts'!D$9*1000000/SUM('Statistics NZ'!B$30:B$110,'Statistics NZ'!B$130:B$210)</f>
        <v>1702.4057130375691</v>
      </c>
      <c r="C108" s="44">
        <f>'Statistics NZ'!C$108*'Economic Forecasts'!E$9*1000000/SUM('Statistics NZ'!C$30:C$110,'Statistics NZ'!C$130:C$210)</f>
        <v>1630.132990853878</v>
      </c>
      <c r="D108" s="44">
        <f>'Statistics NZ'!D$108*'Economic Forecasts'!F$9*1000000/SUM('Statistics NZ'!D$30:D$110,'Statistics NZ'!D$130:D$210)</f>
        <v>1797.5584381613678</v>
      </c>
      <c r="E108" s="44">
        <f>'Statistics NZ'!E$108*'Economic Forecasts'!G$9*1000000/SUM('Statistics NZ'!E$30:E$110,'Statistics NZ'!E$130:E$210)</f>
        <v>1843.7203066936358</v>
      </c>
      <c r="F108" s="44">
        <f>'Statistics NZ'!F$108*'Economic Forecasts'!H$9*1000000/SUM('Statistics NZ'!F$30:F$110,'Statistics NZ'!F$130:F$210)</f>
        <v>1834.2514618693917</v>
      </c>
      <c r="G108" s="44">
        <f>'Statistics NZ'!G$108*'Economic Forecasts'!I$9*1000000/SUM('Statistics NZ'!G$30:G$110,'Statistics NZ'!G$130:G$210)</f>
        <v>1846.6247847843238</v>
      </c>
      <c r="H108" s="44">
        <f>'Statistics NZ'!H$108*'Economic Forecasts'!J$9*1000000/SUM('Statistics NZ'!H$30:H$110,'Statistics NZ'!H$130:H$210)</f>
        <v>1758.6995486211363</v>
      </c>
      <c r="I108" s="44">
        <f>'Statistics NZ'!I$108*'Economic Forecasts'!K$9*1000000/SUM('Statistics NZ'!I$30:I$110,'Statistics NZ'!I$130:I$210)</f>
        <v>2107.7643908969212</v>
      </c>
      <c r="J108" s="44">
        <f>'Statistics NZ'!J$108*'Economic Forecasts'!L$9*1000000/SUM('Statistics NZ'!J$30:J$110,'Statistics NZ'!J$130:J$210)</f>
        <v>2213.6772693731036</v>
      </c>
      <c r="K108" s="44">
        <f>'Statistics NZ'!K$108*'Economic Forecasts'!M$9*1000000/SUM('Statistics NZ'!K$30:K$110,'Statistics NZ'!K$130:K$210)</f>
        <v>2307.4839841655789</v>
      </c>
      <c r="L108" s="44">
        <f>'Statistics NZ'!L$108*'Economic Forecasts'!N$9*1000000/SUM('Statistics NZ'!L$30:L$110,'Statistics NZ'!L$130:L$210)</f>
        <v>2297.8411456890203</v>
      </c>
      <c r="M108" s="44">
        <f>'Statistics NZ'!M$108*'Economic Forecasts'!O$9*1000000/SUM('Statistics NZ'!M$30:M$110,'Statistics NZ'!M$130:M$210)</f>
        <v>2442.3934604679716</v>
      </c>
      <c r="N108" s="44">
        <f>'Statistics NZ'!N$108*'Economic Forecasts'!P$9*1000000/SUM('Statistics NZ'!N$30:N$110,'Statistics NZ'!N$130:N$210)</f>
        <v>2553.8678448411033</v>
      </c>
      <c r="O108" s="44">
        <f>'Statistics NZ'!O$108*'Economic Forecasts'!Q$9*1000000/SUM('Statistics NZ'!O$30:O$110,'Statistics NZ'!O$130:O$210)</f>
        <v>2481.8545620855252</v>
      </c>
      <c r="P108" s="44">
        <f>'Statistics NZ'!P$108*'Economic Forecasts'!R$9*1000000/SUM('Statistics NZ'!P$30:P$110,'Statistics NZ'!P$130:P$210)</f>
        <v>2494.2358709727482</v>
      </c>
      <c r="Q108" s="44">
        <f>'Statistics NZ'!Q$108*'Economic Forecasts'!S$9*1000000/SUM('Statistics NZ'!Q$30:Q$110,'Statistics NZ'!Q$130:Q$210)</f>
        <v>2575.8771241766967</v>
      </c>
      <c r="R108" s="44">
        <f>'Statistics NZ'!R$108*'Economic Forecasts'!T$9*1000000/SUM('Statistics NZ'!R$30:R$110,'Statistics NZ'!R$130:R$210)</f>
        <v>2768.2148605472416</v>
      </c>
      <c r="S108" s="45">
        <f>SUM('Statistics NZ'!S$108,$T$12/6*(S$8-S$9)*1000)*'Economic Forecasts'!U$9*1000000/SUM('Statistics NZ'!S$30:S$110,'Statistics NZ'!S$130:S$210,SUM($E$12:$T$13)*(S$8-S$9)*1000)</f>
        <v>2732.5356136107202</v>
      </c>
      <c r="T108" s="45">
        <f>SUM('Statistics NZ'!T$108,$T$12/6*(T$8-T$9)*1000)*'Economic Forecasts'!V$9*1000000/SUM('Statistics NZ'!T$30:T$110,'Statistics NZ'!T$130:T$210,SUM($E$12:$T$13)*(T$8-T$9)*1000)</f>
        <v>2789.7669683839713</v>
      </c>
      <c r="U108" s="45">
        <f>SUM('Statistics NZ'!U$108,$T$12/6*(U$8-U$9)*1000)*'Economic Forecasts'!W$9*1000000/SUM('Statistics NZ'!U$30:U$110,'Statistics NZ'!U$130:U$210,SUM($E$12:$T$13)*(U$8-U$9)*1000)</f>
        <v>2798.1197467223474</v>
      </c>
      <c r="V108" s="45">
        <f>SUM('Statistics NZ'!V$108,$T$12/6*(V$8-V$9)*1000)*'Economic Forecasts'!X$9*1000000/SUM('Statistics NZ'!V$30:V$110,'Statistics NZ'!V$130:V$210,SUM($E$12:$T$13)*(V$8-V$9)*1000)</f>
        <v>2872.7200340456388</v>
      </c>
      <c r="W108" s="45">
        <f>SUM('Statistics NZ'!W$108,$T$12/6*(W$8-W$9)*1000)*'Economic Forecasts'!Y$9*1000000/SUM('Statistics NZ'!W$30:W$110,'Statistics NZ'!W$130:W$210,SUM($E$12:$T$13)*(W$8-W$9)*1000)</f>
        <v>2937.7824841503557</v>
      </c>
      <c r="X108" s="45">
        <f>SUM('Statistics NZ'!X$108,$T$12/6*(X$8-X$9)*1000)*'Economic Forecasts'!Z$9*1000000/SUM('Statistics NZ'!X$30:X$110,'Statistics NZ'!X$130:X$210,SUM($E$12:$T$13)*(X$8-X$9)*1000)</f>
        <v>2943.5834542459775</v>
      </c>
      <c r="Y108" s="45">
        <f>SUM('Statistics NZ'!Y$108,$T$12/6*(Y$8-Y$9)*1000)*'Economic Forecasts'!AA$9*1000000/SUM('Statistics NZ'!Y$30:Y$110,'Statistics NZ'!Y$130:Y$210,SUM($E$12:$T$13)*(Y$8-Y$9)*1000)</f>
        <v>3103.6020771616268</v>
      </c>
      <c r="Z108" s="46">
        <f>SUM(Y$108,'Statistics NZ'!Z$108-'Statistics NZ'!Y$108,$T$12/6*(Z$8-Z$9)*1000)</f>
        <v>3254.3668237441016</v>
      </c>
      <c r="AA108" s="46">
        <f>SUM(Z$108,'Statistics NZ'!AA$108-'Statistics NZ'!Z$108,$T$12/6*(AA$8-AA$9)*1000)</f>
        <v>3475.0465984840789</v>
      </c>
      <c r="AB108" s="46">
        <f>SUM(AA$108,'Statistics NZ'!AB$108-'Statistics NZ'!AA$108,$T$12/6*(AB$8-AB$9)*1000)</f>
        <v>3665.6414013815593</v>
      </c>
      <c r="AC108" s="46">
        <f>SUM(AB$108,'Statistics NZ'!AC$108-'Statistics NZ'!AB$108,$T$12/6*(AC$8-AC$9)*1000)</f>
        <v>4036.1512324365426</v>
      </c>
      <c r="AD108" s="46">
        <f>SUM(AC$108,'Statistics NZ'!AD$108-'Statistics NZ'!AC$108,$T$12/6*(AD$8-AD$9)*1000)</f>
        <v>4386.576091649029</v>
      </c>
      <c r="AE108" s="46">
        <f>SUM(AD$108,'Statistics NZ'!AE$108-'Statistics NZ'!AD$108,$T$12/6*(AE$8-AE$9)*1000)</f>
        <v>4546.9159790190179</v>
      </c>
      <c r="AF108" s="46">
        <f>SUM(AE$108,'Statistics NZ'!AF$108-'Statistics NZ'!AE$108,$T$12/6*(AF$8-AF$9)*1000)</f>
        <v>4087.1708945465093</v>
      </c>
      <c r="AG108" s="46">
        <f>SUM(AF$108,'Statistics NZ'!AG$108-'Statistics NZ'!AF$108,$T$12/6*(AG$8-AG$9)*1000)</f>
        <v>4587.3408382315029</v>
      </c>
      <c r="AH108" s="46">
        <f>SUM(AG$108,'Statistics NZ'!AH$108-'Statistics NZ'!AG$108,$T$12/6*(AH$8-AH$9)*1000)</f>
        <v>4887.4258100739999</v>
      </c>
      <c r="AI108" s="46">
        <f>SUM(AH$108,'Statistics NZ'!AI$108-'Statistics NZ'!AH$108,$T$12/6*(AI$8-AI$9)*1000)</f>
        <v>5247.4258100739999</v>
      </c>
    </row>
    <row r="109" spans="1:35" x14ac:dyDescent="0.25">
      <c r="A109" s="11">
        <v>94</v>
      </c>
      <c r="B109" s="44">
        <f>'Statistics NZ'!B$109*'Economic Forecasts'!D$9*1000000/SUM('Statistics NZ'!B$30:B$110,'Statistics NZ'!B$130:B$210)</f>
        <v>1281.6962552179398</v>
      </c>
      <c r="C109" s="44">
        <f>'Statistics NZ'!C$109*'Economic Forecasts'!E$9*1000000/SUM('Statistics NZ'!C$30:C$110,'Statistics NZ'!C$130:C$210)</f>
        <v>1345.3507213673572</v>
      </c>
      <c r="D109" s="44">
        <f>'Statistics NZ'!D$109*'Economic Forecasts'!F$9*1000000/SUM('Statistics NZ'!D$30:D$110,'Statistics NZ'!D$130:D$210)</f>
        <v>1306.4222528713763</v>
      </c>
      <c r="E109" s="44">
        <f>'Statistics NZ'!E$109*'Economic Forecasts'!G$9*1000000/SUM('Statistics NZ'!E$30:E$110,'Statistics NZ'!E$130:E$210)</f>
        <v>1422.0183216520065</v>
      </c>
      <c r="F109" s="44">
        <f>'Statistics NZ'!F$109*'Economic Forecasts'!H$9*1000000/SUM('Statistics NZ'!F$30:F$110,'Statistics NZ'!F$130:F$210)</f>
        <v>1451.7070393404813</v>
      </c>
      <c r="G109" s="44">
        <f>'Statistics NZ'!G$109*'Economic Forecasts'!I$9*1000000/SUM('Statistics NZ'!G$30:G$110,'Statistics NZ'!G$130:G$210)</f>
        <v>1453.7258944046803</v>
      </c>
      <c r="H109" s="44">
        <f>'Statistics NZ'!H$109*'Economic Forecasts'!J$9*1000000/SUM('Statistics NZ'!H$30:H$110,'Statistics NZ'!H$130:H$210)</f>
        <v>1454.1202971839559</v>
      </c>
      <c r="I109" s="44">
        <f>'Statistics NZ'!I$109*'Economic Forecasts'!K$9*1000000/SUM('Statistics NZ'!I$30:I$110,'Statistics NZ'!I$130:I$210)</f>
        <v>1372.497742909623</v>
      </c>
      <c r="J109" s="44">
        <f>'Statistics NZ'!J$109*'Economic Forecasts'!L$9*1000000/SUM('Statistics NZ'!J$30:J$110,'Statistics NZ'!J$130:J$210)</f>
        <v>1696.8275104445813</v>
      </c>
      <c r="K109" s="44">
        <f>'Statistics NZ'!K$109*'Economic Forecasts'!M$9*1000000/SUM('Statistics NZ'!K$30:K$110,'Statistics NZ'!K$130:K$210)</f>
        <v>1781.728139672156</v>
      </c>
      <c r="L109" s="44">
        <f>'Statistics NZ'!L$109*'Economic Forecasts'!N$9*1000000/SUM('Statistics NZ'!L$30:L$110,'Statistics NZ'!L$130:L$210)</f>
        <v>1869.4300846283554</v>
      </c>
      <c r="M109" s="44">
        <f>'Statistics NZ'!M$109*'Economic Forecasts'!O$9*1000000/SUM('Statistics NZ'!M$30:M$110,'Statistics NZ'!M$130:M$210)</f>
        <v>1895.297325323146</v>
      </c>
      <c r="N109" s="44">
        <f>'Statistics NZ'!N$109*'Economic Forecasts'!P$9*1000000/SUM('Statistics NZ'!N$30:N$110,'Statistics NZ'!N$130:N$210)</f>
        <v>1956.9868542843703</v>
      </c>
      <c r="O109" s="44">
        <f>'Statistics NZ'!O$109*'Economic Forecasts'!Q$9*1000000/SUM('Statistics NZ'!O$30:O$110,'Statistics NZ'!O$130:O$210)</f>
        <v>2060.0373835492501</v>
      </c>
      <c r="P109" s="44">
        <f>'Statistics NZ'!P$109*'Economic Forecasts'!R$9*1000000/SUM('Statistics NZ'!P$30:P$110,'Statistics NZ'!P$130:P$210)</f>
        <v>2024.7326482014075</v>
      </c>
      <c r="Q109" s="44">
        <f>'Statistics NZ'!Q$109*'Economic Forecasts'!S$9*1000000/SUM('Statistics NZ'!Q$30:Q$110,'Statistics NZ'!Q$130:Q$210)</f>
        <v>2082.414073568134</v>
      </c>
      <c r="R109" s="44">
        <f>'Statistics NZ'!R$109*'Economic Forecasts'!T$9*1000000/SUM('Statistics NZ'!R$30:R$110,'Statistics NZ'!R$130:R$210)</f>
        <v>2068.7726715833473</v>
      </c>
      <c r="S109" s="45">
        <f>SUM('Statistics NZ'!S$109,$T$12/6*(S$8-S$9)*1000)*'Economic Forecasts'!U$9*1000000/SUM('Statistics NZ'!S$30:S$110,'Statistics NZ'!S$130:S$210,SUM($E$12:$T$13)*(S$8-S$9)*1000)</f>
        <v>2218.3363446916351</v>
      </c>
      <c r="T109" s="45">
        <f>SUM('Statistics NZ'!T$109,$T$12/6*(T$8-T$9)*1000)*'Economic Forecasts'!V$9*1000000/SUM('Statistics NZ'!T$30:T$110,'Statistics NZ'!T$130:T$210,SUM($E$12:$T$13)*(T$8-T$9)*1000)</f>
        <v>2280.4641404952431</v>
      </c>
      <c r="U109" s="45">
        <f>SUM('Statistics NZ'!U$109,$T$12/6*(U$8-U$9)*1000)*'Economic Forecasts'!W$9*1000000/SUM('Statistics NZ'!U$30:U$110,'Statistics NZ'!U$130:U$210,SUM($E$12:$T$13)*(U$8-U$9)*1000)</f>
        <v>2293.2184808651682</v>
      </c>
      <c r="V109" s="45">
        <f>SUM('Statistics NZ'!V$109,$T$12/6*(V$8-V$9)*1000)*'Economic Forecasts'!X$9*1000000/SUM('Statistics NZ'!V$30:V$110,'Statistics NZ'!V$130:V$210,SUM($E$12:$T$13)*(V$8-V$9)*1000)</f>
        <v>2286.1922022633516</v>
      </c>
      <c r="W109" s="45">
        <f>SUM('Statistics NZ'!W$109,$T$12/6*(W$8-W$9)*1000)*'Economic Forecasts'!Y$9*1000000/SUM('Statistics NZ'!W$30:W$110,'Statistics NZ'!W$130:W$210,SUM($E$12:$T$13)*(W$8-W$9)*1000)</f>
        <v>2340.2649434467062</v>
      </c>
      <c r="X109" s="45">
        <f>SUM('Statistics NZ'!X$109,$T$12/6*(X$8-X$9)*1000)*'Economic Forecasts'!Z$9*1000000/SUM('Statistics NZ'!X$30:X$110,'Statistics NZ'!X$130:X$210,SUM($E$12:$T$13)*(X$8-X$9)*1000)</f>
        <v>2405.7747330928428</v>
      </c>
      <c r="Y109" s="45">
        <f>SUM('Statistics NZ'!Y$109,$T$12/6*(Y$8-Y$9)*1000)*'Economic Forecasts'!AA$9*1000000/SUM('Statistics NZ'!Y$30:Y$110,'Statistics NZ'!Y$130:Y$210,SUM($E$12:$T$13)*(Y$8-Y$9)*1000)</f>
        <v>2401.6712608685566</v>
      </c>
      <c r="Z109" s="46">
        <f>SUM(Y$109,'Statistics NZ'!Z$109-'Statistics NZ'!Y$109,$T$12/6*(Z$8-Z$9)*1000)</f>
        <v>2532.4360074510314</v>
      </c>
      <c r="AA109" s="46">
        <f>SUM(Z$109,'Statistics NZ'!AA$109-'Statistics NZ'!Z$109,$T$12/6*(AA$8-AA$9)*1000)</f>
        <v>2663.1157821910087</v>
      </c>
      <c r="AB109" s="46">
        <f>SUM(AA$109,'Statistics NZ'!AB$109-'Statistics NZ'!AA$109,$T$12/6*(AB$8-AB$9)*1000)</f>
        <v>2843.7105850884891</v>
      </c>
      <c r="AC109" s="46">
        <f>SUM(AB$109,'Statistics NZ'!AC$109-'Statistics NZ'!AB$109,$T$12/6*(AC$8-AC$9)*1000)</f>
        <v>3004.2204161434724</v>
      </c>
      <c r="AD109" s="46">
        <f>SUM(AC$109,'Statistics NZ'!AD$109-'Statistics NZ'!AC$109,$T$12/6*(AD$8-AD$9)*1000)</f>
        <v>3304.6452753559583</v>
      </c>
      <c r="AE109" s="46">
        <f>SUM(AD$109,'Statistics NZ'!AE$109-'Statistics NZ'!AD$109,$T$12/6*(AE$8-AE$9)*1000)</f>
        <v>3594.9851627259472</v>
      </c>
      <c r="AF109" s="46">
        <f>SUM(AE$109,'Statistics NZ'!AF$109-'Statistics NZ'!AE$109,$T$12/6*(AF$8-AF$9)*1000)</f>
        <v>3725.2400782534387</v>
      </c>
      <c r="AG109" s="46">
        <f>SUM(AF$109,'Statistics NZ'!AG$109-'Statistics NZ'!AF$109,$T$12/6*(AG$8-AG$9)*1000)</f>
        <v>3355.4100219384331</v>
      </c>
      <c r="AH109" s="46">
        <f>SUM(AG$109,'Statistics NZ'!AH$109-'Statistics NZ'!AG$109,$T$12/6*(AH$8-AH$9)*1000)</f>
        <v>3775.4949937809301</v>
      </c>
      <c r="AI109" s="46">
        <f>SUM(AH$109,'Statistics NZ'!AI$109-'Statistics NZ'!AH$109,$T$12/6*(AI$8-AI$9)*1000)</f>
        <v>4025.4949937809301</v>
      </c>
    </row>
    <row r="110" spans="1:35" x14ac:dyDescent="0.25">
      <c r="A110" s="11" t="s">
        <v>10</v>
      </c>
      <c r="B110" s="44">
        <f>'Statistics NZ'!B$110*'Economic Forecasts'!D$9*1000000/SUM('Statistics NZ'!B$30:B$110,'Statistics NZ'!B$130:B$210)</f>
        <v>2896.046500339773</v>
      </c>
      <c r="C110" s="44">
        <f>'Statistics NZ'!C$110*'Economic Forecasts'!E$9*1000000/SUM('Statistics NZ'!C$30:C$110,'Statistics NZ'!C$130:C$210)</f>
        <v>3034.40418177017</v>
      </c>
      <c r="D110" s="44">
        <f>'Statistics NZ'!D$110*'Economic Forecasts'!F$9*1000000/SUM('Statistics NZ'!D$30:D$110,'Statistics NZ'!D$130:D$210)</f>
        <v>3202.2079280907428</v>
      </c>
      <c r="E110" s="44">
        <f>'Statistics NZ'!E$110*'Economic Forecasts'!G$9*1000000/SUM('Statistics NZ'!E$30:E$110,'Statistics NZ'!E$130:E$210)</f>
        <v>3246.1245825297528</v>
      </c>
      <c r="F110" s="44">
        <f>'Statistics NZ'!F$110*'Economic Forecasts'!H$9*1000000/SUM('Statistics NZ'!F$30:F$110,'Statistics NZ'!F$130:F$210)</f>
        <v>3521.3704535353572</v>
      </c>
      <c r="G110" s="44">
        <f>'Statistics NZ'!G$110*'Economic Forecasts'!I$9*1000000/SUM('Statistics NZ'!G$30:G$110,'Statistics NZ'!G$130:G$210)</f>
        <v>3644.1372082711919</v>
      </c>
      <c r="H110" s="44">
        <f>'Statistics NZ'!H$110*'Economic Forecasts'!J$9*1000000/SUM('Statistics NZ'!H$30:H$110,'Statistics NZ'!H$130:H$210)</f>
        <v>3713.9018401049684</v>
      </c>
      <c r="I110" s="44">
        <f>'Statistics NZ'!I$110*'Economic Forecasts'!K$9*1000000/SUM('Statistics NZ'!I$30:I$110,'Statistics NZ'!I$130:I$210)</f>
        <v>3735.1545717754739</v>
      </c>
      <c r="J110" s="44">
        <f>'Statistics NZ'!J$110*'Economic Forecasts'!L$9*1000000/SUM('Statistics NZ'!J$30:J$110,'Statistics NZ'!J$130:J$210)</f>
        <v>3764.226546158669</v>
      </c>
      <c r="K110" s="44">
        <f>'Statistics NZ'!K$110*'Economic Forecasts'!M$9*1000000/SUM('Statistics NZ'!K$30:K$110,'Statistics NZ'!K$130:K$210)</f>
        <v>4011.3223690979689</v>
      </c>
      <c r="L110" s="44">
        <f>'Statistics NZ'!L$110*'Economic Forecasts'!N$9*1000000/SUM('Statistics NZ'!L$30:L$110,'Statistics NZ'!L$130:L$210)</f>
        <v>4274.3739955825422</v>
      </c>
      <c r="M110" s="44">
        <f>'Statistics NZ'!M$110*'Economic Forecasts'!O$9*1000000/SUM('Statistics NZ'!M$30:M$110,'Statistics NZ'!M$130:M$210)</f>
        <v>4601.4692795216588</v>
      </c>
      <c r="N110" s="44">
        <f>'Statistics NZ'!N$110*'Economic Forecasts'!P$9*1000000/SUM('Statistics NZ'!N$30:N$110,'Statistics NZ'!N$130:N$210)</f>
        <v>4872.8972671680822</v>
      </c>
      <c r="O110" s="44">
        <f>'Statistics NZ'!O$110*'Economic Forecasts'!Q$9*1000000/SUM('Statistics NZ'!O$30:O$110,'Statistics NZ'!O$130:O$210)</f>
        <v>5159.9031606995495</v>
      </c>
      <c r="P110" s="44">
        <f>'Statistics NZ'!P$110*'Economic Forecasts'!R$9*1000000/SUM('Statistics NZ'!P$30:P$110,'Statistics NZ'!P$130:P$210)</f>
        <v>5428.6310132936287</v>
      </c>
      <c r="Q110" s="44">
        <f>'Statistics NZ'!Q$110*'Economic Forecasts'!S$9*1000000/SUM('Statistics NZ'!Q$30:Q$110,'Statistics NZ'!Q$130:Q$210)</f>
        <v>5783.3869531323535</v>
      </c>
      <c r="R110" s="44">
        <f>'Statistics NZ'!R$110*'Economic Forecasts'!T$9*1000000/SUM('Statistics NZ'!R$30:R$110,'Statistics NZ'!R$130:R$210)</f>
        <v>5969.8868522833736</v>
      </c>
      <c r="S110" s="45">
        <f>SUM('Statistics NZ'!S$110,$T$12/6*(S$8-S$9)*1000)*'Economic Forecasts'!U$9*1000000/SUM('Statistics NZ'!S$30:S$110,'Statistics NZ'!S$130:S$210,SUM($E$12:$T$13)*(S$8-S$9)*1000)</f>
        <v>5866.240592117595</v>
      </c>
      <c r="T110" s="45">
        <f>SUM('Statistics NZ'!T$110,$T$12/6*(T$8-T$9)*1000)*'Economic Forecasts'!V$9*1000000/SUM('Statistics NZ'!T$30:T$110,'Statistics NZ'!T$130:T$210,SUM($E$12:$T$13)*(T$8-T$9)*1000)</f>
        <v>6185.1191543088271</v>
      </c>
      <c r="U110" s="45">
        <f>SUM('Statistics NZ'!U$110,$T$12/6*(U$8-U$9)*1000)*'Economic Forecasts'!W$9*1000000/SUM('Statistics NZ'!U$30:U$110,'Statistics NZ'!U$130:U$210,SUM($E$12:$T$13)*(U$8-U$9)*1000)</f>
        <v>6393.016759625466</v>
      </c>
      <c r="V110" s="45">
        <f>SUM('Statistics NZ'!V$110,$T$12/6*(V$8-V$9)*1000)*'Economic Forecasts'!X$9*1000000/SUM('Statistics NZ'!V$30:V$110,'Statistics NZ'!V$130:V$210,SUM($E$12:$T$13)*(V$8-V$9)*1000)</f>
        <v>6513.2376106253569</v>
      </c>
      <c r="W110" s="45">
        <f>SUM('Statistics NZ'!W$110,$T$12/6*(W$8-W$9)*1000)*'Economic Forecasts'!Y$9*1000000/SUM('Statistics NZ'!W$30:W$110,'Statistics NZ'!W$130:W$210,SUM($E$12:$T$13)*(W$8-W$9)*1000)</f>
        <v>6593.7796399811577</v>
      </c>
      <c r="X110" s="45">
        <f>SUM('Statistics NZ'!X$110,$T$12/6*(X$8-X$9)*1000)*'Economic Forecasts'!Z$9*1000000/SUM('Statistics NZ'!X$30:X$110,'Statistics NZ'!X$130:X$210,SUM($E$12:$T$13)*(X$8-X$9)*1000)</f>
        <v>6708.2445023179189</v>
      </c>
      <c r="Y110" s="45">
        <f>SUM('Statistics NZ'!Y$110,$T$12/6*(Y$8-Y$9)*1000)*'Economic Forecasts'!AA$9*1000000/SUM('Statistics NZ'!Y$30:Y$110,'Statistics NZ'!Y$130:Y$210,SUM($E$12:$T$13)*(Y$8-Y$9)*1000)</f>
        <v>6847.2330973913322</v>
      </c>
      <c r="Z110" s="46">
        <f>SUM(Y$110,'Statistics NZ'!Z$110-'Statistics NZ'!Y$110,$T$12/6*(Z$8-Z$9)*1000)</f>
        <v>6937.997843973807</v>
      </c>
      <c r="AA110" s="46">
        <f>SUM(Z$110,'Statistics NZ'!AA$110-'Statistics NZ'!Z$110,$T$12/6*(AA$8-AA$9)*1000)</f>
        <v>7108.6776187137848</v>
      </c>
      <c r="AB110" s="46">
        <f>SUM(AA$110,'Statistics NZ'!AB$110-'Statistics NZ'!AA$110,$T$12/6*(AB$8-AB$9)*1000)</f>
        <v>7349.2724216112647</v>
      </c>
      <c r="AC110" s="46">
        <f>SUM(AB$110,'Statistics NZ'!AC$110-'Statistics NZ'!AB$110,$T$12/6*(AC$8-AC$9)*1000)</f>
        <v>7689.7822526662476</v>
      </c>
      <c r="AD110" s="46">
        <f>SUM(AC$110,'Statistics NZ'!AD$110-'Statistics NZ'!AC$110,$T$12/6*(AD$8-AD$9)*1000)</f>
        <v>8080.2071118787335</v>
      </c>
      <c r="AE110" s="46">
        <f>SUM(AD$110,'Statistics NZ'!AE$110-'Statistics NZ'!AD$110,$T$12/6*(AE$8-AE$9)*1000)</f>
        <v>8620.5469992487215</v>
      </c>
      <c r="AF110" s="46">
        <f>SUM(AE$110,'Statistics NZ'!AF$110-'Statistics NZ'!AE$110,$T$12/6*(AF$8-AF$9)*1000)</f>
        <v>9270.8019147762134</v>
      </c>
      <c r="AG110" s="46">
        <f>SUM(AF$110,'Statistics NZ'!AG$110-'Statistics NZ'!AF$110,$T$12/6*(AG$8-AG$9)*1000)</f>
        <v>9870.9718584612074</v>
      </c>
      <c r="AH110" s="46">
        <f>SUM(AG$110,'Statistics NZ'!AH$110-'Statistics NZ'!AG$110,$T$12/6*(AH$8-AH$9)*1000)</f>
        <v>10031.056830303705</v>
      </c>
      <c r="AI110" s="46">
        <f>SUM(AH$110,'Statistics NZ'!AI$110-'Statistics NZ'!AH$110,$T$12/6*(AI$8-AI$9)*1000)</f>
        <v>10481.056830303705</v>
      </c>
    </row>
    <row r="111" spans="1:35" x14ac:dyDescent="0.25">
      <c r="A111" s="9" t="s">
        <v>11</v>
      </c>
      <c r="B111" s="80">
        <f>SUM(B$15:B$110)</f>
        <v>2125552.4824854992</v>
      </c>
      <c r="C111" s="80">
        <f t="shared" ref="C111:R111" si="5">SUM(C$15:C$110)</f>
        <v>2149855.1061395211</v>
      </c>
      <c r="D111" s="80">
        <f t="shared" si="5"/>
        <v>2169283.8974531163</v>
      </c>
      <c r="E111" s="80">
        <f t="shared" si="5"/>
        <v>2188135.0921934526</v>
      </c>
      <c r="F111" s="80">
        <f t="shared" si="5"/>
        <v>2214036.8562875898</v>
      </c>
      <c r="G111" s="80">
        <f t="shared" si="5"/>
        <v>2234605.1028517643</v>
      </c>
      <c r="H111" s="80">
        <f t="shared" si="5"/>
        <v>2247993.4262347226</v>
      </c>
      <c r="I111" s="80">
        <f t="shared" si="5"/>
        <v>2261926.8334990437</v>
      </c>
      <c r="J111" s="80">
        <f t="shared" si="5"/>
        <v>2284470.1288427054</v>
      </c>
      <c r="K111" s="80">
        <f t="shared" si="5"/>
        <v>2320793.228366816</v>
      </c>
      <c r="L111" s="80">
        <f t="shared" si="5"/>
        <v>2365201.9317701384</v>
      </c>
      <c r="M111" s="80">
        <f t="shared" si="5"/>
        <v>2412422.04835035</v>
      </c>
      <c r="N111" s="80">
        <f t="shared" si="5"/>
        <v>2454000.6068800301</v>
      </c>
      <c r="O111" s="80">
        <f t="shared" si="5"/>
        <v>2493066.5085662217</v>
      </c>
      <c r="P111" s="80">
        <f t="shared" si="5"/>
        <v>2544066.1661664592</v>
      </c>
      <c r="Q111" s="80">
        <f t="shared" si="5"/>
        <v>2570280.7424437357</v>
      </c>
      <c r="R111" s="80">
        <f t="shared" si="5"/>
        <v>2575848.6711985897</v>
      </c>
      <c r="S111" s="81">
        <f t="shared" ref="S111:AI111" si="6">SUM(S$15:S$110)</f>
        <v>2612858.9434543415</v>
      </c>
      <c r="T111" s="81">
        <f t="shared" si="6"/>
        <v>2676841.6661172928</v>
      </c>
      <c r="U111" s="81">
        <f t="shared" si="6"/>
        <v>2703110.1175939036</v>
      </c>
      <c r="V111" s="81">
        <f t="shared" si="6"/>
        <v>2733045.3241796079</v>
      </c>
      <c r="W111" s="81">
        <f t="shared" si="6"/>
        <v>2765473.5587260341</v>
      </c>
      <c r="X111" s="81">
        <f t="shared" si="6"/>
        <v>2798163.3246877207</v>
      </c>
      <c r="Y111" s="81">
        <f t="shared" si="6"/>
        <v>2831078.5259176772</v>
      </c>
      <c r="Z111" s="82">
        <f t="shared" si="6"/>
        <v>2859481.4764426933</v>
      </c>
      <c r="AA111" s="82">
        <f t="shared" si="6"/>
        <v>2886625.2102427045</v>
      </c>
      <c r="AB111" s="82">
        <f t="shared" si="6"/>
        <v>2912519.7273177165</v>
      </c>
      <c r="AC111" s="82">
        <f t="shared" si="6"/>
        <v>2937275.0276677255</v>
      </c>
      <c r="AD111" s="82">
        <f t="shared" si="6"/>
        <v>2960701.1112927343</v>
      </c>
      <c r="AE111" s="82">
        <f t="shared" si="6"/>
        <v>2982957.9781927383</v>
      </c>
      <c r="AF111" s="82">
        <f t="shared" si="6"/>
        <v>3003905.6283677439</v>
      </c>
      <c r="AG111" s="82">
        <f t="shared" si="6"/>
        <v>3023644.0618177466</v>
      </c>
      <c r="AH111" s="82">
        <f t="shared" si="6"/>
        <v>3042223.27854275</v>
      </c>
      <c r="AI111" s="82">
        <f t="shared" si="6"/>
        <v>3059773.27854275</v>
      </c>
    </row>
    <row r="112" spans="1:35" x14ac:dyDescent="0.25">
      <c r="A112" s="9"/>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row>
    <row r="113" spans="1:35" x14ac:dyDescent="0.25">
      <c r="A113" s="9"/>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row>
    <row r="114" spans="1:35" x14ac:dyDescent="0.25">
      <c r="A114" s="9" t="s">
        <v>12</v>
      </c>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row>
    <row r="115" spans="1:35" x14ac:dyDescent="0.25">
      <c r="A115" s="11">
        <f>$A$15</f>
        <v>0</v>
      </c>
      <c r="B115" s="44">
        <f>'Statistics NZ'!B$115*('Economic Forecasts'!D$10-'Economic Forecasts'!D$9)*1000000/SUM('Statistics NZ'!B$15:B$29,'Statistics NZ'!B$115:B$129)</f>
        <v>31965.496279451996</v>
      </c>
      <c r="C115" s="44">
        <f>'Statistics NZ'!C$115*('Economic Forecasts'!E$10-'Economic Forecasts'!E$9)*1000000/SUM('Statistics NZ'!C$15:C$29,'Statistics NZ'!C$115:C$129)</f>
        <v>33621.519129361608</v>
      </c>
      <c r="D115" s="44">
        <f>'Statistics NZ'!D$115*('Economic Forecasts'!F$10-'Economic Forecasts'!F$9)*1000000/SUM('Statistics NZ'!D$15:D$29,'Statistics NZ'!D$115:D$129)</f>
        <v>34850.660517470496</v>
      </c>
      <c r="E115" s="44">
        <f>'Statistics NZ'!E$115*('Economic Forecasts'!G$10-'Economic Forecasts'!G$9)*1000000/SUM('Statistics NZ'!E$15:E$29,'Statistics NZ'!E$115:E$129)</f>
        <v>34877.426872031596</v>
      </c>
      <c r="F115" s="44">
        <f>'Statistics NZ'!F$115*('Economic Forecasts'!H$10-'Economic Forecasts'!H$9)*1000000/SUM('Statistics NZ'!F$15:F$29,'Statistics NZ'!F$115:F$129)</f>
        <v>34898.359283810867</v>
      </c>
      <c r="G115" s="44">
        <f>'Statistics NZ'!G$115*('Economic Forecasts'!I$10-'Economic Forecasts'!I$9)*1000000/SUM('Statistics NZ'!G$15:G$29,'Statistics NZ'!G$115:G$129)</f>
        <v>34017.136080640383</v>
      </c>
      <c r="H115" s="44">
        <f>'Statistics NZ'!H$115*('Economic Forecasts'!J$10-'Economic Forecasts'!J$9)*1000000/SUM('Statistics NZ'!H$15:H$29,'Statistics NZ'!H$115:H$129)</f>
        <v>33202.69067167872</v>
      </c>
      <c r="I115" s="44">
        <f>'Statistics NZ'!I$115*('Economic Forecasts'!K$10-'Economic Forecasts'!K$9)*1000000/SUM('Statistics NZ'!I$15:I$29,'Statistics NZ'!I$115:I$129)</f>
        <v>32834.582246723658</v>
      </c>
      <c r="J115" s="44">
        <f>'Statistics NZ'!J$115*('Economic Forecasts'!L$10-'Economic Forecasts'!L$9)*1000000/SUM('Statistics NZ'!J$15:J$29,'Statistics NZ'!J$115:J$129)</f>
        <v>32162.865384826306</v>
      </c>
      <c r="K115" s="44">
        <f>'Statistics NZ'!K$115*('Economic Forecasts'!M$10-'Economic Forecasts'!M$9)*1000000/SUM('Statistics NZ'!K$15:K$29,'Statistics NZ'!K$115:K$129)</f>
        <v>32488.39709654533</v>
      </c>
      <c r="L115" s="44">
        <f>'Statistics NZ'!L$115*('Economic Forecasts'!N$10-'Economic Forecasts'!N$9)*1000000/SUM('Statistics NZ'!L$15:L$29,'Statistics NZ'!L$115:L$129)</f>
        <v>32691.673336073207</v>
      </c>
      <c r="M115" s="44">
        <f>'Statistics NZ'!M$115*('Economic Forecasts'!O$10-'Economic Forecasts'!O$9)*1000000/SUM('Statistics NZ'!M$15:M$29,'Statistics NZ'!M$115:M$129)</f>
        <v>32507.164586958152</v>
      </c>
      <c r="N115" s="44">
        <f>'Statistics NZ'!N$115*('Economic Forecasts'!P$10-'Economic Forecasts'!P$9)*1000000/SUM('Statistics NZ'!N$15:N$29,'Statistics NZ'!N$115:N$129)</f>
        <v>32305.086267921874</v>
      </c>
      <c r="O115" s="44">
        <f>'Statistics NZ'!O$115*('Economic Forecasts'!Q$10-'Economic Forecasts'!Q$9)*1000000/SUM('Statistics NZ'!O$15:O$29,'Statistics NZ'!O$115:O$129)</f>
        <v>32318.463195991662</v>
      </c>
      <c r="P115" s="44">
        <f>'Statistics NZ'!P$115*('Economic Forecasts'!R$10-'Economic Forecasts'!R$9)*1000000/SUM('Statistics NZ'!P$15:P$29,'Statistics NZ'!P$115:P$129)</f>
        <v>31995.203948593797</v>
      </c>
      <c r="Q115" s="44">
        <f>'Statistics NZ'!Q$115*('Economic Forecasts'!S$10-'Economic Forecasts'!S$9)*1000000/SUM('Statistics NZ'!Q$15:Q$29,'Statistics NZ'!Q$115:Q$129)</f>
        <v>32913.742871311661</v>
      </c>
      <c r="R115" s="44">
        <f>'Statistics NZ'!R$115*('Economic Forecasts'!T$10-'Economic Forecasts'!T$9)*1000000/SUM('Statistics NZ'!R$15:R$29,'Statistics NZ'!R$115:R$129)</f>
        <v>32580.963925322707</v>
      </c>
      <c r="S115" s="45">
        <f>SUM('Statistics NZ'!S$115,$B$13/5*(S$8-S$9)*1000)*('Economic Forecasts'!U$10-'Economic Forecasts'!U$9)*1000000/SUM('Statistics NZ'!S$15:S$29,'Statistics NZ'!S$115:S$129,SUM($B$12:$D$13)*(S$8-S$9)*1000)</f>
        <v>32653.267738176353</v>
      </c>
      <c r="T115" s="45">
        <f>SUM('Statistics NZ'!T$115,$B$13/5*(T$8-T$9)*1000)*('Economic Forecasts'!V$10-'Economic Forecasts'!V$9)*1000000/SUM('Statistics NZ'!T$15:T$29,'Statistics NZ'!T$115:T$129,SUM($B$12:$D$13)*(T$8-T$9)*1000)</f>
        <v>33124.979720455965</v>
      </c>
      <c r="U115" s="45">
        <f>SUM('Statistics NZ'!U$115,$B$13/5*(U$8-U$9)*1000)*('Economic Forecasts'!W$10-'Economic Forecasts'!W$9)*1000000/SUM('Statistics NZ'!U$15:U$29,'Statistics NZ'!U$115:U$129,SUM($B$12:$D$13)*(U$8-U$9)*1000)</f>
        <v>33252.953453783608</v>
      </c>
      <c r="V115" s="45">
        <f>SUM('Statistics NZ'!V$115,$B$13/5*(V$8-V$9)*1000)*('Economic Forecasts'!X$10-'Economic Forecasts'!X$9)*1000000/SUM('Statistics NZ'!V$15:V$29,'Statistics NZ'!V$115:V$129,SUM($B$12:$D$13)*(V$8-V$9)*1000)</f>
        <v>33603.091414352122</v>
      </c>
      <c r="W115" s="45">
        <f>SUM('Statistics NZ'!W$115,$B$13/5*(W$8-W$9)*1000)*('Economic Forecasts'!Y$10-'Economic Forecasts'!Y$9)*1000000/SUM('Statistics NZ'!W$15:W$29,'Statistics NZ'!W$115:W$129,SUM($B$12:$D$13)*(W$8-W$9)*1000)</f>
        <v>33989.114065588386</v>
      </c>
      <c r="X115" s="45">
        <f>SUM('Statistics NZ'!X$115,$B$13/5*(X$8-X$9)*1000)*('Economic Forecasts'!Z$10-'Economic Forecasts'!Z$9)*1000000/SUM('Statistics NZ'!X$15:X$29,'Statistics NZ'!X$115:X$129,SUM($B$12:$D$13)*(X$8-X$9)*1000)</f>
        <v>34336.072551609068</v>
      </c>
      <c r="Y115" s="45">
        <f>SUM('Statistics NZ'!Y$115,$B$13/5*(Y$8-Y$9)*1000)*('Economic Forecasts'!AA$10-'Economic Forecasts'!AA$9)*1000000/SUM('Statistics NZ'!Y$15:Y$29,'Statistics NZ'!Y$115:Y$129,SUM($B$12:$D$13)*(Y$8-Y$9)*1000)</f>
        <v>34637.555930998926</v>
      </c>
      <c r="Z115" s="46">
        <f>SUM(Y$115,'Statistics NZ'!Z$115-'Statistics NZ'!Y$115,$B$13/5*(Z$8-Z$9)*1000)</f>
        <v>34688.086151853458</v>
      </c>
      <c r="AA115" s="46">
        <f>SUM(Z$115,'Statistics NZ'!AA$115-'Statistics NZ'!Z$115,$B$13/5*(AA$8-AA$9)*1000)</f>
        <v>34729.668570390822</v>
      </c>
      <c r="AB115" s="46">
        <f>SUM(AA$115,'Statistics NZ'!AB$115-'Statistics NZ'!AA$115,$B$13/5*(AB$8-AB$9)*1000)</f>
        <v>34772.303186611018</v>
      </c>
      <c r="AC115" s="46">
        <f>SUM(AB$115,'Statistics NZ'!AC$115-'Statistics NZ'!AB$115,$B$13/5*(AC$8-AC$9)*1000)</f>
        <v>34835.990000514044</v>
      </c>
      <c r="AD115" s="46">
        <f>SUM(AC$115,'Statistics NZ'!AD$115-'Statistics NZ'!AC$115,$B$13/5*(AD$8-AD$9)*1000)</f>
        <v>34910.729012099895</v>
      </c>
      <c r="AE115" s="46">
        <f>SUM(AD$115,'Statistics NZ'!AE$115-'Statistics NZ'!AD$115,$B$13/5*(AE$8-AE$9)*1000)</f>
        <v>35016.520221368577</v>
      </c>
      <c r="AF115" s="46">
        <f>SUM(AE$115,'Statistics NZ'!AF$115-'Statistics NZ'!AE$115,$B$13/5*(AF$8-AF$9)*1000)</f>
        <v>35133.36362832009</v>
      </c>
      <c r="AG115" s="46">
        <f>SUM(AF$115,'Statistics NZ'!AG$115-'Statistics NZ'!AF$115,$B$13/5*(AG$8-AG$9)*1000)</f>
        <v>35261.259232954435</v>
      </c>
      <c r="AH115" s="46">
        <f>SUM(AG$115,'Statistics NZ'!AH$115-'Statistics NZ'!AG$115,$B$13/5*(AH$8-AH$9)*1000)</f>
        <v>35410.207035271604</v>
      </c>
      <c r="AI115" s="46">
        <f>SUM(AH$115,'Statistics NZ'!AI$115-'Statistics NZ'!AH$115,$B$13/5*(AI$8-AI$9)*1000)</f>
        <v>35560.207035271604</v>
      </c>
    </row>
    <row r="116" spans="1:35" x14ac:dyDescent="0.25">
      <c r="A116" s="11">
        <f>$A$16</f>
        <v>1</v>
      </c>
      <c r="B116" s="44">
        <f>'Statistics NZ'!B$116*('Economic Forecasts'!D$10-'Economic Forecasts'!D$9)*1000000/SUM('Statistics NZ'!B$15:B$29,'Statistics NZ'!B$115:B$129)</f>
        <v>31149.130371154224</v>
      </c>
      <c r="C116" s="44">
        <f>'Statistics NZ'!C$116*('Economic Forecasts'!E$10-'Economic Forecasts'!E$9)*1000000/SUM('Statistics NZ'!C$15:C$29,'Statistics NZ'!C$115:C$129)</f>
        <v>31798.157747110963</v>
      </c>
      <c r="D116" s="44">
        <f>'Statistics NZ'!D$116*('Economic Forecasts'!F$10-'Economic Forecasts'!F$9)*1000000/SUM('Statistics NZ'!D$15:D$29,'Statistics NZ'!D$115:D$129)</f>
        <v>33511.467208629721</v>
      </c>
      <c r="E116" s="44">
        <f>'Statistics NZ'!E$116*('Economic Forecasts'!G$10-'Economic Forecasts'!G$9)*1000000/SUM('Statistics NZ'!E$15:E$29,'Statistics NZ'!E$115:E$129)</f>
        <v>34793.028984863951</v>
      </c>
      <c r="F116" s="44">
        <f>'Statistics NZ'!F$116*('Economic Forecasts'!H$10-'Economic Forecasts'!H$9)*1000000/SUM('Statistics NZ'!F$15:F$29,'Statistics NZ'!F$115:F$129)</f>
        <v>35014.616689056755</v>
      </c>
      <c r="G116" s="44">
        <f>'Statistics NZ'!G$116*('Economic Forecasts'!I$10-'Economic Forecasts'!I$9)*1000000/SUM('Statistics NZ'!G$15:G$29,'Statistics NZ'!G$115:G$129)</f>
        <v>35001.759067101491</v>
      </c>
      <c r="H116" s="44">
        <f>'Statistics NZ'!H$116*('Economic Forecasts'!J$10-'Economic Forecasts'!J$9)*1000000/SUM('Statistics NZ'!H$15:H$29,'Statistics NZ'!H$115:H$129)</f>
        <v>33976.572031523086</v>
      </c>
      <c r="I116" s="44">
        <f>'Statistics NZ'!I$116*('Economic Forecasts'!K$10-'Economic Forecasts'!K$9)*1000000/SUM('Statistics NZ'!I$15:I$29,'Statistics NZ'!I$115:I$129)</f>
        <v>33387.31720199385</v>
      </c>
      <c r="J116" s="44">
        <f>'Statistics NZ'!J$116*('Economic Forecasts'!L$10-'Economic Forecasts'!L$9)*1000000/SUM('Statistics NZ'!J$15:J$29,'Statistics NZ'!J$115:J$129)</f>
        <v>33091.255991488506</v>
      </c>
      <c r="K116" s="44">
        <f>'Statistics NZ'!K$116*('Economic Forecasts'!M$10-'Economic Forecasts'!M$9)*1000000/SUM('Statistics NZ'!K$15:K$29,'Statistics NZ'!K$115:K$129)</f>
        <v>32488.39709654533</v>
      </c>
      <c r="L116" s="44">
        <f>'Statistics NZ'!L$116*('Economic Forecasts'!N$10-'Economic Forecasts'!N$9)*1000000/SUM('Statistics NZ'!L$15:L$29,'Statistics NZ'!L$115:L$129)</f>
        <v>32734.393588717536</v>
      </c>
      <c r="M116" s="44">
        <f>'Statistics NZ'!M$116*('Economic Forecasts'!O$10-'Economic Forecasts'!O$9)*1000000/SUM('Statistics NZ'!M$15:M$29,'Statistics NZ'!M$115:M$129)</f>
        <v>32761.375062711493</v>
      </c>
      <c r="N116" s="44">
        <f>'Statistics NZ'!N$116*('Economic Forecasts'!P$10-'Economic Forecasts'!P$9)*1000000/SUM('Statistics NZ'!N$15:N$29,'Statistics NZ'!N$115:N$129)</f>
        <v>32696.598941329376</v>
      </c>
      <c r="O116" s="44">
        <f>'Statistics NZ'!O$116*('Economic Forecasts'!Q$10-'Economic Forecasts'!Q$9)*1000000/SUM('Statistics NZ'!O$15:O$29,'Statistics NZ'!O$115:O$129)</f>
        <v>32265.895754228499</v>
      </c>
      <c r="P116" s="44">
        <f>'Statistics NZ'!P$116*('Economic Forecasts'!R$10-'Economic Forecasts'!R$9)*1000000/SUM('Statistics NZ'!P$15:P$29,'Statistics NZ'!P$115:P$129)</f>
        <v>32766.809461724733</v>
      </c>
      <c r="Q116" s="44">
        <f>'Statistics NZ'!Q$116*('Economic Forecasts'!S$10-'Economic Forecasts'!S$9)*1000000/SUM('Statistics NZ'!Q$15:Q$29,'Statistics NZ'!Q$115:Q$129)</f>
        <v>31895.359120588462</v>
      </c>
      <c r="R116" s="44">
        <f>'Statistics NZ'!R$116*('Economic Forecasts'!T$10-'Economic Forecasts'!T$9)*1000000/SUM('Statistics NZ'!R$15:R$29,'Statistics NZ'!R$115:R$129)</f>
        <v>32812.332939640684</v>
      </c>
      <c r="S116" s="45">
        <f>SUM('Statistics NZ'!S$116,$B$13/5*(S$8-S$9)*1000)*('Economic Forecasts'!U$10-'Economic Forecasts'!U$9)*1000000/SUM('Statistics NZ'!S$15:S$29,'Statistics NZ'!S$115:S$129,SUM($B$12:$D$13)*(S$8-S$9)*1000)</f>
        <v>33083.955326967771</v>
      </c>
      <c r="T116" s="45">
        <f>SUM('Statistics NZ'!T$116,$B$13/5*(T$8-T$9)*1000)*('Economic Forecasts'!V$10-'Economic Forecasts'!V$9)*1000000/SUM('Statistics NZ'!T$15:T$29,'Statistics NZ'!T$115:T$129,SUM($B$12:$D$13)*(T$8-T$9)*1000)</f>
        <v>33092.607499813792</v>
      </c>
      <c r="U116" s="45">
        <f>SUM('Statistics NZ'!U$116,$B$13/5*(U$8-U$9)*1000)*('Economic Forecasts'!W$10-'Economic Forecasts'!W$9)*1000000/SUM('Statistics NZ'!U$15:U$29,'Statistics NZ'!U$115:U$129,SUM($B$12:$D$13)*(U$8-U$9)*1000)</f>
        <v>33231.062693552078</v>
      </c>
      <c r="V116" s="45">
        <f>SUM('Statistics NZ'!V$116,$B$13/5*(V$8-V$9)*1000)*('Economic Forecasts'!X$10-'Economic Forecasts'!X$9)*1000000/SUM('Statistics NZ'!V$15:V$29,'Statistics NZ'!V$115:V$129,SUM($B$12:$D$13)*(V$8-V$9)*1000)</f>
        <v>33580.961361749592</v>
      </c>
      <c r="W116" s="45">
        <f>SUM('Statistics NZ'!W$116,$B$13/5*(W$8-W$9)*1000)*('Economic Forecasts'!Y$10-'Economic Forecasts'!Y$9)*1000000/SUM('Statistics NZ'!W$15:W$29,'Statistics NZ'!W$115:W$129,SUM($B$12:$D$13)*(W$8-W$9)*1000)</f>
        <v>33989.114065588386</v>
      </c>
      <c r="X116" s="45">
        <f>SUM('Statistics NZ'!X$116,$B$13/5*(X$8-X$9)*1000)*('Economic Forecasts'!Z$10-'Economic Forecasts'!Z$9)*1000000/SUM('Statistics NZ'!X$15:X$29,'Statistics NZ'!X$115:X$129,SUM($B$12:$D$13)*(X$8-X$9)*1000)</f>
        <v>34358.700121951784</v>
      </c>
      <c r="Y116" s="45">
        <f>SUM('Statistics NZ'!Y$116,$B$13/5*(Y$8-Y$9)*1000)*('Economic Forecasts'!AA$10-'Economic Forecasts'!AA$9)*1000000/SUM('Statistics NZ'!Y$15:Y$29,'Statistics NZ'!Y$115:Y$129,SUM($B$12:$D$13)*(Y$8-Y$9)*1000)</f>
        <v>34671.828509080115</v>
      </c>
      <c r="Z116" s="46">
        <f>SUM(Y$116,'Statistics NZ'!Z$116-'Statistics NZ'!Y$116,$B$13/5*(Z$8-Z$9)*1000)</f>
        <v>34722.358729934647</v>
      </c>
      <c r="AA116" s="46">
        <f>SUM(Z$116,'Statistics NZ'!AA$116-'Statistics NZ'!Z$116,$B$13/5*(AA$8-AA$9)*1000)</f>
        <v>34763.941148472011</v>
      </c>
      <c r="AB116" s="46">
        <f>SUM(AA$116,'Statistics NZ'!AB$116-'Statistics NZ'!AA$116,$B$13/5*(AB$8-AB$9)*1000)</f>
        <v>34796.575764692207</v>
      </c>
      <c r="AC116" s="46">
        <f>SUM(AB$116,'Statistics NZ'!AC$116-'Statistics NZ'!AB$116,$B$13/5*(AC$8-AC$9)*1000)</f>
        <v>34830.262578595233</v>
      </c>
      <c r="AD116" s="46">
        <f>SUM(AC$116,'Statistics NZ'!AD$116-'Statistics NZ'!AC$116,$B$13/5*(AD$8-AD$9)*1000)</f>
        <v>34885.001590181084</v>
      </c>
      <c r="AE116" s="46">
        <f>SUM(AD$116,'Statistics NZ'!AE$116-'Statistics NZ'!AD$116,$B$13/5*(AE$8-AE$9)*1000)</f>
        <v>34950.792799449766</v>
      </c>
      <c r="AF116" s="46">
        <f>SUM(AE$116,'Statistics NZ'!AF$116-'Statistics NZ'!AE$116,$B$13/5*(AF$8-AF$9)*1000)</f>
        <v>35047.636206401279</v>
      </c>
      <c r="AG116" s="46">
        <f>SUM(AF$116,'Statistics NZ'!AG$116-'Statistics NZ'!AF$116,$B$13/5*(AG$8-AG$9)*1000)</f>
        <v>35155.531811035624</v>
      </c>
      <c r="AH116" s="46">
        <f>SUM(AG$116,'Statistics NZ'!AH$116-'Statistics NZ'!AG$116,$B$13/5*(AH$8-AH$9)*1000)</f>
        <v>35284.479613352793</v>
      </c>
      <c r="AI116" s="46">
        <f>SUM(AH$116,'Statistics NZ'!AI$116-'Statistics NZ'!AH$116,$B$13/5*(AI$8-AI$9)*1000)</f>
        <v>35414.479613352793</v>
      </c>
    </row>
    <row r="117" spans="1:35" x14ac:dyDescent="0.25">
      <c r="A117" s="11">
        <f>$A$17</f>
        <v>2</v>
      </c>
      <c r="B117" s="44">
        <f>'Statistics NZ'!B$117*('Economic Forecasts'!D$10-'Economic Forecasts'!D$9)*1000000/SUM('Statistics NZ'!B$15:B$29,'Statistics NZ'!B$115:B$129)</f>
        <v>31286.958381646054</v>
      </c>
      <c r="C117" s="44">
        <f>'Statistics NZ'!C$117*('Economic Forecasts'!E$10-'Economic Forecasts'!E$9)*1000000/SUM('Statistics NZ'!C$15:C$29,'Statistics NZ'!C$115:C$129)</f>
        <v>31081.4607876136</v>
      </c>
      <c r="D117" s="44">
        <f>'Statistics NZ'!D$117*('Economic Forecasts'!F$10-'Economic Forecasts'!F$9)*1000000/SUM('Statistics NZ'!D$15:D$29,'Statistics NZ'!D$115:D$129)</f>
        <v>31813.749706870949</v>
      </c>
      <c r="E117" s="44">
        <f>'Statistics NZ'!E$117*('Economic Forecasts'!G$10-'Economic Forecasts'!G$9)*1000000/SUM('Statistics NZ'!E$15:E$29,'Statistics NZ'!E$115:E$129)</f>
        <v>33548.160149141106</v>
      </c>
      <c r="F117" s="44">
        <f>'Statistics NZ'!F$117*('Economic Forecasts'!H$10-'Economic Forecasts'!H$9)*1000000/SUM('Statistics NZ'!F$15:F$29,'Statistics NZ'!F$115:F$129)</f>
        <v>34951.203558922636</v>
      </c>
      <c r="G117" s="44">
        <f>'Statistics NZ'!G$117*('Economic Forecasts'!I$10-'Economic Forecasts'!I$9)*1000000/SUM('Statistics NZ'!G$15:G$29,'Statistics NZ'!G$115:G$129)</f>
        <v>35012.34641104193</v>
      </c>
      <c r="H117" s="44">
        <f>'Statistics NZ'!H$117*('Economic Forecasts'!J$10-'Economic Forecasts'!J$9)*1000000/SUM('Statistics NZ'!H$15:H$29,'Statistics NZ'!H$115:H$129)</f>
        <v>34909.470109143687</v>
      </c>
      <c r="I117" s="44">
        <f>'Statistics NZ'!I$117*('Economic Forecasts'!K$10-'Economic Forecasts'!K$9)*1000000/SUM('Statistics NZ'!I$15:I$29,'Statistics NZ'!I$115:I$129)</f>
        <v>33982.570230746365</v>
      </c>
      <c r="J117" s="44">
        <f>'Statistics NZ'!J$117*('Economic Forecasts'!L$10-'Economic Forecasts'!L$9)*1000000/SUM('Statistics NZ'!J$15:J$29,'Statistics NZ'!J$115:J$129)</f>
        <v>33795.552313783977</v>
      </c>
      <c r="K117" s="44">
        <f>'Statistics NZ'!K$117*('Economic Forecasts'!M$10-'Economic Forecasts'!M$9)*1000000/SUM('Statistics NZ'!K$15:K$29,'Statistics NZ'!K$115:K$129)</f>
        <v>33612.377885717411</v>
      </c>
      <c r="L117" s="44">
        <f>'Statistics NZ'!L$117*('Economic Forecasts'!N$10-'Economic Forecasts'!N$9)*1000000/SUM('Statistics NZ'!L$15:L$29,'Statistics NZ'!L$115:L$129)</f>
        <v>33022.755294066759</v>
      </c>
      <c r="M117" s="44">
        <f>'Statistics NZ'!M$117*('Economic Forecasts'!O$10-'Economic Forecasts'!O$9)*1000000/SUM('Statistics NZ'!M$15:M$29,'Statistics NZ'!M$115:M$129)</f>
        <v>33142.6907763415</v>
      </c>
      <c r="N117" s="44">
        <f>'Statistics NZ'!N$117*('Economic Forecasts'!P$10-'Economic Forecasts'!P$9)*1000000/SUM('Statistics NZ'!N$15:N$29,'Statistics NZ'!N$115:N$129)</f>
        <v>33246.832968821007</v>
      </c>
      <c r="O117" s="44">
        <f>'Statistics NZ'!O$117*('Economic Forecasts'!Q$10-'Economic Forecasts'!Q$9)*1000000/SUM('Statistics NZ'!O$15:O$29,'Statistics NZ'!O$115:O$129)</f>
        <v>32980.812962207499</v>
      </c>
      <c r="P117" s="44">
        <f>'Statistics NZ'!P$117*('Economic Forecasts'!R$10-'Economic Forecasts'!R$9)*1000000/SUM('Statistics NZ'!P$15:P$29,'Statistics NZ'!P$115:P$129)</f>
        <v>32946.498416837414</v>
      </c>
      <c r="Q117" s="44">
        <f>'Statistics NZ'!Q$117*('Economic Forecasts'!S$10-'Economic Forecasts'!S$9)*1000000/SUM('Statistics NZ'!Q$15:Q$29,'Statistics NZ'!Q$115:Q$129)</f>
        <v>32714.265641788566</v>
      </c>
      <c r="R117" s="44">
        <f>'Statistics NZ'!R$117*('Economic Forecasts'!T$10-'Economic Forecasts'!T$9)*1000000/SUM('Statistics NZ'!R$15:R$29,'Statistics NZ'!R$115:R$129)</f>
        <v>32034.091709662025</v>
      </c>
      <c r="S117" s="45">
        <f>SUM('Statistics NZ'!S$117,$B$13/5*(S$8-S$9)*1000)*('Economic Forecasts'!U$10-'Economic Forecasts'!U$9)*1000000/SUM('Statistics NZ'!S$15:S$29,'Statistics NZ'!S$115:S$129,SUM($B$12:$D$13)*(S$8-S$9)*1000)</f>
        <v>33420.101737731798</v>
      </c>
      <c r="T117" s="45">
        <f>SUM('Statistics NZ'!T$117,$B$13/5*(T$8-T$9)*1000)*('Economic Forecasts'!V$10-'Economic Forecasts'!V$9)*1000000/SUM('Statistics NZ'!T$15:T$29,'Statistics NZ'!T$115:T$129,SUM($B$12:$D$13)*(T$8-T$9)*1000)</f>
        <v>33653.725990944855</v>
      </c>
      <c r="U117" s="45">
        <f>SUM('Statistics NZ'!U$117,$B$13/5*(U$8-U$9)*1000)*('Economic Forecasts'!W$10-'Economic Forecasts'!W$9)*1000000/SUM('Statistics NZ'!U$15:U$29,'Statistics NZ'!U$115:U$129,SUM($B$12:$D$13)*(U$8-U$9)*1000)</f>
        <v>33329.571114593942</v>
      </c>
      <c r="V117" s="45">
        <f>SUM('Statistics NZ'!V$117,$B$13/5*(V$8-V$9)*1000)*('Economic Forecasts'!X$10-'Economic Forecasts'!X$9)*1000000/SUM('Statistics NZ'!V$15:V$29,'Statistics NZ'!V$115:V$129,SUM($B$12:$D$13)*(V$8-V$9)*1000)</f>
        <v>33713.741677364778</v>
      </c>
      <c r="W117" s="45">
        <f>SUM('Statistics NZ'!W$117,$B$13/5*(W$8-W$9)*1000)*('Economic Forecasts'!Y$10-'Economic Forecasts'!Y$9)*1000000/SUM('Statistics NZ'!W$15:W$29,'Statistics NZ'!W$115:W$129,SUM($B$12:$D$13)*(W$8-W$9)*1000)</f>
        <v>34112.196155711848</v>
      </c>
      <c r="X117" s="45">
        <f>SUM('Statistics NZ'!X$117,$B$13/5*(X$8-X$9)*1000)*('Economic Forecasts'!Z$10-'Economic Forecasts'!Z$9)*1000000/SUM('Statistics NZ'!X$15:X$29,'Statistics NZ'!X$115:X$129,SUM($B$12:$D$13)*(X$8-X$9)*1000)</f>
        <v>34505.779329179415</v>
      </c>
      <c r="Y117" s="45">
        <f>SUM('Statistics NZ'!Y$117,$B$13/5*(Y$8-Y$9)*1000)*('Economic Forecasts'!AA$10-'Economic Forecasts'!AA$9)*1000000/SUM('Statistics NZ'!Y$15:Y$29,'Statistics NZ'!Y$115:Y$129,SUM($B$12:$D$13)*(Y$8-Y$9)*1000)</f>
        <v>34843.191399486037</v>
      </c>
      <c r="Z117" s="46">
        <f>SUM(Y$117,'Statistics NZ'!Z$117-'Statistics NZ'!Y$117,$B$13/5*(Z$8-Z$9)*1000)</f>
        <v>34903.72162034057</v>
      </c>
      <c r="AA117" s="46">
        <f>SUM(Z$117,'Statistics NZ'!AA$117-'Statistics NZ'!Z$117,$B$13/5*(AA$8-AA$9)*1000)</f>
        <v>34945.304038877934</v>
      </c>
      <c r="AB117" s="46">
        <f>SUM(AA$117,'Statistics NZ'!AB$117-'Statistics NZ'!AA$117,$B$13/5*(AB$8-AB$9)*1000)</f>
        <v>34967.938655098129</v>
      </c>
      <c r="AC117" s="46">
        <f>SUM(AB$117,'Statistics NZ'!AC$117-'Statistics NZ'!AB$117,$B$13/5*(AC$8-AC$9)*1000)</f>
        <v>35001.625469001156</v>
      </c>
      <c r="AD117" s="46">
        <f>SUM(AC$117,'Statistics NZ'!AD$117-'Statistics NZ'!AC$117,$B$13/5*(AD$8-AD$9)*1000)</f>
        <v>35026.364480587006</v>
      </c>
      <c r="AE117" s="46">
        <f>SUM(AD$117,'Statistics NZ'!AE$117-'Statistics NZ'!AD$117,$B$13/5*(AE$8-AE$9)*1000)</f>
        <v>35072.155689855688</v>
      </c>
      <c r="AF117" s="46">
        <f>SUM(AE$117,'Statistics NZ'!AF$117-'Statistics NZ'!AE$117,$B$13/5*(AF$8-AF$9)*1000)</f>
        <v>35128.999096807202</v>
      </c>
      <c r="AG117" s="46">
        <f>SUM(AF$117,'Statistics NZ'!AG$117-'Statistics NZ'!AF$117,$B$13/5*(AG$8-AG$9)*1000)</f>
        <v>35216.894701441546</v>
      </c>
      <c r="AH117" s="46">
        <f>SUM(AG$117,'Statistics NZ'!AH$117-'Statistics NZ'!AG$117,$B$13/5*(AH$8-AH$9)*1000)</f>
        <v>35315.842503758715</v>
      </c>
      <c r="AI117" s="46">
        <f>SUM(AH$117,'Statistics NZ'!AI$117-'Statistics NZ'!AH$117,$B$13/5*(AI$8-AI$9)*1000)</f>
        <v>35425.842503758715</v>
      </c>
    </row>
    <row r="118" spans="1:35" x14ac:dyDescent="0.25">
      <c r="A118" s="11">
        <f>$A$18</f>
        <v>3</v>
      </c>
      <c r="B118" s="44">
        <f>'Statistics NZ'!B$118*('Economic Forecasts'!D$10-'Economic Forecasts'!D$9)*1000000/SUM('Statistics NZ'!B$15:B$29,'Statistics NZ'!B$115:B$129)</f>
        <v>30534.20540126758</v>
      </c>
      <c r="C118" s="44">
        <f>'Statistics NZ'!C$118*('Economic Forecasts'!E$10-'Economic Forecasts'!E$9)*1000000/SUM('Statistics NZ'!C$15:C$29,'Statistics NZ'!C$115:C$129)</f>
        <v>31281.714349826096</v>
      </c>
      <c r="D118" s="44">
        <f>'Statistics NZ'!D$118*('Economic Forecasts'!F$10-'Economic Forecasts'!F$9)*1000000/SUM('Statistics NZ'!D$15:D$29,'Statistics NZ'!D$115:D$129)</f>
        <v>31159.970296255768</v>
      </c>
      <c r="E118" s="44">
        <f>'Statistics NZ'!E$118*('Economic Forecasts'!G$10-'Economic Forecasts'!G$9)*1000000/SUM('Statistics NZ'!E$15:E$29,'Statistics NZ'!E$115:E$129)</f>
        <v>31944.600292955743</v>
      </c>
      <c r="F118" s="44">
        <f>'Statistics NZ'!F$118*('Economic Forecasts'!H$10-'Economic Forecasts'!H$9)*1000000/SUM('Statistics NZ'!F$15:F$29,'Statistics NZ'!F$115:F$129)</f>
        <v>33672.372101217872</v>
      </c>
      <c r="G118" s="44">
        <f>'Statistics NZ'!G$118*('Economic Forecasts'!I$10-'Economic Forecasts'!I$9)*1000000/SUM('Statistics NZ'!G$15:G$29,'Statistics NZ'!G$115:G$129)</f>
        <v>34885.298283756631</v>
      </c>
      <c r="H118" s="44">
        <f>'Statistics NZ'!H$118*('Economic Forecasts'!J$10-'Economic Forecasts'!J$9)*1000000/SUM('Statistics NZ'!H$15:H$29,'Statistics NZ'!H$115:H$129)</f>
        <v>34951.874567217354</v>
      </c>
      <c r="I118" s="44">
        <f>'Statistics NZ'!I$118*('Economic Forecasts'!K$10-'Economic Forecasts'!K$9)*1000000/SUM('Statistics NZ'!I$15:I$29,'Statistics NZ'!I$115:I$129)</f>
        <v>35034.892549433855</v>
      </c>
      <c r="J118" s="44">
        <f>'Statistics NZ'!J$118*('Economic Forecasts'!L$10-'Economic Forecasts'!L$9)*1000000/SUM('Statistics NZ'!J$15:J$29,'Statistics NZ'!J$115:J$129)</f>
        <v>34382.465915696863</v>
      </c>
      <c r="K118" s="44">
        <f>'Statistics NZ'!K$118*('Economic Forecasts'!M$10-'Economic Forecasts'!M$9)*1000000/SUM('Statistics NZ'!K$15:K$29,'Statistics NZ'!K$115:K$129)</f>
        <v>34276.061780276163</v>
      </c>
      <c r="L118" s="44">
        <f>'Statistics NZ'!L$118*('Economic Forecasts'!N$10-'Economic Forecasts'!N$9)*1000000/SUM('Statistics NZ'!L$15:L$29,'Statistics NZ'!L$115:L$129)</f>
        <v>34144.161925980414</v>
      </c>
      <c r="M118" s="44">
        <f>'Statistics NZ'!M$118*('Economic Forecasts'!O$10-'Economic Forecasts'!O$9)*1000000/SUM('Statistics NZ'!M$15:M$29,'Statistics NZ'!M$115:M$129)</f>
        <v>33439.269664720392</v>
      </c>
      <c r="N118" s="44">
        <f>'Statistics NZ'!N$118*('Economic Forecasts'!P$10-'Economic Forecasts'!P$9)*1000000/SUM('Statistics NZ'!N$15:N$29,'Statistics NZ'!N$115:N$129)</f>
        <v>33701.834183862156</v>
      </c>
      <c r="O118" s="44">
        <f>'Statistics NZ'!O$118*('Economic Forecasts'!Q$10-'Economic Forecasts'!Q$9)*1000000/SUM('Statistics NZ'!O$15:O$29,'Statistics NZ'!O$115:O$129)</f>
        <v>33548.541333249646</v>
      </c>
      <c r="P118" s="44">
        <f>'Statistics NZ'!P$118*('Economic Forecasts'!R$10-'Economic Forecasts'!R$9)*1000000/SUM('Statistics NZ'!P$15:P$29,'Statistics NZ'!P$115:P$129)</f>
        <v>33855.513130936873</v>
      </c>
      <c r="Q118" s="44">
        <f>'Statistics NZ'!Q$118*('Economic Forecasts'!S$10-'Economic Forecasts'!S$9)*1000000/SUM('Statistics NZ'!Q$15:Q$29,'Statistics NZ'!Q$115:Q$129)</f>
        <v>32945.239275973203</v>
      </c>
      <c r="R118" s="44">
        <f>'Statistics NZ'!R$118*('Economic Forecasts'!T$10-'Economic Forecasts'!T$9)*1000000/SUM('Statistics NZ'!R$15:R$29,'Statistics NZ'!R$115:R$129)</f>
        <v>32980.601313690124</v>
      </c>
      <c r="S118" s="45">
        <f>SUM('Statistics NZ'!S$118,$B$13/5*(S$8-S$9)*1000)*('Economic Forecasts'!U$10-'Economic Forecasts'!U$9)*1000000/SUM('Statistics NZ'!S$15:S$29,'Statistics NZ'!S$115:S$129,SUM($B$12:$D$13)*(S$8-S$9)*1000)</f>
        <v>32653.267738176353</v>
      </c>
      <c r="T118" s="45">
        <f>SUM('Statistics NZ'!T$118,$B$13/5*(T$8-T$9)*1000)*('Economic Forecasts'!V$10-'Economic Forecasts'!V$9)*1000000/SUM('Statistics NZ'!T$15:T$29,'Statistics NZ'!T$115:T$129,SUM($B$12:$D$13)*(T$8-T$9)*1000)</f>
        <v>34009.820418008792</v>
      </c>
      <c r="U118" s="45">
        <f>SUM('Statistics NZ'!U$118,$B$13/5*(U$8-U$9)*1000)*('Economic Forecasts'!W$10-'Economic Forecasts'!W$9)*1000000/SUM('Statistics NZ'!U$15:U$29,'Statistics NZ'!U$115:U$129,SUM($B$12:$D$13)*(U$8-U$9)*1000)</f>
        <v>33909.676260729386</v>
      </c>
      <c r="V118" s="45">
        <f>SUM('Statistics NZ'!V$118,$B$13/5*(V$8-V$9)*1000)*('Economic Forecasts'!X$10-'Economic Forecasts'!X$9)*1000000/SUM('Statistics NZ'!V$15:V$29,'Statistics NZ'!V$115:V$129,SUM($B$12:$D$13)*(V$8-V$9)*1000)</f>
        <v>33824.391940377427</v>
      </c>
      <c r="W118" s="45">
        <f>SUM('Statistics NZ'!W$118,$B$13/5*(W$8-W$9)*1000)*('Economic Forecasts'!Y$10-'Economic Forecasts'!Y$9)*1000000/SUM('Statistics NZ'!W$15:W$29,'Statistics NZ'!W$115:W$129,SUM($B$12:$D$13)*(W$8-W$9)*1000)</f>
        <v>34246.46752675563</v>
      </c>
      <c r="X118" s="45">
        <f>SUM('Statistics NZ'!X$118,$B$13/5*(X$8-X$9)*1000)*('Economic Forecasts'!Z$10-'Economic Forecasts'!Z$9)*1000000/SUM('Statistics NZ'!X$15:X$29,'Statistics NZ'!X$115:X$129,SUM($B$12:$D$13)*(X$8-X$9)*1000)</f>
        <v>34652.858536407053</v>
      </c>
      <c r="Y118" s="45">
        <f>SUM('Statistics NZ'!Y$118,$B$13/5*(Y$8-Y$9)*1000)*('Economic Forecasts'!AA$10-'Economic Forecasts'!AA$9)*1000000/SUM('Statistics NZ'!Y$15:Y$29,'Statistics NZ'!Y$115:Y$129,SUM($B$12:$D$13)*(Y$8-Y$9)*1000)</f>
        <v>35003.130097198249</v>
      </c>
      <c r="Z118" s="46">
        <f>SUM(Y$118,'Statistics NZ'!Z$118-'Statistics NZ'!Y$118,$B$13/5*(Z$8-Z$9)*1000)</f>
        <v>35083.660318052782</v>
      </c>
      <c r="AA118" s="46">
        <f>SUM(Z$118,'Statistics NZ'!AA$118-'Statistics NZ'!Z$118,$B$13/5*(AA$8-AA$9)*1000)</f>
        <v>35125.242736590146</v>
      </c>
      <c r="AB118" s="46">
        <f>SUM(AA$118,'Statistics NZ'!AB$118-'Statistics NZ'!AA$118,$B$13/5*(AB$8-AB$9)*1000)</f>
        <v>35157.877352810341</v>
      </c>
      <c r="AC118" s="46">
        <f>SUM(AB$118,'Statistics NZ'!AC$118-'Statistics NZ'!AB$118,$B$13/5*(AC$8-AC$9)*1000)</f>
        <v>35181.564166713368</v>
      </c>
      <c r="AD118" s="46">
        <f>SUM(AC$118,'Statistics NZ'!AD$118-'Statistics NZ'!AC$118,$B$13/5*(AD$8-AD$9)*1000)</f>
        <v>35196.303178299218</v>
      </c>
      <c r="AE118" s="46">
        <f>SUM(AD$118,'Statistics NZ'!AE$118-'Statistics NZ'!AD$118,$B$13/5*(AE$8-AE$9)*1000)</f>
        <v>35222.0943875679</v>
      </c>
      <c r="AF118" s="46">
        <f>SUM(AE$118,'Statistics NZ'!AF$118-'Statistics NZ'!AE$118,$B$13/5*(AF$8-AF$9)*1000)</f>
        <v>35258.937794519414</v>
      </c>
      <c r="AG118" s="46">
        <f>SUM(AF$118,'Statistics NZ'!AG$118-'Statistics NZ'!AF$118,$B$13/5*(AG$8-AG$9)*1000)</f>
        <v>35306.833399153758</v>
      </c>
      <c r="AH118" s="46">
        <f>SUM(AG$118,'Statistics NZ'!AH$118-'Statistics NZ'!AG$118,$B$13/5*(AH$8-AH$9)*1000)</f>
        <v>35375.781201470927</v>
      </c>
      <c r="AI118" s="46">
        <f>SUM(AH$118,'Statistics NZ'!AI$118-'Statistics NZ'!AH$118,$B$13/5*(AI$8-AI$9)*1000)</f>
        <v>35465.781201470927</v>
      </c>
    </row>
    <row r="119" spans="1:35" x14ac:dyDescent="0.25">
      <c r="A119" s="11">
        <f>$A$19</f>
        <v>4</v>
      </c>
      <c r="B119" s="44">
        <f>'Statistics NZ'!B$119*('Economic Forecasts'!D$10-'Economic Forecasts'!D$9)*1000000/SUM('Statistics NZ'!B$15:B$29,'Statistics NZ'!B$115:B$129)</f>
        <v>30078.312751179208</v>
      </c>
      <c r="C119" s="44">
        <f>'Statistics NZ'!C$119*('Economic Forecasts'!E$10-'Economic Forecasts'!E$9)*1000000/SUM('Statistics NZ'!C$15:C$29,'Statistics NZ'!C$115:C$129)</f>
        <v>30533.398406821496</v>
      </c>
      <c r="D119" s="44">
        <f>'Statistics NZ'!D$119*('Economic Forecasts'!F$10-'Economic Forecasts'!F$9)*1000000/SUM('Statistics NZ'!D$15:D$29,'Statistics NZ'!D$115:D$129)</f>
        <v>31360.322051121711</v>
      </c>
      <c r="E119" s="44">
        <f>'Statistics NZ'!E$119*('Economic Forecasts'!G$10-'Economic Forecasts'!G$9)*1000000/SUM('Statistics NZ'!E$15:E$29,'Statistics NZ'!E$115:E$129)</f>
        <v>31301.066403302408</v>
      </c>
      <c r="F119" s="44">
        <f>'Statistics NZ'!F$119*('Economic Forecasts'!H$10-'Economic Forecasts'!H$9)*1000000/SUM('Statistics NZ'!F$15:F$29,'Statistics NZ'!F$115:F$129)</f>
        <v>32013.061862708393</v>
      </c>
      <c r="G119" s="44">
        <f>'Statistics NZ'!G$119*('Economic Forecasts'!I$10-'Economic Forecasts'!I$9)*1000000/SUM('Statistics NZ'!G$15:G$29,'Statistics NZ'!G$115:G$129)</f>
        <v>33678.341074546232</v>
      </c>
      <c r="H119" s="44">
        <f>'Statistics NZ'!H$119*('Economic Forecasts'!J$10-'Economic Forecasts'!J$9)*1000000/SUM('Statistics NZ'!H$15:H$29,'Statistics NZ'!H$115:H$129)</f>
        <v>34792.857849441112</v>
      </c>
      <c r="I119" s="44">
        <f>'Statistics NZ'!I$119*('Economic Forecasts'!K$10-'Economic Forecasts'!K$9)*1000000/SUM('Statistics NZ'!I$15:I$29,'Statistics NZ'!I$115:I$129)</f>
        <v>35003.003994322105</v>
      </c>
      <c r="J119" s="44">
        <f>'Statistics NZ'!J$119*('Economic Forecasts'!L$10-'Economic Forecasts'!L$9)*1000000/SUM('Statistics NZ'!J$15:J$29,'Statistics NZ'!J$115:J$129)</f>
        <v>35332.198835155905</v>
      </c>
      <c r="K119" s="44">
        <f>'Statistics NZ'!K$119*('Economic Forecasts'!M$10-'Economic Forecasts'!M$9)*1000000/SUM('Statistics NZ'!K$15:K$29,'Statistics NZ'!K$115:K$129)</f>
        <v>34832.699885389949</v>
      </c>
      <c r="L119" s="44">
        <f>'Statistics NZ'!L$119*('Economic Forecasts'!N$10-'Economic Forecasts'!N$9)*1000000/SUM('Statistics NZ'!L$15:L$29,'Statistics NZ'!L$115:L$129)</f>
        <v>34667.48502087345</v>
      </c>
      <c r="M119" s="44">
        <f>'Statistics NZ'!M$119*('Economic Forecasts'!O$10-'Economic Forecasts'!O$9)*1000000/SUM('Statistics NZ'!M$15:M$29,'Statistics NZ'!M$115:M$129)</f>
        <v>34403.151051951805</v>
      </c>
      <c r="N119" s="44">
        <f>'Statistics NZ'!N$119*('Economic Forecasts'!P$10-'Economic Forecasts'!P$9)*1000000/SUM('Statistics NZ'!N$15:N$29,'Statistics NZ'!N$115:N$129)</f>
        <v>33987.532621213577</v>
      </c>
      <c r="O119" s="44">
        <f>'Statistics NZ'!O$119*('Economic Forecasts'!Q$10-'Economic Forecasts'!Q$9)*1000000/SUM('Statistics NZ'!O$15:O$29,'Statistics NZ'!O$115:O$129)</f>
        <v>34032.161797470726</v>
      </c>
      <c r="P119" s="44">
        <f>'Statistics NZ'!P$119*('Economic Forecasts'!R$10-'Economic Forecasts'!R$9)*1000000/SUM('Statistics NZ'!P$15:P$29,'Statistics NZ'!P$115:P$129)</f>
        <v>34299.450549450572</v>
      </c>
      <c r="Q119" s="44">
        <f>'Statistics NZ'!Q$119*('Economic Forecasts'!S$10-'Economic Forecasts'!S$9)*1000000/SUM('Statistics NZ'!Q$15:Q$29,'Statistics NZ'!Q$115:Q$129)</f>
        <v>33795.642201834846</v>
      </c>
      <c r="R119" s="44">
        <f>'Statistics NZ'!R$119*('Economic Forecasts'!T$10-'Economic Forecasts'!T$9)*1000000/SUM('Statistics NZ'!R$15:R$29,'Statistics NZ'!R$115:R$129)</f>
        <v>33159.386461117654</v>
      </c>
      <c r="S119" s="45">
        <f>SUM('Statistics NZ'!S$119,$B$13/5*(S$8-S$9)*1000)*('Economic Forecasts'!U$10-'Economic Forecasts'!U$9)*1000000/SUM('Statistics NZ'!S$15:S$29,'Statistics NZ'!S$115:S$129,SUM($B$12:$D$13)*(S$8-S$9)*1000)</f>
        <v>33609.184093786571</v>
      </c>
      <c r="T119" s="45">
        <f>SUM('Statistics NZ'!T$119,$B$13/5*(T$8-T$9)*1000)*('Economic Forecasts'!V$10-'Economic Forecasts'!V$9)*1000000/SUM('Statistics NZ'!T$15:T$29,'Statistics NZ'!T$115:T$129,SUM($B$12:$D$13)*(T$8-T$9)*1000)</f>
        <v>33232.887122596556</v>
      </c>
      <c r="U119" s="45">
        <f>SUM('Statistics NZ'!U$119,$B$13/5*(U$8-U$9)*1000)*('Economic Forecasts'!W$10-'Economic Forecasts'!W$9)*1000000/SUM('Statistics NZ'!U$15:U$29,'Statistics NZ'!U$115:U$129,SUM($B$12:$D$13)*(U$8-U$9)*1000)</f>
        <v>34281.819184665321</v>
      </c>
      <c r="V119" s="45">
        <f>SUM('Statistics NZ'!V$119,$B$13/5*(V$8-V$9)*1000)*('Economic Forecasts'!X$10-'Economic Forecasts'!X$9)*1000000/SUM('Statistics NZ'!V$15:V$29,'Statistics NZ'!V$115:V$129,SUM($B$12:$D$13)*(V$8-V$9)*1000)</f>
        <v>34421.903360645731</v>
      </c>
      <c r="W119" s="45">
        <f>SUM('Statistics NZ'!W$119,$B$13/5*(W$8-W$9)*1000)*('Economic Forecasts'!Y$10-'Economic Forecasts'!Y$9)*1000000/SUM('Statistics NZ'!W$15:W$29,'Statistics NZ'!W$115:W$129,SUM($B$12:$D$13)*(W$8-W$9)*1000)</f>
        <v>34380.738897799405</v>
      </c>
      <c r="X119" s="45">
        <f>SUM('Statistics NZ'!X$119,$B$13/5*(X$8-X$9)*1000)*('Economic Forecasts'!Z$10-'Economic Forecasts'!Z$9)*1000000/SUM('Statistics NZ'!X$15:X$29,'Statistics NZ'!X$115:X$129,SUM($B$12:$D$13)*(X$8-X$9)*1000)</f>
        <v>34811.251528806039</v>
      </c>
      <c r="Y119" s="45">
        <f>SUM('Statistics NZ'!Y$119,$B$13/5*(Y$8-Y$9)*1000)*('Economic Forecasts'!AA$10-'Economic Forecasts'!AA$9)*1000000/SUM('Statistics NZ'!Y$15:Y$29,'Statistics NZ'!Y$115:Y$129,SUM($B$12:$D$13)*(Y$8-Y$9)*1000)</f>
        <v>35163.068794910454</v>
      </c>
      <c r="Z119" s="46">
        <f>SUM(Y$119,'Statistics NZ'!Z$119-'Statistics NZ'!Y$119,$B$13/5*(Z$8-Z$9)*1000)</f>
        <v>35253.599015764987</v>
      </c>
      <c r="AA119" s="46">
        <f>SUM(Z$119,'Statistics NZ'!AA$119-'Statistics NZ'!Z$119,$B$13/5*(AA$8-AA$9)*1000)</f>
        <v>35325.181434302351</v>
      </c>
      <c r="AB119" s="46">
        <f>SUM(AA$119,'Statistics NZ'!AB$119-'Statistics NZ'!AA$119,$B$13/5*(AB$8-AB$9)*1000)</f>
        <v>35367.816050522546</v>
      </c>
      <c r="AC119" s="46">
        <f>SUM(AB$119,'Statistics NZ'!AC$119-'Statistics NZ'!AB$119,$B$13/5*(AC$8-AC$9)*1000)</f>
        <v>35391.502864425573</v>
      </c>
      <c r="AD119" s="46">
        <f>SUM(AC$119,'Statistics NZ'!AD$119-'Statistics NZ'!AC$119,$B$13/5*(AD$8-AD$9)*1000)</f>
        <v>35396.241876011423</v>
      </c>
      <c r="AE119" s="46">
        <f>SUM(AD$119,'Statistics NZ'!AE$119-'Statistics NZ'!AD$119,$B$13/5*(AE$8-AE$9)*1000)</f>
        <v>35412.033085280105</v>
      </c>
      <c r="AF119" s="46">
        <f>SUM(AE$119,'Statistics NZ'!AF$119-'Statistics NZ'!AE$119,$B$13/5*(AF$8-AF$9)*1000)</f>
        <v>35418.876492231619</v>
      </c>
      <c r="AG119" s="46">
        <f>SUM(AF$119,'Statistics NZ'!AG$119-'Statistics NZ'!AF$119,$B$13/5*(AG$8-AG$9)*1000)</f>
        <v>35446.772096865963</v>
      </c>
      <c r="AH119" s="46">
        <f>SUM(AG$119,'Statistics NZ'!AH$119-'Statistics NZ'!AG$119,$B$13/5*(AH$8-AH$9)*1000)</f>
        <v>35485.719899183132</v>
      </c>
      <c r="AI119" s="46">
        <f>SUM(AH$119,'Statistics NZ'!AI$119-'Statistics NZ'!AH$119,$B$13/5*(AI$8-AI$9)*1000)</f>
        <v>35555.719899183132</v>
      </c>
    </row>
    <row r="120" spans="1:35" x14ac:dyDescent="0.25">
      <c r="A120" s="11">
        <f>$A$20</f>
        <v>5</v>
      </c>
      <c r="B120" s="44">
        <f>'Statistics NZ'!B$120*('Economic Forecasts'!D$10-'Economic Forecasts'!D$9)*1000000/SUM('Statistics NZ'!B$15:B$29,'Statistics NZ'!B$115:B$129)</f>
        <v>31456.592856097537</v>
      </c>
      <c r="C120" s="44">
        <f>'Statistics NZ'!C$120*('Economic Forecasts'!E$10-'Economic Forecasts'!E$9)*1000000/SUM('Statistics NZ'!C$15:C$29,'Statistics NZ'!C$115:C$129)</f>
        <v>30132.8912823965</v>
      </c>
      <c r="D120" s="44">
        <f>'Statistics NZ'!D$120*('Economic Forecasts'!F$10-'Economic Forecasts'!F$9)*1000000/SUM('Statistics NZ'!D$15:D$29,'Statistics NZ'!D$115:D$129)</f>
        <v>30685.452982099589</v>
      </c>
      <c r="E120" s="44">
        <f>'Statistics NZ'!E$120*('Economic Forecasts'!G$10-'Economic Forecasts'!G$9)*1000000/SUM('Statistics NZ'!E$15:E$29,'Statistics NZ'!E$115:E$129)</f>
        <v>31512.061121221534</v>
      </c>
      <c r="F120" s="44">
        <f>'Statistics NZ'!F$120*('Economic Forecasts'!H$10-'Economic Forecasts'!H$9)*1000000/SUM('Statistics NZ'!F$15:F$29,'Statistics NZ'!F$115:F$129)</f>
        <v>31452.912546523665</v>
      </c>
      <c r="G120" s="44">
        <f>'Statistics NZ'!G$120*('Economic Forecasts'!I$10-'Economic Forecasts'!I$9)*1000000/SUM('Statistics NZ'!G$15:G$29,'Statistics NZ'!G$115:G$129)</f>
        <v>32016.128075896828</v>
      </c>
      <c r="H120" s="44">
        <f>'Statistics NZ'!H$120*('Economic Forecasts'!J$10-'Economic Forecasts'!J$9)*1000000/SUM('Statistics NZ'!H$15:H$29,'Statistics NZ'!H$115:H$129)</f>
        <v>33573.729679823278</v>
      </c>
      <c r="I120" s="44">
        <f>'Statistics NZ'!I$120*('Economic Forecasts'!K$10-'Economic Forecasts'!K$9)*1000000/SUM('Statistics NZ'!I$15:I$29,'Statistics NZ'!I$115:I$129)</f>
        <v>34790.4136269105</v>
      </c>
      <c r="J120" s="44">
        <f>'Statistics NZ'!J$120*('Economic Forecasts'!L$10-'Economic Forecasts'!L$9)*1000000/SUM('Statistics NZ'!J$15:J$29,'Statistics NZ'!J$115:J$129)</f>
        <v>35268.171896765409</v>
      </c>
      <c r="K120" s="44">
        <f>'Statistics NZ'!K$120*('Economic Forecasts'!M$10-'Economic Forecasts'!M$9)*1000000/SUM('Statistics NZ'!K$15:K$29,'Statistics NZ'!K$115:K$129)</f>
        <v>35710.475358838623</v>
      </c>
      <c r="L120" s="44">
        <f>'Statistics NZ'!L$120*('Economic Forecasts'!N$10-'Economic Forecasts'!N$9)*1000000/SUM('Statistics NZ'!L$15:L$29,'Statistics NZ'!L$115:L$129)</f>
        <v>35233.528368410814</v>
      </c>
      <c r="M120" s="44">
        <f>'Statistics NZ'!M$120*('Economic Forecasts'!O$10-'Economic Forecasts'!O$9)*1000000/SUM('Statistics NZ'!M$15:M$29,'Statistics NZ'!M$115:M$129)</f>
        <v>34900.979900302089</v>
      </c>
      <c r="N120" s="44">
        <f>'Statistics NZ'!N$120*('Economic Forecasts'!P$10-'Economic Forecasts'!P$9)*1000000/SUM('Statistics NZ'!N$15:N$29,'Statistics NZ'!N$115:N$129)</f>
        <v>34876.37220408467</v>
      </c>
      <c r="O120" s="44">
        <f>'Statistics NZ'!O$120*('Economic Forecasts'!Q$10-'Economic Forecasts'!Q$9)*1000000/SUM('Statistics NZ'!O$15:O$29,'Statistics NZ'!O$115:O$129)</f>
        <v>34358.079936402333</v>
      </c>
      <c r="P120" s="44">
        <f>'Statistics NZ'!P$120*('Economic Forecasts'!R$10-'Economic Forecasts'!R$9)*1000000/SUM('Statistics NZ'!P$15:P$29,'Statistics NZ'!P$115:P$129)</f>
        <v>34806.807599180502</v>
      </c>
      <c r="Q120" s="44">
        <f>'Statistics NZ'!Q$120*('Economic Forecasts'!S$10-'Economic Forecasts'!S$9)*1000000/SUM('Statistics NZ'!Q$15:Q$29,'Statistics NZ'!Q$115:Q$129)</f>
        <v>34268.088271757973</v>
      </c>
      <c r="R120" s="44">
        <f>'Statistics NZ'!R$120*('Economic Forecasts'!T$10-'Economic Forecasts'!T$9)*1000000/SUM('Statistics NZ'!R$15:R$29,'Statistics NZ'!R$115:R$129)</f>
        <v>33958.661237852495</v>
      </c>
      <c r="S120" s="45">
        <f>SUM('Statistics NZ'!S$120,$C$13/5*(S$8-S$9)*1000)*('Economic Forecasts'!U$10-'Economic Forecasts'!U$9)*1000000/SUM('Statistics NZ'!S$15:S$29,'Statistics NZ'!S$115:S$129,SUM($B$12:$D$13)*(S$8-S$9)*1000)</f>
        <v>34117.693675541886</v>
      </c>
      <c r="T120" s="45">
        <f>SUM('Statistics NZ'!T$120,$C$13/5*(T$8-T$9)*1000)*('Economic Forecasts'!V$10-'Economic Forecasts'!V$9)*1000000/SUM('Statistics NZ'!T$15:T$29,'Statistics NZ'!T$115:T$129,SUM($B$12:$D$13)*(T$8-T$9)*1000)</f>
        <v>34390.931982470422</v>
      </c>
      <c r="U120" s="45">
        <f>SUM('Statistics NZ'!U$120,$C$13/5*(U$8-U$9)*1000)*('Economic Forecasts'!W$10-'Economic Forecasts'!W$9)*1000000/SUM('Statistics NZ'!U$15:U$29,'Statistics NZ'!U$115:U$129,SUM($B$12:$D$13)*(U$8-U$9)*1000)</f>
        <v>33533.414688874771</v>
      </c>
      <c r="V120" s="45">
        <f>SUM('Statistics NZ'!V$120,$C$13/5*(V$8-V$9)*1000)*('Economic Forecasts'!X$10-'Economic Forecasts'!X$9)*1000000/SUM('Statistics NZ'!V$15:V$29,'Statistics NZ'!V$115:V$129,SUM($B$12:$D$13)*(V$8-V$9)*1000)</f>
        <v>34838.074686595261</v>
      </c>
      <c r="W120" s="45">
        <f>SUM('Statistics NZ'!W$120,$C$13/5*(W$8-W$9)*1000)*('Economic Forecasts'!Y$10-'Economic Forecasts'!Y$9)*1000000/SUM('Statistics NZ'!W$15:W$29,'Statistics NZ'!W$115:W$129,SUM($B$12:$D$13)*(W$8-W$9)*1000)</f>
        <v>35029.34892522492</v>
      </c>
      <c r="X120" s="45">
        <f>SUM('Statistics NZ'!X$120,$C$13/5*(X$8-X$9)*1000)*('Economic Forecasts'!Z$10-'Economic Forecasts'!Z$9)*1000000/SUM('Statistics NZ'!X$15:X$29,'Statistics NZ'!X$115:X$129,SUM($B$12:$D$13)*(X$8-X$9)*1000)</f>
        <v>34981.824088263878</v>
      </c>
      <c r="Y120" s="45">
        <f>SUM('Statistics NZ'!Y$120,$C$13/5*(Y$8-Y$9)*1000)*('Economic Forecasts'!AA$10-'Economic Forecasts'!AA$9)*1000000/SUM('Statistics NZ'!Y$15:Y$29,'Statistics NZ'!Y$115:Y$129,SUM($B$12:$D$13)*(Y$8-Y$9)*1000)</f>
        <v>35358.466858530432</v>
      </c>
      <c r="Z120" s="46">
        <f>SUM(Y$120,'Statistics NZ'!Z$120-'Statistics NZ'!Y$120,$C$13/5*(Z$8-Z$9)*1000)</f>
        <v>35485.932033015888</v>
      </c>
      <c r="AA120" s="46">
        <f>SUM(Z$120,'Statistics NZ'!AA$120-'Statistics NZ'!Z$120,$C$13/5*(AA$8-AA$9)*1000)</f>
        <v>35610.345521447402</v>
      </c>
      <c r="AB120" s="46">
        <f>SUM(AA$120,'Statistics NZ'!AB$120-'Statistics NZ'!AA$120,$C$13/5*(AB$8-AB$9)*1000)</f>
        <v>35691.70732382498</v>
      </c>
      <c r="AC120" s="46">
        <f>SUM(AB$120,'Statistics NZ'!AC$120-'Statistics NZ'!AB$120,$C$13/5*(AC$8-AC$9)*1000)</f>
        <v>35750.017440148615</v>
      </c>
      <c r="AD120" s="46">
        <f>SUM(AC$120,'Statistics NZ'!AD$120-'Statistics NZ'!AC$120,$C$13/5*(AD$8-AD$9)*1000)</f>
        <v>35785.275870418314</v>
      </c>
      <c r="AE120" s="46">
        <f>SUM(AD$120,'Statistics NZ'!AE$120-'Statistics NZ'!AD$120,$C$13/5*(AE$8-AE$9)*1000)</f>
        <v>35807.482614634071</v>
      </c>
      <c r="AF120" s="46">
        <f>SUM(AE$120,'Statistics NZ'!AF$120-'Statistics NZ'!AE$120,$C$13/5*(AF$8-AF$9)*1000)</f>
        <v>35816.637672795892</v>
      </c>
      <c r="AG120" s="46">
        <f>SUM(AF$120,'Statistics NZ'!AG$120-'Statistics NZ'!AF$120,$C$13/5*(AG$8-AG$9)*1000)</f>
        <v>35832.741044903771</v>
      </c>
      <c r="AH120" s="46">
        <f>SUM(AG$120,'Statistics NZ'!AH$120-'Statistics NZ'!AG$120,$C$13/5*(AH$8-AH$9)*1000)</f>
        <v>35855.792730957714</v>
      </c>
      <c r="AI120" s="46">
        <f>SUM(AH$120,'Statistics NZ'!AI$120-'Statistics NZ'!AH$120,$C$13/5*(AI$8-AI$9)*1000)</f>
        <v>35885.792730957714</v>
      </c>
    </row>
    <row r="121" spans="1:35" x14ac:dyDescent="0.25">
      <c r="A121" s="11">
        <f>$A$21</f>
        <v>6</v>
      </c>
      <c r="B121" s="44">
        <f>'Statistics NZ'!B$121*('Economic Forecasts'!D$10-'Economic Forecasts'!D$9)*1000000/SUM('Statistics NZ'!B$15:B$29,'Statistics NZ'!B$115:B$129)</f>
        <v>32103.32428994383</v>
      </c>
      <c r="C121" s="44">
        <f>'Statistics NZ'!C$121*('Economic Forecasts'!E$10-'Economic Forecasts'!E$9)*1000000/SUM('Statistics NZ'!C$15:C$29,'Statistics NZ'!C$115:C$129)</f>
        <v>31597.904184898463</v>
      </c>
      <c r="D121" s="44">
        <f>'Statistics NZ'!D$121*('Economic Forecasts'!F$10-'Economic Forecasts'!F$9)*1000000/SUM('Statistics NZ'!D$15:D$29,'Statistics NZ'!D$115:D$129)</f>
        <v>30326.928789181587</v>
      </c>
      <c r="E121" s="44">
        <f>'Statistics NZ'!E$121*('Economic Forecasts'!G$10-'Economic Forecasts'!G$9)*1000000/SUM('Statistics NZ'!E$15:E$29,'Statistics NZ'!E$115:E$129)</f>
        <v>30815.778552088414</v>
      </c>
      <c r="F121" s="44">
        <f>'Statistics NZ'!F$121*('Economic Forecasts'!H$10-'Economic Forecasts'!H$9)*1000000/SUM('Statistics NZ'!F$15:F$29,'Statistics NZ'!F$115:F$129)</f>
        <v>31653.720791948377</v>
      </c>
      <c r="G121" s="44">
        <f>'Statistics NZ'!G$121*('Economic Forecasts'!I$10-'Economic Forecasts'!I$9)*1000000/SUM('Statistics NZ'!G$15:G$29,'Statistics NZ'!G$115:G$129)</f>
        <v>31476.173534934278</v>
      </c>
      <c r="H121" s="44">
        <f>'Statistics NZ'!H$121*('Economic Forecasts'!J$10-'Economic Forecasts'!J$9)*1000000/SUM('Statistics NZ'!H$15:H$29,'Statistics NZ'!H$115:H$129)</f>
        <v>31888.152471395148</v>
      </c>
      <c r="I121" s="44">
        <f>'Statistics NZ'!I$121*('Economic Forecasts'!K$10-'Economic Forecasts'!K$9)*1000000/SUM('Statistics NZ'!I$15:I$29,'Statistics NZ'!I$115:I$129)</f>
        <v>33504.241904070237</v>
      </c>
      <c r="J121" s="44">
        <f>'Statistics NZ'!J$121*('Economic Forecasts'!L$10-'Economic Forecasts'!L$9)*1000000/SUM('Statistics NZ'!J$15:J$29,'Statistics NZ'!J$115:J$129)</f>
        <v>35076.091081593913</v>
      </c>
      <c r="K121" s="44">
        <f>'Statistics NZ'!K$121*('Economic Forecasts'!M$10-'Economic Forecasts'!M$9)*1000000/SUM('Statistics NZ'!K$15:K$29,'Statistics NZ'!K$115:K$129)</f>
        <v>35624.838727282651</v>
      </c>
      <c r="L121" s="44">
        <f>'Statistics NZ'!L$121*('Economic Forecasts'!N$10-'Economic Forecasts'!N$9)*1000000/SUM('Statistics NZ'!L$15:L$29,'Statistics NZ'!L$115:L$129)</f>
        <v>35917.052410720091</v>
      </c>
      <c r="M121" s="44">
        <f>'Statistics NZ'!M$121*('Economic Forecasts'!O$10-'Economic Forecasts'!O$9)*1000000/SUM('Statistics NZ'!M$15:M$29,'Statistics NZ'!M$115:M$129)</f>
        <v>35430.585058121542</v>
      </c>
      <c r="N121" s="44">
        <f>'Statistics NZ'!N$121*('Economic Forecasts'!P$10-'Economic Forecasts'!P$9)*1000000/SUM('Statistics NZ'!N$15:N$29,'Statistics NZ'!N$115:N$129)</f>
        <v>35278.466301097782</v>
      </c>
      <c r="O121" s="44">
        <f>'Statistics NZ'!O$121*('Economic Forecasts'!Q$10-'Economic Forecasts'!Q$9)*1000000/SUM('Statistics NZ'!O$15:O$29,'Statistics NZ'!O$115:O$129)</f>
        <v>35030.943190970793</v>
      </c>
      <c r="P121" s="44">
        <f>'Statistics NZ'!P$121*('Economic Forecasts'!R$10-'Economic Forecasts'!R$9)*1000000/SUM('Statistics NZ'!P$15:P$29,'Statistics NZ'!P$115:P$129)</f>
        <v>35060.486124045463</v>
      </c>
      <c r="Q121" s="44">
        <f>'Statistics NZ'!Q$121*('Economic Forecasts'!S$10-'Economic Forecasts'!S$9)*1000000/SUM('Statistics NZ'!Q$15:Q$29,'Statistics NZ'!Q$115:Q$129)</f>
        <v>34656.543929250336</v>
      </c>
      <c r="R121" s="44">
        <f>'Statistics NZ'!R$121*('Economic Forecasts'!T$10-'Economic Forecasts'!T$9)*1000000/SUM('Statistics NZ'!R$15:R$29,'Statistics NZ'!R$115:R$129)</f>
        <v>34421.39926648845</v>
      </c>
      <c r="S121" s="45">
        <f>SUM('Statistics NZ'!S$121,$C$13/5*(S$8-S$9)*1000)*('Economic Forecasts'!U$10-'Economic Forecasts'!U$9)*1000000/SUM('Statistics NZ'!S$15:S$29,'Statistics NZ'!S$115:S$129,SUM($B$12:$D$13)*(S$8-S$9)*1000)</f>
        <v>34916.041401106457</v>
      </c>
      <c r="T121" s="45">
        <f>SUM('Statistics NZ'!T$121,$C$13/5*(T$8-T$9)*1000)*('Economic Forecasts'!V$10-'Economic Forecasts'!V$9)*1000000/SUM('Statistics NZ'!T$15:T$29,'Statistics NZ'!T$115:T$129,SUM($B$12:$D$13)*(T$8-T$9)*1000)</f>
        <v>34574.374566109422</v>
      </c>
      <c r="U121" s="45">
        <f>SUM('Statistics NZ'!U$121,$C$13/5*(U$8-U$9)*1000)*('Economic Forecasts'!W$10-'Economic Forecasts'!W$9)*1000000/SUM('Statistics NZ'!U$15:U$29,'Statistics NZ'!U$115:U$129,SUM($B$12:$D$13)*(U$8-U$9)*1000)</f>
        <v>34518.498899293438</v>
      </c>
      <c r="V121" s="45">
        <f>SUM('Statistics NZ'!V$121,$C$13/5*(V$8-V$9)*1000)*('Economic Forecasts'!X$10-'Economic Forecasts'!X$9)*1000000/SUM('Statistics NZ'!V$15:V$29,'Statistics NZ'!V$115:V$129,SUM($B$12:$D$13)*(V$8-V$9)*1000)</f>
        <v>34019.262740301652</v>
      </c>
      <c r="W121" s="45">
        <f>SUM('Statistics NZ'!W$121,$C$13/5*(W$8-W$9)*1000)*('Economic Forecasts'!Y$10-'Economic Forecasts'!Y$9)*1000000/SUM('Statistics NZ'!W$15:W$29,'Statistics NZ'!W$115:W$129,SUM($B$12:$D$13)*(W$8-W$9)*1000)</f>
        <v>35387.405914675001</v>
      </c>
      <c r="X121" s="45">
        <f>SUM('Statistics NZ'!X$121,$C$13/5*(X$8-X$9)*1000)*('Economic Forecasts'!Z$10-'Economic Forecasts'!Z$9)*1000000/SUM('Statistics NZ'!X$15:X$29,'Statistics NZ'!X$115:X$129,SUM($B$12:$D$13)*(X$8-X$9)*1000)</f>
        <v>35570.140917174424</v>
      </c>
      <c r="Y121" s="45">
        <f>SUM('Statistics NZ'!Y$121,$C$13/5*(Y$8-Y$9)*1000)*('Economic Forecasts'!AA$10-'Economic Forecasts'!AA$9)*1000000/SUM('Statistics NZ'!Y$15:Y$29,'Statistics NZ'!Y$115:Y$129,SUM($B$12:$D$13)*(Y$8-Y$9)*1000)</f>
        <v>35472.708785467716</v>
      </c>
      <c r="Z121" s="46">
        <f>SUM(Y$121,'Statistics NZ'!Z$121-'Statistics NZ'!Y$121,$C$13/5*(Z$8-Z$9)*1000)</f>
        <v>35630.173959953172</v>
      </c>
      <c r="AA121" s="46">
        <f>SUM(Z$121,'Statistics NZ'!AA$121-'Statistics NZ'!Z$121,$C$13/5*(AA$8-AA$9)*1000)</f>
        <v>35744.587448384686</v>
      </c>
      <c r="AB121" s="46">
        <f>SUM(AA$121,'Statistics NZ'!AB$121-'Statistics NZ'!AA$121,$C$13/5*(AB$8-AB$9)*1000)</f>
        <v>35845.949250762264</v>
      </c>
      <c r="AC121" s="46">
        <f>SUM(AB$121,'Statistics NZ'!AC$121-'Statistics NZ'!AB$121,$C$13/5*(AC$8-AC$9)*1000)</f>
        <v>35924.259367085899</v>
      </c>
      <c r="AD121" s="46">
        <f>SUM(AC$121,'Statistics NZ'!AD$121-'Statistics NZ'!AC$121,$C$13/5*(AD$8-AD$9)*1000)</f>
        <v>35969.517797355598</v>
      </c>
      <c r="AE121" s="46">
        <f>SUM(AD$121,'Statistics NZ'!AE$121-'Statistics NZ'!AD$121,$C$13/5*(AE$8-AE$9)*1000)</f>
        <v>35991.724541571355</v>
      </c>
      <c r="AF121" s="46">
        <f>SUM(AE$121,'Statistics NZ'!AF$121-'Statistics NZ'!AE$121,$C$13/5*(AF$8-AF$9)*1000)</f>
        <v>35990.879599733176</v>
      </c>
      <c r="AG121" s="46">
        <f>SUM(AF$121,'Statistics NZ'!AG$121-'Statistics NZ'!AF$121,$C$13/5*(AG$8-AG$9)*1000)</f>
        <v>35996.982971841055</v>
      </c>
      <c r="AH121" s="46">
        <f>SUM(AG$121,'Statistics NZ'!AH$121-'Statistics NZ'!AG$121,$C$13/5*(AH$8-AH$9)*1000)</f>
        <v>36000.034657894998</v>
      </c>
      <c r="AI121" s="46">
        <f>SUM(AH$121,'Statistics NZ'!AI$121-'Statistics NZ'!AH$121,$C$13/5*(AI$8-AI$9)*1000)</f>
        <v>36000.034657894998</v>
      </c>
    </row>
    <row r="122" spans="1:35" x14ac:dyDescent="0.25">
      <c r="A122" s="11">
        <f>$A$22</f>
        <v>7</v>
      </c>
      <c r="B122" s="44">
        <f>'Statistics NZ'!B$122*('Economic Forecasts'!D$10-'Economic Forecasts'!D$9)*1000000/SUM('Statistics NZ'!B$15:B$29,'Statistics NZ'!B$115:B$129)</f>
        <v>31276.356226992837</v>
      </c>
      <c r="C122" s="44">
        <f>'Statistics NZ'!C$122*('Economic Forecasts'!E$10-'Economic Forecasts'!E$9)*1000000/SUM('Statistics NZ'!C$15:C$29,'Statistics NZ'!C$115:C$129)</f>
        <v>32219.744193874118</v>
      </c>
      <c r="D122" s="44">
        <f>'Statistics NZ'!D$122*('Economic Forecasts'!F$10-'Economic Forecasts'!F$9)*1000000/SUM('Statistics NZ'!D$15:D$29,'Statistics NZ'!D$115:D$129)</f>
        <v>31824.29453607442</v>
      </c>
      <c r="E122" s="44">
        <f>'Statistics NZ'!E$122*('Economic Forecasts'!G$10-'Economic Forecasts'!G$9)*1000000/SUM('Statistics NZ'!E$15:E$29,'Statistics NZ'!E$115:E$129)</f>
        <v>30478.187003417817</v>
      </c>
      <c r="F122" s="44">
        <f>'Statistics NZ'!F$122*('Economic Forecasts'!H$10-'Economic Forecasts'!H$9)*1000000/SUM('Statistics NZ'!F$15:F$29,'Statistics NZ'!F$115:F$129)</f>
        <v>31009.02063558482</v>
      </c>
      <c r="G122" s="44">
        <f>'Statistics NZ'!G$122*('Economic Forecasts'!I$10-'Economic Forecasts'!I$9)*1000000/SUM('Statistics NZ'!G$15:G$29,'Statistics NZ'!G$115:G$129)</f>
        <v>31666.745725862234</v>
      </c>
      <c r="H122" s="44">
        <f>'Statistics NZ'!H$122*('Economic Forecasts'!J$10-'Economic Forecasts'!J$9)*1000000/SUM('Statistics NZ'!H$15:H$29,'Statistics NZ'!H$115:H$129)</f>
        <v>31389.900089029594</v>
      </c>
      <c r="I122" s="44">
        <f>'Statistics NZ'!I$122*('Economic Forecasts'!K$10-'Economic Forecasts'!K$9)*1000000/SUM('Statistics NZ'!I$15:I$29,'Statistics NZ'!I$115:I$129)</f>
        <v>31846.037038259656</v>
      </c>
      <c r="J122" s="44">
        <f>'Statistics NZ'!J$122*('Economic Forecasts'!L$10-'Economic Forecasts'!L$9)*1000000/SUM('Statistics NZ'!J$15:J$29,'Statistics NZ'!J$115:J$129)</f>
        <v>33795.552313783977</v>
      </c>
      <c r="K122" s="44">
        <f>'Statistics NZ'!K$122*('Economic Forecasts'!M$10-'Economic Forecasts'!M$9)*1000000/SUM('Statistics NZ'!K$15:K$29,'Statistics NZ'!K$115:K$129)</f>
        <v>35389.337990503744</v>
      </c>
      <c r="L122" s="44">
        <f>'Statistics NZ'!L$122*('Economic Forecasts'!N$10-'Economic Forecasts'!N$9)*1000000/SUM('Statistics NZ'!L$15:L$29,'Statistics NZ'!L$115:L$129)</f>
        <v>35788.891652787097</v>
      </c>
      <c r="M122" s="44">
        <f>'Statistics NZ'!M$122*('Economic Forecasts'!O$10-'Economic Forecasts'!O$9)*1000000/SUM('Statistics NZ'!M$15:M$29,'Statistics NZ'!M$115:M$129)</f>
        <v>35981.374422253772</v>
      </c>
      <c r="N122" s="44">
        <f>'Statistics NZ'!N$122*('Economic Forecasts'!P$10-'Economic Forecasts'!P$9)*1000000/SUM('Statistics NZ'!N$15:N$29,'Statistics NZ'!N$115:N$129)</f>
        <v>35744.048939744542</v>
      </c>
      <c r="O122" s="44">
        <f>'Statistics NZ'!O$122*('Economic Forecasts'!Q$10-'Economic Forecasts'!Q$9)*1000000/SUM('Statistics NZ'!O$15:O$29,'Statistics NZ'!O$115:O$129)</f>
        <v>35472.509701781346</v>
      </c>
      <c r="P122" s="44">
        <f>'Statistics NZ'!P$122*('Economic Forecasts'!R$10-'Economic Forecasts'!R$9)*1000000/SUM('Statistics NZ'!P$15:P$29,'Statistics NZ'!P$115:P$129)</f>
        <v>35652.402682063715</v>
      </c>
      <c r="Q122" s="44">
        <f>'Statistics NZ'!Q$122*('Economic Forecasts'!S$10-'Economic Forecasts'!S$9)*1000000/SUM('Statistics NZ'!Q$15:Q$29,'Statistics NZ'!Q$115:Q$129)</f>
        <v>34992.505578973447</v>
      </c>
      <c r="R122" s="44">
        <f>'Statistics NZ'!R$122*('Economic Forecasts'!T$10-'Economic Forecasts'!T$9)*1000000/SUM('Statistics NZ'!R$15:R$29,'Statistics NZ'!R$115:R$129)</f>
        <v>34778.969561343511</v>
      </c>
      <c r="S122" s="45">
        <f>SUM('Statistics NZ'!S$122,$C$13/5*(S$8-S$9)*1000)*('Economic Forecasts'!U$10-'Economic Forecasts'!U$9)*1000000/SUM('Statistics NZ'!S$15:S$29,'Statistics NZ'!S$115:S$129,SUM($B$12:$D$13)*(S$8-S$9)*1000)</f>
        <v>35378.242715906999</v>
      </c>
      <c r="T122" s="45">
        <f>SUM('Statistics NZ'!T$122,$C$13/5*(T$8-T$9)*1000)*('Economic Forecasts'!V$10-'Economic Forecasts'!V$9)*1000000/SUM('Statistics NZ'!T$15:T$29,'Statistics NZ'!T$115:T$129,SUM($B$12:$D$13)*(T$8-T$9)*1000)</f>
        <v>35394.470822377902</v>
      </c>
      <c r="U122" s="45">
        <f>SUM('Statistics NZ'!U$122,$C$13/5*(U$8-U$9)*1000)*('Economic Forecasts'!W$10-'Economic Forecasts'!W$9)*1000000/SUM('Statistics NZ'!U$15:U$29,'Statistics NZ'!U$115:U$129,SUM($B$12:$D$13)*(U$8-U$9)*1000)</f>
        <v>34715.515741377167</v>
      </c>
      <c r="V122" s="45">
        <f>SUM('Statistics NZ'!V$122,$C$13/5*(V$8-V$9)*1000)*('Economic Forecasts'!X$10-'Economic Forecasts'!X$9)*1000000/SUM('Statistics NZ'!V$15:V$29,'Statistics NZ'!V$115:V$129,SUM($B$12:$D$13)*(V$8-V$9)*1000)</f>
        <v>35026.180133716764</v>
      </c>
      <c r="W122" s="45">
        <f>SUM('Statistics NZ'!W$122,$C$13/5*(W$8-W$9)*1000)*('Economic Forecasts'!Y$10-'Economic Forecasts'!Y$9)*1000000/SUM('Statistics NZ'!W$15:W$29,'Statistics NZ'!W$115:W$129,SUM($B$12:$D$13)*(W$8-W$9)*1000)</f>
        <v>34570.58840749201</v>
      </c>
      <c r="X122" s="45">
        <f>SUM('Statistics NZ'!X$122,$C$13/5*(X$8-X$9)*1000)*('Economic Forecasts'!Z$10-'Economic Forecasts'!Z$9)*1000000/SUM('Statistics NZ'!X$15:X$29,'Statistics NZ'!X$115:X$129,SUM($B$12:$D$13)*(X$8-X$9)*1000)</f>
        <v>35954.809613000536</v>
      </c>
      <c r="Y122" s="45">
        <f>SUM('Statistics NZ'!Y$122,$C$13/5*(Y$8-Y$9)*1000)*('Economic Forecasts'!AA$10-'Economic Forecasts'!AA$9)*1000000/SUM('Statistics NZ'!Y$15:Y$29,'Statistics NZ'!Y$115:Y$129,SUM($B$12:$D$13)*(Y$8-Y$9)*1000)</f>
        <v>36089.615190929071</v>
      </c>
      <c r="Z122" s="46">
        <f>SUM(Y$122,'Statistics NZ'!Z$122-'Statistics NZ'!Y$122,$C$13/5*(Z$8-Z$9)*1000)</f>
        <v>35817.080365414527</v>
      </c>
      <c r="AA122" s="46">
        <f>SUM(Z$122,'Statistics NZ'!AA$122-'Statistics NZ'!Z$122,$C$13/5*(AA$8-AA$9)*1000)</f>
        <v>35951.493853846041</v>
      </c>
      <c r="AB122" s="46">
        <f>SUM(AA$122,'Statistics NZ'!AB$122-'Statistics NZ'!AA$122,$C$13/5*(AB$8-AB$9)*1000)</f>
        <v>36052.855656223619</v>
      </c>
      <c r="AC122" s="46">
        <f>SUM(AB$122,'Statistics NZ'!AC$122-'Statistics NZ'!AB$122,$C$13/5*(AC$8-AC$9)*1000)</f>
        <v>36151.165772547254</v>
      </c>
      <c r="AD122" s="46">
        <f>SUM(AC$122,'Statistics NZ'!AD$122-'Statistics NZ'!AC$122,$C$13/5*(AD$8-AD$9)*1000)</f>
        <v>36216.424202816954</v>
      </c>
      <c r="AE122" s="46">
        <f>SUM(AD$122,'Statistics NZ'!AE$122-'Statistics NZ'!AD$122,$C$13/5*(AE$8-AE$9)*1000)</f>
        <v>36238.630947032711</v>
      </c>
      <c r="AF122" s="46">
        <f>SUM(AE$122,'Statistics NZ'!AF$122-'Statistics NZ'!AE$122,$C$13/5*(AF$8-AF$9)*1000)</f>
        <v>36247.786005194532</v>
      </c>
      <c r="AG122" s="46">
        <f>SUM(AF$122,'Statistics NZ'!AG$122-'Statistics NZ'!AF$122,$C$13/5*(AG$8-AG$9)*1000)</f>
        <v>36243.88937730241</v>
      </c>
      <c r="AH122" s="46">
        <f>SUM(AG$122,'Statistics NZ'!AH$122-'Statistics NZ'!AG$122,$C$13/5*(AH$8-AH$9)*1000)</f>
        <v>36226.941063356353</v>
      </c>
      <c r="AI122" s="46">
        <f>SUM(AH$122,'Statistics NZ'!AI$122-'Statistics NZ'!AH$122,$C$13/5*(AI$8-AI$9)*1000)</f>
        <v>36216.941063356353</v>
      </c>
    </row>
    <row r="123" spans="1:35" x14ac:dyDescent="0.25">
      <c r="A123" s="11">
        <f>$A$23</f>
        <v>8</v>
      </c>
      <c r="B123" s="44">
        <f>'Statistics NZ'!B$123*('Economic Forecasts'!D$10-'Economic Forecasts'!D$9)*1000000/SUM('Statistics NZ'!B$15:B$29,'Statistics NZ'!B$115:B$129)</f>
        <v>31764.055341040857</v>
      </c>
      <c r="C123" s="44">
        <f>'Statistics NZ'!C$123*('Economic Forecasts'!E$10-'Economic Forecasts'!E$9)*1000000/SUM('Statistics NZ'!C$15:C$29,'Statistics NZ'!C$115:C$129)</f>
        <v>31418.729945024123</v>
      </c>
      <c r="D123" s="44">
        <f>'Statistics NZ'!D$123*('Economic Forecasts'!F$10-'Economic Forecasts'!F$9)*1000000/SUM('Statistics NZ'!D$15:D$29,'Statistics NZ'!D$115:D$129)</f>
        <v>32541.342921910426</v>
      </c>
      <c r="E123" s="44">
        <f>'Statistics NZ'!E$123*('Economic Forecasts'!G$10-'Economic Forecasts'!G$9)*1000000/SUM('Statistics NZ'!E$15:E$29,'Statistics NZ'!E$115:E$129)</f>
        <v>32039.54791601935</v>
      </c>
      <c r="F123" s="44">
        <f>'Statistics NZ'!F$123*('Economic Forecasts'!H$10-'Economic Forecasts'!H$9)*1000000/SUM('Statistics NZ'!F$15:F$29,'Statistics NZ'!F$115:F$129)</f>
        <v>30776.505825093049</v>
      </c>
      <c r="G123" s="44">
        <f>'Statistics NZ'!G$123*('Economic Forecasts'!I$10-'Economic Forecasts'!I$9)*1000000/SUM('Statistics NZ'!G$15:G$29,'Statistics NZ'!G$115:G$129)</f>
        <v>31137.378528840134</v>
      </c>
      <c r="H123" s="44">
        <f>'Statistics NZ'!H$123*('Economic Forecasts'!J$10-'Economic Forecasts'!J$9)*1000000/SUM('Statistics NZ'!H$15:H$29,'Statistics NZ'!H$115:H$129)</f>
        <v>31633.725722953164</v>
      </c>
      <c r="I123" s="44">
        <f>'Statistics NZ'!I$123*('Economic Forecasts'!K$10-'Economic Forecasts'!K$9)*1000000/SUM('Statistics NZ'!I$15:I$29,'Statistics NZ'!I$115:I$129)</f>
        <v>31410.22678506585</v>
      </c>
      <c r="J123" s="44">
        <f>'Statistics NZ'!J$123*('Economic Forecasts'!L$10-'Economic Forecasts'!L$9)*1000000/SUM('Statistics NZ'!J$15:J$29,'Statistics NZ'!J$115:J$129)</f>
        <v>32130.851915631054</v>
      </c>
      <c r="K123" s="44">
        <f>'Statistics NZ'!K$123*('Economic Forecasts'!M$10-'Economic Forecasts'!M$9)*1000000/SUM('Statistics NZ'!K$15:K$29,'Statistics NZ'!K$115:K$129)</f>
        <v>34126.197675053219</v>
      </c>
      <c r="L123" s="44">
        <f>'Statistics NZ'!L$123*('Economic Forecasts'!N$10-'Economic Forecasts'!N$9)*1000000/SUM('Statistics NZ'!L$15:L$29,'Statistics NZ'!L$115:L$129)</f>
        <v>35628.690705370864</v>
      </c>
      <c r="M123" s="44">
        <f>'Statistics NZ'!M$123*('Economic Forecasts'!O$10-'Economic Forecasts'!O$9)*1000000/SUM('Statistics NZ'!M$15:M$29,'Statistics NZ'!M$115:M$129)</f>
        <v>35864.861287533495</v>
      </c>
      <c r="N123" s="44">
        <f>'Statistics NZ'!N$123*('Economic Forecasts'!P$10-'Economic Forecasts'!P$9)*1000000/SUM('Statistics NZ'!N$15:N$29,'Statistics NZ'!N$115:N$129)</f>
        <v>36188.468731180088</v>
      </c>
      <c r="O123" s="44">
        <f>'Statistics NZ'!O$123*('Economic Forecasts'!Q$10-'Economic Forecasts'!Q$9)*1000000/SUM('Statistics NZ'!O$15:O$29,'Statistics NZ'!O$115:O$129)</f>
        <v>35924.589700944533</v>
      </c>
      <c r="P123" s="44">
        <f>'Statistics NZ'!P$123*('Economic Forecasts'!R$10-'Economic Forecasts'!R$9)*1000000/SUM('Statistics NZ'!P$15:P$29,'Statistics NZ'!P$115:P$129)</f>
        <v>36138.619854721575</v>
      </c>
      <c r="Q123" s="44">
        <f>'Statistics NZ'!Q$123*('Economic Forecasts'!S$10-'Economic Forecasts'!S$9)*1000000/SUM('Statistics NZ'!Q$15:Q$29,'Statistics NZ'!Q$115:Q$129)</f>
        <v>35538.443259773521</v>
      </c>
      <c r="R123" s="44">
        <f>'Statistics NZ'!R$123*('Economic Forecasts'!T$10-'Economic Forecasts'!T$9)*1000000/SUM('Statistics NZ'!R$15:R$29,'Statistics NZ'!R$115:R$129)</f>
        <v>35083.955989308117</v>
      </c>
      <c r="S123" s="45">
        <f>SUM('Statistics NZ'!S$123,$C$13/5*(S$8-S$9)*1000)*('Economic Forecasts'!U$10-'Economic Forecasts'!U$9)*1000000/SUM('Statistics NZ'!S$15:S$29,'Statistics NZ'!S$115:S$129,SUM($B$12:$D$13)*(S$8-S$9)*1000)</f>
        <v>35745.902852680156</v>
      </c>
      <c r="T123" s="45">
        <f>SUM('Statistics NZ'!T$123,$C$13/5*(T$8-T$9)*1000)*('Economic Forecasts'!V$10-'Economic Forecasts'!V$9)*1000000/SUM('Statistics NZ'!T$15:T$29,'Statistics NZ'!T$115:T$129,SUM($B$12:$D$13)*(T$8-T$9)*1000)</f>
        <v>35880.054132010555</v>
      </c>
      <c r="U123" s="45">
        <f>SUM('Statistics NZ'!U$123,$C$13/5*(U$8-U$9)*1000)*('Economic Forecasts'!W$10-'Economic Forecasts'!W$9)*1000000/SUM('Statistics NZ'!U$15:U$29,'Statistics NZ'!U$115:U$129,SUM($B$12:$D$13)*(U$8-U$9)*1000)</f>
        <v>35558.310010290923</v>
      </c>
      <c r="V123" s="45">
        <f>SUM('Statistics NZ'!V$123,$C$13/5*(V$8-V$9)*1000)*('Economic Forecasts'!X$10-'Economic Forecasts'!X$9)*1000000/SUM('Statistics NZ'!V$15:V$29,'Statistics NZ'!V$115:V$129,SUM($B$12:$D$13)*(V$8-V$9)*1000)</f>
        <v>35225.350607139531</v>
      </c>
      <c r="W123" s="45">
        <f>SUM('Statistics NZ'!W$123,$C$13/5*(W$8-W$9)*1000)*('Economic Forecasts'!Y$10-'Economic Forecasts'!Y$9)*1000000/SUM('Statistics NZ'!W$15:W$29,'Statistics NZ'!W$115:W$129,SUM($B$12:$D$13)*(W$8-W$9)*1000)</f>
        <v>35588.812971240666</v>
      </c>
      <c r="X123" s="45">
        <f>SUM('Statistics NZ'!X$123,$C$13/5*(X$8-X$9)*1000)*('Economic Forecasts'!Z$10-'Economic Forecasts'!Z$9)*1000000/SUM('Statistics NZ'!X$15:X$29,'Statistics NZ'!X$115:X$129,SUM($B$12:$D$13)*(X$8-X$9)*1000)</f>
        <v>35128.903295491516</v>
      </c>
      <c r="Y123" s="45">
        <f>SUM('Statistics NZ'!Y$123,$C$13/5*(Y$8-Y$9)*1000)*('Economic Forecasts'!AA$10-'Economic Forecasts'!AA$9)*1000000/SUM('Statistics NZ'!Y$15:Y$29,'Statistics NZ'!Y$115:Y$129,SUM($B$12:$D$13)*(Y$8-Y$9)*1000)</f>
        <v>36478.037742515851</v>
      </c>
      <c r="Z123" s="46">
        <f>SUM(Y$123,'Statistics NZ'!Z$123-'Statistics NZ'!Y$123,$C$13/5*(Z$8-Z$9)*1000)</f>
        <v>36405.502917001308</v>
      </c>
      <c r="AA123" s="46">
        <f>SUM(Z$123,'Statistics NZ'!AA$123-'Statistics NZ'!Z$123,$C$13/5*(AA$8-AA$9)*1000)</f>
        <v>36109.916405432821</v>
      </c>
      <c r="AB123" s="46">
        <f>SUM(AA$123,'Statistics NZ'!AB$123-'Statistics NZ'!AA$123,$C$13/5*(AB$8-AB$9)*1000)</f>
        <v>36241.278207810399</v>
      </c>
      <c r="AC123" s="46">
        <f>SUM(AB$123,'Statistics NZ'!AC$123-'Statistics NZ'!AB$123,$C$13/5*(AC$8-AC$9)*1000)</f>
        <v>36329.588324134034</v>
      </c>
      <c r="AD123" s="46">
        <f>SUM(AC$123,'Statistics NZ'!AD$123-'Statistics NZ'!AC$123,$C$13/5*(AD$8-AD$9)*1000)</f>
        <v>36414.846754403734</v>
      </c>
      <c r="AE123" s="46">
        <f>SUM(AD$123,'Statistics NZ'!AE$123-'Statistics NZ'!AD$123,$C$13/5*(AE$8-AE$9)*1000)</f>
        <v>36457.053498619491</v>
      </c>
      <c r="AF123" s="46">
        <f>SUM(AE$123,'Statistics NZ'!AF$123-'Statistics NZ'!AE$123,$C$13/5*(AF$8-AF$9)*1000)</f>
        <v>36476.208556781312</v>
      </c>
      <c r="AG123" s="46">
        <f>SUM(AF$123,'Statistics NZ'!AG$123-'Statistics NZ'!AF$123,$C$13/5*(AG$8-AG$9)*1000)</f>
        <v>36472.31192888919</v>
      </c>
      <c r="AH123" s="46">
        <f>SUM(AG$123,'Statistics NZ'!AH$123-'Statistics NZ'!AG$123,$C$13/5*(AH$8-AH$9)*1000)</f>
        <v>36455.363614943133</v>
      </c>
      <c r="AI123" s="46">
        <f>SUM(AH$123,'Statistics NZ'!AI$123-'Statistics NZ'!AH$123,$C$13/5*(AI$8-AI$9)*1000)</f>
        <v>36425.363614943133</v>
      </c>
    </row>
    <row r="124" spans="1:35" x14ac:dyDescent="0.25">
      <c r="A124" s="11">
        <f>$A$24</f>
        <v>9</v>
      </c>
      <c r="B124" s="44">
        <f>'Statistics NZ'!B$124*('Economic Forecasts'!D$10-'Economic Forecasts'!D$9)*1000000/SUM('Statistics NZ'!B$15:B$29,'Statistics NZ'!B$115:B$129)</f>
        <v>31615.62517589581</v>
      </c>
      <c r="C124" s="44">
        <f>'Statistics NZ'!C$124*('Economic Forecasts'!E$10-'Economic Forecasts'!E$9)*1000000/SUM('Statistics NZ'!C$15:C$29,'Statistics NZ'!C$115:C$129)</f>
        <v>31903.55435880175</v>
      </c>
      <c r="D124" s="44">
        <f>'Statistics NZ'!D$124*('Economic Forecasts'!F$10-'Economic Forecasts'!F$9)*1000000/SUM('Statistics NZ'!D$15:D$29,'Statistics NZ'!D$115:D$129)</f>
        <v>31729.391073243183</v>
      </c>
      <c r="E124" s="44">
        <f>'Statistics NZ'!E$124*('Economic Forecasts'!G$10-'Economic Forecasts'!G$9)*1000000/SUM('Statistics NZ'!E$15:E$29,'Statistics NZ'!E$115:E$129)</f>
        <v>32788.579164632247</v>
      </c>
      <c r="F124" s="44">
        <f>'Statistics NZ'!F$124*('Economic Forecasts'!H$10-'Economic Forecasts'!H$9)*1000000/SUM('Statistics NZ'!F$15:F$29,'Statistics NZ'!F$115:F$129)</f>
        <v>32351.265223423703</v>
      </c>
      <c r="G124" s="44">
        <f>'Statistics NZ'!G$124*('Economic Forecasts'!I$10-'Economic Forecasts'!I$9)*1000000/SUM('Statistics NZ'!G$15:G$29,'Statistics NZ'!G$115:G$129)</f>
        <v>30936.218993971735</v>
      </c>
      <c r="H124" s="44">
        <f>'Statistics NZ'!H$124*('Economic Forecasts'!J$10-'Economic Forecasts'!J$9)*1000000/SUM('Statistics NZ'!H$15:H$29,'Statistics NZ'!H$115:H$129)</f>
        <v>31093.068882513951</v>
      </c>
      <c r="I124" s="44">
        <f>'Statistics NZ'!I$124*('Economic Forecasts'!K$10-'Economic Forecasts'!K$9)*1000000/SUM('Statistics NZ'!I$15:I$29,'Statistics NZ'!I$115:I$129)</f>
        <v>31686.594262700946</v>
      </c>
      <c r="J124" s="44">
        <f>'Statistics NZ'!J$124*('Economic Forecasts'!L$10-'Economic Forecasts'!L$9)*1000000/SUM('Statistics NZ'!J$15:J$29,'Statistics NZ'!J$115:J$129)</f>
        <v>31693.334503295991</v>
      </c>
      <c r="K124" s="44">
        <f>'Statistics NZ'!K$124*('Economic Forecasts'!M$10-'Economic Forecasts'!M$9)*1000000/SUM('Statistics NZ'!K$15:K$29,'Statistics NZ'!K$115:K$129)</f>
        <v>32477.692517600834</v>
      </c>
      <c r="L124" s="44">
        <f>'Statistics NZ'!L$124*('Economic Forecasts'!N$10-'Economic Forecasts'!N$9)*1000000/SUM('Statistics NZ'!L$15:L$29,'Statistics NZ'!L$115:L$129)</f>
        <v>34432.523631329634</v>
      </c>
      <c r="M124" s="44">
        <f>'Statistics NZ'!M$124*('Economic Forecasts'!O$10-'Economic Forecasts'!O$9)*1000000/SUM('Statistics NZ'!M$15:M$29,'Statistics NZ'!M$115:M$129)</f>
        <v>35621.242914936549</v>
      </c>
      <c r="N124" s="44">
        <f>'Statistics NZ'!N$124*('Economic Forecasts'!P$10-'Economic Forecasts'!P$9)*1000000/SUM('Statistics NZ'!N$15:N$29,'Statistics NZ'!N$115:N$129)</f>
        <v>36135.561613152051</v>
      </c>
      <c r="O124" s="44">
        <f>'Statistics NZ'!O$124*('Economic Forecasts'!Q$10-'Economic Forecasts'!Q$9)*1000000/SUM('Statistics NZ'!O$15:O$29,'Statistics NZ'!O$115:O$129)</f>
        <v>36376.669700107734</v>
      </c>
      <c r="P124" s="44">
        <f>'Statistics NZ'!P$124*('Economic Forecasts'!R$10-'Economic Forecasts'!R$9)*1000000/SUM('Statistics NZ'!P$15:P$29,'Statistics NZ'!P$115:P$129)</f>
        <v>36550.847457627133</v>
      </c>
      <c r="Q124" s="44">
        <f>'Statistics NZ'!Q$124*('Economic Forecasts'!S$10-'Economic Forecasts'!S$9)*1000000/SUM('Statistics NZ'!Q$15:Q$29,'Statistics NZ'!Q$115:Q$129)</f>
        <v>36000.390528142809</v>
      </c>
      <c r="R124" s="44">
        <f>'Statistics NZ'!R$124*('Economic Forecasts'!T$10-'Economic Forecasts'!T$9)*1000000/SUM('Statistics NZ'!R$15:R$29,'Statistics NZ'!R$115:R$129)</f>
        <v>35693.928845237337</v>
      </c>
      <c r="S124" s="45">
        <f>SUM('Statistics NZ'!S$124,$C$13/5*(S$8-S$9)*1000)*('Economic Forecasts'!U$10-'Economic Forecasts'!U$9)*1000000/SUM('Statistics NZ'!S$15:S$29,'Statistics NZ'!S$115:S$129,SUM($B$12:$D$13)*(S$8-S$9)*1000)</f>
        <v>36061.040112771436</v>
      </c>
      <c r="T124" s="45">
        <f>SUM('Statistics NZ'!T$124,$C$13/5*(T$8-T$9)*1000)*('Economic Forecasts'!V$10-'Economic Forecasts'!V$9)*1000000/SUM('Statistics NZ'!T$15:T$29,'Statistics NZ'!T$115:T$129,SUM($B$12:$D$13)*(T$8-T$9)*1000)</f>
        <v>36279.311519930729</v>
      </c>
      <c r="U124" s="45">
        <f>SUM('Statistics NZ'!U$124,$C$13/5*(U$8-U$9)*1000)*('Economic Forecasts'!W$10-'Economic Forecasts'!W$9)*1000000/SUM('Statistics NZ'!U$15:U$29,'Statistics NZ'!U$115:U$129,SUM($B$12:$D$13)*(U$8-U$9)*1000)</f>
        <v>36061.797495616018</v>
      </c>
      <c r="V124" s="45">
        <f>SUM('Statistics NZ'!V$124,$C$13/5*(V$8-V$9)*1000)*('Economic Forecasts'!X$10-'Economic Forecasts'!X$9)*1000000/SUM('Statistics NZ'!V$15:V$29,'Statistics NZ'!V$115:V$129,SUM($B$12:$D$13)*(V$8-V$9)*1000)</f>
        <v>36088.422658638192</v>
      </c>
      <c r="W124" s="45">
        <f>SUM('Statistics NZ'!W$124,$C$13/5*(W$8-W$9)*1000)*('Economic Forecasts'!Y$10-'Economic Forecasts'!Y$9)*1000000/SUM('Statistics NZ'!W$15:W$29,'Statistics NZ'!W$115:W$129,SUM($B$12:$D$13)*(W$8-W$9)*1000)</f>
        <v>35812.598589646965</v>
      </c>
      <c r="X124" s="45">
        <f>SUM('Statistics NZ'!X$124,$C$13/5*(X$8-X$9)*1000)*('Economic Forecasts'!Z$10-'Economic Forecasts'!Z$9)*1000000/SUM('Statistics NZ'!X$15:X$29,'Statistics NZ'!X$115:X$129,SUM($B$12:$D$13)*(X$8-X$9)*1000)</f>
        <v>36181.08531642767</v>
      </c>
      <c r="Y124" s="45">
        <f>SUM('Statistics NZ'!Y$124,$C$13/5*(Y$8-Y$9)*1000)*('Economic Forecasts'!AA$10-'Economic Forecasts'!AA$9)*1000000/SUM('Statistics NZ'!Y$15:Y$29,'Statistics NZ'!Y$115:Y$129,SUM($B$12:$D$13)*(Y$8-Y$9)*1000)</f>
        <v>35655.495868567385</v>
      </c>
      <c r="Z124" s="46">
        <f>SUM(Y$124,'Statistics NZ'!Z$124-'Statistics NZ'!Y$124,$C$13/5*(Z$8-Z$9)*1000)</f>
        <v>36652.961043052841</v>
      </c>
      <c r="AA124" s="46">
        <f>SUM(Z$124,'Statistics NZ'!AA$124-'Statistics NZ'!Z$124,$C$13/5*(AA$8-AA$9)*1000)</f>
        <v>36567.374531484355</v>
      </c>
      <c r="AB124" s="46">
        <f>SUM(AA$124,'Statistics NZ'!AB$124-'Statistics NZ'!AA$124,$C$13/5*(AB$8-AB$9)*1000)</f>
        <v>36268.736333861933</v>
      </c>
      <c r="AC124" s="46">
        <f>SUM(AB$124,'Statistics NZ'!AC$124-'Statistics NZ'!AB$124,$C$13/5*(AC$8-AC$9)*1000)</f>
        <v>36377.046450185568</v>
      </c>
      <c r="AD124" s="46">
        <f>SUM(AC$124,'Statistics NZ'!AD$124-'Statistics NZ'!AC$124,$C$13/5*(AD$8-AD$9)*1000)</f>
        <v>36462.304880455267</v>
      </c>
      <c r="AE124" s="46">
        <f>SUM(AD$124,'Statistics NZ'!AE$124-'Statistics NZ'!AD$124,$C$13/5*(AE$8-AE$9)*1000)</f>
        <v>36524.511624671024</v>
      </c>
      <c r="AF124" s="46">
        <f>SUM(AE$124,'Statistics NZ'!AF$124-'Statistics NZ'!AE$124,$C$13/5*(AF$8-AF$9)*1000)</f>
        <v>36563.666682832845</v>
      </c>
      <c r="AG124" s="46">
        <f>SUM(AF$124,'Statistics NZ'!AG$124-'Statistics NZ'!AF$124,$C$13/5*(AG$8-AG$9)*1000)</f>
        <v>36559.770054940724</v>
      </c>
      <c r="AH124" s="46">
        <f>SUM(AG$124,'Statistics NZ'!AH$124-'Statistics NZ'!AG$124,$C$13/5*(AH$8-AH$9)*1000)</f>
        <v>36542.821740994666</v>
      </c>
      <c r="AI124" s="46">
        <f>SUM(AH$124,'Statistics NZ'!AI$124-'Statistics NZ'!AH$124,$C$13/5*(AI$8-AI$9)*1000)</f>
        <v>36512.821740994666</v>
      </c>
    </row>
    <row r="125" spans="1:35" x14ac:dyDescent="0.25">
      <c r="A125" s="11">
        <f>$A$25</f>
        <v>10</v>
      </c>
      <c r="B125" s="44">
        <f>'Statistics NZ'!B$125*('Economic Forecasts'!D$10-'Economic Forecasts'!D$9)*1000000/SUM('Statistics NZ'!B$15:B$29,'Statistics NZ'!B$115:B$129)</f>
        <v>32972.7009715077</v>
      </c>
      <c r="C125" s="44">
        <f>'Statistics NZ'!C$125*('Economic Forecasts'!E$10-'Economic Forecasts'!E$9)*1000000/SUM('Statistics NZ'!C$15:C$29,'Statistics NZ'!C$115:C$129)</f>
        <v>31819.237069449118</v>
      </c>
      <c r="D125" s="44">
        <f>'Statistics NZ'!D$125*('Economic Forecasts'!F$10-'Economic Forecasts'!F$9)*1000000/SUM('Statistics NZ'!D$15:D$29,'Statistics NZ'!D$115:D$129)</f>
        <v>32140.639412178538</v>
      </c>
      <c r="E125" s="44">
        <f>'Statistics NZ'!E$125*('Economic Forecasts'!G$10-'Economic Forecasts'!G$9)*1000000/SUM('Statistics NZ'!E$15:E$29,'Statistics NZ'!E$115:E$129)</f>
        <v>31986.799236539566</v>
      </c>
      <c r="F125" s="44">
        <f>'Statistics NZ'!F$125*('Economic Forecasts'!H$10-'Economic Forecasts'!H$9)*1000000/SUM('Statistics NZ'!F$15:F$29,'Statistics NZ'!F$115:F$129)</f>
        <v>33143.929350100203</v>
      </c>
      <c r="G125" s="44">
        <f>'Statistics NZ'!G$125*('Economic Forecasts'!I$10-'Economic Forecasts'!I$9)*1000000/SUM('Statistics NZ'!G$15:G$29,'Statistics NZ'!G$115:G$129)</f>
        <v>32524.320585038047</v>
      </c>
      <c r="H125" s="44">
        <f>'Statistics NZ'!H$125*('Economic Forecasts'!J$10-'Economic Forecasts'!J$9)*1000000/SUM('Statistics NZ'!H$15:H$29,'Statistics NZ'!H$115:H$129)</f>
        <v>30976.456622811373</v>
      </c>
      <c r="I125" s="44">
        <f>'Statistics NZ'!I$125*('Economic Forecasts'!K$10-'Economic Forecasts'!K$9)*1000000/SUM('Statistics NZ'!I$15:I$29,'Statistics NZ'!I$115:I$129)</f>
        <v>31176.377380913073</v>
      </c>
      <c r="J125" s="44">
        <f>'Statistics NZ'!J$125*('Economic Forecasts'!L$10-'Economic Forecasts'!L$9)*1000000/SUM('Statistics NZ'!J$15:J$29,'Statistics NZ'!J$115:J$129)</f>
        <v>31970.78456965481</v>
      </c>
      <c r="K125" s="44">
        <f>'Statistics NZ'!K$125*('Economic Forecasts'!M$10-'Economic Forecasts'!M$9)*1000000/SUM('Statistics NZ'!K$15:K$29,'Statistics NZ'!K$115:K$129)</f>
        <v>32092.327675598979</v>
      </c>
      <c r="L125" s="44">
        <f>'Statistics NZ'!L$125*('Economic Forecasts'!N$10-'Economic Forecasts'!N$9)*1000000/SUM('Statistics NZ'!L$15:L$29,'Statistics NZ'!L$115:L$129)</f>
        <v>32798.473967684033</v>
      </c>
      <c r="M125" s="44">
        <f>'Statistics NZ'!M$125*('Economic Forecasts'!O$10-'Economic Forecasts'!O$9)*1000000/SUM('Statistics NZ'!M$15:M$29,'Statistics NZ'!M$115:M$129)</f>
        <v>34614.993115079582</v>
      </c>
      <c r="N125" s="44">
        <f>'Statistics NZ'!N$125*('Economic Forecasts'!P$10-'Economic Forecasts'!P$9)*1000000/SUM('Statistics NZ'!N$15:N$29,'Statistics NZ'!N$115:N$129)</f>
        <v>35902.770293828667</v>
      </c>
      <c r="O125" s="44">
        <f>'Statistics NZ'!O$125*('Economic Forecasts'!Q$10-'Economic Forecasts'!Q$9)*1000000/SUM('Statistics NZ'!O$15:O$29,'Statistics NZ'!O$115:O$129)</f>
        <v>36292.561793286673</v>
      </c>
      <c r="P125" s="44">
        <f>'Statistics NZ'!P$125*('Economic Forecasts'!R$10-'Economic Forecasts'!R$9)*1000000/SUM('Statistics NZ'!P$15:P$29,'Statistics NZ'!P$115:P$129)</f>
        <v>37079.344384429147</v>
      </c>
      <c r="Q125" s="44">
        <f>'Statistics NZ'!Q$125*('Economic Forecasts'!S$10-'Economic Forecasts'!S$9)*1000000/SUM('Statistics NZ'!Q$15:Q$29,'Statistics NZ'!Q$115:Q$129)</f>
        <v>36409.843788742859</v>
      </c>
      <c r="R125" s="44">
        <f>'Statistics NZ'!R$125*('Economic Forecasts'!T$10-'Economic Forecasts'!T$9)*1000000/SUM('Statistics NZ'!R$15:R$29,'Statistics NZ'!R$115:R$129)</f>
        <v>36135.633327117117</v>
      </c>
      <c r="S125" s="45">
        <f>SUM('Statistics NZ'!S$125,$D$13/5*(S$8-S$9)*1000)*('Economic Forecasts'!U$10-'Economic Forecasts'!U$9)*1000000/SUM('Statistics NZ'!S$15:S$29,'Statistics NZ'!S$115:S$129,SUM($B$12:$D$13)*(S$8-S$9)*1000)</f>
        <v>36635.885931201454</v>
      </c>
      <c r="T125" s="45">
        <f>SUM('Statistics NZ'!T$125,$D$13/5*(T$8-T$9)*1000)*('Economic Forecasts'!V$10-'Economic Forecasts'!V$9)*1000000/SUM('Statistics NZ'!T$15:T$29,'Statistics NZ'!T$115:T$129,SUM($B$12:$D$13)*(T$8-T$9)*1000)</f>
        <v>36577.588038246206</v>
      </c>
      <c r="U125" s="45">
        <f>SUM('Statistics NZ'!U$125,$D$13/5*(U$8-U$9)*1000)*('Economic Forecasts'!W$10-'Economic Forecasts'!W$9)*1000000/SUM('Statistics NZ'!U$15:U$29,'Statistics NZ'!U$115:U$129,SUM($B$12:$D$13)*(U$8-U$9)*1000)</f>
        <v>36470.831026398744</v>
      </c>
      <c r="V125" s="45">
        <f>SUM('Statistics NZ'!V$125,$D$13/5*(V$8-V$9)*1000)*('Economic Forecasts'!X$10-'Economic Forecasts'!X$9)*1000000/SUM('Statistics NZ'!V$15:V$29,'Statistics NZ'!V$115:V$129,SUM($B$12:$D$13)*(V$8-V$9)*1000)</f>
        <v>36603.037808245856</v>
      </c>
      <c r="W125" s="45">
        <f>SUM('Statistics NZ'!W$125,$D$13/5*(W$8-W$9)*1000)*('Economic Forecasts'!Y$10-'Economic Forecasts'!Y$9)*1000000/SUM('Statistics NZ'!W$15:W$29,'Statistics NZ'!W$115:W$129,SUM($B$12:$D$13)*(W$8-W$9)*1000)</f>
        <v>36690.507713093291</v>
      </c>
      <c r="X125" s="45">
        <f>SUM('Statistics NZ'!X$125,$D$13/5*(X$8-X$9)*1000)*('Economic Forecasts'!Z$10-'Economic Forecasts'!Z$9)*1000000/SUM('Statistics NZ'!X$15:X$29,'Statistics NZ'!X$115:X$129,SUM($B$12:$D$13)*(X$8-X$9)*1000)</f>
        <v>36401.081109432147</v>
      </c>
      <c r="Y125" s="45">
        <f>SUM('Statistics NZ'!Y$125,$D$13/5*(Y$8-Y$9)*1000)*('Economic Forecasts'!AA$10-'Economic Forecasts'!AA$9)*1000000/SUM('Statistics NZ'!Y$15:Y$29,'Statistics NZ'!Y$115:Y$129,SUM($B$12:$D$13)*(Y$8-Y$9)*1000)</f>
        <v>36722.986229418057</v>
      </c>
      <c r="Z125" s="46">
        <f>SUM(Y$125,'Statistics NZ'!Z$125-'Statistics NZ'!Y$125,$D$13/5*(Z$8-Z$9)*1000)</f>
        <v>36065.422272062096</v>
      </c>
      <c r="AA125" s="46">
        <f>SUM(Z$125,'Statistics NZ'!AA$125-'Statistics NZ'!Z$125,$D$13/5*(AA$8-AA$9)*1000)</f>
        <v>37045.365421079019</v>
      </c>
      <c r="AB125" s="46">
        <f>SUM(AA$125,'Statistics NZ'!AB$125-'Statistics NZ'!AA$125,$D$13/5*(AB$8-AB$9)*1000)</f>
        <v>36942.815676468825</v>
      </c>
      <c r="AC125" s="46">
        <f>SUM(AB$125,'Statistics NZ'!AC$125-'Statistics NZ'!AB$125,$D$13/5*(AC$8-AC$9)*1000)</f>
        <v>36627.773038231513</v>
      </c>
      <c r="AD125" s="46">
        <f>SUM(AC$125,'Statistics NZ'!AD$125-'Statistics NZ'!AC$125,$D$13/5*(AD$8-AD$9)*1000)</f>
        <v>36720.237506367092</v>
      </c>
      <c r="AE125" s="46">
        <f>SUM(AD$125,'Statistics NZ'!AE$125-'Statistics NZ'!AD$125,$D$13/5*(AE$8-AE$9)*1000)</f>
        <v>36790.209080875553</v>
      </c>
      <c r="AF125" s="46">
        <f>SUM(AE$125,'Statistics NZ'!AF$125-'Statistics NZ'!AE$125,$D$13/5*(AF$8-AF$9)*1000)</f>
        <v>36837.687761756897</v>
      </c>
      <c r="AG125" s="46">
        <f>SUM(AF$125,'Statistics NZ'!AG$125-'Statistics NZ'!AF$125,$D$13/5*(AG$8-AG$9)*1000)</f>
        <v>36862.673549011124</v>
      </c>
      <c r="AH125" s="46">
        <f>SUM(AG$125,'Statistics NZ'!AH$125-'Statistics NZ'!AG$125,$D$13/5*(AH$8-AH$9)*1000)</f>
        <v>36845.166442638241</v>
      </c>
      <c r="AI125" s="46">
        <f>SUM(AH$125,'Statistics NZ'!AI$125-'Statistics NZ'!AH$125,$D$13/5*(AI$8-AI$9)*1000)</f>
        <v>36815.166442638241</v>
      </c>
    </row>
    <row r="126" spans="1:35" x14ac:dyDescent="0.25">
      <c r="A126" s="11">
        <f>$A$26</f>
        <v>11</v>
      </c>
      <c r="B126" s="44">
        <f>'Statistics NZ'!B$126*('Economic Forecasts'!D$10-'Economic Forecasts'!D$9)*1000000/SUM('Statistics NZ'!B$15:B$29,'Statistics NZ'!B$115:B$129)</f>
        <v>33471.002240208945</v>
      </c>
      <c r="C126" s="44">
        <f>'Statistics NZ'!C$126*('Economic Forecasts'!E$10-'Economic Forecasts'!E$9)*1000000/SUM('Statistics NZ'!C$15:C$29,'Statistics NZ'!C$115:C$129)</f>
        <v>32999.679120385954</v>
      </c>
      <c r="D126" s="44">
        <f>'Statistics NZ'!D$126*('Economic Forecasts'!F$10-'Economic Forecasts'!F$9)*1000000/SUM('Statistics NZ'!D$15:D$29,'Statistics NZ'!D$115:D$129)</f>
        <v>32077.370436957717</v>
      </c>
      <c r="E126" s="44">
        <f>'Statistics NZ'!E$126*('Economic Forecasts'!G$10-'Economic Forecasts'!G$9)*1000000/SUM('Statistics NZ'!E$15:E$29,'Statistics NZ'!E$115:E$129)</f>
        <v>32377.13946468995</v>
      </c>
      <c r="F126" s="44">
        <f>'Statistics NZ'!F$126*('Economic Forecasts'!H$10-'Economic Forecasts'!H$9)*1000000/SUM('Statistics NZ'!F$15:F$29,'Statistics NZ'!F$115:F$129)</f>
        <v>32361.834078446056</v>
      </c>
      <c r="G126" s="44">
        <f>'Statistics NZ'!G$126*('Economic Forecasts'!I$10-'Economic Forecasts'!I$9)*1000000/SUM('Statistics NZ'!G$15:G$29,'Statistics NZ'!G$115:G$129)</f>
        <v>33350.133412392526</v>
      </c>
      <c r="H126" s="44">
        <f>'Statistics NZ'!H$126*('Economic Forecasts'!J$10-'Economic Forecasts'!J$9)*1000000/SUM('Statistics NZ'!H$15:H$29,'Statistics NZ'!H$115:H$129)</f>
        <v>32640.831602202674</v>
      </c>
      <c r="I126" s="44">
        <f>'Statistics NZ'!I$126*('Economic Forecasts'!K$10-'Economic Forecasts'!K$9)*1000000/SUM('Statistics NZ'!I$15:I$29,'Statistics NZ'!I$115:I$129)</f>
        <v>31080.711715577847</v>
      </c>
      <c r="J126" s="44">
        <f>'Statistics NZ'!J$126*('Economic Forecasts'!L$10-'Economic Forecasts'!L$9)*1000000/SUM('Statistics NZ'!J$15:J$29,'Statistics NZ'!J$115:J$129)</f>
        <v>31586.62293931183</v>
      </c>
      <c r="K126" s="44">
        <f>'Statistics NZ'!K$126*('Economic Forecasts'!M$10-'Economic Forecasts'!M$9)*1000000/SUM('Statistics NZ'!K$15:K$29,'Statistics NZ'!K$115:K$129)</f>
        <v>32285.010096599905</v>
      </c>
      <c r="L126" s="44">
        <f>'Statistics NZ'!L$126*('Economic Forecasts'!N$10-'Economic Forecasts'!N$9)*1000000/SUM('Statistics NZ'!L$15:L$29,'Statistics NZ'!L$115:L$129)</f>
        <v>32360.591378079651</v>
      </c>
      <c r="M126" s="44">
        <f>'Statistics NZ'!M$126*('Economic Forecasts'!O$10-'Economic Forecasts'!O$9)*1000000/SUM('Statistics NZ'!M$15:M$29,'Statistics NZ'!M$115:M$129)</f>
        <v>32994.401332152047</v>
      </c>
      <c r="N126" s="44">
        <f>'Statistics NZ'!N$126*('Economic Forecasts'!P$10-'Economic Forecasts'!P$9)*1000000/SUM('Statistics NZ'!N$15:N$29,'Statistics NZ'!N$115:N$129)</f>
        <v>34929.279322112707</v>
      </c>
      <c r="O126" s="44">
        <f>'Statistics NZ'!O$126*('Economic Forecasts'!Q$10-'Economic Forecasts'!Q$9)*1000000/SUM('Statistics NZ'!O$15:O$29,'Statistics NZ'!O$115:O$129)</f>
        <v>35987.670631060333</v>
      </c>
      <c r="P126" s="44">
        <f>'Statistics NZ'!P$126*('Economic Forecasts'!R$10-'Economic Forecasts'!R$9)*1000000/SUM('Statistics NZ'!P$15:P$29,'Statistics NZ'!P$115:P$129)</f>
        <v>36846.80573663627</v>
      </c>
      <c r="Q126" s="44">
        <f>'Statistics NZ'!Q$126*('Economic Forecasts'!S$10-'Economic Forecasts'!S$9)*1000000/SUM('Statistics NZ'!Q$15:Q$29,'Statistics NZ'!Q$115:Q$129)</f>
        <v>36945.282667989071</v>
      </c>
      <c r="R126" s="44">
        <f>'Statistics NZ'!R$126*('Economic Forecasts'!T$10-'Economic Forecasts'!T$9)*1000000/SUM('Statistics NZ'!R$15:R$29,'Statistics NZ'!R$115:R$129)</f>
        <v>36577.33780899689</v>
      </c>
      <c r="S126" s="45">
        <f>SUM('Statistics NZ'!S$126,$D$13/5*(S$8-S$9)*1000)*('Economic Forecasts'!U$10-'Economic Forecasts'!U$9)*1000000/SUM('Statistics NZ'!S$15:S$29,'Statistics NZ'!S$115:S$129,SUM($B$12:$D$13)*(S$8-S$9)*1000)</f>
        <v>37087.582670665615</v>
      </c>
      <c r="T126" s="45">
        <f>SUM('Statistics NZ'!T$126,$D$13/5*(T$8-T$9)*1000)*('Economic Forecasts'!V$10-'Economic Forecasts'!V$9)*1000000/SUM('Statistics NZ'!T$15:T$29,'Statistics NZ'!T$115:T$129,SUM($B$12:$D$13)*(T$8-T$9)*1000)</f>
        <v>37225.032451089726</v>
      </c>
      <c r="U126" s="45">
        <f>SUM('Statistics NZ'!U$126,$D$13/5*(U$8-U$9)*1000)*('Economic Forecasts'!W$10-'Economic Forecasts'!W$9)*1000000/SUM('Statistics NZ'!U$15:U$29,'Statistics NZ'!U$115:U$129,SUM($B$12:$D$13)*(U$8-U$9)*1000)</f>
        <v>36799.192429871633</v>
      </c>
      <c r="V126" s="45">
        <f>SUM('Statistics NZ'!V$126,$D$13/5*(V$8-V$9)*1000)*('Economic Forecasts'!X$10-'Economic Forecasts'!X$9)*1000000/SUM('Statistics NZ'!V$15:V$29,'Statistics NZ'!V$115:V$129,SUM($B$12:$D$13)*(V$8-V$9)*1000)</f>
        <v>37023.508807693921</v>
      </c>
      <c r="W126" s="45">
        <f>SUM('Statistics NZ'!W$126,$D$13/5*(W$8-W$9)*1000)*('Economic Forecasts'!Y$10-'Economic Forecasts'!Y$9)*1000000/SUM('Statistics NZ'!W$15:W$29,'Statistics NZ'!W$115:W$129,SUM($B$12:$D$13)*(W$8-W$9)*1000)</f>
        <v>37216.403916348085</v>
      </c>
      <c r="X126" s="45">
        <f>SUM('Statistics NZ'!X$126,$D$13/5*(X$8-X$9)*1000)*('Economic Forecasts'!Z$10-'Economic Forecasts'!Z$9)*1000000/SUM('Statistics NZ'!X$15:X$29,'Statistics NZ'!X$115:X$129,SUM($B$12:$D$13)*(X$8-X$9)*1000)</f>
        <v>37294.870137969308</v>
      </c>
      <c r="Y126" s="45">
        <f>SUM('Statistics NZ'!Y$126,$D$13/5*(Y$8-Y$9)*1000)*('Economic Forecasts'!AA$10-'Economic Forecasts'!AA$9)*1000000/SUM('Statistics NZ'!Y$15:Y$29,'Statistics NZ'!Y$115:Y$129,SUM($B$12:$D$13)*(Y$8-Y$9)*1000)</f>
        <v>36951.470083292625</v>
      </c>
      <c r="Z126" s="46">
        <f>SUM(Y$126,'Statistics NZ'!Z$126-'Statistics NZ'!Y$126,$D$13/5*(Z$8-Z$9)*1000)</f>
        <v>37033.906125936664</v>
      </c>
      <c r="AA126" s="46">
        <f>SUM(Z$126,'Statistics NZ'!AA$126-'Statistics NZ'!Z$126,$D$13/5*(AA$8-AA$9)*1000)</f>
        <v>36363.849274953587</v>
      </c>
      <c r="AB126" s="46">
        <f>SUM(AA$126,'Statistics NZ'!AB$126-'Statistics NZ'!AA$126,$D$13/5*(AB$8-AB$9)*1000)</f>
        <v>37331.299530343393</v>
      </c>
      <c r="AC126" s="46">
        <f>SUM(AB$126,'Statistics NZ'!AC$126-'Statistics NZ'!AB$126,$D$13/5*(AC$8-AC$9)*1000)</f>
        <v>37216.256892106081</v>
      </c>
      <c r="AD126" s="46">
        <f>SUM(AC$126,'Statistics NZ'!AD$126-'Statistics NZ'!AC$126,$D$13/5*(AD$8-AD$9)*1000)</f>
        <v>36888.72136024166</v>
      </c>
      <c r="AE126" s="46">
        <f>SUM(AD$126,'Statistics NZ'!AE$126-'Statistics NZ'!AD$126,$D$13/5*(AE$8-AE$9)*1000)</f>
        <v>36968.692934750121</v>
      </c>
      <c r="AF126" s="46">
        <f>SUM(AE$126,'Statistics NZ'!AF$126-'Statistics NZ'!AE$126,$D$13/5*(AF$8-AF$9)*1000)</f>
        <v>37026.171615631465</v>
      </c>
      <c r="AG126" s="46">
        <f>SUM(AF$126,'Statistics NZ'!AG$126-'Statistics NZ'!AF$126,$D$13/5*(AG$8-AG$9)*1000)</f>
        <v>37061.157402885692</v>
      </c>
      <c r="AH126" s="46">
        <f>SUM(AG$126,'Statistics NZ'!AH$126-'Statistics NZ'!AG$126,$D$13/5*(AH$8-AH$9)*1000)</f>
        <v>37073.650296512809</v>
      </c>
      <c r="AI126" s="46">
        <f>SUM(AH$126,'Statistics NZ'!AI$126-'Statistics NZ'!AH$126,$D$13/5*(AI$8-AI$9)*1000)</f>
        <v>37053.650296512809</v>
      </c>
    </row>
    <row r="127" spans="1:35" x14ac:dyDescent="0.25">
      <c r="A127" s="11">
        <f>$A$27</f>
        <v>12</v>
      </c>
      <c r="B127" s="44">
        <f>'Statistics NZ'!B$127*('Economic Forecasts'!D$10-'Economic Forecasts'!D$9)*1000000/SUM('Statistics NZ'!B$15:B$29,'Statistics NZ'!B$115:B$129)</f>
        <v>33545.217322781471</v>
      </c>
      <c r="C127" s="44">
        <f>'Statistics NZ'!C$127*('Economic Forecasts'!E$10-'Economic Forecasts'!E$9)*1000000/SUM('Statistics NZ'!C$15:C$29,'Statistics NZ'!C$115:C$129)</f>
        <v>33347.487938965554</v>
      </c>
      <c r="D127" s="44">
        <f>'Statistics NZ'!D$127*('Economic Forecasts'!F$10-'Economic Forecasts'!F$9)*1000000/SUM('Statistics NZ'!D$15:D$29,'Statistics NZ'!D$115:D$129)</f>
        <v>33163.487844915195</v>
      </c>
      <c r="E127" s="44">
        <f>'Statistics NZ'!E$127*('Economic Forecasts'!G$10-'Economic Forecasts'!G$9)*1000000/SUM('Statistics NZ'!E$15:E$29,'Statistics NZ'!E$115:E$129)</f>
        <v>32303.291313418256</v>
      </c>
      <c r="F127" s="44">
        <f>'Statistics NZ'!F$127*('Economic Forecasts'!H$10-'Economic Forecasts'!H$9)*1000000/SUM('Statistics NZ'!F$15:F$29,'Statistics NZ'!F$115:F$129)</f>
        <v>32742.312859250775</v>
      </c>
      <c r="G127" s="44">
        <f>'Statistics NZ'!G$127*('Economic Forecasts'!I$10-'Economic Forecasts'!I$9)*1000000/SUM('Statistics NZ'!G$15:G$29,'Statistics NZ'!G$115:G$129)</f>
        <v>32534.90792897849</v>
      </c>
      <c r="H127" s="44">
        <f>'Statistics NZ'!H$127*('Economic Forecasts'!J$10-'Economic Forecasts'!J$9)*1000000/SUM('Statistics NZ'!H$15:H$29,'Statistics NZ'!H$115:H$129)</f>
        <v>33541.926336268029</v>
      </c>
      <c r="I127" s="44">
        <f>'Statistics NZ'!I$127*('Economic Forecasts'!K$10-'Economic Forecasts'!K$9)*1000000/SUM('Statistics NZ'!I$15:I$29,'Statistics NZ'!I$115:I$129)</f>
        <v>32813.323209982496</v>
      </c>
      <c r="J127" s="44">
        <f>'Statistics NZ'!J$127*('Economic Forecasts'!L$10-'Economic Forecasts'!L$9)*1000000/SUM('Statistics NZ'!J$15:J$29,'Statistics NZ'!J$115:J$129)</f>
        <v>31469.240218929252</v>
      </c>
      <c r="K127" s="44">
        <f>'Statistics NZ'!K$127*('Economic Forecasts'!M$10-'Economic Forecasts'!M$9)*1000000/SUM('Statistics NZ'!K$15:K$29,'Statistics NZ'!K$115:K$129)</f>
        <v>32092.327675598979</v>
      </c>
      <c r="L127" s="44">
        <f>'Statistics NZ'!L$127*('Economic Forecasts'!N$10-'Economic Forecasts'!N$9)*1000000/SUM('Statistics NZ'!L$15:L$29,'Statistics NZ'!L$115:L$129)</f>
        <v>32520.792325495888</v>
      </c>
      <c r="M127" s="44">
        <f>'Statistics NZ'!M$127*('Economic Forecasts'!O$10-'Economic Forecasts'!O$9)*1000000/SUM('Statistics NZ'!M$15:M$29,'Statistics NZ'!M$115:M$129)</f>
        <v>32528.348793270932</v>
      </c>
      <c r="N127" s="44">
        <f>'Statistics NZ'!N$127*('Economic Forecasts'!P$10-'Economic Forecasts'!P$9)*1000000/SUM('Statistics NZ'!N$15:N$29,'Statistics NZ'!N$115:N$129)</f>
        <v>33373.810052088302</v>
      </c>
      <c r="O127" s="44">
        <f>'Statistics NZ'!O$127*('Economic Forecasts'!Q$10-'Economic Forecasts'!Q$9)*1000000/SUM('Statistics NZ'!O$15:O$29,'Statistics NZ'!O$115:O$129)</f>
        <v>35167.618539555013</v>
      </c>
      <c r="P127" s="44">
        <f>'Statistics NZ'!P$127*('Economic Forecasts'!R$10-'Economic Forecasts'!R$9)*1000000/SUM('Statistics NZ'!P$15:P$29,'Statistics NZ'!P$115:P$129)</f>
        <v>36593.127211771294</v>
      </c>
      <c r="Q127" s="44">
        <f>'Statistics NZ'!Q$127*('Economic Forecasts'!S$10-'Economic Forecasts'!S$9)*1000000/SUM('Statistics NZ'!Q$15:Q$29,'Statistics NZ'!Q$115:Q$129)</f>
        <v>36745.80543846597</v>
      </c>
      <c r="R127" s="44">
        <f>'Statistics NZ'!R$127*('Economic Forecasts'!T$10-'Economic Forecasts'!T$9)*1000000/SUM('Statistics NZ'!R$15:R$29,'Statistics NZ'!R$115:R$129)</f>
        <v>37082.142931145208</v>
      </c>
      <c r="S127" s="45">
        <f>SUM('Statistics NZ'!S$127,$D$13/5*(S$8-S$9)*1000)*('Economic Forecasts'!U$10-'Economic Forecasts'!U$9)*1000000/SUM('Statistics NZ'!S$15:S$29,'Statistics NZ'!S$115:S$129,SUM($B$12:$D$13)*(S$8-S$9)*1000)</f>
        <v>37549.783985466165</v>
      </c>
      <c r="T127" s="45">
        <f>SUM('Statistics NZ'!T$127,$D$13/5*(T$8-T$9)*1000)*('Economic Forecasts'!V$10-'Economic Forecasts'!V$9)*1000000/SUM('Statistics NZ'!T$15:T$29,'Statistics NZ'!T$115:T$129,SUM($B$12:$D$13)*(T$8-T$9)*1000)</f>
        <v>37710.615760722387</v>
      </c>
      <c r="U127" s="45">
        <f>SUM('Statistics NZ'!U$127,$D$13/5*(U$8-U$9)*1000)*('Economic Forecasts'!W$10-'Economic Forecasts'!W$9)*1000000/SUM('Statistics NZ'!U$15:U$29,'Statistics NZ'!U$115:U$129,SUM($B$12:$D$13)*(U$8-U$9)*1000)</f>
        <v>37477.805997048934</v>
      </c>
      <c r="V127" s="45">
        <f>SUM('Statistics NZ'!V$127,$D$13/5*(V$8-V$9)*1000)*('Economic Forecasts'!X$10-'Economic Forecasts'!X$9)*1000000/SUM('Statistics NZ'!V$15:V$29,'Statistics NZ'!V$115:V$129,SUM($B$12:$D$13)*(V$8-V$9)*1000)</f>
        <v>37377.589649334397</v>
      </c>
      <c r="W127" s="45">
        <f>SUM('Statistics NZ'!W$127,$D$13/5*(W$8-W$9)*1000)*('Economic Forecasts'!Y$10-'Economic Forecasts'!Y$9)*1000000/SUM('Statistics NZ'!W$15:W$29,'Statistics NZ'!W$115:W$129,SUM($B$12:$D$13)*(W$8-W$9)*1000)</f>
        <v>37663.975153160682</v>
      </c>
      <c r="X127" s="45">
        <f>SUM('Statistics NZ'!X$127,$D$13/5*(X$8-X$9)*1000)*('Economic Forecasts'!Z$10-'Economic Forecasts'!Z$9)*1000000/SUM('Statistics NZ'!X$15:X$29,'Statistics NZ'!X$115:X$129,SUM($B$12:$D$13)*(X$8-X$9)*1000)</f>
        <v>37849.245611365768</v>
      </c>
      <c r="Y127" s="45">
        <f>SUM('Statistics NZ'!Y$127,$D$13/5*(Y$8-Y$9)*1000)*('Economic Forecasts'!AA$10-'Economic Forecasts'!AA$9)*1000000/SUM('Statistics NZ'!Y$15:Y$29,'Statistics NZ'!Y$115:Y$129,SUM($B$12:$D$13)*(Y$8-Y$9)*1000)</f>
        <v>37876.829691484665</v>
      </c>
      <c r="Z127" s="46">
        <f>SUM(Y$127,'Statistics NZ'!Z$127-'Statistics NZ'!Y$127,$D$13/5*(Z$8-Z$9)*1000)</f>
        <v>37369.265734128705</v>
      </c>
      <c r="AA127" s="46">
        <f>SUM(Z$127,'Statistics NZ'!AA$127-'Statistics NZ'!Z$127,$D$13/5*(AA$8-AA$9)*1000)</f>
        <v>37439.208883145628</v>
      </c>
      <c r="AB127" s="46">
        <f>SUM(AA$127,'Statistics NZ'!AB$127-'Statistics NZ'!AA$127,$D$13/5*(AB$8-AB$9)*1000)</f>
        <v>36756.659138535433</v>
      </c>
      <c r="AC127" s="46">
        <f>SUM(AB$127,'Statistics NZ'!AC$127-'Statistics NZ'!AB$127,$D$13/5*(AC$8-AC$9)*1000)</f>
        <v>37711.616500298122</v>
      </c>
      <c r="AD127" s="46">
        <f>SUM(AC$127,'Statistics NZ'!AD$127-'Statistics NZ'!AC$127,$D$13/5*(AD$8-AD$9)*1000)</f>
        <v>37584.0809684337</v>
      </c>
      <c r="AE127" s="46">
        <f>SUM(AD$127,'Statistics NZ'!AE$127-'Statistics NZ'!AD$127,$D$13/5*(AE$8-AE$9)*1000)</f>
        <v>37244.052542942161</v>
      </c>
      <c r="AF127" s="46">
        <f>SUM(AE$127,'Statistics NZ'!AF$127-'Statistics NZ'!AE$127,$D$13/5*(AF$8-AF$9)*1000)</f>
        <v>37311.531223823506</v>
      </c>
      <c r="AG127" s="46">
        <f>SUM(AF$127,'Statistics NZ'!AG$127-'Statistics NZ'!AF$127,$D$13/5*(AG$8-AG$9)*1000)</f>
        <v>37356.517011077733</v>
      </c>
      <c r="AH127" s="46">
        <f>SUM(AG$127,'Statistics NZ'!AH$127-'Statistics NZ'!AG$127,$D$13/5*(AH$8-AH$9)*1000)</f>
        <v>37379.00990470485</v>
      </c>
      <c r="AI127" s="46">
        <f>SUM(AH$127,'Statistics NZ'!AI$127-'Statistics NZ'!AH$127,$D$13/5*(AI$8-AI$9)*1000)</f>
        <v>37379.00990470485</v>
      </c>
    </row>
    <row r="128" spans="1:35" x14ac:dyDescent="0.25">
      <c r="A128" s="11">
        <f>$A$28</f>
        <v>13</v>
      </c>
      <c r="B128" s="44">
        <f>'Statistics NZ'!B$128*('Economic Forecasts'!D$10-'Economic Forecasts'!D$9)*1000000/SUM('Statistics NZ'!B$15:B$29,'Statistics NZ'!B$115:B$129)</f>
        <v>34350.981076426033</v>
      </c>
      <c r="C128" s="44">
        <f>'Statistics NZ'!C$128*('Economic Forecasts'!E$10-'Economic Forecasts'!E$9)*1000000/SUM('Statistics NZ'!C$15:C$29,'Statistics NZ'!C$115:C$129)</f>
        <v>33326.408616627399</v>
      </c>
      <c r="D128" s="44">
        <f>'Statistics NZ'!D$128*('Economic Forecasts'!F$10-'Economic Forecasts'!F$9)*1000000/SUM('Statistics NZ'!D$15:D$29,'Statistics NZ'!D$115:D$129)</f>
        <v>33342.74994137419</v>
      </c>
      <c r="E128" s="44">
        <f>'Statistics NZ'!E$128*('Economic Forecasts'!G$10-'Economic Forecasts'!G$9)*1000000/SUM('Statistics NZ'!E$15:E$29,'Statistics NZ'!E$115:E$129)</f>
        <v>33347.715167117931</v>
      </c>
      <c r="F128" s="44">
        <f>'Statistics NZ'!F$128*('Economic Forecasts'!H$10-'Economic Forecasts'!H$9)*1000000/SUM('Statistics NZ'!F$15:F$29,'Statistics NZ'!F$115:F$129)</f>
        <v>32594.348888937828</v>
      </c>
      <c r="G128" s="44">
        <f>'Statistics NZ'!G$128*('Economic Forecasts'!I$10-'Economic Forecasts'!I$9)*1000000/SUM('Statistics NZ'!G$15:G$29,'Statistics NZ'!G$115:G$129)</f>
        <v>33021.925750238821</v>
      </c>
      <c r="H128" s="44">
        <f>'Statistics NZ'!H$128*('Economic Forecasts'!J$10-'Economic Forecasts'!J$9)*1000000/SUM('Statistics NZ'!H$15:H$29,'Statistics NZ'!H$115:H$129)</f>
        <v>32683.236060276344</v>
      </c>
      <c r="I128" s="44">
        <f>'Statistics NZ'!I$128*('Economic Forecasts'!K$10-'Economic Forecasts'!K$9)*1000000/SUM('Statistics NZ'!I$15:I$29,'Statistics NZ'!I$115:I$129)</f>
        <v>33780.609381705333</v>
      </c>
      <c r="J128" s="44">
        <f>'Statistics NZ'!J$128*('Economic Forecasts'!L$10-'Economic Forecasts'!L$9)*1000000/SUM('Statistics NZ'!J$15:J$29,'Statistics NZ'!J$115:J$129)</f>
        <v>33133.940617082175</v>
      </c>
      <c r="K128" s="44">
        <f>'Statistics NZ'!K$128*('Economic Forecasts'!M$10-'Economic Forecasts'!M$9)*1000000/SUM('Statistics NZ'!K$15:K$29,'Statistics NZ'!K$115:K$129)</f>
        <v>31985.281886154018</v>
      </c>
      <c r="L128" s="44">
        <f>'Statistics NZ'!L$128*('Economic Forecasts'!N$10-'Economic Forecasts'!N$9)*1000000/SUM('Statistics NZ'!L$15:L$29,'Statistics NZ'!L$115:L$129)</f>
        <v>32574.192641301299</v>
      </c>
      <c r="M128" s="44">
        <f>'Statistics NZ'!M$128*('Economic Forecasts'!O$10-'Economic Forecasts'!O$9)*1000000/SUM('Statistics NZ'!M$15:M$29,'Statistics NZ'!M$115:M$129)</f>
        <v>32570.71720589649</v>
      </c>
      <c r="N128" s="44">
        <f>'Statistics NZ'!N$128*('Economic Forecasts'!P$10-'Economic Forecasts'!P$9)*1000000/SUM('Statistics NZ'!N$15:N$29,'Statistics NZ'!N$115:N$129)</f>
        <v>32844.738871807895</v>
      </c>
      <c r="O128" s="44">
        <f>'Statistics NZ'!O$128*('Economic Forecasts'!Q$10-'Economic Forecasts'!Q$9)*1000000/SUM('Statistics NZ'!O$15:O$29,'Statistics NZ'!O$115:O$129)</f>
        <v>33580.081798307539</v>
      </c>
      <c r="P128" s="44">
        <f>'Statistics NZ'!P$128*('Economic Forecasts'!R$10-'Economic Forecasts'!R$9)*1000000/SUM('Statistics NZ'!P$15:P$29,'Statistics NZ'!P$115:P$129)</f>
        <v>35810.951760104326</v>
      </c>
      <c r="Q128" s="44">
        <f>'Statistics NZ'!Q$128*('Economic Forecasts'!S$10-'Economic Forecasts'!S$9)*1000000/SUM('Statistics NZ'!Q$15:Q$29,'Statistics NZ'!Q$115:Q$129)</f>
        <v>36493.834201173639</v>
      </c>
      <c r="R128" s="44">
        <f>'Statistics NZ'!R$128*('Economic Forecasts'!T$10-'Economic Forecasts'!T$9)*1000000/SUM('Statistics NZ'!R$15:R$29,'Statistics NZ'!R$115:R$129)</f>
        <v>36913.874557095769</v>
      </c>
      <c r="S128" s="45">
        <f>SUM('Statistics NZ'!S$128,$D$13/5*(S$8-S$9)*1000)*('Economic Forecasts'!U$10-'Economic Forecasts'!U$9)*1000000/SUM('Statistics NZ'!S$15:S$29,'Statistics NZ'!S$115:S$129,SUM($B$12:$D$13)*(S$8-S$9)*1000)</f>
        <v>38096.021902957713</v>
      </c>
      <c r="T128" s="45">
        <f>SUM('Statistics NZ'!T$128,$D$13/5*(T$8-T$9)*1000)*('Economic Forecasts'!V$10-'Economic Forecasts'!V$9)*1000000/SUM('Statistics NZ'!T$15:T$29,'Statistics NZ'!T$115:T$129,SUM($B$12:$D$13)*(T$8-T$9)*1000)</f>
        <v>38217.780550783144</v>
      </c>
      <c r="U128" s="45">
        <f>SUM('Statistics NZ'!U$128,$D$13/5*(U$8-U$9)*1000)*('Economic Forecasts'!W$10-'Economic Forecasts'!W$9)*1000000/SUM('Statistics NZ'!U$15:U$29,'Statistics NZ'!U$115:U$129,SUM($B$12:$D$13)*(U$8-U$9)*1000)</f>
        <v>38014.129622721317</v>
      </c>
      <c r="V128" s="45">
        <f>SUM('Statistics NZ'!V$128,$D$13/5*(V$8-V$9)*1000)*('Economic Forecasts'!X$10-'Economic Forecasts'!X$9)*1000000/SUM('Statistics NZ'!V$15:V$29,'Statistics NZ'!V$115:V$129,SUM($B$12:$D$13)*(V$8-V$9)*1000)</f>
        <v>38096.816358916614</v>
      </c>
      <c r="W128" s="45">
        <f>SUM('Statistics NZ'!W$128,$D$13/5*(W$8-W$9)*1000)*('Economic Forecasts'!Y$10-'Economic Forecasts'!Y$9)*1000000/SUM('Statistics NZ'!W$15:W$29,'Statistics NZ'!W$115:W$129,SUM($B$12:$D$13)*(W$8-W$9)*1000)</f>
        <v>38055.5999853717</v>
      </c>
      <c r="X128" s="45">
        <f>SUM('Statistics NZ'!X$128,$D$13/5*(X$8-X$9)*1000)*('Economic Forecasts'!Z$10-'Economic Forecasts'!Z$9)*1000000/SUM('Statistics NZ'!X$15:X$29,'Statistics NZ'!X$115:X$129,SUM($B$12:$D$13)*(X$8-X$9)*1000)</f>
        <v>38335.738373734093</v>
      </c>
      <c r="Y128" s="45">
        <f>SUM('Statistics NZ'!Y$128,$D$13/5*(Y$8-Y$9)*1000)*('Economic Forecasts'!AA$10-'Economic Forecasts'!AA$9)*1000000/SUM('Statistics NZ'!Y$15:Y$29,'Statistics NZ'!Y$115:Y$129,SUM($B$12:$D$13)*(Y$8-Y$9)*1000)</f>
        <v>38470.887711558549</v>
      </c>
      <c r="Z128" s="46">
        <f>SUM(Y$128,'Statistics NZ'!Z$128-'Statistics NZ'!Y$128,$D$13/5*(Z$8-Z$9)*1000)</f>
        <v>38283.323754202589</v>
      </c>
      <c r="AA128" s="46">
        <f>SUM(Z$128,'Statistics NZ'!AA$128-'Statistics NZ'!Z$128,$D$13/5*(AA$8-AA$9)*1000)</f>
        <v>37763.266903219512</v>
      </c>
      <c r="AB128" s="46">
        <f>SUM(AA$128,'Statistics NZ'!AB$128-'Statistics NZ'!AA$128,$D$13/5*(AB$8-AB$9)*1000)</f>
        <v>37820.717158609317</v>
      </c>
      <c r="AC128" s="46">
        <f>SUM(AB$128,'Statistics NZ'!AC$128-'Statistics NZ'!AB$128,$D$13/5*(AC$8-AC$9)*1000)</f>
        <v>37135.674520372006</v>
      </c>
      <c r="AD128" s="46">
        <f>SUM(AC$128,'Statistics NZ'!AD$128-'Statistics NZ'!AC$128,$D$13/5*(AD$8-AD$9)*1000)</f>
        <v>38068.138988507584</v>
      </c>
      <c r="AE128" s="46">
        <f>SUM(AD$128,'Statistics NZ'!AE$128-'Statistics NZ'!AD$128,$D$13/5*(AE$8-AE$9)*1000)</f>
        <v>37928.110563016045</v>
      </c>
      <c r="AF128" s="46">
        <f>SUM(AE$128,'Statistics NZ'!AF$128-'Statistics NZ'!AE$128,$D$13/5*(AF$8-AF$9)*1000)</f>
        <v>37575.58924389739</v>
      </c>
      <c r="AG128" s="46">
        <f>SUM(AF$128,'Statistics NZ'!AG$128-'Statistics NZ'!AF$128,$D$13/5*(AG$8-AG$9)*1000)</f>
        <v>37640.575031151617</v>
      </c>
      <c r="AH128" s="46">
        <f>SUM(AG$128,'Statistics NZ'!AH$128-'Statistics NZ'!AG$128,$D$13/5*(AH$8-AH$9)*1000)</f>
        <v>37663.067924778734</v>
      </c>
      <c r="AI128" s="46">
        <f>SUM(AH$128,'Statistics NZ'!AI$128-'Statistics NZ'!AH$128,$D$13/5*(AI$8-AI$9)*1000)</f>
        <v>37673.067924778734</v>
      </c>
    </row>
    <row r="129" spans="1:35" x14ac:dyDescent="0.25">
      <c r="A129" s="11">
        <f>$A$29</f>
        <v>14</v>
      </c>
      <c r="B129" s="44">
        <f>'Statistics NZ'!B$129*('Economic Forecasts'!D$10-'Economic Forecasts'!D$9)*1000000/SUM('Statistics NZ'!B$15:B$29,'Statistics NZ'!B$115:B$129)</f>
        <v>34775.067262554745</v>
      </c>
      <c r="C129" s="44">
        <f>'Statistics NZ'!C$129*('Economic Forecasts'!E$10-'Economic Forecasts'!E$9)*1000000/SUM('Statistics NZ'!C$15:C$29,'Statistics NZ'!C$115:C$129)</f>
        <v>34000.946931448445</v>
      </c>
      <c r="D129" s="44">
        <f>'Statistics NZ'!D$129*('Economic Forecasts'!F$10-'Economic Forecasts'!F$9)*1000000/SUM('Statistics NZ'!D$15:D$29,'Statistics NZ'!D$115:D$129)</f>
        <v>33268.936136949902</v>
      </c>
      <c r="E129" s="44">
        <f>'Statistics NZ'!E$129*('Economic Forecasts'!G$10-'Economic Forecasts'!G$9)*1000000/SUM('Statistics NZ'!E$15:E$29,'Statistics NZ'!E$115:E$129)</f>
        <v>33379.364374805802</v>
      </c>
      <c r="F129" s="44">
        <f>'Statistics NZ'!F$129*('Economic Forecasts'!H$10-'Economic Forecasts'!H$9)*1000000/SUM('Statistics NZ'!F$15:F$29,'Statistics NZ'!F$115:F$129)</f>
        <v>33619.52782610611</v>
      </c>
      <c r="G129" s="44">
        <f>'Statistics NZ'!G$129*('Economic Forecasts'!I$10-'Economic Forecasts'!I$9)*1000000/SUM('Statistics NZ'!G$15:G$29,'Statistics NZ'!G$115:G$129)</f>
        <v>32884.290279013076</v>
      </c>
      <c r="H129" s="44">
        <f>'Statistics NZ'!H$129*('Economic Forecasts'!J$10-'Economic Forecasts'!J$9)*1000000/SUM('Statistics NZ'!H$15:H$29,'Statistics NZ'!H$115:H$129)</f>
        <v>33287.499587826052</v>
      </c>
      <c r="I129" s="44">
        <f>'Statistics NZ'!I$129*('Economic Forecasts'!K$10-'Economic Forecasts'!K$9)*1000000/SUM('Statistics NZ'!I$15:I$29,'Statistics NZ'!I$115:I$129)</f>
        <v>32930.247912058883</v>
      </c>
      <c r="J129" s="44">
        <f>'Statistics NZ'!J$129*('Economic Forecasts'!L$10-'Economic Forecasts'!L$9)*1000000/SUM('Statistics NZ'!J$15:J$29,'Statistics NZ'!J$115:J$129)</f>
        <v>33987.633128955473</v>
      </c>
      <c r="K129" s="44">
        <f>'Statistics NZ'!K$129*('Economic Forecasts'!M$10-'Economic Forecasts'!M$9)*1000000/SUM('Statistics NZ'!K$15:K$29,'Statistics NZ'!K$115:K$129)</f>
        <v>33569.559569939425</v>
      </c>
      <c r="L129" s="44">
        <f>'Statistics NZ'!L$129*('Economic Forecasts'!N$10-'Economic Forecasts'!N$9)*1000000/SUM('Statistics NZ'!L$15:L$29,'Statistics NZ'!L$115:L$129)</f>
        <v>32499.432199173723</v>
      </c>
      <c r="M129" s="44">
        <f>'Statistics NZ'!M$129*('Economic Forecasts'!O$10-'Economic Forecasts'!O$9)*1000000/SUM('Statistics NZ'!M$15:M$29,'Statistics NZ'!M$115:M$129)</f>
        <v>32920.256610057324</v>
      </c>
      <c r="N129" s="44">
        <f>'Statistics NZ'!N$129*('Economic Forecasts'!P$10-'Economic Forecasts'!P$9)*1000000/SUM('Statistics NZ'!N$15:N$29,'Statistics NZ'!N$115:N$129)</f>
        <v>32971.715955075189</v>
      </c>
      <c r="O129" s="44">
        <f>'Statistics NZ'!O$129*('Economic Forecasts'!Q$10-'Economic Forecasts'!Q$9)*1000000/SUM('Statistics NZ'!O$15:O$29,'Statistics NZ'!O$115:O$129)</f>
        <v>33054.407380675919</v>
      </c>
      <c r="P129" s="44">
        <f>'Statistics NZ'!P$129*('Economic Forecasts'!R$10-'Economic Forecasts'!R$9)*1000000/SUM('Statistics NZ'!P$15:P$29,'Statistics NZ'!P$115:P$129)</f>
        <v>34172.61128701808</v>
      </c>
      <c r="Q129" s="44">
        <f>'Statistics NZ'!Q$129*('Economic Forecasts'!S$10-'Economic Forecasts'!S$9)*1000000/SUM('Statistics NZ'!Q$15:Q$29,'Statistics NZ'!Q$115:Q$129)</f>
        <v>35632.932473758148</v>
      </c>
      <c r="R129" s="44">
        <f>'Statistics NZ'!R$129*('Economic Forecasts'!T$10-'Economic Forecasts'!T$9)*1000000/SUM('Statistics NZ'!R$15:R$29,'Statistics NZ'!R$115:R$129)</f>
        <v>36587.854582374988</v>
      </c>
      <c r="S129" s="45">
        <f>SUM('Statistics NZ'!S$129,$D$13/5*(S$8-S$9)*1000)*('Economic Forecasts'!U$10-'Economic Forecasts'!U$9)*1000000/SUM('Statistics NZ'!S$15:S$29,'Statistics NZ'!S$115:S$129,SUM($B$12:$D$13)*(S$8-S$9)*1000)</f>
        <v>37980.471574257572</v>
      </c>
      <c r="T129" s="45">
        <f>SUM('Statistics NZ'!T$129,$D$13/5*(T$8-T$9)*1000)*('Economic Forecasts'!V$10-'Economic Forecasts'!V$9)*1000000/SUM('Statistics NZ'!T$15:T$29,'Statistics NZ'!T$115:T$129,SUM($B$12:$D$13)*(T$8-T$9)*1000)</f>
        <v>38832.852742984498</v>
      </c>
      <c r="U129" s="45">
        <f>SUM('Statistics NZ'!U$129,$D$13/5*(U$8-U$9)*1000)*('Economic Forecasts'!W$10-'Economic Forecasts'!W$9)*1000000/SUM('Statistics NZ'!U$15:U$29,'Statistics NZ'!U$115:U$129,SUM($B$12:$D$13)*(U$8-U$9)*1000)</f>
        <v>38572.34400862523</v>
      </c>
      <c r="V129" s="45">
        <f>SUM('Statistics NZ'!V$129,$D$13/5*(V$8-V$9)*1000)*('Economic Forecasts'!X$10-'Economic Forecasts'!X$9)*1000000/SUM('Statistics NZ'!V$15:V$29,'Statistics NZ'!V$115:V$129,SUM($B$12:$D$13)*(V$8-V$9)*1000)</f>
        <v>38683.26275288366</v>
      </c>
      <c r="W129" s="45">
        <f>SUM('Statistics NZ'!W$129,$D$13/5*(W$8-W$9)*1000)*('Economic Forecasts'!Y$10-'Economic Forecasts'!Y$9)*1000000/SUM('Statistics NZ'!W$15:W$29,'Statistics NZ'!W$115:W$129,SUM($B$12:$D$13)*(W$8-W$9)*1000)</f>
        <v>38827.660368873425</v>
      </c>
      <c r="X129" s="45">
        <f>SUM('Statistics NZ'!X$129,$D$13/5*(X$8-X$9)*1000)*('Economic Forecasts'!Z$10-'Economic Forecasts'!Z$9)*1000000/SUM('Statistics NZ'!X$15:X$29,'Statistics NZ'!X$115:X$129,SUM($B$12:$D$13)*(X$8-X$9)*1000)</f>
        <v>38788.289780588362</v>
      </c>
      <c r="Y129" s="45">
        <f>SUM('Statistics NZ'!Y$129,$D$13/5*(Y$8-Y$9)*1000)*('Economic Forecasts'!AA$10-'Economic Forecasts'!AA$9)*1000000/SUM('Statistics NZ'!Y$15:Y$29,'Statistics NZ'!Y$115:Y$129,SUM($B$12:$D$13)*(Y$8-Y$9)*1000)</f>
        <v>39007.824768163802</v>
      </c>
      <c r="Z129" s="46">
        <f>SUM(Y$129,'Statistics NZ'!Z$129-'Statistics NZ'!Y$129,$D$13/5*(Z$8-Z$9)*1000)</f>
        <v>38910.260810807842</v>
      </c>
      <c r="AA129" s="46">
        <f>SUM(Z$129,'Statistics NZ'!AA$129-'Statistics NZ'!Z$129,$D$13/5*(AA$8-AA$9)*1000)</f>
        <v>38720.203959824765</v>
      </c>
      <c r="AB129" s="46">
        <f>SUM(AA$129,'Statistics NZ'!AB$129-'Statistics NZ'!AA$129,$D$13/5*(AB$8-AB$9)*1000)</f>
        <v>38187.65421521457</v>
      </c>
      <c r="AC129" s="46">
        <f>SUM(AB$129,'Statistics NZ'!AC$129-'Statistics NZ'!AB$129,$D$13/5*(AC$8-AC$9)*1000)</f>
        <v>38232.611576977259</v>
      </c>
      <c r="AD129" s="46">
        <f>SUM(AC$129,'Statistics NZ'!AD$129-'Statistics NZ'!AC$129,$D$13/5*(AD$8-AD$9)*1000)</f>
        <v>37525.076045112837</v>
      </c>
      <c r="AE129" s="46">
        <f>SUM(AD$129,'Statistics NZ'!AE$129-'Statistics NZ'!AD$129,$D$13/5*(AE$8-AE$9)*1000)</f>
        <v>38455.047619621299</v>
      </c>
      <c r="AF129" s="46">
        <f>SUM(AE$129,'Statistics NZ'!AF$129-'Statistics NZ'!AE$129,$D$13/5*(AF$8-AF$9)*1000)</f>
        <v>38302.526300502643</v>
      </c>
      <c r="AG129" s="46">
        <f>SUM(AF$129,'Statistics NZ'!AG$129-'Statistics NZ'!AF$129,$D$13/5*(AG$8-AG$9)*1000)</f>
        <v>37937.51208775687</v>
      </c>
      <c r="AH129" s="46">
        <f>SUM(AG$129,'Statistics NZ'!AH$129-'Statistics NZ'!AG$129,$D$13/5*(AH$8-AH$9)*1000)</f>
        <v>37980.004981383987</v>
      </c>
      <c r="AI129" s="46">
        <f>SUM(AH$129,'Statistics NZ'!AI$129-'Statistics NZ'!AH$129,$D$13/5*(AI$8-AI$9)*1000)</f>
        <v>38000.004981383987</v>
      </c>
    </row>
    <row r="130" spans="1:35" x14ac:dyDescent="0.25">
      <c r="A130" s="11">
        <f>$A$30</f>
        <v>15</v>
      </c>
      <c r="B130" s="44">
        <f>'Statistics NZ'!B$130*'Economic Forecasts'!D$9*1000000/SUM('Statistics NZ'!B$30:B$110,'Statistics NZ'!B$130:B$210)</f>
        <v>32864.257414328706</v>
      </c>
      <c r="C130" s="44">
        <f>'Statistics NZ'!C$130*'Economic Forecasts'!E$9*1000000/SUM('Statistics NZ'!C$30:C$110,'Statistics NZ'!C$130:C$210)</f>
        <v>32003.635043330047</v>
      </c>
      <c r="D130" s="44">
        <f>'Statistics NZ'!D$130*'Economic Forecasts'!F$9*1000000/SUM('Statistics NZ'!D$30:D$110,'Statistics NZ'!D$130:D$210)</f>
        <v>31530.943095617429</v>
      </c>
      <c r="E130" s="44">
        <f>'Statistics NZ'!E$130*'Economic Forecasts'!G$9*1000000/SUM('Statistics NZ'!E$30:E$110,'Statistics NZ'!E$130:E$210)</f>
        <v>30872.508114210457</v>
      </c>
      <c r="F130" s="44">
        <f>'Statistics NZ'!F$130*'Economic Forecasts'!H$9*1000000/SUM('Statistics NZ'!F$30:F$110,'Statistics NZ'!F$130:F$210)</f>
        <v>31182.274851779661</v>
      </c>
      <c r="G130" s="44">
        <f>'Statistics NZ'!G$130*'Economic Forecasts'!I$9*1000000/SUM('Statistics NZ'!G$30:G$110,'Statistics NZ'!G$130:G$210)</f>
        <v>31382.798869074009</v>
      </c>
      <c r="H130" s="44">
        <f>'Statistics NZ'!H$130*'Economic Forecasts'!J$9*1000000/SUM('Statistics NZ'!H$30:H$110,'Statistics NZ'!H$130:H$210)</f>
        <v>30762.504395155182</v>
      </c>
      <c r="I130" s="44">
        <f>'Statistics NZ'!I$130*'Economic Forecasts'!K$9*1000000/SUM('Statistics NZ'!I$30:I$110,'Statistics NZ'!I$130:I$210)</f>
        <v>30998.841879144489</v>
      </c>
      <c r="J130" s="44">
        <f>'Statistics NZ'!J$130*'Economic Forecasts'!L$9*1000000/SUM('Statistics NZ'!J$30:J$110,'Statistics NZ'!J$130:J$210)</f>
        <v>30425.872601075254</v>
      </c>
      <c r="K130" s="44">
        <f>'Statistics NZ'!K$130*'Economic Forecasts'!M$9*1000000/SUM('Statistics NZ'!K$30:K$110,'Statistics NZ'!K$130:K$210)</f>
        <v>31350.626282755973</v>
      </c>
      <c r="L130" s="44">
        <f>'Statistics NZ'!L$130*'Economic Forecasts'!N$9*1000000/SUM('Statistics NZ'!L$30:L$110,'Statistics NZ'!L$130:L$210)</f>
        <v>31127.95823206694</v>
      </c>
      <c r="M130" s="44">
        <f>'Statistics NZ'!M$130*'Economic Forecasts'!O$9*1000000/SUM('Statistics NZ'!M$30:M$110,'Statistics NZ'!M$130:M$210)</f>
        <v>30393.144222063442</v>
      </c>
      <c r="N130" s="44">
        <f>'Statistics NZ'!N$130*'Economic Forecasts'!P$9*1000000/SUM('Statistics NZ'!N$30:N$110,'Statistics NZ'!N$130:N$210)</f>
        <v>31047.596443221533</v>
      </c>
      <c r="O130" s="44">
        <f>'Statistics NZ'!O$130*'Economic Forecasts'!Q$9*1000000/SUM('Statistics NZ'!O$30:O$110,'Statistics NZ'!O$130:O$210)</f>
        <v>31086.945087940821</v>
      </c>
      <c r="P130" s="44">
        <f>'Statistics NZ'!P$130*'Economic Forecasts'!R$9*1000000/SUM('Statistics NZ'!P$30:P$110,'Statistics NZ'!P$130:P$210)</f>
        <v>31192.620362870959</v>
      </c>
      <c r="Q130" s="44">
        <f>'Statistics NZ'!Q$130*'Economic Forecasts'!S$9*1000000/SUM('Statistics NZ'!Q$30:Q$110,'Statistics NZ'!Q$130:Q$210)</f>
        <v>31956.667157410513</v>
      </c>
      <c r="R130" s="44">
        <f>'Statistics NZ'!R$130*'Economic Forecasts'!T$9*1000000/SUM('Statistics NZ'!R$30:R$110,'Statistics NZ'!R$130:R$210)</f>
        <v>33533.819876522459</v>
      </c>
      <c r="S130" s="45">
        <f>SUM('Statistics NZ'!S$130,$E$13/5*(S$8-S$9)*1000)*'Economic Forecasts'!U$9*1000000/SUM('Statistics NZ'!S$30:S$110,'Statistics NZ'!S$130:S$210,SUM($E$12:$T$13)*(S$8-S$9)*1000)</f>
        <v>35481.454306287094</v>
      </c>
      <c r="T130" s="45">
        <f>SUM('Statistics NZ'!T$130,$E$13/5*(T$8-T$9)*1000)*'Economic Forecasts'!V$9*1000000/SUM('Statistics NZ'!T$30:T$110,'Statistics NZ'!T$130:T$210,SUM($E$12:$T$13)*(T$8-T$9)*1000)</f>
        <v>36268.038475946552</v>
      </c>
      <c r="U130" s="45">
        <f>SUM('Statistics NZ'!U$130,$E$13/5*(U$8-U$9)*1000)*'Economic Forecasts'!W$9*1000000/SUM('Statistics NZ'!U$30:U$110,'Statistics NZ'!U$130:U$210,SUM($E$12:$T$13)*(U$8-U$9)*1000)</f>
        <v>36337.064119566283</v>
      </c>
      <c r="V130" s="45">
        <f>SUM('Statistics NZ'!V$130,$E$13/5*(V$8-V$9)*1000)*'Economic Forecasts'!X$9*1000000/SUM('Statistics NZ'!V$30:V$110,'Statistics NZ'!V$130:V$210,SUM($E$12:$T$13)*(V$8-V$9)*1000)</f>
        <v>36034.069837562893</v>
      </c>
      <c r="W130" s="45">
        <f>SUM('Statistics NZ'!W$130,$E$13/5*(W$8-W$9)*1000)*'Economic Forecasts'!Y$9*1000000/SUM('Statistics NZ'!W$30:W$110,'Statistics NZ'!W$130:W$210,SUM($E$12:$T$13)*(W$8-W$9)*1000)</f>
        <v>35841.987862140559</v>
      </c>
      <c r="X130" s="45">
        <f>SUM('Statistics NZ'!X$130,$E$13/5*(X$8-X$9)*1000)*'Economic Forecasts'!Z$9*1000000/SUM('Statistics NZ'!X$30:X$110,'Statistics NZ'!X$130:X$210,SUM($E$12:$T$13)*(X$8-X$9)*1000)</f>
        <v>35654.278444337746</v>
      </c>
      <c r="Y130" s="45">
        <f>SUM('Statistics NZ'!Y$130,$E$13/5*(Y$8-Y$9)*1000)*'Economic Forecasts'!AA$9*1000000/SUM('Statistics NZ'!Y$30:Y$110,'Statistics NZ'!Y$130:Y$210,SUM($E$12:$T$13)*(Y$8-Y$9)*1000)</f>
        <v>35308.119247030445</v>
      </c>
      <c r="Z130" s="46">
        <f>SUM(Y$130,'Statistics NZ'!Z$130-'Statistics NZ'!Y$130,$E$13/5*(Z$8-Z$9)*1000)</f>
        <v>35365.303230773985</v>
      </c>
      <c r="AA130" s="46">
        <f>SUM(Z$130,'Statistics NZ'!AA$130-'Statistics NZ'!Z$130,$E$13/5*(AA$8-AA$9)*1000)</f>
        <v>35321.688994101576</v>
      </c>
      <c r="AB130" s="46">
        <f>SUM(AA$130,'Statistics NZ'!AB$130-'Statistics NZ'!AA$130,$E$13/5*(AB$8-AB$9)*1000)</f>
        <v>35167.276537013218</v>
      </c>
      <c r="AC130" s="46">
        <f>SUM(AB$130,'Statistics NZ'!AC$130-'Statistics NZ'!AB$130,$E$13/5*(AC$8-AC$9)*1000)</f>
        <v>34672.065859508912</v>
      </c>
      <c r="AD130" s="46">
        <f>SUM(AC$130,'Statistics NZ'!AD$130-'Statistics NZ'!AC$130,$E$13/5*(AD$8-AD$9)*1000)</f>
        <v>34746.056961588656</v>
      </c>
      <c r="AE130" s="46">
        <f>SUM(AD$130,'Statistics NZ'!AE$130-'Statistics NZ'!AD$130,$E$13/5*(AE$8-AE$9)*1000)</f>
        <v>34069.249843252452</v>
      </c>
      <c r="AF130" s="46">
        <f>SUM(AE$130,'Statistics NZ'!AF$130-'Statistics NZ'!AE$130,$E$13/5*(AF$8-AF$9)*1000)</f>
        <v>35001.644504500298</v>
      </c>
      <c r="AG130" s="46">
        <f>SUM(AF$130,'Statistics NZ'!AG$130-'Statistics NZ'!AF$130,$E$13/5*(AG$8-AG$9)*1000)</f>
        <v>34853.240945332196</v>
      </c>
      <c r="AH130" s="46">
        <f>SUM(AG$130,'Statistics NZ'!AH$130-'Statistics NZ'!AG$130,$E$13/5*(AH$8-AH$9)*1000)</f>
        <v>34484.039165748145</v>
      </c>
      <c r="AI130" s="46">
        <f>SUM(AH$130,'Statistics NZ'!AI$130-'Statistics NZ'!AH$130,$E$13/5*(AI$8-AI$9)*1000)</f>
        <v>34524.039165748145</v>
      </c>
    </row>
    <row r="131" spans="1:35" x14ac:dyDescent="0.25">
      <c r="A131" s="11">
        <f>$A$31</f>
        <v>16</v>
      </c>
      <c r="B131" s="44">
        <f>'Statistics NZ'!B$131*'Economic Forecasts'!D$9*1000000/SUM('Statistics NZ'!B$30:B$110,'Statistics NZ'!B$130:B$210)</f>
        <v>31905.431208135131</v>
      </c>
      <c r="C131" s="44">
        <f>'Statistics NZ'!C$131*'Economic Forecasts'!E$9*1000000/SUM('Statistics NZ'!C$30:C$110,'Statistics NZ'!C$130:C$210)</f>
        <v>32710.680677917277</v>
      </c>
      <c r="D131" s="44">
        <f>'Statistics NZ'!D$131*'Economic Forecasts'!F$9*1000000/SUM('Statistics NZ'!D$30:D$110,'Statistics NZ'!D$130:D$210)</f>
        <v>31727.397569733428</v>
      </c>
      <c r="E131" s="44">
        <f>'Statistics NZ'!E$131*'Economic Forecasts'!G$9*1000000/SUM('Statistics NZ'!E$30:E$110,'Statistics NZ'!E$130:E$210)</f>
        <v>31431.508419963313</v>
      </c>
      <c r="F131" s="44">
        <f>'Statistics NZ'!F$131*'Economic Forecasts'!H$9*1000000/SUM('Statistics NZ'!F$30:F$110,'Statistics NZ'!F$130:F$210)</f>
        <v>31074.377706963813</v>
      </c>
      <c r="G131" s="44">
        <f>'Statistics NZ'!G$131*'Economic Forecasts'!I$9*1000000/SUM('Statistics NZ'!G$30:G$110,'Statistics NZ'!G$130:G$210)</f>
        <v>31412.266285852485</v>
      </c>
      <c r="H131" s="44">
        <f>'Statistics NZ'!H$131*'Economic Forecasts'!J$9*1000000/SUM('Statistics NZ'!H$30:H$110,'Statistics NZ'!H$130:H$210)</f>
        <v>31617.291326607909</v>
      </c>
      <c r="I131" s="44">
        <f>'Statistics NZ'!I$131*'Economic Forecasts'!K$9*1000000/SUM('Statistics NZ'!I$30:I$110,'Statistics NZ'!I$130:I$210)</f>
        <v>31028.252545063981</v>
      </c>
      <c r="J131" s="44">
        <f>'Statistics NZ'!J$131*'Economic Forecasts'!L$9*1000000/SUM('Statistics NZ'!J$30:J$110,'Statistics NZ'!J$130:J$210)</f>
        <v>31128.008122638526</v>
      </c>
      <c r="K131" s="44">
        <f>'Statistics NZ'!K$131*'Economic Forecasts'!M$9*1000000/SUM('Statistics NZ'!K$30:K$110,'Statistics NZ'!K$130:K$210)</f>
        <v>30785.925560892661</v>
      </c>
      <c r="L131" s="44">
        <f>'Statistics NZ'!L$131*'Economic Forecasts'!N$9*1000000/SUM('Statistics NZ'!L$30:L$110,'Statistics NZ'!L$130:L$210)</f>
        <v>31906.887433995424</v>
      </c>
      <c r="M131" s="44">
        <f>'Statistics NZ'!M$131*'Economic Forecasts'!O$9*1000000/SUM('Statistics NZ'!M$30:M$110,'Statistics NZ'!M$130:M$210)</f>
        <v>31936.736889079199</v>
      </c>
      <c r="N131" s="44">
        <f>'Statistics NZ'!N$131*'Economic Forecasts'!P$9*1000000/SUM('Statistics NZ'!N$30:N$110,'Statistics NZ'!N$130:N$210)</f>
        <v>31116.090983121489</v>
      </c>
      <c r="O131" s="44">
        <f>'Statistics NZ'!O$131*'Economic Forecasts'!Q$9*1000000/SUM('Statistics NZ'!O$30:O$110,'Statistics NZ'!O$130:O$210)</f>
        <v>31646.098092047047</v>
      </c>
      <c r="P131" s="44">
        <f>'Statistics NZ'!P$131*'Economic Forecasts'!R$9*1000000/SUM('Statistics NZ'!P$30:P$110,'Statistics NZ'!P$130:P$210)</f>
        <v>31495.841194244116</v>
      </c>
      <c r="Q131" s="44">
        <f>'Statistics NZ'!Q$131*'Economic Forecasts'!S$9*1000000/SUM('Statistics NZ'!Q$30:Q$110,'Statistics NZ'!Q$130:Q$210)</f>
        <v>31532.28893388715</v>
      </c>
      <c r="R131" s="44">
        <f>'Statistics NZ'!R$131*'Economic Forecasts'!T$9*1000000/SUM('Statistics NZ'!R$30:R$110,'Statistics NZ'!R$130:R$210)</f>
        <v>31977.314723616888</v>
      </c>
      <c r="S131" s="45">
        <f>SUM('Statistics NZ'!S$131,$E$13/5*(S$8-S$9)*1000)*'Economic Forecasts'!U$9*1000000/SUM('Statistics NZ'!S$30:S$110,'Statistics NZ'!S$130:S$210,SUM($E$12:$T$13)*(S$8-S$9)*1000)</f>
        <v>34792.621323395491</v>
      </c>
      <c r="T131" s="45">
        <f>SUM('Statistics NZ'!T$131,$E$13/5*(T$8-T$9)*1000)*'Economic Forecasts'!V$9*1000000/SUM('Statistics NZ'!T$30:T$110,'Statistics NZ'!T$130:T$210,SUM($E$12:$T$13)*(T$8-T$9)*1000)</f>
        <v>36108.257196608916</v>
      </c>
      <c r="U131" s="45">
        <f>SUM('Statistics NZ'!U$131,$E$13/5*(U$8-U$9)*1000)*'Economic Forecasts'!W$9*1000000/SUM('Statistics NZ'!U$30:U$110,'Statistics NZ'!U$130:U$210,SUM($E$12:$T$13)*(U$8-U$9)*1000)</f>
        <v>36407.750296786289</v>
      </c>
      <c r="V131" s="45">
        <f>SUM('Statistics NZ'!V$131,$E$13/5*(V$8-V$9)*1000)*'Economic Forecasts'!X$9*1000000/SUM('Statistics NZ'!V$30:V$110,'Statistics NZ'!V$130:V$210,SUM($E$12:$T$13)*(V$8-V$9)*1000)</f>
        <v>36792.510999350328</v>
      </c>
      <c r="W131" s="45">
        <f>SUM('Statistics NZ'!W$131,$E$13/5*(W$8-W$9)*1000)*'Economic Forecasts'!Y$9*1000000/SUM('Statistics NZ'!W$30:W$110,'Statistics NZ'!W$130:W$210,SUM($E$12:$T$13)*(W$8-W$9)*1000)</f>
        <v>36561.034394173766</v>
      </c>
      <c r="X131" s="45">
        <f>SUM('Statistics NZ'!X$131,$E$13/5*(X$8-X$9)*1000)*'Economic Forecasts'!Z$9*1000000/SUM('Statistics NZ'!X$30:X$110,'Statistics NZ'!X$130:X$210,SUM($E$12:$T$13)*(X$8-X$9)*1000)</f>
        <v>36384.886518357103</v>
      </c>
      <c r="Y131" s="45">
        <f>SUM('Statistics NZ'!Y$131,$E$13/5*(Y$8-Y$9)*1000)*'Economic Forecasts'!AA$9*1000000/SUM('Statistics NZ'!Y$30:Y$110,'Statistics NZ'!Y$130:Y$210,SUM($E$12:$T$13)*(Y$8-Y$9)*1000)</f>
        <v>36203.335360563637</v>
      </c>
      <c r="Z131" s="46">
        <f>SUM(Y$131,'Statistics NZ'!Z$131-'Statistics NZ'!Y$131,$E$13/5*(Z$8-Z$9)*1000)</f>
        <v>35970.519344307177</v>
      </c>
      <c r="AA131" s="46">
        <f>SUM(Z$131,'Statistics NZ'!AA$131-'Statistics NZ'!Z$131,$E$13/5*(AA$8-AA$9)*1000)</f>
        <v>35996.905107634768</v>
      </c>
      <c r="AB131" s="46">
        <f>SUM(AA$131,'Statistics NZ'!AB$131-'Statistics NZ'!AA$131,$E$13/5*(AB$8-AB$9)*1000)</f>
        <v>35932.49265054641</v>
      </c>
      <c r="AC131" s="46">
        <f>SUM(AB$131,'Statistics NZ'!AC$131-'Statistics NZ'!AB$131,$E$13/5*(AC$8-AC$9)*1000)</f>
        <v>35767.281973042103</v>
      </c>
      <c r="AD131" s="46">
        <f>SUM(AC$131,'Statistics NZ'!AD$131-'Statistics NZ'!AC$131,$E$13/5*(AD$8-AD$9)*1000)</f>
        <v>35251.273075121848</v>
      </c>
      <c r="AE131" s="46">
        <f>SUM(AD$131,'Statistics NZ'!AE$131-'Statistics NZ'!AD$131,$E$13/5*(AE$8-AE$9)*1000)</f>
        <v>35304.465956785643</v>
      </c>
      <c r="AF131" s="46">
        <f>SUM(AE$131,'Statistics NZ'!AF$131-'Statistics NZ'!AE$131,$E$13/5*(AF$8-AF$9)*1000)</f>
        <v>34596.86061803349</v>
      </c>
      <c r="AG131" s="46">
        <f>SUM(AF$131,'Statistics NZ'!AG$131-'Statistics NZ'!AF$131,$E$13/5*(AG$8-AG$9)*1000)</f>
        <v>35518.457058865388</v>
      </c>
      <c r="AH131" s="46">
        <f>SUM(AG$131,'Statistics NZ'!AH$131-'Statistics NZ'!AG$131,$E$13/5*(AH$8-AH$9)*1000)</f>
        <v>35349.255279281337</v>
      </c>
      <c r="AI131" s="46">
        <f>SUM(AH$131,'Statistics NZ'!AI$131-'Statistics NZ'!AH$131,$E$13/5*(AI$8-AI$9)*1000)</f>
        <v>34959.255279281337</v>
      </c>
    </row>
    <row r="132" spans="1:35" x14ac:dyDescent="0.25">
      <c r="A132" s="11">
        <f>$A$32</f>
        <v>17</v>
      </c>
      <c r="B132" s="44">
        <f>'Statistics NZ'!B$132*'Economic Forecasts'!D$9*1000000/SUM('Statistics NZ'!B$30:B$110,'Statistics NZ'!B$130:B$210)</f>
        <v>31132.499878652558</v>
      </c>
      <c r="C132" s="44">
        <f>'Statistics NZ'!C$132*'Economic Forecasts'!E$9*1000000/SUM('Statistics NZ'!C$30:C$110,'Statistics NZ'!C$130:C$210)</f>
        <v>31679.572460810905</v>
      </c>
      <c r="D132" s="44">
        <f>'Statistics NZ'!D$132*'Economic Forecasts'!F$9*1000000/SUM('Statistics NZ'!D$30:D$110,'Statistics NZ'!D$130:D$210)</f>
        <v>32572.151808432216</v>
      </c>
      <c r="E132" s="44">
        <f>'Statistics NZ'!E$132*'Economic Forecasts'!G$9*1000000/SUM('Statistics NZ'!E$30:E$110,'Statistics NZ'!E$130:E$210)</f>
        <v>31558.999717766597</v>
      </c>
      <c r="F132" s="44">
        <f>'Statistics NZ'!F$132*'Economic Forecasts'!H$9*1000000/SUM('Statistics NZ'!F$30:F$110,'Statistics NZ'!F$130:F$210)</f>
        <v>31594.245768349258</v>
      </c>
      <c r="G132" s="44">
        <f>'Statistics NZ'!G$132*'Economic Forecasts'!I$9*1000000/SUM('Statistics NZ'!G$30:G$110,'Statistics NZ'!G$130:G$210)</f>
        <v>31235.461785181644</v>
      </c>
      <c r="H132" s="44">
        <f>'Statistics NZ'!H$132*'Economic Forecasts'!J$9*1000000/SUM('Statistics NZ'!H$30:H$110,'Statistics NZ'!H$130:H$210)</f>
        <v>31558.340503749099</v>
      </c>
      <c r="I132" s="44">
        <f>'Statistics NZ'!I$132*'Economic Forecasts'!K$9*1000000/SUM('Statistics NZ'!I$30:I$110,'Statistics NZ'!I$130:I$210)</f>
        <v>31792.929858970765</v>
      </c>
      <c r="J132" s="44">
        <f>'Statistics NZ'!J$132*'Economic Forecasts'!L$9*1000000/SUM('Statistics NZ'!J$30:J$110,'Statistics NZ'!J$130:J$210)</f>
        <v>31176.767533858198</v>
      </c>
      <c r="K132" s="44">
        <f>'Statistics NZ'!K$132*'Economic Forecasts'!M$9*1000000/SUM('Statistics NZ'!K$30:K$110,'Statistics NZ'!K$130:K$210)</f>
        <v>31486.933353550561</v>
      </c>
      <c r="L132" s="44">
        <f>'Statistics NZ'!L$132*'Economic Forecasts'!N$9*1000000/SUM('Statistics NZ'!L$30:L$110,'Statistics NZ'!L$130:L$210)</f>
        <v>31303.217302500852</v>
      </c>
      <c r="M132" s="44">
        <f>'Statistics NZ'!M$132*'Economic Forecasts'!O$9*1000000/SUM('Statistics NZ'!M$30:M$110,'Statistics NZ'!M$130:M$210)</f>
        <v>32474.063450382149</v>
      </c>
      <c r="N132" s="44">
        <f>'Statistics NZ'!N$132*'Economic Forecasts'!P$9*1000000/SUM('Statistics NZ'!N$30:N$110,'Statistics NZ'!N$130:N$210)</f>
        <v>32525.121518206233</v>
      </c>
      <c r="O132" s="44">
        <f>'Statistics NZ'!O$132*'Economic Forecasts'!Q$9*1000000/SUM('Statistics NZ'!O$30:O$110,'Statistics NZ'!O$130:O$210)</f>
        <v>31557.810775609221</v>
      </c>
      <c r="P132" s="44">
        <f>'Statistics NZ'!P$132*'Economic Forecasts'!R$9*1000000/SUM('Statistics NZ'!P$30:P$110,'Statistics NZ'!P$130:P$210)</f>
        <v>31847.96861132262</v>
      </c>
      <c r="Q132" s="44">
        <f>'Statistics NZ'!Q$132*'Economic Forecasts'!S$9*1000000/SUM('Statistics NZ'!Q$30:Q$110,'Statistics NZ'!Q$130:Q$210)</f>
        <v>31759.281937167088</v>
      </c>
      <c r="R132" s="44">
        <f>'Statistics NZ'!R$132*'Economic Forecasts'!T$9*1000000/SUM('Statistics NZ'!R$30:R$110,'Statistics NZ'!R$130:R$210)</f>
        <v>31534.006293991879</v>
      </c>
      <c r="S132" s="45">
        <f>SUM('Statistics NZ'!S$132,$E$13/5*(S$8-S$9)*1000)*'Economic Forecasts'!U$9*1000000/SUM('Statistics NZ'!S$30:S$110,'Statistics NZ'!S$130:S$210,SUM($E$12:$T$13)*(S$8-S$9)*1000)</f>
        <v>33317.93662762754</v>
      </c>
      <c r="T132" s="45">
        <f>SUM('Statistics NZ'!T$132,$E$13/5*(T$8-T$9)*1000)*'Economic Forecasts'!V$9*1000000/SUM('Statistics NZ'!T$30:T$110,'Statistics NZ'!T$130:T$210,SUM($E$12:$T$13)*(T$8-T$9)*1000)</f>
        <v>35489.104739175556</v>
      </c>
      <c r="U132" s="45">
        <f>SUM('Statistics NZ'!U$132,$E$13/5*(U$8-U$9)*1000)*'Economic Forecasts'!W$9*1000000/SUM('Statistics NZ'!U$30:U$110,'Statistics NZ'!U$130:U$210,SUM($E$12:$T$13)*(U$8-U$9)*1000)</f>
        <v>36357.26017020057</v>
      </c>
      <c r="V132" s="45">
        <f>SUM('Statistics NZ'!V$132,$E$13/5*(V$8-V$9)*1000)*'Economic Forecasts'!X$9*1000000/SUM('Statistics NZ'!V$30:V$110,'Statistics NZ'!V$130:V$210,SUM($E$12:$T$13)*(V$8-V$9)*1000)</f>
        <v>37004.874524650812</v>
      </c>
      <c r="W132" s="45">
        <f>SUM('Statistics NZ'!W$132,$E$13/5*(W$8-W$9)*1000)*'Economic Forecasts'!Y$9*1000000/SUM('Statistics NZ'!W$30:W$110,'Statistics NZ'!W$130:W$210,SUM($E$12:$T$13)*(W$8-W$9)*1000)</f>
        <v>37462.374413201309</v>
      </c>
      <c r="X132" s="45">
        <f>SUM('Statistics NZ'!X$132,$E$13/5*(X$8-X$9)*1000)*'Economic Forecasts'!Z$9*1000000/SUM('Statistics NZ'!X$30:X$110,'Statistics NZ'!X$130:X$210,SUM($E$12:$T$13)*(X$8-X$9)*1000)</f>
        <v>37237.262604713003</v>
      </c>
      <c r="Y132" s="45">
        <f>SUM('Statistics NZ'!Y$132,$E$13/5*(Y$8-Y$9)*1000)*'Economic Forecasts'!AA$9*1000000/SUM('Statistics NZ'!Y$30:Y$110,'Statistics NZ'!Y$130:Y$210,SUM($E$12:$T$13)*(Y$8-Y$9)*1000)</f>
        <v>37078.205653334706</v>
      </c>
      <c r="Z132" s="46">
        <f>SUM(Y$132,'Statistics NZ'!Z$132-'Statistics NZ'!Y$132,$E$13/5*(Z$8-Z$9)*1000)</f>
        <v>36995.389637078246</v>
      </c>
      <c r="AA132" s="46">
        <f>SUM(Z$132,'Statistics NZ'!AA$132-'Statistics NZ'!Z$132,$E$13/5*(AA$8-AA$9)*1000)</f>
        <v>36741.775400405837</v>
      </c>
      <c r="AB132" s="46">
        <f>SUM(AA$132,'Statistics NZ'!AB$132-'Statistics NZ'!AA$132,$E$13/5*(AB$8-AB$9)*1000)</f>
        <v>36747.362943317479</v>
      </c>
      <c r="AC132" s="46">
        <f>SUM(AB$132,'Statistics NZ'!AC$132-'Statistics NZ'!AB$132,$E$13/5*(AC$8-AC$9)*1000)</f>
        <v>36672.152265813173</v>
      </c>
      <c r="AD132" s="46">
        <f>SUM(AC$132,'Statistics NZ'!AD$132-'Statistics NZ'!AC$132,$E$13/5*(AD$8-AD$9)*1000)</f>
        <v>36476.143367892917</v>
      </c>
      <c r="AE132" s="46">
        <f>SUM(AD$132,'Statistics NZ'!AE$132-'Statistics NZ'!AD$132,$E$13/5*(AE$8-AE$9)*1000)</f>
        <v>35939.336249556713</v>
      </c>
      <c r="AF132" s="46">
        <f>SUM(AE$132,'Statistics NZ'!AF$132-'Statistics NZ'!AE$132,$E$13/5*(AF$8-AF$9)*1000)</f>
        <v>35971.730910804559</v>
      </c>
      <c r="AG132" s="46">
        <f>SUM(AF$132,'Statistics NZ'!AG$132-'Statistics NZ'!AF$132,$E$13/5*(AG$8-AG$9)*1000)</f>
        <v>35253.327351636457</v>
      </c>
      <c r="AH132" s="46">
        <f>SUM(AG$132,'Statistics NZ'!AH$132-'Statistics NZ'!AG$132,$E$13/5*(AH$8-AH$9)*1000)</f>
        <v>36144.125572052406</v>
      </c>
      <c r="AI132" s="46">
        <f>SUM(AH$132,'Statistics NZ'!AI$132-'Statistics NZ'!AH$132,$E$13/5*(AI$8-AI$9)*1000)</f>
        <v>35954.125572052406</v>
      </c>
    </row>
    <row r="133" spans="1:35" x14ac:dyDescent="0.25">
      <c r="A133" s="11">
        <f>$A$33</f>
        <v>18</v>
      </c>
      <c r="B133" s="44">
        <f>'Statistics NZ'!B$133*'Economic Forecasts'!D$9*1000000/SUM('Statistics NZ'!B$30:B$110,'Statistics NZ'!B$130:B$210)</f>
        <v>30467.191898844772</v>
      </c>
      <c r="C133" s="44">
        <f>'Statistics NZ'!C$133*'Economic Forecasts'!E$9*1000000/SUM('Statistics NZ'!C$30:C$110,'Statistics NZ'!C$130:C$210)</f>
        <v>30805.585495835028</v>
      </c>
      <c r="D133" s="44">
        <f>'Statistics NZ'!D$133*'Economic Forecasts'!F$9*1000000/SUM('Statistics NZ'!D$30:D$110,'Statistics NZ'!D$130:D$210)</f>
        <v>31206.79321332604</v>
      </c>
      <c r="E133" s="44">
        <f>'Statistics NZ'!E$133*'Economic Forecasts'!G$9*1000000/SUM('Statistics NZ'!E$30:E$110,'Statistics NZ'!E$130:E$210)</f>
        <v>32147.421092243287</v>
      </c>
      <c r="F133" s="44">
        <f>'Statistics NZ'!F$133*'Economic Forecasts'!H$9*1000000/SUM('Statistics NZ'!F$30:F$110,'Statistics NZ'!F$130:F$210)</f>
        <v>31515.775117574096</v>
      </c>
      <c r="G133" s="44">
        <f>'Statistics NZ'!G$133*'Economic Forecasts'!I$9*1000000/SUM('Statistics NZ'!G$30:G$110,'Statistics NZ'!G$130:G$210)</f>
        <v>31569.425842004341</v>
      </c>
      <c r="H133" s="44">
        <f>'Statistics NZ'!H$133*'Economic Forecasts'!J$9*1000000/SUM('Statistics NZ'!H$30:H$110,'Statistics NZ'!H$130:H$210)</f>
        <v>31204.635566596247</v>
      </c>
      <c r="I133" s="44">
        <f>'Statistics NZ'!I$133*'Economic Forecasts'!K$9*1000000/SUM('Statistics NZ'!I$30:I$110,'Statistics NZ'!I$130:I$210)</f>
        <v>31528.23386569534</v>
      </c>
      <c r="J133" s="44">
        <f>'Statistics NZ'!J$133*'Economic Forecasts'!L$9*1000000/SUM('Statistics NZ'!J$30:J$110,'Statistics NZ'!J$130:J$210)</f>
        <v>32054.436935812293</v>
      </c>
      <c r="K133" s="44">
        <f>'Statistics NZ'!K$133*'Economic Forecasts'!M$9*1000000/SUM('Statistics NZ'!K$30:K$110,'Statistics NZ'!K$130:K$210)</f>
        <v>31720.602617769859</v>
      </c>
      <c r="L133" s="44">
        <f>'Statistics NZ'!L$133*'Economic Forecasts'!N$9*1000000/SUM('Statistics NZ'!L$30:L$110,'Statistics NZ'!L$130:L$210)</f>
        <v>32033.463429308798</v>
      </c>
      <c r="M133" s="44">
        <f>'Statistics NZ'!M$133*'Economic Forecasts'!O$9*1000000/SUM('Statistics NZ'!M$30:M$110,'Statistics NZ'!M$130:M$210)</f>
        <v>31692.497543032401</v>
      </c>
      <c r="N133" s="44">
        <f>'Statistics NZ'!N$133*'Economic Forecasts'!P$9*1000000/SUM('Statistics NZ'!N$30:N$110,'Statistics NZ'!N$130:N$210)</f>
        <v>32720.82020363467</v>
      </c>
      <c r="O133" s="44">
        <f>'Statistics NZ'!O$133*'Economic Forecasts'!Q$9*1000000/SUM('Statistics NZ'!O$30:O$110,'Statistics NZ'!O$130:O$210)</f>
        <v>32793.833205738774</v>
      </c>
      <c r="P133" s="44">
        <f>'Statistics NZ'!P$133*'Economic Forecasts'!R$9*1000000/SUM('Statistics NZ'!P$30:P$110,'Statistics NZ'!P$130:P$210)</f>
        <v>31759.936757052994</v>
      </c>
      <c r="Q133" s="44">
        <f>'Statistics NZ'!Q$133*'Economic Forecasts'!S$9*1000000/SUM('Statistics NZ'!Q$30:Q$110,'Statistics NZ'!Q$130:Q$210)</f>
        <v>31897.451591337482</v>
      </c>
      <c r="R133" s="44">
        <f>'Statistics NZ'!R$133*'Economic Forecasts'!T$9*1000000/SUM('Statistics NZ'!R$30:R$110,'Statistics NZ'!R$130:R$210)</f>
        <v>31593.114084608551</v>
      </c>
      <c r="S133" s="45">
        <f>SUM('Statistics NZ'!S$133,$E$13/5*(S$8-S$9)*1000)*'Economic Forecasts'!U$9*1000000/SUM('Statistics NZ'!S$30:S$110,'Statistics NZ'!S$130:S$210,SUM($E$12:$T$13)*(S$8-S$9)*1000)</f>
        <v>32794.035485709981</v>
      </c>
      <c r="T133" s="45">
        <f>SUM('Statistics NZ'!T$133,$E$13/5*(T$8-T$9)*1000)*'Economic Forecasts'!V$9*1000000/SUM('Statistics NZ'!T$30:T$110,'Statistics NZ'!T$130:T$210,SUM($E$12:$T$13)*(T$8-T$9)*1000)</f>
        <v>33911.264605716366</v>
      </c>
      <c r="U133" s="45">
        <f>SUM('Statistics NZ'!U$133,$E$13/5*(U$8-U$9)*1000)*'Economic Forecasts'!W$9*1000000/SUM('Statistics NZ'!U$30:U$110,'Statistics NZ'!U$130:U$210,SUM($E$12:$T$13)*(U$8-U$9)*1000)</f>
        <v>35690.790499269096</v>
      </c>
      <c r="V133" s="45">
        <f>SUM('Statistics NZ'!V$133,$E$13/5*(V$8-V$9)*1000)*'Economic Forecasts'!X$9*1000000/SUM('Statistics NZ'!V$30:V$110,'Statistics NZ'!V$130:V$210,SUM($E$12:$T$13)*(V$8-V$9)*1000)</f>
        <v>36944.199231707818</v>
      </c>
      <c r="W133" s="45">
        <f>SUM('Statistics NZ'!W$133,$E$13/5*(W$8-W$9)*1000)*'Economic Forecasts'!Y$9*1000000/SUM('Statistics NZ'!W$30:W$110,'Statistics NZ'!W$130:W$210,SUM($E$12:$T$13)*(W$8-W$9)*1000)</f>
        <v>37664.922732083905</v>
      </c>
      <c r="X133" s="45">
        <f>SUM('Statistics NZ'!X$133,$E$13/5*(X$8-X$9)*1000)*'Economic Forecasts'!Z$9*1000000/SUM('Statistics NZ'!X$30:X$110,'Statistics NZ'!X$130:X$210,SUM($E$12:$T$13)*(X$8-X$9)*1000)</f>
        <v>38140.37536287582</v>
      </c>
      <c r="Y133" s="45">
        <f>SUM('Statistics NZ'!Y$133,$E$13/5*(Y$8-Y$9)*1000)*'Economic Forecasts'!AA$9*1000000/SUM('Statistics NZ'!Y$30:Y$110,'Statistics NZ'!Y$130:Y$210,SUM($E$12:$T$13)*(Y$8-Y$9)*1000)</f>
        <v>37932.730125343667</v>
      </c>
      <c r="Z133" s="46">
        <f>SUM(Y$133,'Statistics NZ'!Z$133-'Statistics NZ'!Y$133,$E$13/5*(Z$8-Z$9)*1000)</f>
        <v>37859.914109087207</v>
      </c>
      <c r="AA133" s="46">
        <f>SUM(Z$133,'Statistics NZ'!AA$133-'Statistics NZ'!Z$133,$E$13/5*(AA$8-AA$9)*1000)</f>
        <v>37766.299872414798</v>
      </c>
      <c r="AB133" s="46">
        <f>SUM(AA$133,'Statistics NZ'!AB$133-'Statistics NZ'!AA$133,$E$13/5*(AB$8-AB$9)*1000)</f>
        <v>37481.887415326441</v>
      </c>
      <c r="AC133" s="46">
        <f>SUM(AB$133,'Statistics NZ'!AC$133-'Statistics NZ'!AB$133,$E$13/5*(AC$8-AC$9)*1000)</f>
        <v>37476.676737822134</v>
      </c>
      <c r="AD133" s="46">
        <f>SUM(AC$133,'Statistics NZ'!AD$133-'Statistics NZ'!AC$133,$E$13/5*(AD$8-AD$9)*1000)</f>
        <v>37370.667839901878</v>
      </c>
      <c r="AE133" s="46">
        <f>SUM(AD$133,'Statistics NZ'!AE$133-'Statistics NZ'!AD$133,$E$13/5*(AE$8-AE$9)*1000)</f>
        <v>37163.860721565674</v>
      </c>
      <c r="AF133" s="46">
        <f>SUM(AE$133,'Statistics NZ'!AF$133-'Statistics NZ'!AE$133,$E$13/5*(AF$8-AF$9)*1000)</f>
        <v>36606.255382813521</v>
      </c>
      <c r="AG133" s="46">
        <f>SUM(AF$133,'Statistics NZ'!AG$133-'Statistics NZ'!AF$133,$E$13/5*(AG$8-AG$9)*1000)</f>
        <v>36617.851823645418</v>
      </c>
      <c r="AH133" s="46">
        <f>SUM(AG$133,'Statistics NZ'!AH$133-'Statistics NZ'!AG$133,$E$13/5*(AH$8-AH$9)*1000)</f>
        <v>35878.650044061367</v>
      </c>
      <c r="AI133" s="46">
        <f>SUM(AH$133,'Statistics NZ'!AI$133-'Statistics NZ'!AH$133,$E$13/5*(AI$8-AI$9)*1000)</f>
        <v>36748.650044061367</v>
      </c>
    </row>
    <row r="134" spans="1:35" x14ac:dyDescent="0.25">
      <c r="A134" s="11">
        <f>$A$34</f>
        <v>19</v>
      </c>
      <c r="B134" s="44">
        <f>'Statistics NZ'!B$134*'Economic Forecasts'!D$9*1000000/SUM('Statistics NZ'!B$30:B$110,'Statistics NZ'!B$130:B$210)</f>
        <v>29596.421160566937</v>
      </c>
      <c r="C134" s="44">
        <f>'Statistics NZ'!C$134*'Economic Forecasts'!E$9*1000000/SUM('Statistics NZ'!C$30:C$110,'Statistics NZ'!C$130:C$210)</f>
        <v>30216.380800345676</v>
      </c>
      <c r="D134" s="44">
        <f>'Statistics NZ'!D$134*'Economic Forecasts'!F$9*1000000/SUM('Statistics NZ'!D$30:D$110,'Statistics NZ'!D$130:D$210)</f>
        <v>30617.429790978051</v>
      </c>
      <c r="E134" s="44">
        <f>'Statistics NZ'!E$134*'Economic Forecasts'!G$9*1000000/SUM('Statistics NZ'!E$30:E$110,'Statistics NZ'!E$130:E$210)</f>
        <v>31186.332847264694</v>
      </c>
      <c r="F134" s="44">
        <f>'Statistics NZ'!F$134*'Economic Forecasts'!H$9*1000000/SUM('Statistics NZ'!F$30:F$110,'Statistics NZ'!F$130:F$210)</f>
        <v>32418.187601488447</v>
      </c>
      <c r="G134" s="44">
        <f>'Statistics NZ'!G$134*'Economic Forecasts'!I$9*1000000/SUM('Statistics NZ'!G$30:G$110,'Statistics NZ'!G$130:G$210)</f>
        <v>31883.744954308055</v>
      </c>
      <c r="H134" s="44">
        <f>'Statistics NZ'!H$134*'Economic Forecasts'!J$9*1000000/SUM('Statistics NZ'!H$30:H$110,'Statistics NZ'!H$130:H$210)</f>
        <v>31902.220303758822</v>
      </c>
      <c r="I134" s="44">
        <f>'Statistics NZ'!I$134*'Economic Forecasts'!K$9*1000000/SUM('Statistics NZ'!I$30:I$110,'Statistics NZ'!I$130:I$210)</f>
        <v>31655.680084679803</v>
      </c>
      <c r="J134" s="44">
        <f>'Statistics NZ'!J$134*'Economic Forecasts'!L$9*1000000/SUM('Statistics NZ'!J$30:J$110,'Statistics NZ'!J$130:J$210)</f>
        <v>32493.271636789344</v>
      </c>
      <c r="K134" s="44">
        <f>'Statistics NZ'!K$134*'Economic Forecasts'!M$9*1000000/SUM('Statistics NZ'!K$30:K$110,'Statistics NZ'!K$130:K$210)</f>
        <v>33229.716615852834</v>
      </c>
      <c r="L134" s="44">
        <f>'Statistics NZ'!L$134*'Economic Forecasts'!N$9*1000000/SUM('Statistics NZ'!L$30:L$110,'Statistics NZ'!L$130:L$210)</f>
        <v>32753.972941092645</v>
      </c>
      <c r="M134" s="44">
        <f>'Statistics NZ'!M$134*'Economic Forecasts'!O$9*1000000/SUM('Statistics NZ'!M$30:M$110,'Statistics NZ'!M$130:M$210)</f>
        <v>32835.537682531409</v>
      </c>
      <c r="N134" s="44">
        <f>'Statistics NZ'!N$134*'Economic Forecasts'!P$9*1000000/SUM('Statistics NZ'!N$30:N$110,'Statistics NZ'!N$130:N$210)</f>
        <v>32182.648818706468</v>
      </c>
      <c r="O134" s="44">
        <f>'Statistics NZ'!O$134*'Economic Forecasts'!Q$9*1000000/SUM('Statistics NZ'!O$30:O$110,'Statistics NZ'!O$130:O$210)</f>
        <v>33215.650384275046</v>
      </c>
      <c r="P134" s="44">
        <f>'Statistics NZ'!P$134*'Economic Forecasts'!R$9*1000000/SUM('Statistics NZ'!P$30:P$110,'Statistics NZ'!P$130:P$210)</f>
        <v>33315.166182483059</v>
      </c>
      <c r="Q134" s="44">
        <f>'Statistics NZ'!Q$134*'Economic Forecasts'!S$9*1000000/SUM('Statistics NZ'!Q$30:Q$110,'Statistics NZ'!Q$130:Q$210)</f>
        <v>31749.412676154912</v>
      </c>
      <c r="R134" s="44">
        <f>'Statistics NZ'!R$134*'Economic Forecasts'!T$9*1000000/SUM('Statistics NZ'!R$30:R$110,'Statistics NZ'!R$130:R$210)</f>
        <v>31760.586158022441</v>
      </c>
      <c r="S134" s="45">
        <f>SUM('Statistics NZ'!S$134,$E$13/5*(S$8-S$9)*1000)*'Economic Forecasts'!U$9*1000000/SUM('Statistics NZ'!S$30:S$110,'Statistics NZ'!S$130:S$210,SUM($E$12:$T$13)*(S$8-S$9)*1000)</f>
        <v>32842.544850702354</v>
      </c>
      <c r="T134" s="45">
        <f>SUM('Statistics NZ'!T$134,$E$13/5*(T$8-T$9)*1000)*'Economic Forecasts'!V$9*1000000/SUM('Statistics NZ'!T$30:T$110,'Statistics NZ'!T$130:T$210,SUM($E$12:$T$13)*(T$8-T$9)*1000)</f>
        <v>33372.002787951831</v>
      </c>
      <c r="U134" s="45">
        <f>SUM('Statistics NZ'!U$134,$E$13/5*(U$8-U$9)*1000)*'Economic Forecasts'!W$9*1000000/SUM('Statistics NZ'!U$30:U$110,'Statistics NZ'!U$130:U$210,SUM($E$12:$T$13)*(U$8-U$9)*1000)</f>
        <v>34105.400524477554</v>
      </c>
      <c r="V134" s="45">
        <f>SUM('Statistics NZ'!V$134,$E$13/5*(V$8-V$9)*1000)*'Economic Forecasts'!X$9*1000000/SUM('Statistics NZ'!V$30:V$110,'Statistics NZ'!V$130:V$210,SUM($E$12:$T$13)*(V$8-V$9)*1000)</f>
        <v>36296.996106982537</v>
      </c>
      <c r="W134" s="45">
        <f>SUM('Statistics NZ'!W$134,$E$13/5*(W$8-W$9)*1000)*'Economic Forecasts'!Y$9*1000000/SUM('Statistics NZ'!W$30:W$110,'Statistics NZ'!W$130:W$210,SUM($E$12:$T$13)*(W$8-W$9)*1000)</f>
        <v>37624.413068307382</v>
      </c>
      <c r="X134" s="45">
        <f>SUM('Statistics NZ'!X$134,$E$13/5*(X$8-X$9)*1000)*'Economic Forecasts'!Z$9*1000000/SUM('Statistics NZ'!X$30:X$110,'Statistics NZ'!X$130:X$210,SUM($E$12:$T$13)*(X$8-X$9)*1000)</f>
        <v>38343.322050103416</v>
      </c>
      <c r="Y134" s="45">
        <f>SUM('Statistics NZ'!Y$134,$E$13/5*(Y$8-Y$9)*1000)*'Economic Forecasts'!AA$9*1000000/SUM('Statistics NZ'!Y$30:Y$110,'Statistics NZ'!Y$130:Y$210,SUM($E$12:$T$13)*(Y$8-Y$9)*1000)</f>
        <v>38838.119149257916</v>
      </c>
      <c r="Z134" s="46">
        <f>SUM(Y$134,'Statistics NZ'!Z$134-'Statistics NZ'!Y$134,$E$13/5*(Z$8-Z$9)*1000)</f>
        <v>38725.303133001456</v>
      </c>
      <c r="AA134" s="46">
        <f>SUM(Z$134,'Statistics NZ'!AA$134-'Statistics NZ'!Z$134,$E$13/5*(AA$8-AA$9)*1000)</f>
        <v>38641.688896329048</v>
      </c>
      <c r="AB134" s="46">
        <f>SUM(AA$134,'Statistics NZ'!AB$134-'Statistics NZ'!AA$134,$E$13/5*(AB$8-AB$9)*1000)</f>
        <v>38527.27643924069</v>
      </c>
      <c r="AC134" s="46">
        <f>SUM(AB$134,'Statistics NZ'!AC$134-'Statistics NZ'!AB$134,$E$13/5*(AC$8-AC$9)*1000)</f>
        <v>38222.065761736383</v>
      </c>
      <c r="AD134" s="46">
        <f>SUM(AC$134,'Statistics NZ'!AD$134-'Statistics NZ'!AC$134,$E$13/5*(AD$8-AD$9)*1000)</f>
        <v>38196.056863816128</v>
      </c>
      <c r="AE134" s="46">
        <f>SUM(AD$134,'Statistics NZ'!AE$134-'Statistics NZ'!AD$134,$E$13/5*(AE$8-AE$9)*1000)</f>
        <v>38069.249745479923</v>
      </c>
      <c r="AF134" s="46">
        <f>SUM(AE$134,'Statistics NZ'!AF$134-'Statistics NZ'!AE$134,$E$13/5*(AF$8-AF$9)*1000)</f>
        <v>37831.64440672777</v>
      </c>
      <c r="AG134" s="46">
        <f>SUM(AF$134,'Statistics NZ'!AG$134-'Statistics NZ'!AF$134,$E$13/5*(AG$8-AG$9)*1000)</f>
        <v>37253.240847559668</v>
      </c>
      <c r="AH134" s="46">
        <f>SUM(AG$134,'Statistics NZ'!AH$134-'Statistics NZ'!AG$134,$E$13/5*(AH$8-AH$9)*1000)</f>
        <v>37254.039067975616</v>
      </c>
      <c r="AI134" s="46">
        <f>SUM(AH$134,'Statistics NZ'!AI$134-'Statistics NZ'!AH$134,$E$13/5*(AI$8-AI$9)*1000)</f>
        <v>36484.039067975616</v>
      </c>
    </row>
    <row r="135" spans="1:35" x14ac:dyDescent="0.25">
      <c r="A135" s="11">
        <f>$A$35</f>
        <v>20</v>
      </c>
      <c r="B135" s="44">
        <f>'Statistics NZ'!B$135*'Economic Forecasts'!D$9*1000000/SUM('Statistics NZ'!B$30:B$110,'Statistics NZ'!B$130:B$210)</f>
        <v>29185.495643626833</v>
      </c>
      <c r="C135" s="44">
        <f>'Statistics NZ'!C$135*'Economic Forecasts'!E$9*1000000/SUM('Statistics NZ'!C$30:C$110,'Statistics NZ'!C$130:C$210)</f>
        <v>29362.033991886114</v>
      </c>
      <c r="D135" s="44">
        <f>'Statistics NZ'!D$135*'Economic Forecasts'!F$9*1000000/SUM('Statistics NZ'!D$30:D$110,'Statistics NZ'!D$130:D$210)</f>
        <v>29929.839131572066</v>
      </c>
      <c r="E135" s="44">
        <f>'Statistics NZ'!E$135*'Economic Forecasts'!G$9*1000000/SUM('Statistics NZ'!E$30:E$110,'Statistics NZ'!E$130:E$210)</f>
        <v>30578.297426972105</v>
      </c>
      <c r="F135" s="44">
        <f>'Statistics NZ'!F$135*'Economic Forecasts'!H$9*1000000/SUM('Statistics NZ'!F$30:F$110,'Statistics NZ'!F$130:F$210)</f>
        <v>31486.348623533409</v>
      </c>
      <c r="G135" s="44">
        <f>'Statistics NZ'!G$135*'Economic Forecasts'!I$9*1000000/SUM('Statistics NZ'!G$30:G$110,'Statistics NZ'!G$130:G$210)</f>
        <v>32787.412402181239</v>
      </c>
      <c r="H135" s="44">
        <f>'Statistics NZ'!H$135*'Economic Forecasts'!J$9*1000000/SUM('Statistics NZ'!H$30:H$110,'Statistics NZ'!H$130:H$210)</f>
        <v>32010.296812333301</v>
      </c>
      <c r="I135" s="44">
        <f>'Statistics NZ'!I$135*'Economic Forecasts'!K$9*1000000/SUM('Statistics NZ'!I$30:I$110,'Statistics NZ'!I$130:I$210)</f>
        <v>32165.464960617668</v>
      </c>
      <c r="J135" s="44">
        <f>'Statistics NZ'!J$135*'Economic Forecasts'!L$9*1000000/SUM('Statistics NZ'!J$30:J$110,'Statistics NZ'!J$130:J$210)</f>
        <v>32532.279165765081</v>
      </c>
      <c r="K135" s="44">
        <f>'Statistics NZ'!K$135*'Economic Forecasts'!M$9*1000000/SUM('Statistics NZ'!K$30:K$110,'Statistics NZ'!K$130:K$210)</f>
        <v>33794.417337716142</v>
      </c>
      <c r="L135" s="44">
        <f>'Statistics NZ'!L$135*'Economic Forecasts'!N$9*1000000/SUM('Statistics NZ'!L$30:L$110,'Statistics NZ'!L$130:L$210)</f>
        <v>34321.567959973712</v>
      </c>
      <c r="M135" s="44">
        <f>'Statistics NZ'!M$135*'Economic Forecasts'!O$9*1000000/SUM('Statistics NZ'!M$30:M$110,'Statistics NZ'!M$130:M$210)</f>
        <v>33490.099129936825</v>
      </c>
      <c r="N135" s="44">
        <f>'Statistics NZ'!N$135*'Economic Forecasts'!P$9*1000000/SUM('Statistics NZ'!N$30:N$110,'Statistics NZ'!N$130:N$210)</f>
        <v>33395.980668362776</v>
      </c>
      <c r="O135" s="44">
        <f>'Statistics NZ'!O$135*'Economic Forecasts'!Q$9*1000000/SUM('Statistics NZ'!O$30:O$110,'Statistics NZ'!O$130:O$210)</f>
        <v>32578.019765557427</v>
      </c>
      <c r="P135" s="44">
        <f>'Statistics NZ'!P$135*'Economic Forecasts'!R$9*1000000/SUM('Statistics NZ'!P$30:P$110,'Statistics NZ'!P$130:P$210)</f>
        <v>33862.919942382956</v>
      </c>
      <c r="Q135" s="44">
        <f>'Statistics NZ'!Q$135*'Economic Forecasts'!S$9*1000000/SUM('Statistics NZ'!Q$30:Q$110,'Statistics NZ'!Q$130:Q$210)</f>
        <v>33210.063305956261</v>
      </c>
      <c r="R135" s="44">
        <f>'Statistics NZ'!R$135*'Economic Forecasts'!T$9*1000000/SUM('Statistics NZ'!R$30:R$110,'Statistics NZ'!R$130:R$210)</f>
        <v>31632.519278353</v>
      </c>
      <c r="S135" s="45">
        <f>SUM('Statistics NZ'!S$135,$F$13/5*(S$8-S$9)*1000)*'Economic Forecasts'!U$9*1000000/SUM('Statistics NZ'!S$30:S$110,'Statistics NZ'!S$130:S$210,SUM($E$12:$T$13)*(S$8-S$9)*1000)</f>
        <v>31013.001854967322</v>
      </c>
      <c r="T135" s="45">
        <f>SUM('Statistics NZ'!T$135,$F$13/5*(T$8-T$9)*1000)*'Economic Forecasts'!V$9*1000000/SUM('Statistics NZ'!T$30:T$110,'Statistics NZ'!T$130:T$210,SUM($E$12:$T$13)*(T$8-T$9)*1000)</f>
        <v>32242.723045911698</v>
      </c>
      <c r="U135" s="45">
        <f>SUM('Statistics NZ'!U$135,$F$13/5*(U$8-U$9)*1000)*'Economic Forecasts'!W$9*1000000/SUM('Statistics NZ'!U$30:U$110,'Statistics NZ'!U$130:U$210,SUM($E$12:$T$13)*(U$8-U$9)*1000)</f>
        <v>33165.726586832512</v>
      </c>
      <c r="V135" s="45">
        <f>SUM('Statistics NZ'!V$135,$F$13/5*(V$8-V$9)*1000)*'Economic Forecasts'!X$9*1000000/SUM('Statistics NZ'!V$30:V$110,'Statistics NZ'!V$130:V$210,SUM($E$12:$T$13)*(V$8-V$9)*1000)</f>
        <v>34396.717219471677</v>
      </c>
      <c r="W135" s="45">
        <f>SUM('Statistics NZ'!W$135,$F$13/5*(W$8-W$9)*1000)*'Economic Forecasts'!Y$9*1000000/SUM('Statistics NZ'!W$30:W$110,'Statistics NZ'!W$130:W$210,SUM($E$12:$T$13)*(W$8-W$9)*1000)</f>
        <v>36631.20681148766</v>
      </c>
      <c r="X135" s="45">
        <f>SUM('Statistics NZ'!X$135,$F$13/5*(X$8-X$9)*1000)*'Economic Forecasts'!Z$9*1000000/SUM('Statistics NZ'!X$30:X$110,'Statistics NZ'!X$130:X$210,SUM($E$12:$T$13)*(X$8-X$9)*1000)</f>
        <v>37960.411647030276</v>
      </c>
      <c r="Y135" s="45">
        <f>SUM('Statistics NZ'!Y$135,$F$13/5*(Y$8-Y$9)*1000)*'Economic Forecasts'!AA$9*1000000/SUM('Statistics NZ'!Y$30:Y$110,'Statistics NZ'!Y$130:Y$210,SUM($E$12:$T$13)*(Y$8-Y$9)*1000)</f>
        <v>38706.877616357975</v>
      </c>
      <c r="Z135" s="46">
        <f>SUM(Y$135,'Statistics NZ'!Z$135-'Statistics NZ'!Y$135,$F$13/5*(Z$8-Z$9)*1000)</f>
        <v>39059.951878118838</v>
      </c>
      <c r="AA135" s="46">
        <f>SUM(Z$135,'Statistics NZ'!AA$135-'Statistics NZ'!Z$135,$F$13/5*(AA$8-AA$9)*1000)</f>
        <v>38727.12899968405</v>
      </c>
      <c r="AB135" s="46">
        <f>SUM(AA$135,'Statistics NZ'!AB$135-'Statistics NZ'!AA$135,$F$13/5*(AB$8-AB$9)*1000)</f>
        <v>38438.40898105361</v>
      </c>
      <c r="AC135" s="46">
        <f>SUM(AB$135,'Statistics NZ'!AC$135-'Statistics NZ'!AB$135,$F$13/5*(AC$8-AC$9)*1000)</f>
        <v>38153.791822227518</v>
      </c>
      <c r="AD135" s="46">
        <f>SUM(AC$135,'Statistics NZ'!AD$135-'Statistics NZ'!AC$135,$F$13/5*(AD$8-AD$9)*1000)</f>
        <v>37713.277523205776</v>
      </c>
      <c r="AE135" s="46">
        <f>SUM(AD$135,'Statistics NZ'!AE$135-'Statistics NZ'!AD$135,$F$13/5*(AE$8-AE$9)*1000)</f>
        <v>37556.866083988381</v>
      </c>
      <c r="AF135" s="46">
        <f>SUM(AE$135,'Statistics NZ'!AF$135-'Statistics NZ'!AE$135,$F$13/5*(AF$8-AF$9)*1000)</f>
        <v>37344.557504575336</v>
      </c>
      <c r="AG135" s="46">
        <f>SUM(AF$135,'Statistics NZ'!AG$135-'Statistics NZ'!AF$135,$F$13/5*(AG$8-AG$9)*1000)</f>
        <v>37036.351784966639</v>
      </c>
      <c r="AH135" s="46">
        <f>SUM(AG$135,'Statistics NZ'!AH$135-'Statistics NZ'!AG$135,$F$13/5*(AH$8-AH$9)*1000)</f>
        <v>36412.24892516229</v>
      </c>
      <c r="AI135" s="46">
        <f>SUM(AH$135,'Statistics NZ'!AI$135-'Statistics NZ'!AH$135,$F$13/5*(AI$8-AI$9)*1000)</f>
        <v>36382.24892516229</v>
      </c>
    </row>
    <row r="136" spans="1:35" x14ac:dyDescent="0.25">
      <c r="A136" s="11">
        <f>$A$36</f>
        <v>21</v>
      </c>
      <c r="B136" s="44">
        <f>'Statistics NZ'!B$136*'Economic Forecasts'!D$9*1000000/SUM('Statistics NZ'!B$30:B$110,'Statistics NZ'!B$130:B$210)</f>
        <v>28921.329239879618</v>
      </c>
      <c r="C136" s="44">
        <f>'Statistics NZ'!C$136*'Economic Forecasts'!E$9*1000000/SUM('Statistics NZ'!C$30:C$110,'Statistics NZ'!C$130:C$210)</f>
        <v>28645.168279040736</v>
      </c>
      <c r="D136" s="44">
        <f>'Statistics NZ'!D$136*'Economic Forecasts'!F$9*1000000/SUM('Statistics NZ'!D$30:D$110,'Statistics NZ'!D$130:D$210)</f>
        <v>28927.921313580478</v>
      </c>
      <c r="E136" s="44">
        <f>'Statistics NZ'!E$136*'Economic Forecasts'!G$9*1000000/SUM('Statistics NZ'!E$30:E$110,'Statistics NZ'!E$130:E$210)</f>
        <v>29695.665365257068</v>
      </c>
      <c r="F136" s="44">
        <f>'Statistics NZ'!F$136*'Economic Forecasts'!H$9*1000000/SUM('Statistics NZ'!F$30:F$110,'Statistics NZ'!F$130:F$210)</f>
        <v>30574.127308272164</v>
      </c>
      <c r="G136" s="44">
        <f>'Statistics NZ'!G$136*'Economic Forecasts'!I$9*1000000/SUM('Statistics NZ'!G$30:G$110,'Statistics NZ'!G$130:G$210)</f>
        <v>31520.313480706885</v>
      </c>
      <c r="H136" s="44">
        <f>'Statistics NZ'!H$136*'Economic Forecasts'!J$9*1000000/SUM('Statistics NZ'!H$30:H$110,'Statistics NZ'!H$130:H$210)</f>
        <v>32481.903395203779</v>
      </c>
      <c r="I136" s="44">
        <f>'Statistics NZ'!I$136*'Economic Forecasts'!K$9*1000000/SUM('Statistics NZ'!I$30:I$110,'Statistics NZ'!I$130:I$210)</f>
        <v>31851.751190809751</v>
      </c>
      <c r="J136" s="44">
        <f>'Statistics NZ'!J$136*'Economic Forecasts'!L$9*1000000/SUM('Statistics NZ'!J$30:J$110,'Statistics NZ'!J$130:J$210)</f>
        <v>32805.33186859524</v>
      </c>
      <c r="K136" s="44">
        <f>'Statistics NZ'!K$136*'Economic Forecasts'!M$9*1000000/SUM('Statistics NZ'!K$30:K$110,'Statistics NZ'!K$130:K$210)</f>
        <v>33648.374047579076</v>
      </c>
      <c r="L136" s="44">
        <f>'Statistics NZ'!L$136*'Economic Forecasts'!N$9*1000000/SUM('Statistics NZ'!L$30:L$110,'Statistics NZ'!L$130:L$210)</f>
        <v>34691.559330889744</v>
      </c>
      <c r="M136" s="44">
        <f>'Statistics NZ'!M$136*'Economic Forecasts'!O$9*1000000/SUM('Statistics NZ'!M$30:M$110,'Statistics NZ'!M$130:M$210)</f>
        <v>34760.143729380179</v>
      </c>
      <c r="N136" s="44">
        <f>'Statistics NZ'!N$136*'Economic Forecasts'!P$9*1000000/SUM('Statistics NZ'!N$30:N$110,'Statistics NZ'!N$130:N$210)</f>
        <v>33758.023236405388</v>
      </c>
      <c r="O136" s="44">
        <f>'Statistics NZ'!O$136*'Economic Forecasts'!Q$9*1000000/SUM('Statistics NZ'!O$30:O$110,'Statistics NZ'!O$130:O$210)</f>
        <v>33843.471301166253</v>
      </c>
      <c r="P136" s="44">
        <f>'Statistics NZ'!P$136*'Economic Forecasts'!R$9*1000000/SUM('Statistics NZ'!P$30:P$110,'Statistics NZ'!P$130:P$210)</f>
        <v>33236.915645354507</v>
      </c>
      <c r="Q136" s="44">
        <f>'Statistics NZ'!Q$136*'Economic Forecasts'!S$9*1000000/SUM('Statistics NZ'!Q$30:Q$110,'Statistics NZ'!Q$130:Q$210)</f>
        <v>33792.349705674358</v>
      </c>
      <c r="R136" s="44">
        <f>'Statistics NZ'!R$136*'Economic Forecasts'!T$9*1000000/SUM('Statistics NZ'!R$30:R$110,'Statistics NZ'!R$130:R$210)</f>
        <v>33070.808850025234</v>
      </c>
      <c r="S136" s="45">
        <f>SUM('Statistics NZ'!S$136,$F$13/5*(S$8-S$9)*1000)*'Economic Forecasts'!U$9*1000000/SUM('Statistics NZ'!S$30:S$110,'Statistics NZ'!S$130:S$210,SUM($E$12:$T$13)*(S$8-S$9)*1000)</f>
        <v>30654.032554023808</v>
      </c>
      <c r="T136" s="45">
        <f>SUM('Statistics NZ'!T$136,$F$13/5*(T$8-T$9)*1000)*'Economic Forecasts'!V$9*1000000/SUM('Statistics NZ'!T$30:T$110,'Statistics NZ'!T$130:T$210,SUM($E$12:$T$13)*(T$8-T$9)*1000)</f>
        <v>32013.037456863836</v>
      </c>
      <c r="U136" s="45">
        <f>SUM('Statistics NZ'!U$136,$F$13/5*(U$8-U$9)*1000)*'Economic Forecasts'!W$9*1000000/SUM('Statistics NZ'!U$30:U$110,'Statistics NZ'!U$130:U$210,SUM($E$12:$T$13)*(U$8-U$9)*1000)</f>
        <v>32832.491751366775</v>
      </c>
      <c r="V136" s="45">
        <f>SUM('Statistics NZ'!V$136,$F$13/5*(V$8-V$9)*1000)*'Economic Forecasts'!X$9*1000000/SUM('Statistics NZ'!V$30:V$110,'Statistics NZ'!V$130:V$210,SUM($E$12:$T$13)*(V$8-V$9)*1000)</f>
        <v>33476.475276502912</v>
      </c>
      <c r="W136" s="45">
        <f>SUM('Statistics NZ'!W$136,$F$13/5*(W$8-W$9)*1000)*'Economic Forecasts'!Y$9*1000000/SUM('Statistics NZ'!W$30:W$110,'Statistics NZ'!W$130:W$210,SUM($E$12:$T$13)*(W$8-W$9)*1000)</f>
        <v>34696.87036615891</v>
      </c>
      <c r="X136" s="45">
        <f>SUM('Statistics NZ'!X$136,$F$13/5*(X$8-X$9)*1000)*'Economic Forecasts'!Z$9*1000000/SUM('Statistics NZ'!X$30:X$110,'Statistics NZ'!X$130:X$210,SUM($E$12:$T$13)*(X$8-X$9)*1000)</f>
        <v>36965.972879615045</v>
      </c>
      <c r="Y136" s="45">
        <f>SUM('Statistics NZ'!Y$136,$F$13/5*(Y$8-Y$9)*1000)*'Economic Forecasts'!AA$9*1000000/SUM('Statistics NZ'!Y$30:Y$110,'Statistics NZ'!Y$130:Y$210,SUM($E$12:$T$13)*(Y$8-Y$9)*1000)</f>
        <v>38310.134111496678</v>
      </c>
      <c r="Z136" s="46">
        <f>SUM(Y$136,'Statistics NZ'!Z$136-'Statistics NZ'!Y$136,$F$13/5*(Z$8-Z$9)*1000)</f>
        <v>38913.208373257541</v>
      </c>
      <c r="AA136" s="46">
        <f>SUM(Z$136,'Statistics NZ'!AA$136-'Statistics NZ'!Z$136,$F$13/5*(AA$8-AA$9)*1000)</f>
        <v>39270.385494822753</v>
      </c>
      <c r="AB136" s="46">
        <f>SUM(AA$136,'Statistics NZ'!AB$136-'Statistics NZ'!AA$136,$F$13/5*(AB$8-AB$9)*1000)</f>
        <v>38941.665476192313</v>
      </c>
      <c r="AC136" s="46">
        <f>SUM(AB$136,'Statistics NZ'!AC$136-'Statistics NZ'!AB$136,$F$13/5*(AC$8-AC$9)*1000)</f>
        <v>38667.048317366221</v>
      </c>
      <c r="AD136" s="46">
        <f>SUM(AC$136,'Statistics NZ'!AD$136-'Statistics NZ'!AC$136,$F$13/5*(AD$8-AD$9)*1000)</f>
        <v>38386.534018344479</v>
      </c>
      <c r="AE136" s="46">
        <f>SUM(AD$136,'Statistics NZ'!AE$136-'Statistics NZ'!AD$136,$F$13/5*(AE$8-AE$9)*1000)</f>
        <v>37940.122579127084</v>
      </c>
      <c r="AF136" s="46">
        <f>SUM(AE$136,'Statistics NZ'!AF$136-'Statistics NZ'!AE$136,$F$13/5*(AF$8-AF$9)*1000)</f>
        <v>37797.813999714039</v>
      </c>
      <c r="AG136" s="46">
        <f>SUM(AF$136,'Statistics NZ'!AG$136-'Statistics NZ'!AF$136,$F$13/5*(AG$8-AG$9)*1000)</f>
        <v>37579.608280105342</v>
      </c>
      <c r="AH136" s="46">
        <f>SUM(AG$136,'Statistics NZ'!AH$136-'Statistics NZ'!AG$136,$F$13/5*(AH$8-AH$9)*1000)</f>
        <v>37285.505420300993</v>
      </c>
      <c r="AI136" s="46">
        <f>SUM(AH$136,'Statistics NZ'!AI$136-'Statistics NZ'!AH$136,$F$13/5*(AI$8-AI$9)*1000)</f>
        <v>36665.505420300993</v>
      </c>
    </row>
    <row r="137" spans="1:35" x14ac:dyDescent="0.25">
      <c r="A137" s="11">
        <f>$A$37</f>
        <v>22</v>
      </c>
      <c r="B137" s="44">
        <f>'Statistics NZ'!B$137*'Economic Forecasts'!D$9*1000000/SUM('Statistics NZ'!B$30:B$110,'Statistics NZ'!B$130:B$210)</f>
        <v>28764.786185807203</v>
      </c>
      <c r="C137" s="44">
        <f>'Statistics NZ'!C$137*'Economic Forecasts'!E$9*1000000/SUM('Statistics NZ'!C$30:C$110,'Statistics NZ'!C$130:C$210)</f>
        <v>28232.724992198186</v>
      </c>
      <c r="D137" s="44">
        <f>'Statistics NZ'!D$137*'Economic Forecasts'!F$9*1000000/SUM('Statistics NZ'!D$30:D$110,'Statistics NZ'!D$130:D$210)</f>
        <v>28053.698903764292</v>
      </c>
      <c r="E137" s="44">
        <f>'Statistics NZ'!E$137*'Economic Forecasts'!G$9*1000000/SUM('Statistics NZ'!E$30:E$110,'Statistics NZ'!E$130:E$210)</f>
        <v>28607.085822475186</v>
      </c>
      <c r="F137" s="44">
        <f>'Statistics NZ'!F$137*'Economic Forecasts'!H$9*1000000/SUM('Statistics NZ'!F$30:F$110,'Statistics NZ'!F$130:F$210)</f>
        <v>29554.008848195066</v>
      </c>
      <c r="G137" s="44">
        <f>'Statistics NZ'!G$137*'Economic Forecasts'!I$9*1000000/SUM('Statistics NZ'!G$30:G$110,'Statistics NZ'!G$130:G$210)</f>
        <v>30312.149392789484</v>
      </c>
      <c r="H137" s="44">
        <f>'Statistics NZ'!H$137*'Economic Forecasts'!J$9*1000000/SUM('Statistics NZ'!H$30:H$110,'Statistics NZ'!H$130:H$210)</f>
        <v>30959.007138017878</v>
      </c>
      <c r="I137" s="44">
        <f>'Statistics NZ'!I$137*'Economic Forecasts'!K$9*1000000/SUM('Statistics NZ'!I$30:I$110,'Statistics NZ'!I$130:I$210)</f>
        <v>32116.447184085177</v>
      </c>
      <c r="J137" s="44">
        <f>'Statistics NZ'!J$137*'Economic Forecasts'!L$9*1000000/SUM('Statistics NZ'!J$30:J$110,'Statistics NZ'!J$130:J$210)</f>
        <v>32668.805517180161</v>
      </c>
      <c r="K137" s="44">
        <f>'Statistics NZ'!K$137*'Economic Forecasts'!M$9*1000000/SUM('Statistics NZ'!K$30:K$110,'Statistics NZ'!K$130:K$210)</f>
        <v>34203.338550099914</v>
      </c>
      <c r="L137" s="44">
        <f>'Statistics NZ'!L$137*'Economic Forecasts'!N$9*1000000/SUM('Statistics NZ'!L$30:L$110,'Statistics NZ'!L$130:L$210)</f>
        <v>34535.773490504049</v>
      </c>
      <c r="M137" s="44">
        <f>'Statistics NZ'!M$137*'Economic Forecasts'!O$9*1000000/SUM('Statistics NZ'!M$30:M$110,'Statistics NZ'!M$130:M$210)</f>
        <v>35014.152649268843</v>
      </c>
      <c r="N137" s="44">
        <f>'Statistics NZ'!N$137*'Economic Forecasts'!P$9*1000000/SUM('Statistics NZ'!N$30:N$110,'Statistics NZ'!N$130:N$210)</f>
        <v>34834.366006261793</v>
      </c>
      <c r="O137" s="44">
        <f>'Statistics NZ'!O$137*'Economic Forecasts'!Q$9*1000000/SUM('Statistics NZ'!O$30:O$110,'Statistics NZ'!O$130:O$210)</f>
        <v>33951.378021256925</v>
      </c>
      <c r="P137" s="44">
        <f>'Statistics NZ'!P$137*'Economic Forecasts'!R$9*1000000/SUM('Statistics NZ'!P$30:P$110,'Statistics NZ'!P$130:P$210)</f>
        <v>34342.204482295369</v>
      </c>
      <c r="Q137" s="44">
        <f>'Statistics NZ'!Q$137*'Economic Forecasts'!S$9*1000000/SUM('Statistics NZ'!Q$30:Q$110,'Statistics NZ'!Q$130:Q$210)</f>
        <v>33121.239956846723</v>
      </c>
      <c r="R137" s="44">
        <f>'Statistics NZ'!R$137*'Economic Forecasts'!T$9*1000000/SUM('Statistics NZ'!R$30:R$110,'Statistics NZ'!R$130:R$210)</f>
        <v>33602.778965575235</v>
      </c>
      <c r="S137" s="45">
        <f>SUM('Statistics NZ'!S$137,$F$13/5*(S$8-S$9)*1000)*'Economic Forecasts'!U$9*1000000/SUM('Statistics NZ'!S$30:S$110,'Statistics NZ'!S$130:S$210,SUM($E$12:$T$13)*(S$8-S$9)*1000)</f>
        <v>31944.381662820757</v>
      </c>
      <c r="T137" s="45">
        <f>SUM('Statistics NZ'!T$137,$F$13/5*(T$8-T$9)*1000)*'Economic Forecasts'!V$9*1000000/SUM('Statistics NZ'!T$30:T$110,'Statistics NZ'!T$130:T$210,SUM($E$12:$T$13)*(T$8-T$9)*1000)</f>
        <v>31523.707288892314</v>
      </c>
      <c r="U137" s="45">
        <f>SUM('Statistics NZ'!U$137,$F$13/5*(U$8-U$9)*1000)*'Economic Forecasts'!W$9*1000000/SUM('Statistics NZ'!U$30:U$110,'Statistics NZ'!U$130:U$210,SUM($E$12:$T$13)*(U$8-U$9)*1000)</f>
        <v>32489.158890583887</v>
      </c>
      <c r="V137" s="45">
        <f>SUM('Statistics NZ'!V$137,$F$13/5*(V$8-V$9)*1000)*'Economic Forecasts'!X$9*1000000/SUM('Statistics NZ'!V$30:V$110,'Statistics NZ'!V$130:V$210,SUM($E$12:$T$13)*(V$8-V$9)*1000)</f>
        <v>33041.635677078106</v>
      </c>
      <c r="W137" s="45">
        <f>SUM('Statistics NZ'!W$137,$F$13/5*(W$8-W$9)*1000)*'Economic Forecasts'!Y$9*1000000/SUM('Statistics NZ'!W$30:W$110,'Statistics NZ'!W$130:W$210,SUM($E$12:$T$13)*(W$8-W$9)*1000)</f>
        <v>33684.128771745935</v>
      </c>
      <c r="X137" s="45">
        <f>SUM('Statistics NZ'!X$137,$F$13/5*(X$8-X$9)*1000)*'Economic Forecasts'!Z$9*1000000/SUM('Statistics NZ'!X$30:X$110,'Statistics NZ'!X$130:X$210,SUM($E$12:$T$13)*(X$8-X$9)*1000)</f>
        <v>34916.211338616304</v>
      </c>
      <c r="Y137" s="45">
        <f>SUM('Statistics NZ'!Y$137,$F$13/5*(Y$8-Y$9)*1000)*'Economic Forecasts'!AA$9*1000000/SUM('Statistics NZ'!Y$30:Y$110,'Statistics NZ'!Y$130:Y$210,SUM($E$12:$T$13)*(Y$8-Y$9)*1000)</f>
        <v>37211.459790342305</v>
      </c>
      <c r="Z137" s="46">
        <f>SUM(Y$137,'Statistics NZ'!Z$137-'Statistics NZ'!Y$137,$F$13/5*(Z$8-Z$9)*1000)</f>
        <v>38414.534052103169</v>
      </c>
      <c r="AA137" s="46">
        <f>SUM(Z$137,'Statistics NZ'!AA$137-'Statistics NZ'!Z$137,$F$13/5*(AA$8-AA$9)*1000)</f>
        <v>39011.71117366838</v>
      </c>
      <c r="AB137" s="46">
        <f>SUM(AA$137,'Statistics NZ'!AB$137-'Statistics NZ'!AA$137,$F$13/5*(AB$8-AB$9)*1000)</f>
        <v>39372.99115503794</v>
      </c>
      <c r="AC137" s="46">
        <f>SUM(AB$137,'Statistics NZ'!AC$137-'Statistics NZ'!AB$137,$F$13/5*(AC$8-AC$9)*1000)</f>
        <v>39048.373996211849</v>
      </c>
      <c r="AD137" s="46">
        <f>SUM(AC$137,'Statistics NZ'!AD$137-'Statistics NZ'!AC$137,$F$13/5*(AD$8-AD$9)*1000)</f>
        <v>38777.859697190106</v>
      </c>
      <c r="AE137" s="46">
        <f>SUM(AD$137,'Statistics NZ'!AE$137-'Statistics NZ'!AD$137,$F$13/5*(AE$8-AE$9)*1000)</f>
        <v>38501.448257972712</v>
      </c>
      <c r="AF137" s="46">
        <f>SUM(AE$137,'Statistics NZ'!AF$137-'Statistics NZ'!AE$137,$F$13/5*(AF$8-AF$9)*1000)</f>
        <v>38069.139678559666</v>
      </c>
      <c r="AG137" s="46">
        <f>SUM(AF$137,'Statistics NZ'!AG$137-'Statistics NZ'!AF$137,$F$13/5*(AG$8-AG$9)*1000)</f>
        <v>37920.933958950969</v>
      </c>
      <c r="AH137" s="46">
        <f>SUM(AG$137,'Statistics NZ'!AH$137-'Statistics NZ'!AG$137,$F$13/5*(AH$8-AH$9)*1000)</f>
        <v>37716.831099146621</v>
      </c>
      <c r="AI137" s="46">
        <f>SUM(AH$137,'Statistics NZ'!AI$137-'Statistics NZ'!AH$137,$F$13/5*(AI$8-AI$9)*1000)</f>
        <v>37416.831099146621</v>
      </c>
    </row>
    <row r="138" spans="1:35" x14ac:dyDescent="0.25">
      <c r="A138" s="11">
        <f>$A$38</f>
        <v>23</v>
      </c>
      <c r="B138" s="44">
        <f>'Statistics NZ'!B$138*'Economic Forecasts'!D$9*1000000/SUM('Statistics NZ'!B$30:B$110,'Statistics NZ'!B$130:B$210)</f>
        <v>28461.484018541891</v>
      </c>
      <c r="C138" s="44">
        <f>'Statistics NZ'!C$138*'Economic Forecasts'!E$9*1000000/SUM('Statistics NZ'!C$30:C$110,'Statistics NZ'!C$130:C$210)</f>
        <v>27997.043114002445</v>
      </c>
      <c r="D138" s="44">
        <f>'Statistics NZ'!D$138*'Economic Forecasts'!F$9*1000000/SUM('Statistics NZ'!D$30:D$110,'Statistics NZ'!D$130:D$210)</f>
        <v>27552.739994768508</v>
      </c>
      <c r="E138" s="44">
        <f>'Statistics NZ'!E$138*'Economic Forecasts'!G$9*1000000/SUM('Statistics NZ'!E$30:E$110,'Statistics NZ'!E$130:E$210)</f>
        <v>27734.260783668098</v>
      </c>
      <c r="F138" s="44">
        <f>'Statistics NZ'!F$138*'Economic Forecasts'!H$9*1000000/SUM('Statistics NZ'!F$30:F$110,'Statistics NZ'!F$130:F$210)</f>
        <v>28396.566749261441</v>
      </c>
      <c r="G138" s="44">
        <f>'Statistics NZ'!G$138*'Economic Forecasts'!I$9*1000000/SUM('Statistics NZ'!G$30:G$110,'Statistics NZ'!G$130:G$210)</f>
        <v>29162.920138429025</v>
      </c>
      <c r="H138" s="44">
        <f>'Statistics NZ'!H$138*'Economic Forecasts'!J$9*1000000/SUM('Statistics NZ'!H$30:H$110,'Statistics NZ'!H$130:H$210)</f>
        <v>29721.039857982887</v>
      </c>
      <c r="I138" s="44">
        <f>'Statistics NZ'!I$138*'Economic Forecasts'!K$9*1000000/SUM('Statistics NZ'!I$30:I$110,'Statistics NZ'!I$130:I$210)</f>
        <v>30606.699666884597</v>
      </c>
      <c r="J138" s="44">
        <f>'Statistics NZ'!J$138*'Economic Forecasts'!L$9*1000000/SUM('Statistics NZ'!J$30:J$110,'Statistics NZ'!J$130:J$210)</f>
        <v>32766.324339619507</v>
      </c>
      <c r="K138" s="44">
        <f>'Statistics NZ'!K$138*'Economic Forecasts'!M$9*1000000/SUM('Statistics NZ'!K$30:K$110,'Statistics NZ'!K$130:K$210)</f>
        <v>34339.645620894509</v>
      </c>
      <c r="L138" s="44">
        <f>'Statistics NZ'!L$138*'Economic Forecasts'!N$9*1000000/SUM('Statistics NZ'!L$30:L$110,'Statistics NZ'!L$130:L$210)</f>
        <v>35606.80114315571</v>
      </c>
      <c r="M138" s="44">
        <f>'Statistics NZ'!M$138*'Economic Forecasts'!O$9*1000000/SUM('Statistics NZ'!M$30:M$110,'Statistics NZ'!M$130:M$210)</f>
        <v>35277.931142999383</v>
      </c>
      <c r="N138" s="44">
        <f>'Statistics NZ'!N$138*'Economic Forecasts'!P$9*1000000/SUM('Statistics NZ'!N$30:N$110,'Statistics NZ'!N$130:N$210)</f>
        <v>35343.182588375726</v>
      </c>
      <c r="O138" s="44">
        <f>'Statistics NZ'!O$138*'Economic Forecasts'!Q$9*1000000/SUM('Statistics NZ'!O$30:O$110,'Statistics NZ'!O$130:O$210)</f>
        <v>35187.400451386478</v>
      </c>
      <c r="P138" s="44">
        <f>'Statistics NZ'!P$138*'Economic Forecasts'!R$9*1000000/SUM('Statistics NZ'!P$30:P$110,'Statistics NZ'!P$130:P$210)</f>
        <v>34733.457167938155</v>
      </c>
      <c r="Q138" s="44">
        <f>'Statistics NZ'!Q$138*'Economic Forecasts'!S$9*1000000/SUM('Statistics NZ'!Q$30:Q$110,'Statistics NZ'!Q$130:Q$210)</f>
        <v>34157.512363124704</v>
      </c>
      <c r="R138" s="44">
        <f>'Statistics NZ'!R$138*'Economic Forecasts'!T$9*1000000/SUM('Statistics NZ'!R$30:R$110,'Statistics NZ'!R$130:R$210)</f>
        <v>32824.526389122446</v>
      </c>
      <c r="S138" s="45">
        <f>SUM('Statistics NZ'!S$138,$F$13/5*(S$8-S$9)*1000)*'Economic Forecasts'!U$9*1000000/SUM('Statistics NZ'!S$30:S$110,'Statistics NZ'!S$130:S$210,SUM($E$12:$T$13)*(S$8-S$9)*1000)</f>
        <v>32410.071566747476</v>
      </c>
      <c r="T138" s="45">
        <f>SUM('Statistics NZ'!T$138,$F$13/5*(T$8-T$9)*1000)*'Economic Forecasts'!V$9*1000000/SUM('Statistics NZ'!T$30:T$110,'Statistics NZ'!T$130:T$210,SUM($E$12:$T$13)*(T$8-T$9)*1000)</f>
        <v>32801.957523593432</v>
      </c>
      <c r="U138" s="45">
        <f>SUM('Statistics NZ'!U$138,$F$13/5*(U$8-U$9)*1000)*'Economic Forecasts'!W$9*1000000/SUM('Statistics NZ'!U$30:U$110,'Statistics NZ'!U$130:U$210,SUM($E$12:$T$13)*(U$8-U$9)*1000)</f>
        <v>31953.963548775286</v>
      </c>
      <c r="V138" s="45">
        <f>SUM('Statistics NZ'!V$138,$F$13/5*(V$8-V$9)*1000)*'Economic Forecasts'!X$9*1000000/SUM('Statistics NZ'!V$30:V$110,'Statistics NZ'!V$130:V$210,SUM($E$12:$T$13)*(V$8-V$9)*1000)</f>
        <v>32667.471370596304</v>
      </c>
      <c r="W138" s="45">
        <f>SUM('Statistics NZ'!W$138,$F$13/5*(W$8-W$9)*1000)*'Economic Forecasts'!Y$9*1000000/SUM('Statistics NZ'!W$30:W$110,'Statistics NZ'!W$130:W$210,SUM($E$12:$T$13)*(W$8-W$9)*1000)</f>
        <v>33218.267638315971</v>
      </c>
      <c r="X138" s="45">
        <f>SUM('Statistics NZ'!X$138,$F$13/5*(X$8-X$9)*1000)*'Economic Forecasts'!Z$9*1000000/SUM('Statistics NZ'!X$30:X$110,'Statistics NZ'!X$130:X$210,SUM($E$12:$T$13)*(X$8-X$9)*1000)</f>
        <v>33871.035899394177</v>
      </c>
      <c r="Y138" s="45">
        <f>SUM('Statistics NZ'!Y$138,$F$13/5*(Y$8-Y$9)*1000)*'Economic Forecasts'!AA$9*1000000/SUM('Statistics NZ'!Y$30:Y$110,'Statistics NZ'!Y$130:Y$210,SUM($E$12:$T$13)*(Y$8-Y$9)*1000)</f>
        <v>35136.186072606273</v>
      </c>
      <c r="Z138" s="46">
        <f>SUM(Y$138,'Statistics NZ'!Z$138-'Statistics NZ'!Y$138,$F$13/5*(Z$8-Z$9)*1000)</f>
        <v>37259.260334367136</v>
      </c>
      <c r="AA138" s="46">
        <f>SUM(Z$138,'Statistics NZ'!AA$138-'Statistics NZ'!Z$138,$F$13/5*(AA$8-AA$9)*1000)</f>
        <v>38466.437455932348</v>
      </c>
      <c r="AB138" s="46">
        <f>SUM(AA$138,'Statistics NZ'!AB$138-'Statistics NZ'!AA$138,$F$13/5*(AB$8-AB$9)*1000)</f>
        <v>39077.717437301908</v>
      </c>
      <c r="AC138" s="46">
        <f>SUM(AB$138,'Statistics NZ'!AC$138-'Statistics NZ'!AB$138,$F$13/5*(AC$8-AC$9)*1000)</f>
        <v>39433.100278475817</v>
      </c>
      <c r="AD138" s="46">
        <f>SUM(AC$138,'Statistics NZ'!AD$138-'Statistics NZ'!AC$138,$F$13/5*(AD$8-AD$9)*1000)</f>
        <v>39122.585979454074</v>
      </c>
      <c r="AE138" s="46">
        <f>SUM(AD$138,'Statistics NZ'!AE$138-'Statistics NZ'!AD$138,$F$13/5*(AE$8-AE$9)*1000)</f>
        <v>38856.17454023668</v>
      </c>
      <c r="AF138" s="46">
        <f>SUM(AE$138,'Statistics NZ'!AF$138-'Statistics NZ'!AE$138,$F$13/5*(AF$8-AF$9)*1000)</f>
        <v>38573.865960823634</v>
      </c>
      <c r="AG138" s="46">
        <f>SUM(AF$138,'Statistics NZ'!AG$138-'Statistics NZ'!AF$138,$F$13/5*(AG$8-AG$9)*1000)</f>
        <v>38145.660241214937</v>
      </c>
      <c r="AH138" s="46">
        <f>SUM(AG$138,'Statistics NZ'!AH$138-'Statistics NZ'!AG$138,$F$13/5*(AH$8-AH$9)*1000)</f>
        <v>38011.557381410588</v>
      </c>
      <c r="AI138" s="46">
        <f>SUM(AH$138,'Statistics NZ'!AI$138-'Statistics NZ'!AH$138,$F$13/5*(AI$8-AI$9)*1000)</f>
        <v>37801.557381410588</v>
      </c>
    </row>
    <row r="139" spans="1:35" x14ac:dyDescent="0.25">
      <c r="A139" s="11">
        <f>$A$39</f>
        <v>24</v>
      </c>
      <c r="B139" s="44">
        <f>'Statistics NZ'!B$139*'Economic Forecasts'!D$9*1000000/SUM('Statistics NZ'!B$30:B$110,'Statistics NZ'!B$130:B$210)</f>
        <v>27365.682640034942</v>
      </c>
      <c r="C139" s="44">
        <f>'Statistics NZ'!C$139*'Economic Forecasts'!E$9*1000000/SUM('Statistics NZ'!C$30:C$110,'Statistics NZ'!C$130:C$210)</f>
        <v>27810.46162709748</v>
      </c>
      <c r="D139" s="44">
        <f>'Statistics NZ'!D$139*'Economic Forecasts'!F$9*1000000/SUM('Statistics NZ'!D$30:D$110,'Statistics NZ'!D$130:D$210)</f>
        <v>27366.108244358304</v>
      </c>
      <c r="E139" s="44">
        <f>'Statistics NZ'!E$139*'Economic Forecasts'!G$9*1000000/SUM('Statistics NZ'!E$30:E$110,'Statistics NZ'!E$130:E$210)</f>
        <v>27175.260477915239</v>
      </c>
      <c r="F139" s="44">
        <f>'Statistics NZ'!F$139*'Economic Forecasts'!H$9*1000000/SUM('Statistics NZ'!F$30:F$110,'Statistics NZ'!F$130:F$210)</f>
        <v>27562.816084775353</v>
      </c>
      <c r="G139" s="44">
        <f>'Statistics NZ'!G$139*'Economic Forecasts'!I$9*1000000/SUM('Statistics NZ'!G$30:G$110,'Statistics NZ'!G$130:G$210)</f>
        <v>27954.756050511623</v>
      </c>
      <c r="H139" s="44">
        <f>'Statistics NZ'!H$139*'Economic Forecasts'!J$9*1000000/SUM('Statistics NZ'!H$30:H$110,'Statistics NZ'!H$130:H$210)</f>
        <v>28443.772029375359</v>
      </c>
      <c r="I139" s="44">
        <f>'Statistics NZ'!I$139*'Economic Forecasts'!K$9*1000000/SUM('Statistics NZ'!I$30:I$110,'Statistics NZ'!I$130:I$210)</f>
        <v>29322.433921733449</v>
      </c>
      <c r="J139" s="44">
        <f>'Statistics NZ'!J$139*'Economic Forecasts'!L$9*1000000/SUM('Statistics NZ'!J$30:J$110,'Statistics NZ'!J$130:J$210)</f>
        <v>31401.060825468689</v>
      </c>
      <c r="K139" s="44">
        <f>'Statistics NZ'!K$139*'Economic Forecasts'!M$9*1000000/SUM('Statistics NZ'!K$30:K$110,'Statistics NZ'!K$130:K$210)</f>
        <v>34271.492085497208</v>
      </c>
      <c r="L139" s="44">
        <f>'Statistics NZ'!L$139*'Economic Forecasts'!N$9*1000000/SUM('Statistics NZ'!L$30:L$110,'Statistics NZ'!L$130:L$210)</f>
        <v>35850.21651875836</v>
      </c>
      <c r="M139" s="44">
        <f>'Statistics NZ'!M$139*'Economic Forecasts'!O$9*1000000/SUM('Statistics NZ'!M$30:M$110,'Statistics NZ'!M$130:M$210)</f>
        <v>36606.593185493963</v>
      </c>
      <c r="N139" s="44">
        <f>'Statistics NZ'!N$139*'Economic Forecasts'!P$9*1000000/SUM('Statistics NZ'!N$30:N$110,'Statistics NZ'!N$130:N$210)</f>
        <v>35666.085419332652</v>
      </c>
      <c r="O139" s="44">
        <f>'Statistics NZ'!O$139*'Economic Forecasts'!Q$9*1000000/SUM('Statistics NZ'!O$30:O$110,'Statistics NZ'!O$130:O$210)</f>
        <v>35697.504946360576</v>
      </c>
      <c r="P139" s="44">
        <f>'Statistics NZ'!P$139*'Economic Forecasts'!R$9*1000000/SUM('Statistics NZ'!P$30:P$110,'Statistics NZ'!P$130:P$210)</f>
        <v>36200.654739098594</v>
      </c>
      <c r="Q139" s="44">
        <f>'Statistics NZ'!Q$139*'Economic Forecasts'!S$9*1000000/SUM('Statistics NZ'!Q$30:Q$110,'Statistics NZ'!Q$130:Q$210)</f>
        <v>34473.328715514181</v>
      </c>
      <c r="R139" s="44">
        <f>'Statistics NZ'!R$139*'Economic Forecasts'!T$9*1000000/SUM('Statistics NZ'!R$30:R$110,'Statistics NZ'!R$130:R$210)</f>
        <v>33868.764023350239</v>
      </c>
      <c r="S139" s="45">
        <f>SUM('Statistics NZ'!S$139,$F$13/5*(S$8-S$9)*1000)*'Economic Forecasts'!U$9*1000000/SUM('Statistics NZ'!S$30:S$110,'Statistics NZ'!S$130:S$210,SUM($E$12:$T$13)*(S$8-S$9)*1000)</f>
        <v>31643.623599868082</v>
      </c>
      <c r="T139" s="45">
        <f>SUM('Statistics NZ'!T$139,$F$13/5*(T$8-T$9)*1000)*'Economic Forecasts'!V$9*1000000/SUM('Statistics NZ'!T$30:T$110,'Statistics NZ'!T$130:T$210,SUM($E$12:$T$13)*(T$8-T$9)*1000)</f>
        <v>33271.315031647748</v>
      </c>
      <c r="U139" s="45">
        <f>SUM('Statistics NZ'!U$139,$F$13/5*(U$8-U$9)*1000)*'Economic Forecasts'!W$9*1000000/SUM('Statistics NZ'!U$30:U$110,'Statistics NZ'!U$130:U$210,SUM($E$12:$T$13)*(U$8-U$9)*1000)</f>
        <v>33236.412764052518</v>
      </c>
      <c r="V139" s="45">
        <f>SUM('Statistics NZ'!V$139,$F$13/5*(V$8-V$9)*1000)*'Economic Forecasts'!X$9*1000000/SUM('Statistics NZ'!V$30:V$110,'Statistics NZ'!V$130:V$210,SUM($E$12:$T$13)*(V$8-V$9)*1000)</f>
        <v>32131.506282933184</v>
      </c>
      <c r="W139" s="45">
        <f>SUM('Statistics NZ'!W$139,$F$13/5*(W$8-W$9)*1000)*'Economic Forecasts'!Y$9*1000000/SUM('Statistics NZ'!W$30:W$110,'Statistics NZ'!W$130:W$210,SUM($E$12:$T$13)*(W$8-W$9)*1000)</f>
        <v>32833.425832439047</v>
      </c>
      <c r="X139" s="45">
        <f>SUM('Statistics NZ'!X$139,$F$13/5*(X$8-X$9)*1000)*'Economic Forecasts'!Z$9*1000000/SUM('Statistics NZ'!X$30:X$110,'Statistics NZ'!X$130:X$210,SUM($E$12:$T$13)*(X$8-X$9)*1000)</f>
        <v>33394.111184409318</v>
      </c>
      <c r="Y139" s="45">
        <f>SUM('Statistics NZ'!Y$139,$F$13/5*(Y$8-Y$9)*1000)*'Economic Forecasts'!AA$9*1000000/SUM('Statistics NZ'!Y$30:Y$110,'Statistics NZ'!Y$130:Y$210,SUM($E$12:$T$13)*(Y$8-Y$9)*1000)</f>
        <v>34078.203392976131</v>
      </c>
      <c r="Z139" s="46">
        <f>SUM(Y$139,'Statistics NZ'!Z$139-'Statistics NZ'!Y$139,$F$13/5*(Z$8-Z$9)*1000)</f>
        <v>35201.277654736994</v>
      </c>
      <c r="AA139" s="46">
        <f>SUM(Z$139,'Statistics NZ'!AA$139-'Statistics NZ'!Z$139,$F$13/5*(AA$8-AA$9)*1000)</f>
        <v>37328.454776302206</v>
      </c>
      <c r="AB139" s="46">
        <f>SUM(AA$139,'Statistics NZ'!AB$139-'Statistics NZ'!AA$139,$F$13/5*(AB$8-AB$9)*1000)</f>
        <v>38539.734757671766</v>
      </c>
      <c r="AC139" s="46">
        <f>SUM(AB$139,'Statistics NZ'!AC$139-'Statistics NZ'!AB$139,$F$13/5*(AC$8-AC$9)*1000)</f>
        <v>39145.117598845674</v>
      </c>
      <c r="AD139" s="46">
        <f>SUM(AC$139,'Statistics NZ'!AD$139-'Statistics NZ'!AC$139,$F$13/5*(AD$8-AD$9)*1000)</f>
        <v>39514.603299823932</v>
      </c>
      <c r="AE139" s="46">
        <f>SUM(AD$139,'Statistics NZ'!AE$139-'Statistics NZ'!AD$139,$F$13/5*(AE$8-AE$9)*1000)</f>
        <v>39198.191860606537</v>
      </c>
      <c r="AF139" s="46">
        <f>SUM(AE$139,'Statistics NZ'!AF$139-'Statistics NZ'!AE$139,$F$13/5*(AF$8-AF$9)*1000)</f>
        <v>38935.883281193492</v>
      </c>
      <c r="AG139" s="46">
        <f>SUM(AF$139,'Statistics NZ'!AG$139-'Statistics NZ'!AF$139,$F$13/5*(AG$8-AG$9)*1000)</f>
        <v>38667.677561584795</v>
      </c>
      <c r="AH139" s="46">
        <f>SUM(AG$139,'Statistics NZ'!AH$139-'Statistics NZ'!AG$139,$F$13/5*(AH$8-AH$9)*1000)</f>
        <v>38243.574701780446</v>
      </c>
      <c r="AI139" s="46">
        <f>SUM(AH$139,'Statistics NZ'!AI$139-'Statistics NZ'!AH$139,$F$13/5*(AI$8-AI$9)*1000)</f>
        <v>38113.574701780446</v>
      </c>
    </row>
    <row r="140" spans="1:35" x14ac:dyDescent="0.25">
      <c r="A140" s="11">
        <f>$A$40</f>
        <v>25</v>
      </c>
      <c r="B140" s="44">
        <f>'Statistics NZ'!B$140*'Economic Forecasts'!D$9*1000000/SUM('Statistics NZ'!B$30:B$110,'Statistics NZ'!B$130:B$210)</f>
        <v>26269.881261528008</v>
      </c>
      <c r="C140" s="44">
        <f>'Statistics NZ'!C$140*'Economic Forecasts'!E$9*1000000/SUM('Statistics NZ'!C$30:C$110,'Statistics NZ'!C$130:C$210)</f>
        <v>26838.273879540055</v>
      </c>
      <c r="D140" s="44">
        <f>'Statistics NZ'!D$140*'Economic Forecasts'!F$9*1000000/SUM('Statistics NZ'!D$30:D$110,'Statistics NZ'!D$130:D$210)</f>
        <v>27199.121941359714</v>
      </c>
      <c r="E140" s="44">
        <f>'Statistics NZ'!E$140*'Economic Forecasts'!G$9*1000000/SUM('Statistics NZ'!E$30:E$110,'Statistics NZ'!E$130:E$210)</f>
        <v>27018.348111388121</v>
      </c>
      <c r="F140" s="44">
        <f>'Statistics NZ'!F$140*'Economic Forecasts'!H$9*1000000/SUM('Statistics NZ'!F$30:F$110,'Statistics NZ'!F$130:F$210)</f>
        <v>26876.197890492695</v>
      </c>
      <c r="G140" s="44">
        <f>'Statistics NZ'!G$140*'Economic Forecasts'!I$9*1000000/SUM('Statistics NZ'!G$30:G$110,'Statistics NZ'!G$130:G$210)</f>
        <v>27001.976241340988</v>
      </c>
      <c r="H140" s="44">
        <f>'Statistics NZ'!H$140*'Economic Forecasts'!J$9*1000000/SUM('Statistics NZ'!H$30:H$110,'Statistics NZ'!H$130:H$210)</f>
        <v>27294.230983628582</v>
      </c>
      <c r="I140" s="44">
        <f>'Statistics NZ'!I$140*'Economic Forecasts'!K$9*1000000/SUM('Statistics NZ'!I$30:I$110,'Statistics NZ'!I$130:I$210)</f>
        <v>27989.15040004981</v>
      </c>
      <c r="J140" s="44">
        <f>'Statistics NZ'!J$140*'Economic Forecasts'!L$9*1000000/SUM('Statistics NZ'!J$30:J$110,'Statistics NZ'!J$130:J$210)</f>
        <v>30016.293546830013</v>
      </c>
      <c r="K140" s="44">
        <f>'Statistics NZ'!K$140*'Economic Forecasts'!M$9*1000000/SUM('Statistics NZ'!K$30:K$110,'Statistics NZ'!K$130:K$210)</f>
        <v>32947.36625492118</v>
      </c>
      <c r="L140" s="44">
        <f>'Statistics NZ'!L$140*'Economic Forecasts'!N$9*1000000/SUM('Statistics NZ'!L$30:L$110,'Statistics NZ'!L$130:L$210)</f>
        <v>35772.323598565512</v>
      </c>
      <c r="M140" s="44">
        <f>'Statistics NZ'!M$140*'Economic Forecasts'!O$9*1000000/SUM('Statistics NZ'!M$30:M$110,'Statistics NZ'!M$130:M$210)</f>
        <v>37065.763156061941</v>
      </c>
      <c r="N140" s="44">
        <f>'Statistics NZ'!N$140*'Economic Forecasts'!P$9*1000000/SUM('Statistics NZ'!N$30:N$110,'Statistics NZ'!N$130:N$210)</f>
        <v>37172.965297131617</v>
      </c>
      <c r="O140" s="44">
        <f>'Statistics NZ'!O$140*'Economic Forecasts'!Q$9*1000000/SUM('Statistics NZ'!O$30:O$110,'Statistics NZ'!O$130:O$210)</f>
        <v>35962.366895674044</v>
      </c>
      <c r="P140" s="44">
        <f>'Statistics NZ'!P$140*'Economic Forecasts'!R$9*1000000/SUM('Statistics NZ'!P$30:P$110,'Statistics NZ'!P$130:P$210)</f>
        <v>36709.283230434216</v>
      </c>
      <c r="Q140" s="44">
        <f>'Statistics NZ'!Q$140*'Economic Forecasts'!S$9*1000000/SUM('Statistics NZ'!Q$30:Q$110,'Statistics NZ'!Q$130:Q$210)</f>
        <v>35953.717867339874</v>
      </c>
      <c r="R140" s="44">
        <f>'Statistics NZ'!R$140*'Economic Forecasts'!T$9*1000000/SUM('Statistics NZ'!R$30:R$110,'Statistics NZ'!R$130:R$210)</f>
        <v>34085.492588944682</v>
      </c>
      <c r="S140" s="45">
        <f>SUM('Statistics NZ'!S$140,$G$13/5*(S$8-S$9)*1000)*'Economic Forecasts'!U$9*1000000/SUM('Statistics NZ'!S$30:S$110,'Statistics NZ'!S$130:S$210,SUM($E$12:$T$13)*(S$8-S$9)*1000)</f>
        <v>34040.505506816509</v>
      </c>
      <c r="T140" s="45">
        <f>SUM('Statistics NZ'!T$140,$G$13/5*(T$8-T$9)*1000)*'Economic Forecasts'!V$9*1000000/SUM('Statistics NZ'!T$30:T$110,'Statistics NZ'!T$130:T$210,SUM($E$12:$T$13)*(T$8-T$9)*1000)</f>
        <v>33268.051904848828</v>
      </c>
      <c r="U140" s="45">
        <f>SUM('Statistics NZ'!U$140,$G$13/5*(U$8-U$9)*1000)*'Economic Forecasts'!W$9*1000000/SUM('Statistics NZ'!U$30:U$110,'Statistics NZ'!U$130:U$210,SUM($E$12:$T$13)*(U$8-U$9)*1000)</f>
        <v>33927.828827529433</v>
      </c>
      <c r="V140" s="45">
        <f>SUM('Statistics NZ'!V$140,$G$13/5*(V$8-V$9)*1000)*'Economic Forecasts'!X$9*1000000/SUM('Statistics NZ'!V$30:V$110,'Statistics NZ'!V$130:V$210,SUM($E$12:$T$13)*(V$8-V$9)*1000)</f>
        <v>33567.374274240232</v>
      </c>
      <c r="W140" s="45">
        <f>SUM('Statistics NZ'!W$140,$G$13/5*(W$8-W$9)*1000)*'Economic Forecasts'!Y$9*1000000/SUM('Statistics NZ'!W$30:W$110,'Statistics NZ'!W$130:W$210,SUM($E$12:$T$13)*(W$8-W$9)*1000)</f>
        <v>32454.2896157982</v>
      </c>
      <c r="X140" s="45">
        <f>SUM('Statistics NZ'!X$140,$G$13/5*(X$8-X$9)*1000)*'Economic Forecasts'!Z$9*1000000/SUM('Statistics NZ'!X$30:X$110,'Statistics NZ'!X$130:X$210,SUM($E$12:$T$13)*(X$8-X$9)*1000)</f>
        <v>33191.650428740701</v>
      </c>
      <c r="Y140" s="45">
        <f>SUM('Statistics NZ'!Y$140,$G$13/5*(Y$8-Y$9)*1000)*'Economic Forecasts'!AA$9*1000000/SUM('Statistics NZ'!Y$30:Y$110,'Statistics NZ'!Y$130:Y$210,SUM($E$12:$T$13)*(Y$8-Y$9)*1000)</f>
        <v>33774.735449576998</v>
      </c>
      <c r="Z140" s="46">
        <f>SUM(Y$140,'Statistics NZ'!Z$140-'Statistics NZ'!Y$140,$G$13/5*(Z$8-Z$9)*1000)</f>
        <v>34491.330840662122</v>
      </c>
      <c r="AA140" s="46">
        <f>SUM(Z$140,'Statistics NZ'!AA$140-'Statistics NZ'!Z$140,$G$13/5*(AA$8-AA$9)*1000)</f>
        <v>35753.860077182231</v>
      </c>
      <c r="AB140" s="46">
        <f>SUM(AA$140,'Statistics NZ'!AB$140-'Statistics NZ'!AA$140,$G$13/5*(AB$8-AB$9)*1000)</f>
        <v>38012.323159137326</v>
      </c>
      <c r="AC140" s="46">
        <f>SUM(AB$140,'Statistics NZ'!AC$140-'Statistics NZ'!AB$140,$G$13/5*(AC$8-AC$9)*1000)</f>
        <v>39336.720086527406</v>
      </c>
      <c r="AD140" s="46">
        <f>SUM(AC$140,'Statistics NZ'!AD$140-'Statistics NZ'!AC$140,$G$13/5*(AD$8-AD$9)*1000)</f>
        <v>40047.050859352472</v>
      </c>
      <c r="AE140" s="46">
        <f>SUM(AD$140,'Statistics NZ'!AE$140-'Statistics NZ'!AD$140,$G$13/5*(AE$8-AE$9)*1000)</f>
        <v>40493.315477612523</v>
      </c>
      <c r="AF140" s="46">
        <f>SUM(AE$140,'Statistics NZ'!AF$140-'Statistics NZ'!AE$140,$G$13/5*(AF$8-AF$9)*1000)</f>
        <v>40235.513941307567</v>
      </c>
      <c r="AG140" s="46">
        <f>SUM(AF$140,'Statistics NZ'!AG$140-'Statistics NZ'!AF$140,$G$13/5*(AG$8-AG$9)*1000)</f>
        <v>40013.646250437596</v>
      </c>
      <c r="AH140" s="46">
        <f>SUM(AG$140,'Statistics NZ'!AH$140-'Statistics NZ'!AG$140,$G$13/5*(AH$8-AH$9)*1000)</f>
        <v>39767.71240500261</v>
      </c>
      <c r="AI140" s="46">
        <f>SUM(AH$140,'Statistics NZ'!AI$140-'Statistics NZ'!AH$140,$G$13/5*(AI$8-AI$9)*1000)</f>
        <v>39347.71240500261</v>
      </c>
    </row>
    <row r="141" spans="1:35" x14ac:dyDescent="0.25">
      <c r="A141" s="11">
        <f>$A$41</f>
        <v>26</v>
      </c>
      <c r="B141" s="44">
        <f>'Statistics NZ'!B$141*'Economic Forecasts'!D$9*1000000/SUM('Statistics NZ'!B$30:B$110,'Statistics NZ'!B$130:B$210)</f>
        <v>25252.351410057272</v>
      </c>
      <c r="C141" s="44">
        <f>'Statistics NZ'!C$141*'Economic Forecasts'!E$9*1000000/SUM('Statistics NZ'!C$30:C$110,'Statistics NZ'!C$130:C$210)</f>
        <v>26042.847540629427</v>
      </c>
      <c r="D141" s="44">
        <f>'Statistics NZ'!D$141*'Economic Forecasts'!F$9*1000000/SUM('Statistics NZ'!D$30:D$110,'Statistics NZ'!D$130:D$210)</f>
        <v>26207.026847073925</v>
      </c>
      <c r="E141" s="44">
        <f>'Statistics NZ'!E$141*'Economic Forecasts'!G$9*1000000/SUM('Statistics NZ'!E$30:E$110,'Statistics NZ'!E$130:E$210)</f>
        <v>26773.172538689501</v>
      </c>
      <c r="F141" s="44">
        <f>'Statistics NZ'!F$141*'Economic Forecasts'!H$9*1000000/SUM('Statistics NZ'!F$30:F$110,'Statistics NZ'!F$130:F$210)</f>
        <v>26836.962565105114</v>
      </c>
      <c r="G141" s="44">
        <f>'Statistics NZ'!G$141*'Economic Forecasts'!I$9*1000000/SUM('Statistics NZ'!G$30:G$110,'Statistics NZ'!G$130:G$210)</f>
        <v>26392.982961252539</v>
      </c>
      <c r="H141" s="44">
        <f>'Statistics NZ'!H$141*'Economic Forecasts'!J$9*1000000/SUM('Statistics NZ'!H$30:H$110,'Statistics NZ'!H$130:H$210)</f>
        <v>26429.618915032712</v>
      </c>
      <c r="I141" s="44">
        <f>'Statistics NZ'!I$141*'Economic Forecasts'!K$9*1000000/SUM('Statistics NZ'!I$30:I$110,'Statistics NZ'!I$130:I$210)</f>
        <v>26959.777092867593</v>
      </c>
      <c r="J141" s="44">
        <f>'Statistics NZ'!J$141*'Economic Forecasts'!L$9*1000000/SUM('Statistics NZ'!J$30:J$110,'Statistics NZ'!J$130:J$210)</f>
        <v>28758.300737362479</v>
      </c>
      <c r="K141" s="44">
        <f>'Statistics NZ'!K$141*'Economic Forecasts'!M$9*1000000/SUM('Statistics NZ'!K$30:K$110,'Statistics NZ'!K$130:K$210)</f>
        <v>31321.417624728558</v>
      </c>
      <c r="L141" s="44">
        <f>'Statistics NZ'!L$141*'Economic Forecasts'!N$9*1000000/SUM('Statistics NZ'!L$30:L$110,'Statistics NZ'!L$130:L$210)</f>
        <v>34555.246720552263</v>
      </c>
      <c r="M141" s="44">
        <f>'Statistics NZ'!M$141*'Economic Forecasts'!O$9*1000000/SUM('Statistics NZ'!M$30:M$110,'Statistics NZ'!M$130:M$210)</f>
        <v>36919.219548433859</v>
      </c>
      <c r="N141" s="44">
        <f>'Statistics NZ'!N$141*'Economic Forecasts'!P$9*1000000/SUM('Statistics NZ'!N$30:N$110,'Statistics NZ'!N$130:N$210)</f>
        <v>37897.050433216828</v>
      </c>
      <c r="O141" s="44">
        <f>'Statistics NZ'!O$141*'Economic Forecasts'!Q$9*1000000/SUM('Statistics NZ'!O$30:O$110,'Statistics NZ'!O$130:O$210)</f>
        <v>37630.0162061663</v>
      </c>
      <c r="P141" s="44">
        <f>'Statistics NZ'!P$141*'Economic Forecasts'!R$9*1000000/SUM('Statistics NZ'!P$30:P$110,'Statistics NZ'!P$130:P$210)</f>
        <v>37051.629330371645</v>
      </c>
      <c r="Q141" s="44">
        <f>'Statistics NZ'!Q$141*'Economic Forecasts'!S$9*1000000/SUM('Statistics NZ'!Q$30:Q$110,'Statistics NZ'!Q$130:Q$210)</f>
        <v>36378.096090863233</v>
      </c>
      <c r="R141" s="44">
        <f>'Statistics NZ'!R$141*'Economic Forecasts'!T$9*1000000/SUM('Statistics NZ'!R$30:R$110,'Statistics NZ'!R$130:R$210)</f>
        <v>35405.566579383572</v>
      </c>
      <c r="S141" s="45">
        <f>SUM('Statistics NZ'!S$141,$G$13/5*(S$8-S$9)*1000)*'Economic Forecasts'!U$9*1000000/SUM('Statistics NZ'!S$30:S$110,'Statistics NZ'!S$130:S$210,SUM($E$12:$T$13)*(S$8-S$9)*1000)</f>
        <v>34302.456077775285</v>
      </c>
      <c r="T141" s="45">
        <f>SUM('Statistics NZ'!T$141,$G$13/5*(T$8-T$9)*1000)*'Economic Forecasts'!V$9*1000000/SUM('Statistics NZ'!T$30:T$110,'Statistics NZ'!T$130:T$210,SUM($E$12:$T$13)*(T$8-T$9)*1000)</f>
        <v>34386.520860212309</v>
      </c>
      <c r="U141" s="45">
        <f>SUM('Statistics NZ'!U$141,$G$13/5*(U$8-U$9)*1000)*'Economic Forecasts'!W$9*1000000/SUM('Statistics NZ'!U$30:U$110,'Statistics NZ'!U$130:U$210,SUM($E$12:$T$13)*(U$8-U$9)*1000)</f>
        <v>33170.476928743665</v>
      </c>
      <c r="V141" s="45">
        <f>SUM('Statistics NZ'!V$141,$G$13/5*(V$8-V$9)*1000)*'Economic Forecasts'!X$9*1000000/SUM('Statistics NZ'!V$30:V$110,'Statistics NZ'!V$130:V$210,SUM($E$12:$T$13)*(V$8-V$9)*1000)</f>
        <v>34073.00171543187</v>
      </c>
      <c r="W141" s="45">
        <f>SUM('Statistics NZ'!W$141,$G$13/5*(W$8-W$9)*1000)*'Economic Forecasts'!Y$9*1000000/SUM('Statistics NZ'!W$30:W$110,'Statistics NZ'!W$130:W$210,SUM($E$12:$T$13)*(W$8-W$9)*1000)</f>
        <v>33760.726272590924</v>
      </c>
      <c r="X141" s="45">
        <f>SUM('Statistics NZ'!X$141,$G$13/5*(X$8-X$9)*1000)*'Economic Forecasts'!Z$9*1000000/SUM('Statistics NZ'!X$30:X$110,'Statistics NZ'!X$130:X$210,SUM($E$12:$T$13)*(X$8-X$9)*1000)</f>
        <v>32653.841707587562</v>
      </c>
      <c r="Y141" s="45">
        <f>SUM('Statistics NZ'!Y$141,$G$13/5*(Y$8-Y$9)*1000)*'Economic Forecasts'!AA$9*1000000/SUM('Statistics NZ'!Y$30:Y$110,'Statistics NZ'!Y$130:Y$210,SUM($E$12:$T$13)*(Y$8-Y$9)*1000)</f>
        <v>33408.510675858874</v>
      </c>
      <c r="Z141" s="46">
        <f>SUM(Y$141,'Statistics NZ'!Z$141-'Statistics NZ'!Y$141,$G$13/5*(Z$8-Z$9)*1000)</f>
        <v>34025.106066943998</v>
      </c>
      <c r="AA141" s="46">
        <f>SUM(Z$141,'Statistics NZ'!AA$141-'Statistics NZ'!Z$141,$G$13/5*(AA$8-AA$9)*1000)</f>
        <v>34717.635303464107</v>
      </c>
      <c r="AB141" s="46">
        <f>SUM(AA$141,'Statistics NZ'!AB$141-'Statistics NZ'!AA$141,$G$13/5*(AB$8-AB$9)*1000)</f>
        <v>35976.098385419202</v>
      </c>
      <c r="AC141" s="46">
        <f>SUM(AB$141,'Statistics NZ'!AC$141-'Statistics NZ'!AB$141,$G$13/5*(AC$8-AC$9)*1000)</f>
        <v>38220.495312809282</v>
      </c>
      <c r="AD141" s="46">
        <f>SUM(AC$141,'Statistics NZ'!AD$141-'Statistics NZ'!AC$141,$G$13/5*(AD$8-AD$9)*1000)</f>
        <v>39530.826085634348</v>
      </c>
      <c r="AE141" s="46">
        <f>SUM(AD$141,'Statistics NZ'!AE$141-'Statistics NZ'!AD$141,$G$13/5*(AE$8-AE$9)*1000)</f>
        <v>40217.090703894399</v>
      </c>
      <c r="AF141" s="46">
        <f>SUM(AE$141,'Statistics NZ'!AF$141-'Statistics NZ'!AE$141,$G$13/5*(AF$8-AF$9)*1000)</f>
        <v>40649.289167589443</v>
      </c>
      <c r="AG141" s="46">
        <f>SUM(AF$141,'Statistics NZ'!AG$141-'Statistics NZ'!AF$141,$G$13/5*(AG$8-AG$9)*1000)</f>
        <v>40377.421476719472</v>
      </c>
      <c r="AH141" s="46">
        <f>SUM(AG$141,'Statistics NZ'!AH$141-'Statistics NZ'!AG$141,$G$13/5*(AH$8-AH$9)*1000)</f>
        <v>40151.487631284486</v>
      </c>
      <c r="AI141" s="46">
        <f>SUM(AH$141,'Statistics NZ'!AI$141-'Statistics NZ'!AH$141,$G$13/5*(AI$8-AI$9)*1000)</f>
        <v>39891.487631284486</v>
      </c>
    </row>
    <row r="142" spans="1:35" x14ac:dyDescent="0.25">
      <c r="A142" s="11">
        <f>$A$42</f>
        <v>27</v>
      </c>
      <c r="B142" s="44">
        <f>'Statistics NZ'!B$142*'Economic Forecasts'!D$9*1000000/SUM('Statistics NZ'!B$30:B$110,'Statistics NZ'!B$130:B$210)</f>
        <v>24410.932494418019</v>
      </c>
      <c r="C142" s="44">
        <f>'Statistics NZ'!C$142*'Economic Forecasts'!E$9*1000000/SUM('Statistics NZ'!C$30:C$110,'Statistics NZ'!C$130:C$210)</f>
        <v>25041.199558297521</v>
      </c>
      <c r="D142" s="44">
        <f>'Statistics NZ'!D$142*'Economic Forecasts'!F$9*1000000/SUM('Statistics NZ'!D$30:D$110,'Statistics NZ'!D$130:D$210)</f>
        <v>25715.890661783938</v>
      </c>
      <c r="E142" s="44">
        <f>'Statistics NZ'!E$142*'Economic Forecasts'!G$9*1000000/SUM('Statistics NZ'!E$30:E$110,'Statistics NZ'!E$130:E$210)</f>
        <v>25988.610706053911</v>
      </c>
      <c r="F142" s="44">
        <f>'Statistics NZ'!F$142*'Economic Forecasts'!H$9*1000000/SUM('Statistics NZ'!F$30:F$110,'Statistics NZ'!F$130:F$210)</f>
        <v>26640.78593816721</v>
      </c>
      <c r="G142" s="44">
        <f>'Statistics NZ'!G$142*'Economic Forecasts'!I$9*1000000/SUM('Statistics NZ'!G$30:G$110,'Statistics NZ'!G$130:G$210)</f>
        <v>26353.693072214577</v>
      </c>
      <c r="H142" s="44">
        <f>'Statistics NZ'!H$142*'Economic Forecasts'!J$9*1000000/SUM('Statistics NZ'!H$30:H$110,'Statistics NZ'!H$130:H$210)</f>
        <v>25869.586097874027</v>
      </c>
      <c r="I142" s="44">
        <f>'Statistics NZ'!I$142*'Economic Forecasts'!K$9*1000000/SUM('Statistics NZ'!I$30:I$110,'Statistics NZ'!I$130:I$210)</f>
        <v>26185.296223654306</v>
      </c>
      <c r="J142" s="44">
        <f>'Statistics NZ'!J$142*'Economic Forecasts'!L$9*1000000/SUM('Statistics NZ'!J$30:J$110,'Statistics NZ'!J$130:J$210)</f>
        <v>27734.353101749366</v>
      </c>
      <c r="K142" s="44">
        <f>'Statistics NZ'!K$142*'Economic Forecasts'!M$9*1000000/SUM('Statistics NZ'!K$30:K$110,'Statistics NZ'!K$130:K$210)</f>
        <v>30182.279961659475</v>
      </c>
      <c r="L142" s="44">
        <f>'Statistics NZ'!L$142*'Economic Forecasts'!N$9*1000000/SUM('Statistics NZ'!L$30:L$110,'Statistics NZ'!L$130:L$210)</f>
        <v>32715.026480996225</v>
      </c>
      <c r="M142" s="44">
        <f>'Statistics NZ'!M$142*'Economic Forecasts'!O$9*1000000/SUM('Statistics NZ'!M$30:M$110,'Statistics NZ'!M$130:M$210)</f>
        <v>35912.953442721053</v>
      </c>
      <c r="N142" s="44">
        <f>'Statistics NZ'!N$142*'Economic Forecasts'!P$9*1000000/SUM('Statistics NZ'!N$30:N$110,'Statistics NZ'!N$130:N$210)</f>
        <v>37848.125761859723</v>
      </c>
      <c r="O142" s="44">
        <f>'Statistics NZ'!O$142*'Economic Forecasts'!Q$9*1000000/SUM('Statistics NZ'!O$30:O$110,'Statistics NZ'!O$130:O$210)</f>
        <v>38454.031159585997</v>
      </c>
      <c r="P142" s="44">
        <f>'Statistics NZ'!P$142*'Economic Forecasts'!R$9*1000000/SUM('Statistics NZ'!P$30:P$110,'Statistics NZ'!P$130:P$210)</f>
        <v>38704.67192721241</v>
      </c>
      <c r="Q142" s="44">
        <f>'Statistics NZ'!Q$142*'Economic Forecasts'!S$9*1000000/SUM('Statistics NZ'!Q$30:Q$110,'Statistics NZ'!Q$130:Q$210)</f>
        <v>36792.605053374427</v>
      </c>
      <c r="R142" s="44">
        <f>'Statistics NZ'!R$142*'Economic Forecasts'!T$9*1000000/SUM('Statistics NZ'!R$30:R$110,'Statistics NZ'!R$130:R$210)</f>
        <v>35839.023710572474</v>
      </c>
      <c r="S142" s="45">
        <f>SUM('Statistics NZ'!S$142,$G$13/5*(S$8-S$9)*1000)*'Economic Forecasts'!U$9*1000000/SUM('Statistics NZ'!S$30:S$110,'Statistics NZ'!S$130:S$210,SUM($E$12:$T$13)*(S$8-S$9)*1000)</f>
        <v>35689.823916556961</v>
      </c>
      <c r="T142" s="45">
        <f>SUM('Statistics NZ'!T$142,$G$13/5*(T$8-T$9)*1000)*'Economic Forecasts'!V$9*1000000/SUM('Statistics NZ'!T$30:T$110,'Statistics NZ'!T$130:T$210,SUM($E$12:$T$13)*(T$8-T$9)*1000)</f>
        <v>34736.042408763395</v>
      </c>
      <c r="U142" s="45">
        <f>SUM('Statistics NZ'!U$142,$G$13/5*(U$8-U$9)*1000)*'Economic Forecasts'!W$9*1000000/SUM('Statistics NZ'!U$30:U$110,'Statistics NZ'!U$130:U$210,SUM($E$12:$T$13)*(U$8-U$9)*1000)</f>
        <v>34372.141941483751</v>
      </c>
      <c r="V142" s="45">
        <f>SUM('Statistics NZ'!V$142,$G$13/5*(V$8-V$9)*1000)*'Economic Forecasts'!X$9*1000000/SUM('Statistics NZ'!V$30:V$110,'Statistics NZ'!V$130:V$210,SUM($E$12:$T$13)*(V$8-V$9)*1000)</f>
        <v>33375.235846587413</v>
      </c>
      <c r="W142" s="45">
        <f>SUM('Statistics NZ'!W$142,$G$13/5*(W$8-W$9)*1000)*'Economic Forecasts'!Y$9*1000000/SUM('Statistics NZ'!W$30:W$110,'Statistics NZ'!W$130:W$210,SUM($E$12:$T$13)*(W$8-W$9)*1000)</f>
        <v>34317.734149518052</v>
      </c>
      <c r="X142" s="45">
        <f>SUM('Statistics NZ'!X$142,$G$13/5*(X$8-X$9)*1000)*'Economic Forecasts'!Z$9*1000000/SUM('Statistics NZ'!X$30:X$110,'Statistics NZ'!X$130:X$210,SUM($E$12:$T$13)*(X$8-X$9)*1000)</f>
        <v>34023.731846373841</v>
      </c>
      <c r="Y142" s="45">
        <f>SUM('Statistics NZ'!Y$142,$G$13/5*(Y$8-Y$9)*1000)*'Economic Forecasts'!AA$9*1000000/SUM('Statistics NZ'!Y$30:Y$110,'Statistics NZ'!Y$130:Y$210,SUM($E$12:$T$13)*(Y$8-Y$9)*1000)</f>
        <v>32930.383887949101</v>
      </c>
      <c r="Z142" s="46">
        <f>SUM(Y$142,'Statistics NZ'!Z$142-'Statistics NZ'!Y$142,$G$13/5*(Z$8-Z$9)*1000)</f>
        <v>33716.979279034225</v>
      </c>
      <c r="AA142" s="46">
        <f>SUM(Z$142,'Statistics NZ'!AA$142-'Statistics NZ'!Z$142,$G$13/5*(AA$8-AA$9)*1000)</f>
        <v>34319.508515554335</v>
      </c>
      <c r="AB142" s="46">
        <f>SUM(AA$142,'Statistics NZ'!AB$142-'Statistics NZ'!AA$142,$G$13/5*(AB$8-AB$9)*1000)</f>
        <v>34997.97159750943</v>
      </c>
      <c r="AC142" s="46">
        <f>SUM(AB$142,'Statistics NZ'!AC$142-'Statistics NZ'!AB$142,$G$13/5*(AC$8-AC$9)*1000)</f>
        <v>36242.36852489951</v>
      </c>
      <c r="AD142" s="46">
        <f>SUM(AC$142,'Statistics NZ'!AD$142-'Statistics NZ'!AC$142,$G$13/5*(AD$8-AD$9)*1000)</f>
        <v>38472.699297724575</v>
      </c>
      <c r="AE142" s="46">
        <f>SUM(AD$142,'Statistics NZ'!AE$142-'Statistics NZ'!AD$142,$G$13/5*(AE$8-AE$9)*1000)</f>
        <v>39758.963915984627</v>
      </c>
      <c r="AF142" s="46">
        <f>SUM(AE$142,'Statistics NZ'!AF$142-'Statistics NZ'!AE$142,$G$13/5*(AF$8-AF$9)*1000)</f>
        <v>40441.16237967967</v>
      </c>
      <c r="AG142" s="46">
        <f>SUM(AF$142,'Statistics NZ'!AG$142-'Statistics NZ'!AF$142,$G$13/5*(AG$8-AG$9)*1000)</f>
        <v>40859.294688809699</v>
      </c>
      <c r="AH142" s="46">
        <f>SUM(AG$142,'Statistics NZ'!AH$142-'Statistics NZ'!AG$142,$G$13/5*(AH$8-AH$9)*1000)</f>
        <v>40573.360843374714</v>
      </c>
      <c r="AI142" s="46">
        <f>SUM(AH$142,'Statistics NZ'!AI$142-'Statistics NZ'!AH$142,$G$13/5*(AI$8-AI$9)*1000)</f>
        <v>40323.360843374714</v>
      </c>
    </row>
    <row r="143" spans="1:35" x14ac:dyDescent="0.25">
      <c r="A143" s="11">
        <f>$A$43</f>
        <v>28</v>
      </c>
      <c r="B143" s="44">
        <f>'Statistics NZ'!B$143*'Economic Forecasts'!D$9*1000000/SUM('Statistics NZ'!B$30:B$110,'Statistics NZ'!B$130:B$210)</f>
        <v>23784.760278128339</v>
      </c>
      <c r="C143" s="44">
        <f>'Statistics NZ'!C$143*'Economic Forecasts'!E$9*1000000/SUM('Statistics NZ'!C$30:C$110,'Statistics NZ'!C$130:C$210)</f>
        <v>24599.296036680505</v>
      </c>
      <c r="D143" s="44">
        <f>'Statistics NZ'!D$143*'Economic Forecasts'!F$9*1000000/SUM('Statistics NZ'!D$30:D$110,'Statistics NZ'!D$130:D$210)</f>
        <v>24969.363660143154</v>
      </c>
      <c r="E143" s="44">
        <f>'Statistics NZ'!E$143*'Economic Forecasts'!G$9*1000000/SUM('Statistics NZ'!E$30:E$110,'Statistics NZ'!E$130:E$210)</f>
        <v>25704.207041723508</v>
      </c>
      <c r="F143" s="44">
        <f>'Statistics NZ'!F$143*'Economic Forecasts'!H$9*1000000/SUM('Statistics NZ'!F$30:F$110,'Statistics NZ'!F$130:F$210)</f>
        <v>25895.314755803178</v>
      </c>
      <c r="G143" s="44">
        <f>'Statistics NZ'!G$143*'Economic Forecasts'!I$9*1000000/SUM('Statistics NZ'!G$30:G$110,'Statistics NZ'!G$130:G$210)</f>
        <v>26265.290821879156</v>
      </c>
      <c r="H143" s="44">
        <f>'Statistics NZ'!H$143*'Economic Forecasts'!J$9*1000000/SUM('Statistics NZ'!H$30:H$110,'Statistics NZ'!H$130:H$210)</f>
        <v>25958.012332162245</v>
      </c>
      <c r="I143" s="44">
        <f>'Statistics NZ'!I$143*'Economic Forecasts'!K$9*1000000/SUM('Statistics NZ'!I$30:I$110,'Statistics NZ'!I$130:I$210)</f>
        <v>25724.529124248933</v>
      </c>
      <c r="J143" s="44">
        <f>'Statistics NZ'!J$143*'Economic Forecasts'!L$9*1000000/SUM('Statistics NZ'!J$30:J$110,'Statistics NZ'!J$130:J$210)</f>
        <v>27032.217580186094</v>
      </c>
      <c r="K143" s="44">
        <f>'Statistics NZ'!K$143*'Economic Forecasts'!M$9*1000000/SUM('Statistics NZ'!K$30:K$110,'Statistics NZ'!K$130:K$210)</f>
        <v>29111.295833987686</v>
      </c>
      <c r="L143" s="44">
        <f>'Statistics NZ'!L$143*'Economic Forecasts'!N$9*1000000/SUM('Statistics NZ'!L$30:L$110,'Statistics NZ'!L$130:L$210)</f>
        <v>31741.364978585618</v>
      </c>
      <c r="M143" s="44">
        <f>'Statistics NZ'!M$143*'Economic Forecasts'!O$9*1000000/SUM('Statistics NZ'!M$30:M$110,'Statistics NZ'!M$130:M$210)</f>
        <v>34134.891003500372</v>
      </c>
      <c r="N143" s="44">
        <f>'Statistics NZ'!N$143*'Economic Forecasts'!P$9*1000000/SUM('Statistics NZ'!N$30:N$110,'Statistics NZ'!N$130:N$210)</f>
        <v>37094.685822960237</v>
      </c>
      <c r="O143" s="44">
        <f>'Statistics NZ'!O$143*'Economic Forecasts'!Q$9*1000000/SUM('Statistics NZ'!O$30:O$110,'Statistics NZ'!O$130:O$210)</f>
        <v>38473.650563238843</v>
      </c>
      <c r="P143" s="44">
        <f>'Statistics NZ'!P$143*'Economic Forecasts'!R$9*1000000/SUM('Statistics NZ'!P$30:P$110,'Statistics NZ'!P$130:P$210)</f>
        <v>39526.302567062252</v>
      </c>
      <c r="Q143" s="44">
        <f>'Statistics NZ'!Q$143*'Economic Forecasts'!S$9*1000000/SUM('Statistics NZ'!Q$30:Q$110,'Statistics NZ'!Q$130:Q$210)</f>
        <v>38450.640903419197</v>
      </c>
      <c r="R143" s="44">
        <f>'Statistics NZ'!R$143*'Economic Forecasts'!T$9*1000000/SUM('Statistics NZ'!R$30:R$110,'Statistics NZ'!R$130:R$210)</f>
        <v>36292.183438633576</v>
      </c>
      <c r="S143" s="45">
        <f>SUM('Statistics NZ'!S$143,$G$13/5*(S$8-S$9)*1000)*'Economic Forecasts'!U$9*1000000/SUM('Statistics NZ'!S$30:S$110,'Statistics NZ'!S$130:S$210,SUM($E$12:$T$13)*(S$8-S$9)*1000)</f>
        <v>36213.725058474527</v>
      </c>
      <c r="T143" s="45">
        <f>SUM('Statistics NZ'!T$143,$G$13/5*(T$8-T$9)*1000)*'Economic Forecasts'!V$9*1000000/SUM('Statistics NZ'!T$30:T$110,'Statistics NZ'!T$130:T$210,SUM($E$12:$T$13)*(T$8-T$9)*1000)</f>
        <v>36253.964562470981</v>
      </c>
      <c r="U143" s="45">
        <f>SUM('Statistics NZ'!U$143,$G$13/5*(U$8-U$9)*1000)*'Economic Forecasts'!W$9*1000000/SUM('Statistics NZ'!U$30:U$110,'Statistics NZ'!U$130:U$210,SUM($E$12:$T$13)*(U$8-U$9)*1000)</f>
        <v>34816.455055438062</v>
      </c>
      <c r="V143" s="45">
        <f>SUM('Statistics NZ'!V$143,$G$13/5*(V$8-V$9)*1000)*'Economic Forecasts'!X$9*1000000/SUM('Statistics NZ'!V$30:V$110,'Statistics NZ'!V$130:V$210,SUM($E$12:$T$13)*(V$8-V$9)*1000)</f>
        <v>34669.642096037991</v>
      </c>
      <c r="W143" s="45">
        <f>SUM('Statistics NZ'!W$143,$G$13/5*(W$8-W$9)*1000)*'Economic Forecasts'!Y$9*1000000/SUM('Statistics NZ'!W$30:W$110,'Statistics NZ'!W$130:W$210,SUM($E$12:$T$13)*(W$8-W$9)*1000)</f>
        <v>33710.089192870277</v>
      </c>
      <c r="X143" s="45">
        <f>SUM('Statistics NZ'!X$143,$G$13/5*(X$8-X$9)*1000)*'Economic Forecasts'!Z$9*1000000/SUM('Statistics NZ'!X$30:X$110,'Statistics NZ'!X$130:X$210,SUM($E$12:$T$13)*(X$8-X$9)*1000)</f>
        <v>34673.161245502153</v>
      </c>
      <c r="Y143" s="45">
        <f>SUM('Statistics NZ'!Y$143,$G$13/5*(Y$8-Y$9)*1000)*'Economic Forecasts'!AA$9*1000000/SUM('Statistics NZ'!Y$30:Y$110,'Statistics NZ'!Y$130:Y$210,SUM($E$12:$T$13)*(Y$8-Y$9)*1000)</f>
        <v>34385.110072440533</v>
      </c>
      <c r="Z143" s="46">
        <f>SUM(Y$143,'Statistics NZ'!Z$143-'Statistics NZ'!Y$143,$G$13/5*(Z$8-Z$9)*1000)</f>
        <v>33361.705463525657</v>
      </c>
      <c r="AA143" s="46">
        <f>SUM(Z$143,'Statistics NZ'!AA$143-'Statistics NZ'!Z$143,$G$13/5*(AA$8-AA$9)*1000)</f>
        <v>34124.234700045767</v>
      </c>
      <c r="AB143" s="46">
        <f>SUM(AA$143,'Statistics NZ'!AB$143-'Statistics NZ'!AA$143,$G$13/5*(AB$8-AB$9)*1000)</f>
        <v>34712.697782000861</v>
      </c>
      <c r="AC143" s="46">
        <f>SUM(AB$143,'Statistics NZ'!AC$143-'Statistics NZ'!AB$143,$G$13/5*(AC$8-AC$9)*1000)</f>
        <v>35387.094709390942</v>
      </c>
      <c r="AD143" s="46">
        <f>SUM(AC$143,'Statistics NZ'!AD$143-'Statistics NZ'!AC$143,$G$13/5*(AD$8-AD$9)*1000)</f>
        <v>36607.425482216007</v>
      </c>
      <c r="AE143" s="46">
        <f>SUM(AD$143,'Statistics NZ'!AE$143-'Statistics NZ'!AD$143,$G$13/5*(AE$8-AE$9)*1000)</f>
        <v>38823.690100476058</v>
      </c>
      <c r="AF143" s="46">
        <f>SUM(AE$143,'Statistics NZ'!AF$143-'Statistics NZ'!AE$143,$G$13/5*(AF$8-AF$9)*1000)</f>
        <v>40105.888564171102</v>
      </c>
      <c r="AG143" s="46">
        <f>SUM(AF$143,'Statistics NZ'!AG$143-'Statistics NZ'!AF$143,$G$13/5*(AG$8-AG$9)*1000)</f>
        <v>40764.020873301131</v>
      </c>
      <c r="AH143" s="46">
        <f>SUM(AG$143,'Statistics NZ'!AH$143-'Statistics NZ'!AG$143,$G$13/5*(AH$8-AH$9)*1000)</f>
        <v>41168.087027866146</v>
      </c>
      <c r="AI143" s="46">
        <f>SUM(AH$143,'Statistics NZ'!AI$143-'Statistics NZ'!AH$143,$G$13/5*(AI$8-AI$9)*1000)</f>
        <v>40878.087027866146</v>
      </c>
    </row>
    <row r="144" spans="1:35" x14ac:dyDescent="0.25">
      <c r="A144" s="11">
        <f>$A$44</f>
        <v>29</v>
      </c>
      <c r="B144" s="44">
        <f>'Statistics NZ'!B$144*'Economic Forecasts'!D$9*1000000/SUM('Statistics NZ'!B$30:B$110,'Statistics NZ'!B$130:B$210)</f>
        <v>24322.877026502276</v>
      </c>
      <c r="C144" s="44">
        <f>'Statistics NZ'!C$144*'Economic Forecasts'!E$9*1000000/SUM('Statistics NZ'!C$30:C$110,'Statistics NZ'!C$130:C$210)</f>
        <v>24137.752358547179</v>
      </c>
      <c r="D144" s="44">
        <f>'Statistics NZ'!D$144*'Economic Forecasts'!F$9*1000000/SUM('Statistics NZ'!D$30:D$110,'Statistics NZ'!D$130:D$210)</f>
        <v>24723.795567498153</v>
      </c>
      <c r="E144" s="44">
        <f>'Statistics NZ'!E$144*'Economic Forecasts'!G$9*1000000/SUM('Statistics NZ'!E$30:E$110,'Statistics NZ'!E$130:E$210)</f>
        <v>25155.013758878591</v>
      </c>
      <c r="F144" s="44">
        <f>'Statistics NZ'!F$144*'Economic Forecasts'!H$9*1000000/SUM('Statistics NZ'!F$30:F$110,'Statistics NZ'!F$130:F$210)</f>
        <v>25669.711634824591</v>
      </c>
      <c r="G144" s="44">
        <f>'Statistics NZ'!G$144*'Economic Forecasts'!I$9*1000000/SUM('Statistics NZ'!G$30:G$110,'Statistics NZ'!G$130:G$210)</f>
        <v>25685.764958569183</v>
      </c>
      <c r="H144" s="44">
        <f>'Statistics NZ'!H$144*'Economic Forecasts'!J$9*1000000/SUM('Statistics NZ'!H$30:H$110,'Statistics NZ'!H$130:H$210)</f>
        <v>26056.263703593588</v>
      </c>
      <c r="I144" s="44">
        <f>'Statistics NZ'!I$144*'Economic Forecasts'!K$9*1000000/SUM('Statistics NZ'!I$30:I$110,'Statistics NZ'!I$130:I$210)</f>
        <v>25812.761122007414</v>
      </c>
      <c r="J144" s="44">
        <f>'Statistics NZ'!J$144*'Economic Forecasts'!L$9*1000000/SUM('Statistics NZ'!J$30:J$110,'Statistics NZ'!J$130:J$210)</f>
        <v>26437.352763306095</v>
      </c>
      <c r="K144" s="44">
        <f>'Statistics NZ'!K$144*'Economic Forecasts'!M$9*1000000/SUM('Statistics NZ'!K$30:K$110,'Statistics NZ'!K$130:K$210)</f>
        <v>28303.18962856261</v>
      </c>
      <c r="L144" s="44">
        <f>'Statistics NZ'!L$144*'Economic Forecasts'!N$9*1000000/SUM('Statistics NZ'!L$30:L$110,'Statistics NZ'!L$130:L$210)</f>
        <v>30787.176706223232</v>
      </c>
      <c r="M144" s="44">
        <f>'Statistics NZ'!M$144*'Economic Forecasts'!O$9*1000000/SUM('Statistics NZ'!M$30:M$110,'Statistics NZ'!M$130:M$210)</f>
        <v>33363.09466999249</v>
      </c>
      <c r="N144" s="44">
        <f>'Statistics NZ'!N$144*'Economic Forecasts'!P$9*1000000/SUM('Statistics NZ'!N$30:N$110,'Statistics NZ'!N$130:N$210)</f>
        <v>35255.118179932928</v>
      </c>
      <c r="O144" s="44">
        <f>'Statistics NZ'!O$144*'Economic Forecasts'!Q$9*1000000/SUM('Statistics NZ'!O$30:O$110,'Statistics NZ'!O$130:O$210)</f>
        <v>37914.497559132622</v>
      </c>
      <c r="P144" s="44">
        <f>'Statistics NZ'!P$144*'Economic Forecasts'!R$9*1000000/SUM('Statistics NZ'!P$30:P$110,'Statistics NZ'!P$130:P$210)</f>
        <v>39653.459689896161</v>
      </c>
      <c r="Q144" s="44">
        <f>'Statistics NZ'!Q$144*'Economic Forecasts'!S$9*1000000/SUM('Statistics NZ'!Q$30:Q$110,'Statistics NZ'!Q$130:Q$210)</f>
        <v>39398.08996058764</v>
      </c>
      <c r="R144" s="44">
        <f>'Statistics NZ'!R$144*'Economic Forecasts'!T$9*1000000/SUM('Statistics NZ'!R$30:R$110,'Statistics NZ'!R$130:R$210)</f>
        <v>37789.580800922486</v>
      </c>
      <c r="S144" s="45">
        <f>SUM('Statistics NZ'!S$144,$G$13/5*(S$8-S$9)*1000)*'Economic Forecasts'!U$9*1000000/SUM('Statistics NZ'!S$30:S$110,'Statistics NZ'!S$130:S$210,SUM($E$12:$T$13)*(S$8-S$9)*1000)</f>
        <v>36737.626200392086</v>
      </c>
      <c r="T144" s="45">
        <f>SUM('Statistics NZ'!T$144,$G$13/5*(T$8-T$9)*1000)*'Economic Forecasts'!V$9*1000000/SUM('Statistics NZ'!T$30:T$110,'Statistics NZ'!T$130:T$210,SUM($E$12:$T$13)*(T$8-T$9)*1000)</f>
        <v>36873.117019904334</v>
      </c>
      <c r="U144" s="45">
        <f>SUM('Statistics NZ'!U$144,$G$13/5*(U$8-U$9)*1000)*'Economic Forecasts'!W$9*1000000/SUM('Statistics NZ'!U$30:U$110,'Statistics NZ'!U$130:U$210,SUM($E$12:$T$13)*(U$8-U$9)*1000)</f>
        <v>36442.237131498186</v>
      </c>
      <c r="V144" s="45">
        <f>SUM('Statistics NZ'!V$144,$G$13/5*(V$8-V$9)*1000)*'Economic Forecasts'!X$9*1000000/SUM('Statistics NZ'!V$30:V$110,'Statistics NZ'!V$130:V$210,SUM($E$12:$T$13)*(V$8-V$9)*1000)</f>
        <v>35185.38208605344</v>
      </c>
      <c r="W144" s="45">
        <f>SUM('Statistics NZ'!W$144,$G$13/5*(W$8-W$9)*1000)*'Economic Forecasts'!Y$9*1000000/SUM('Statistics NZ'!W$30:W$110,'Statistics NZ'!W$130:W$210,SUM($E$12:$T$13)*(W$8-W$9)*1000)</f>
        <v>35077.290345327776</v>
      </c>
      <c r="X144" s="45">
        <f>SUM('Statistics NZ'!X$144,$G$13/5*(X$8-X$9)*1000)*'Economic Forecasts'!Z$9*1000000/SUM('Statistics NZ'!X$30:X$110,'Statistics NZ'!X$130:X$210,SUM($E$12:$T$13)*(X$8-X$9)*1000)</f>
        <v>34135.352524349022</v>
      </c>
      <c r="Y144" s="45">
        <f>SUM('Statistics NZ'!Y$144,$G$13/5*(Y$8-Y$9)*1000)*'Economic Forecasts'!AA$9*1000000/SUM('Statistics NZ'!Y$30:Y$110,'Statistics NZ'!Y$130:Y$210,SUM($E$12:$T$13)*(Y$8-Y$9)*1000)</f>
        <v>35107.386709495724</v>
      </c>
      <c r="Z144" s="46">
        <f>SUM(Y$144,'Statistics NZ'!Z$144-'Statistics NZ'!Y$144,$G$13/5*(Z$8-Z$9)*1000)</f>
        <v>34863.982100580848</v>
      </c>
      <c r="AA144" s="46">
        <f>SUM(Z$144,'Statistics NZ'!AA$144-'Statistics NZ'!Z$144,$G$13/5*(AA$8-AA$9)*1000)</f>
        <v>33826.511337100957</v>
      </c>
      <c r="AB144" s="46">
        <f>SUM(AA$144,'Statistics NZ'!AB$144-'Statistics NZ'!AA$144,$G$13/5*(AB$8-AB$9)*1000)</f>
        <v>34584.974419056052</v>
      </c>
      <c r="AC144" s="46">
        <f>SUM(AB$144,'Statistics NZ'!AC$144-'Statistics NZ'!AB$144,$G$13/5*(AC$8-AC$9)*1000)</f>
        <v>35159.371346446133</v>
      </c>
      <c r="AD144" s="46">
        <f>SUM(AC$144,'Statistics NZ'!AD$144-'Statistics NZ'!AC$144,$G$13/5*(AD$8-AD$9)*1000)</f>
        <v>35809.702119271198</v>
      </c>
      <c r="AE144" s="46">
        <f>SUM(AD$144,'Statistics NZ'!AE$144-'Statistics NZ'!AD$144,$G$13/5*(AE$8-AE$9)*1000)</f>
        <v>37025.966737531249</v>
      </c>
      <c r="AF144" s="46">
        <f>SUM(AE$144,'Statistics NZ'!AF$144-'Statistics NZ'!AE$144,$G$13/5*(AF$8-AF$9)*1000)</f>
        <v>39228.165201226293</v>
      </c>
      <c r="AG144" s="46">
        <f>SUM(AF$144,'Statistics NZ'!AG$144-'Statistics NZ'!AF$144,$G$13/5*(AG$8-AG$9)*1000)</f>
        <v>40486.297510356322</v>
      </c>
      <c r="AH144" s="46">
        <f>SUM(AG$144,'Statistics NZ'!AH$144-'Statistics NZ'!AG$144,$G$13/5*(AH$8-AH$9)*1000)</f>
        <v>41140.363664921337</v>
      </c>
      <c r="AI144" s="46">
        <f>SUM(AH$144,'Statistics NZ'!AI$144-'Statistics NZ'!AH$144,$G$13/5*(AI$8-AI$9)*1000)</f>
        <v>41530.363664921337</v>
      </c>
    </row>
    <row r="145" spans="1:35" x14ac:dyDescent="0.25">
      <c r="A145" s="11">
        <f>$A$45</f>
        <v>30</v>
      </c>
      <c r="B145" s="44">
        <f>'Statistics NZ'!B$145*'Economic Forecasts'!D$9*1000000/SUM('Statistics NZ'!B$30:B$110,'Statistics NZ'!B$130:B$210)</f>
        <v>24635.963134647121</v>
      </c>
      <c r="C145" s="44">
        <f>'Statistics NZ'!C$145*'Economic Forecasts'!E$9*1000000/SUM('Statistics NZ'!C$30:C$110,'Statistics NZ'!C$130:C$210)</f>
        <v>24707.316897520224</v>
      </c>
      <c r="D145" s="44">
        <f>'Statistics NZ'!D$145*'Economic Forecasts'!F$9*1000000/SUM('Statistics NZ'!D$30:D$110,'Statistics NZ'!D$130:D$210)</f>
        <v>24340.709342971964</v>
      </c>
      <c r="E145" s="44">
        <f>'Statistics NZ'!E$145*'Economic Forecasts'!G$9*1000000/SUM('Statistics NZ'!E$30:E$110,'Statistics NZ'!E$130:E$210)</f>
        <v>24939.259254903809</v>
      </c>
      <c r="F145" s="44">
        <f>'Statistics NZ'!F$145*'Economic Forecasts'!H$9*1000000/SUM('Statistics NZ'!F$30:F$110,'Statistics NZ'!F$130:F$210)</f>
        <v>25277.358380948783</v>
      </c>
      <c r="G145" s="44">
        <f>'Statistics NZ'!G$145*'Economic Forecasts'!I$9*1000000/SUM('Statistics NZ'!G$30:G$110,'Statistics NZ'!G$130:G$210)</f>
        <v>25685.764958569183</v>
      </c>
      <c r="H145" s="44">
        <f>'Statistics NZ'!H$145*'Economic Forecasts'!J$9*1000000/SUM('Statistics NZ'!H$30:H$110,'Statistics NZ'!H$130:H$210)</f>
        <v>25545.35657215058</v>
      </c>
      <c r="I145" s="44">
        <f>'Statistics NZ'!I$145*'Economic Forecasts'!K$9*1000000/SUM('Statistics NZ'!I$30:I$110,'Statistics NZ'!I$130:I$210)</f>
        <v>26008.832228137355</v>
      </c>
      <c r="J145" s="44">
        <f>'Statistics NZ'!J$145*'Economic Forecasts'!L$9*1000000/SUM('Statistics NZ'!J$30:J$110,'Statistics NZ'!J$130:J$210)</f>
        <v>26651.894172672648</v>
      </c>
      <c r="K145" s="44">
        <f>'Statistics NZ'!K$145*'Economic Forecasts'!M$9*1000000/SUM('Statistics NZ'!K$30:K$110,'Statistics NZ'!K$130:K$210)</f>
        <v>27719.016468014361</v>
      </c>
      <c r="L145" s="44">
        <f>'Statistics NZ'!L$145*'Economic Forecasts'!N$9*1000000/SUM('Statistics NZ'!L$30:L$110,'Statistics NZ'!L$130:L$210)</f>
        <v>29696.675823523354</v>
      </c>
      <c r="M145" s="44">
        <f>'Statistics NZ'!M$145*'Economic Forecasts'!O$9*1000000/SUM('Statistics NZ'!M$30:M$110,'Statistics NZ'!M$130:M$210)</f>
        <v>32376.367711963434</v>
      </c>
      <c r="N145" s="44">
        <f>'Statistics NZ'!N$145*'Economic Forecasts'!P$9*1000000/SUM('Statistics NZ'!N$30:N$110,'Statistics NZ'!N$130:N$210)</f>
        <v>34658.237189376196</v>
      </c>
      <c r="O145" s="44">
        <f>'Statistics NZ'!O$145*'Economic Forecasts'!Q$9*1000000/SUM('Statistics NZ'!O$30:O$110,'Statistics NZ'!O$130:O$210)</f>
        <v>36119.322124896848</v>
      </c>
      <c r="P145" s="44">
        <f>'Statistics NZ'!P$145*'Economic Forecasts'!R$9*1000000/SUM('Statistics NZ'!P$30:P$110,'Statistics NZ'!P$130:P$210)</f>
        <v>39056.799344290921</v>
      </c>
      <c r="Q145" s="44">
        <f>'Statistics NZ'!Q$145*'Economic Forecasts'!S$9*1000000/SUM('Statistics NZ'!Q$30:Q$110,'Statistics NZ'!Q$130:Q$210)</f>
        <v>39585.605919818889</v>
      </c>
      <c r="R145" s="44">
        <f>'Statistics NZ'!R$145*'Economic Forecasts'!T$9*1000000/SUM('Statistics NZ'!R$30:R$110,'Statistics NZ'!R$130:R$210)</f>
        <v>38873.223628894717</v>
      </c>
      <c r="S145" s="45">
        <f>SUM('Statistics NZ'!S$145,$H$13/5*(S$8-S$9)*1000)*'Economic Forecasts'!U$9*1000000/SUM('Statistics NZ'!S$30:S$110,'Statistics NZ'!S$130:S$210,SUM($E$12:$T$13)*(S$8-S$9)*1000)</f>
        <v>39384.501276189862</v>
      </c>
      <c r="T145" s="45">
        <f>SUM('Statistics NZ'!T$145,$H$13/5*(T$8-T$9)*1000)*'Economic Forecasts'!V$9*1000000/SUM('Statistics NZ'!T$30:T$110,'Statistics NZ'!T$130:T$210,SUM($E$12:$T$13)*(T$8-T$9)*1000)</f>
        <v>38112.480746322391</v>
      </c>
      <c r="U145" s="45">
        <f>SUM('Statistics NZ'!U$145,$H$13/5*(U$8-U$9)*1000)*'Economic Forecasts'!W$9*1000000/SUM('Statistics NZ'!U$30:U$110,'Statistics NZ'!U$130:U$210,SUM($E$12:$T$13)*(U$8-U$9)*1000)</f>
        <v>37303.742558554564</v>
      </c>
      <c r="V145" s="45">
        <f>SUM('Statistics NZ'!V$145,$H$13/5*(V$8-V$9)*1000)*'Economic Forecasts'!X$9*1000000/SUM('Statistics NZ'!V$30:V$110,'Statistics NZ'!V$130:V$210,SUM($E$12:$T$13)*(V$8-V$9)*1000)</f>
        <v>36992.924231478493</v>
      </c>
      <c r="W145" s="45">
        <f>SUM('Statistics NZ'!W$145,$H$13/5*(W$8-W$9)*1000)*'Economic Forecasts'!Y$9*1000000/SUM('Statistics NZ'!W$30:W$110,'Statistics NZ'!W$130:W$210,SUM($E$12:$T$13)*(W$8-W$9)*1000)</f>
        <v>35796.310859397781</v>
      </c>
      <c r="X145" s="45">
        <f>SUM('Statistics NZ'!X$145,$H$13/5*(X$8-X$9)*1000)*'Economic Forecasts'!Z$9*1000000/SUM('Statistics NZ'!X$30:X$110,'Statistics NZ'!X$130:X$210,SUM($E$12:$T$13)*(X$8-X$9)*1000)</f>
        <v>35701.934198230105</v>
      </c>
      <c r="Y145" s="45">
        <f>SUM('Statistics NZ'!Y$145,$H$13/5*(Y$8-Y$9)*1000)*'Economic Forecasts'!AA$9*1000000/SUM('Statistics NZ'!Y$30:Y$110,'Statistics NZ'!Y$130:Y$210,SUM($E$12:$T$13)*(Y$8-Y$9)*1000)</f>
        <v>34776.564691062064</v>
      </c>
      <c r="Z145" s="46">
        <f>SUM(Y$145,'Statistics NZ'!Z$145-'Statistics NZ'!Y$145,$H$13/5*(Z$8-Z$9)*1000)</f>
        <v>35913.480990876851</v>
      </c>
      <c r="AA145" s="46">
        <f>SUM(Z$145,'Statistics NZ'!AA$145-'Statistics NZ'!Z$145,$H$13/5*(AA$8-AA$9)*1000)</f>
        <v>35771.851035156658</v>
      </c>
      <c r="AB145" s="46">
        <f>SUM(AA$145,'Statistics NZ'!AB$145-'Statistics NZ'!AA$145,$H$13/5*(AB$8-AB$9)*1000)</f>
        <v>34821.674823901492</v>
      </c>
      <c r="AC145" s="46">
        <f>SUM(AB$145,'Statistics NZ'!AC$145-'Statistics NZ'!AB$145,$H$13/5*(AC$8-AC$9)*1000)</f>
        <v>35642.952357111353</v>
      </c>
      <c r="AD145" s="46">
        <f>SUM(AC$145,'Statistics NZ'!AD$145-'Statistics NZ'!AC$145,$H$13/5*(AD$8-AD$9)*1000)</f>
        <v>36285.683634786234</v>
      </c>
      <c r="AE145" s="46">
        <f>SUM(AD$145,'Statistics NZ'!AE$145-'Statistics NZ'!AD$145,$H$13/5*(AE$8-AE$9)*1000)</f>
        <v>36979.868656926141</v>
      </c>
      <c r="AF145" s="46">
        <f>SUM(AE$145,'Statistics NZ'!AF$145-'Statistics NZ'!AE$145,$H$13/5*(AF$8-AF$9)*1000)</f>
        <v>38215.507423531068</v>
      </c>
      <c r="AG145" s="46">
        <f>SUM(AF$145,'Statistics NZ'!AG$145-'Statistics NZ'!AF$145,$H$13/5*(AG$8-AG$9)*1000)</f>
        <v>40432.599934601021</v>
      </c>
      <c r="AH145" s="46">
        <f>SUM(AG$145,'Statistics NZ'!AH$145-'Statistics NZ'!AG$145,$H$13/5*(AH$8-AH$9)*1000)</f>
        <v>41701.146190135994</v>
      </c>
      <c r="AI145" s="46">
        <f>SUM(AH$145,'Statistics NZ'!AI$145-'Statistics NZ'!AH$145,$H$13/5*(AI$8-AI$9)*1000)</f>
        <v>42331.146190135994</v>
      </c>
    </row>
    <row r="146" spans="1:35" x14ac:dyDescent="0.25">
      <c r="A146" s="11">
        <f>$A$46</f>
        <v>31</v>
      </c>
      <c r="B146" s="44">
        <f>'Statistics NZ'!B$146*'Economic Forecasts'!D$9*1000000/SUM('Statistics NZ'!B$30:B$110,'Statistics NZ'!B$130:B$210)</f>
        <v>25555.653577322591</v>
      </c>
      <c r="C146" s="44">
        <f>'Statistics NZ'!C$146*'Economic Forecasts'!E$9*1000000/SUM('Statistics NZ'!C$30:C$110,'Statistics NZ'!C$130:C$210)</f>
        <v>24962.638932232279</v>
      </c>
      <c r="D146" s="44">
        <f>'Statistics NZ'!D$146*'Economic Forecasts'!F$9*1000000/SUM('Statistics NZ'!D$30:D$110,'Statistics NZ'!D$130:D$210)</f>
        <v>25028.300002377953</v>
      </c>
      <c r="E146" s="44">
        <f>'Statistics NZ'!E$146*'Economic Forecasts'!G$9*1000000/SUM('Statistics NZ'!E$30:E$110,'Statistics NZ'!E$130:E$210)</f>
        <v>24576.399407309844</v>
      </c>
      <c r="F146" s="44">
        <f>'Statistics NZ'!F$146*'Economic Forecasts'!H$9*1000000/SUM('Statistics NZ'!F$30:F$110,'Statistics NZ'!F$130:F$210)</f>
        <v>25032.137597276407</v>
      </c>
      <c r="G146" s="44">
        <f>'Statistics NZ'!G$146*'Economic Forecasts'!I$9*1000000/SUM('Statistics NZ'!G$30:G$110,'Statistics NZ'!G$130:G$210)</f>
        <v>25312.511012708521</v>
      </c>
      <c r="H146" s="44">
        <f>'Statistics NZ'!H$146*'Economic Forecasts'!J$9*1000000/SUM('Statistics NZ'!H$30:H$110,'Statistics NZ'!H$130:H$210)</f>
        <v>25653.433080725066</v>
      </c>
      <c r="I146" s="44">
        <f>'Statistics NZ'!I$146*'Economic Forecasts'!K$9*1000000/SUM('Statistics NZ'!I$30:I$110,'Statistics NZ'!I$130:I$210)</f>
        <v>25548.065128731985</v>
      </c>
      <c r="J146" s="44">
        <f>'Statistics NZ'!J$146*'Economic Forecasts'!L$9*1000000/SUM('Statistics NZ'!J$30:J$110,'Statistics NZ'!J$130:J$210)</f>
        <v>26778.668641843793</v>
      </c>
      <c r="K146" s="44">
        <f>'Statistics NZ'!K$146*'Economic Forecasts'!M$9*1000000/SUM('Statistics NZ'!K$30:K$110,'Statistics NZ'!K$130:K$210)</f>
        <v>27806.642442096603</v>
      </c>
      <c r="L146" s="44">
        <f>'Statistics NZ'!L$146*'Economic Forecasts'!N$9*1000000/SUM('Statistics NZ'!L$30:L$110,'Statistics NZ'!L$130:L$210)</f>
        <v>28976.166311739511</v>
      </c>
      <c r="M146" s="44">
        <f>'Statistics NZ'!M$146*'Economic Forecasts'!O$9*1000000/SUM('Statistics NZ'!M$30:M$110,'Statistics NZ'!M$130:M$210)</f>
        <v>31194.249277096937</v>
      </c>
      <c r="N146" s="44">
        <f>'Statistics NZ'!N$146*'Economic Forecasts'!P$9*1000000/SUM('Statistics NZ'!N$30:N$110,'Statistics NZ'!N$130:N$210)</f>
        <v>33640.604025148328</v>
      </c>
      <c r="O146" s="44">
        <f>'Statistics NZ'!O$146*'Economic Forecasts'!Q$9*1000000/SUM('Statistics NZ'!O$30:O$110,'Statistics NZ'!O$130:O$210)</f>
        <v>35520.930313484925</v>
      </c>
      <c r="P146" s="44">
        <f>'Statistics NZ'!P$146*'Economic Forecasts'!R$9*1000000/SUM('Statistics NZ'!P$30:P$110,'Statistics NZ'!P$130:P$210)</f>
        <v>37345.068844603738</v>
      </c>
      <c r="Q146" s="44">
        <f>'Statistics NZ'!Q$146*'Economic Forecasts'!S$9*1000000/SUM('Statistics NZ'!Q$30:Q$110,'Statistics NZ'!Q$130:Q$210)</f>
        <v>38993.450259088619</v>
      </c>
      <c r="R146" s="44">
        <f>'Statistics NZ'!R$146*'Economic Forecasts'!T$9*1000000/SUM('Statistics NZ'!R$30:R$110,'Statistics NZ'!R$130:R$210)</f>
        <v>39149.059985105829</v>
      </c>
      <c r="S146" s="45">
        <f>SUM('Statistics NZ'!S$146,$H$13/5*(S$8-S$9)*1000)*'Economic Forecasts'!U$9*1000000/SUM('Statistics NZ'!S$30:S$110,'Statistics NZ'!S$130:S$210,SUM($E$12:$T$13)*(S$8-S$9)*1000)</f>
        <v>40461.409179020397</v>
      </c>
      <c r="T146" s="45">
        <f>SUM('Statistics NZ'!T$146,$H$13/5*(T$8-T$9)*1000)*'Economic Forecasts'!V$9*1000000/SUM('Statistics NZ'!T$30:T$110,'Statistics NZ'!T$130:T$210,SUM($E$12:$T$13)*(T$8-T$9)*1000)</f>
        <v>39730.266199616002</v>
      </c>
      <c r="U146" s="45">
        <f>SUM('Statistics NZ'!U$146,$H$13/5*(U$8-U$9)*1000)*'Economic Forecasts'!W$9*1000000/SUM('Statistics NZ'!U$30:U$110,'Statistics NZ'!U$130:U$210,SUM($E$12:$T$13)*(U$8-U$9)*1000)</f>
        <v>37929.82012821747</v>
      </c>
      <c r="V146" s="45">
        <f>SUM('Statistics NZ'!V$146,$H$13/5*(V$8-V$9)*1000)*'Economic Forecasts'!X$9*1000000/SUM('Statistics NZ'!V$30:V$110,'Statistics NZ'!V$130:V$210,SUM($E$12:$T$13)*(V$8-V$9)*1000)</f>
        <v>37680.577551499111</v>
      </c>
      <c r="W146" s="45">
        <f>SUM('Statistics NZ'!W$146,$H$13/5*(W$8-W$9)*1000)*'Economic Forecasts'!Y$9*1000000/SUM('Statistics NZ'!W$30:W$110,'Statistics NZ'!W$130:W$210,SUM($E$12:$T$13)*(W$8-W$9)*1000)</f>
        <v>37467.334490179179</v>
      </c>
      <c r="X146" s="45">
        <f>SUM('Statistics NZ'!X$146,$H$13/5*(X$8-X$9)*1000)*'Economic Forecasts'!Z$9*1000000/SUM('Statistics NZ'!X$30:X$110,'Statistics NZ'!X$130:X$210,SUM($E$12:$T$13)*(X$8-X$9)*1000)</f>
        <v>36270.184922467379</v>
      </c>
      <c r="Y146" s="45">
        <f>SUM('Statistics NZ'!Y$146,$H$13/5*(Y$8-Y$9)*1000)*'Economic Forecasts'!AA$9*1000000/SUM('Statistics NZ'!Y$30:Y$110,'Statistics NZ'!Y$130:Y$210,SUM($E$12:$T$13)*(Y$8-Y$9)*1000)</f>
        <v>36200.77214441033</v>
      </c>
      <c r="Z146" s="46">
        <f>SUM(Y$146,'Statistics NZ'!Z$146-'Statistics NZ'!Y$146,$H$13/5*(Z$8-Z$9)*1000)</f>
        <v>35457.688444225118</v>
      </c>
      <c r="AA146" s="46">
        <f>SUM(Z$146,'Statistics NZ'!AA$146-'Statistics NZ'!Z$146,$H$13/5*(AA$8-AA$9)*1000)</f>
        <v>36556.058488504925</v>
      </c>
      <c r="AB146" s="46">
        <f>SUM(AA$146,'Statistics NZ'!AB$146-'Statistics NZ'!AA$146,$H$13/5*(AB$8-AB$9)*1000)</f>
        <v>36385.882277249759</v>
      </c>
      <c r="AC146" s="46">
        <f>SUM(AB$146,'Statistics NZ'!AC$146-'Statistics NZ'!AB$146,$H$13/5*(AC$8-AC$9)*1000)</f>
        <v>35407.15981045962</v>
      </c>
      <c r="AD146" s="46">
        <f>SUM(AC$146,'Statistics NZ'!AD$146-'Statistics NZ'!AC$146,$H$13/5*(AD$8-AD$9)*1000)</f>
        <v>36209.8910881345</v>
      </c>
      <c r="AE146" s="46">
        <f>SUM(AD$146,'Statistics NZ'!AE$146-'Statistics NZ'!AD$146,$H$13/5*(AE$8-AE$9)*1000)</f>
        <v>36814.076110274407</v>
      </c>
      <c r="AF146" s="46">
        <f>SUM(AE$146,'Statistics NZ'!AF$146-'Statistics NZ'!AE$146,$H$13/5*(AF$8-AF$9)*1000)</f>
        <v>37479.714876879334</v>
      </c>
      <c r="AG146" s="46">
        <f>SUM(AF$146,'Statistics NZ'!AG$146-'Statistics NZ'!AF$146,$H$13/5*(AG$8-AG$9)*1000)</f>
        <v>38696.807387949288</v>
      </c>
      <c r="AH146" s="46">
        <f>SUM(AG$146,'Statistics NZ'!AH$146-'Statistics NZ'!AG$146,$H$13/5*(AH$8-AH$9)*1000)</f>
        <v>40875.353643484261</v>
      </c>
      <c r="AI146" s="46">
        <f>SUM(AH$146,'Statistics NZ'!AI$146-'Statistics NZ'!AH$146,$H$13/5*(AI$8-AI$9)*1000)</f>
        <v>42115.353643484261</v>
      </c>
    </row>
    <row r="147" spans="1:35" x14ac:dyDescent="0.25">
      <c r="A147" s="11">
        <f>$A$47</f>
        <v>32</v>
      </c>
      <c r="B147" s="44">
        <f>'Statistics NZ'!B$147*'Economic Forecasts'!D$9*1000000/SUM('Statistics NZ'!B$30:B$110,'Statistics NZ'!B$130:B$210)</f>
        <v>26494.91190175711</v>
      </c>
      <c r="C147" s="44">
        <f>'Statistics NZ'!C$147*'Economic Forecasts'!E$9*1000000/SUM('Statistics NZ'!C$30:C$110,'Statistics NZ'!C$130:C$210)</f>
        <v>25875.906210240777</v>
      </c>
      <c r="D147" s="44">
        <f>'Statistics NZ'!D$147*'Economic Forecasts'!F$9*1000000/SUM('Statistics NZ'!D$30:D$110,'Statistics NZ'!D$130:D$210)</f>
        <v>25097.059068318551</v>
      </c>
      <c r="E147" s="44">
        <f>'Statistics NZ'!E$147*'Economic Forecasts'!G$9*1000000/SUM('Statistics NZ'!E$30:E$110,'Statistics NZ'!E$130:E$210)</f>
        <v>25135.399713062703</v>
      </c>
      <c r="F147" s="44">
        <f>'Statistics NZ'!F$147*'Economic Forecasts'!H$9*1000000/SUM('Statistics NZ'!F$30:F$110,'Statistics NZ'!F$130:F$210)</f>
        <v>24659.402006094391</v>
      </c>
      <c r="G147" s="44">
        <f>'Statistics NZ'!G$147*'Economic Forecasts'!I$9*1000000/SUM('Statistics NZ'!G$30:G$110,'Statistics NZ'!G$130:G$210)</f>
        <v>25017.83684492379</v>
      </c>
      <c r="H147" s="44">
        <f>'Statistics NZ'!H$147*'Economic Forecasts'!J$9*1000000/SUM('Statistics NZ'!H$30:H$110,'Statistics NZ'!H$130:H$210)</f>
        <v>25162.176223568324</v>
      </c>
      <c r="I147" s="44">
        <f>'Statistics NZ'!I$147*'Economic Forecasts'!K$9*1000000/SUM('Statistics NZ'!I$30:I$110,'Statistics NZ'!I$130:I$210)</f>
        <v>25518.654462812494</v>
      </c>
      <c r="J147" s="44">
        <f>'Statistics NZ'!J$147*'Economic Forecasts'!L$9*1000000/SUM('Statistics NZ'!J$30:J$110,'Statistics NZ'!J$130:J$210)</f>
        <v>26242.315118427407</v>
      </c>
      <c r="K147" s="44">
        <f>'Statistics NZ'!K$147*'Economic Forecasts'!M$9*1000000/SUM('Statistics NZ'!K$30:K$110,'Statistics NZ'!K$130:K$210)</f>
        <v>27689.807809986949</v>
      </c>
      <c r="L147" s="44">
        <f>'Statistics NZ'!L$147*'Economic Forecasts'!N$9*1000000/SUM('Statistics NZ'!L$30:L$110,'Statistics NZ'!L$130:L$210)</f>
        <v>29122.215537101103</v>
      </c>
      <c r="M147" s="44">
        <f>'Statistics NZ'!M$147*'Economic Forecasts'!O$9*1000000/SUM('Statistics NZ'!M$30:M$110,'Statistics NZ'!M$130:M$210)</f>
        <v>30314.987631328466</v>
      </c>
      <c r="N147" s="44">
        <f>'Statistics NZ'!N$147*'Economic Forecasts'!P$9*1000000/SUM('Statistics NZ'!N$30:N$110,'Statistics NZ'!N$130:N$210)</f>
        <v>32348.99270132064</v>
      </c>
      <c r="O147" s="44">
        <f>'Statistics NZ'!O$147*'Economic Forecasts'!Q$9*1000000/SUM('Statistics NZ'!O$30:O$110,'Statistics NZ'!O$130:O$210)</f>
        <v>34471.292218057446</v>
      </c>
      <c r="P147" s="44">
        <f>'Statistics NZ'!P$147*'Economic Forecasts'!R$9*1000000/SUM('Statistics NZ'!P$30:P$110,'Statistics NZ'!P$130:P$210)</f>
        <v>36591.907424741381</v>
      </c>
      <c r="Q147" s="44">
        <f>'Statistics NZ'!Q$147*'Economic Forecasts'!S$9*1000000/SUM('Statistics NZ'!Q$30:Q$110,'Statistics NZ'!Q$130:Q$210)</f>
        <v>37424.237758153387</v>
      </c>
      <c r="R147" s="44">
        <f>'Statistics NZ'!R$147*'Economic Forecasts'!T$9*1000000/SUM('Statistics NZ'!R$30:R$110,'Statistics NZ'!R$130:R$210)</f>
        <v>38607.238571119706</v>
      </c>
      <c r="S147" s="45">
        <f>SUM('Statistics NZ'!S$147,$H$13/5*(S$8-S$9)*1000)*'Economic Forecasts'!U$9*1000000/SUM('Statistics NZ'!S$30:S$110,'Statistics NZ'!S$130:S$210,SUM($E$12:$T$13)*(S$8-S$9)*1000)</f>
        <v>40752.465368974597</v>
      </c>
      <c r="T147" s="45">
        <f>SUM('Statistics NZ'!T$147,$H$13/5*(T$8-T$9)*1000)*'Economic Forecasts'!V$9*1000000/SUM('Statistics NZ'!T$30:T$110,'Statistics NZ'!T$130:T$210,SUM($E$12:$T$13)*(T$8-T$9)*1000)</f>
        <v>40848.735154979484</v>
      </c>
      <c r="U147" s="45">
        <f>SUM('Statistics NZ'!U$147,$H$13/5*(U$8-U$9)*1000)*'Economic Forecasts'!W$9*1000000/SUM('Statistics NZ'!U$30:U$110,'Statistics NZ'!U$130:U$210,SUM($E$12:$T$13)*(U$8-U$9)*1000)</f>
        <v>39565.700229594731</v>
      </c>
      <c r="V147" s="45">
        <f>SUM('Statistics NZ'!V$147,$H$13/5*(V$8-V$9)*1000)*'Economic Forecasts'!X$9*1000000/SUM('Statistics NZ'!V$30:V$110,'Statistics NZ'!V$130:V$210,SUM($E$12:$T$13)*(V$8-V$9)*1000)</f>
        <v>38287.330480929064</v>
      </c>
      <c r="W147" s="45">
        <f>SUM('Statistics NZ'!W$147,$H$13/5*(W$8-W$9)*1000)*'Economic Forecasts'!Y$9*1000000/SUM('Statistics NZ'!W$30:W$110,'Statistics NZ'!W$130:W$210,SUM($E$12:$T$13)*(W$8-W$9)*1000)</f>
        <v>38135.743942491732</v>
      </c>
      <c r="X147" s="45">
        <f>SUM('Statistics NZ'!X$147,$H$13/5*(X$8-X$9)*1000)*'Economic Forecasts'!Z$9*1000000/SUM('Statistics NZ'!X$30:X$110,'Statistics NZ'!X$130:X$210,SUM($E$12:$T$13)*(X$8-X$9)*1000)</f>
        <v>37924.200423372298</v>
      </c>
      <c r="Y147" s="45">
        <f>SUM('Statistics NZ'!Y$147,$H$13/5*(Y$8-Y$9)*1000)*'Economic Forecasts'!AA$9*1000000/SUM('Statistics NZ'!Y$30:Y$110,'Statistics NZ'!Y$130:Y$210,SUM($E$12:$T$13)*(Y$8-Y$9)*1000)</f>
        <v>36739.936394606455</v>
      </c>
      <c r="Z147" s="46">
        <f>SUM(Y$147,'Statistics NZ'!Z$147-'Statistics NZ'!Y$147,$H$13/5*(Z$8-Z$9)*1000)</f>
        <v>36836.852694421243</v>
      </c>
      <c r="AA147" s="46">
        <f>SUM(Z$147,'Statistics NZ'!AA$147-'Statistics NZ'!Z$147,$H$13/5*(AA$8-AA$9)*1000)</f>
        <v>36065.22273870105</v>
      </c>
      <c r="AB147" s="46">
        <f>SUM(AA$147,'Statistics NZ'!AB$147-'Statistics NZ'!AA$147,$H$13/5*(AB$8-AB$9)*1000)</f>
        <v>37135.046527445884</v>
      </c>
      <c r="AC147" s="46">
        <f>SUM(AB$147,'Statistics NZ'!AC$147-'Statistics NZ'!AB$147,$H$13/5*(AC$8-AC$9)*1000)</f>
        <v>36946.324060655745</v>
      </c>
      <c r="AD147" s="46">
        <f>SUM(AC$147,'Statistics NZ'!AD$147-'Statistics NZ'!AC$147,$H$13/5*(AD$8-AD$9)*1000)</f>
        <v>35939.055338330625</v>
      </c>
      <c r="AE147" s="46">
        <f>SUM(AD$147,'Statistics NZ'!AE$147-'Statistics NZ'!AD$147,$H$13/5*(AE$8-AE$9)*1000)</f>
        <v>36713.240360470532</v>
      </c>
      <c r="AF147" s="46">
        <f>SUM(AE$147,'Statistics NZ'!AF$147-'Statistics NZ'!AE$147,$H$13/5*(AF$8-AF$9)*1000)</f>
        <v>37288.879127075459</v>
      </c>
      <c r="AG147" s="46">
        <f>SUM(AF$147,'Statistics NZ'!AG$147-'Statistics NZ'!AF$147,$H$13/5*(AG$8-AG$9)*1000)</f>
        <v>37925.971638145413</v>
      </c>
      <c r="AH147" s="46">
        <f>SUM(AG$147,'Statistics NZ'!AH$147-'Statistics NZ'!AG$147,$H$13/5*(AH$8-AH$9)*1000)</f>
        <v>39104.517893680386</v>
      </c>
      <c r="AI147" s="46">
        <f>SUM(AH$147,'Statistics NZ'!AI$147-'Statistics NZ'!AH$147,$H$13/5*(AI$8-AI$9)*1000)</f>
        <v>41264.517893680386</v>
      </c>
    </row>
    <row r="148" spans="1:35" x14ac:dyDescent="0.25">
      <c r="A148" s="11">
        <f>$A$48</f>
        <v>33</v>
      </c>
      <c r="B148" s="44">
        <f>'Statistics NZ'!B$148*'Economic Forecasts'!D$9*1000000/SUM('Statistics NZ'!B$30:B$110,'Statistics NZ'!B$130:B$210)</f>
        <v>27659.200866420731</v>
      </c>
      <c r="C148" s="44">
        <f>'Statistics NZ'!C$148*'Economic Forecasts'!E$9*1000000/SUM('Statistics NZ'!C$30:C$110,'Statistics NZ'!C$130:C$210)</f>
        <v>26867.73411431452</v>
      </c>
      <c r="D148" s="44">
        <f>'Statistics NZ'!D$148*'Economic Forecasts'!F$9*1000000/SUM('Statistics NZ'!D$30:D$110,'Statistics NZ'!D$130:D$210)</f>
        <v>25990.926925546333</v>
      </c>
      <c r="E148" s="44">
        <f>'Statistics NZ'!E$148*'Economic Forecasts'!G$9*1000000/SUM('Statistics NZ'!E$30:E$110,'Statistics NZ'!E$130:E$210)</f>
        <v>25204.04887341832</v>
      </c>
      <c r="F148" s="44">
        <f>'Statistics NZ'!F$148*'Economic Forecasts'!H$9*1000000/SUM('Statistics NZ'!F$30:F$110,'Statistics NZ'!F$130:F$210)</f>
        <v>25179.270067479833</v>
      </c>
      <c r="G148" s="44">
        <f>'Statistics NZ'!G$148*'Economic Forecasts'!I$9*1000000/SUM('Statistics NZ'!G$30:G$110,'Statistics NZ'!G$130:G$210)</f>
        <v>24585.648065506182</v>
      </c>
      <c r="H148" s="44">
        <f>'Statistics NZ'!H$148*'Economic Forecasts'!J$9*1000000/SUM('Statistics NZ'!H$30:H$110,'Statistics NZ'!H$130:H$210)</f>
        <v>24896.897520703682</v>
      </c>
      <c r="I148" s="44">
        <f>'Statistics NZ'!I$148*'Economic Forecasts'!K$9*1000000/SUM('Statistics NZ'!I$30:I$110,'Statistics NZ'!I$130:I$210)</f>
        <v>25067.690918713619</v>
      </c>
      <c r="J148" s="44">
        <f>'Statistics NZ'!J$148*'Economic Forecasts'!L$9*1000000/SUM('Statistics NZ'!J$30:J$110,'Statistics NZ'!J$130:J$210)</f>
        <v>26115.540649256262</v>
      </c>
      <c r="K148" s="44">
        <f>'Statistics NZ'!K$148*'Economic Forecasts'!M$9*1000000/SUM('Statistics NZ'!K$30:K$110,'Statistics NZ'!K$130:K$210)</f>
        <v>27134.843307466115</v>
      </c>
      <c r="L148" s="44">
        <f>'Statistics NZ'!L$148*'Economic Forecasts'!N$9*1000000/SUM('Statistics NZ'!L$30:L$110,'Statistics NZ'!L$130:L$210)</f>
        <v>28810.643856329709</v>
      </c>
      <c r="M148" s="44">
        <f>'Statistics NZ'!M$148*'Economic Forecasts'!O$9*1000000/SUM('Statistics NZ'!M$30:M$110,'Statistics NZ'!M$130:M$210)</f>
        <v>30383.374648221568</v>
      </c>
      <c r="N148" s="44">
        <f>'Statistics NZ'!N$148*'Economic Forecasts'!P$9*1000000/SUM('Statistics NZ'!N$30:N$110,'Statistics NZ'!N$130:N$210)</f>
        <v>31448.778748349832</v>
      </c>
      <c r="O148" s="44">
        <f>'Statistics NZ'!O$148*'Economic Forecasts'!Q$9*1000000/SUM('Statistics NZ'!O$30:O$110,'Statistics NZ'!O$130:O$210)</f>
        <v>33176.411576969353</v>
      </c>
      <c r="P148" s="44">
        <f>'Statistics NZ'!P$148*'Economic Forecasts'!R$9*1000000/SUM('Statistics NZ'!P$30:P$110,'Statistics NZ'!P$130:P$210)</f>
        <v>35447.493319236237</v>
      </c>
      <c r="Q148" s="44">
        <f>'Statistics NZ'!Q$148*'Economic Forecasts'!S$9*1000000/SUM('Statistics NZ'!Q$30:Q$110,'Statistics NZ'!Q$130:Q$210)</f>
        <v>36792.605053374427</v>
      </c>
      <c r="R148" s="44">
        <f>'Statistics NZ'!R$148*'Economic Forecasts'!T$9*1000000/SUM('Statistics NZ'!R$30:R$110,'Statistics NZ'!R$130:R$210)</f>
        <v>37149.246402575249</v>
      </c>
      <c r="S148" s="45">
        <f>SUM('Statistics NZ'!S$148,$H$13/5*(S$8-S$9)*1000)*'Economic Forecasts'!U$9*1000000/SUM('Statistics NZ'!S$30:S$110,'Statistics NZ'!S$130:S$210,SUM($E$12:$T$13)*(S$8-S$9)*1000)</f>
        <v>40209.160481060091</v>
      </c>
      <c r="T148" s="45">
        <f>SUM('Statistics NZ'!T$148,$H$13/5*(T$8-T$9)*1000)*'Economic Forecasts'!V$9*1000000/SUM('Statistics NZ'!T$30:T$110,'Statistics NZ'!T$130:T$210,SUM($E$12:$T$13)*(T$8-T$9)*1000)</f>
        <v>41128.352393820351</v>
      </c>
      <c r="U148" s="45">
        <f>SUM('Statistics NZ'!U$148,$H$13/5*(U$8-U$9)*1000)*'Economic Forecasts'!W$9*1000000/SUM('Statistics NZ'!U$30:U$110,'Statistics NZ'!U$130:U$210,SUM($E$12:$T$13)*(U$8-U$9)*1000)</f>
        <v>40666.38498916338</v>
      </c>
      <c r="V148" s="45">
        <f>SUM('Statistics NZ'!V$148,$H$13/5*(V$8-V$9)*1000)*'Economic Forecasts'!X$9*1000000/SUM('Statistics NZ'!V$30:V$110,'Statistics NZ'!V$130:V$210,SUM($E$12:$T$13)*(V$8-V$9)*1000)</f>
        <v>39885.113195094607</v>
      </c>
      <c r="W148" s="45">
        <f>SUM('Statistics NZ'!W$148,$H$13/5*(W$8-W$9)*1000)*'Economic Forecasts'!Y$9*1000000/SUM('Statistics NZ'!W$30:W$110,'Statistics NZ'!W$130:W$210,SUM($E$12:$T$13)*(W$8-W$9)*1000)</f>
        <v>38713.006651307122</v>
      </c>
      <c r="X148" s="45">
        <f>SUM('Statistics NZ'!X$148,$H$13/5*(X$8-X$9)*1000)*'Economic Forecasts'!Z$9*1000000/SUM('Statistics NZ'!X$30:X$110,'Statistics NZ'!X$130:X$210,SUM($E$12:$T$13)*(X$8-X$9)*1000)</f>
        <v>38553.335153777858</v>
      </c>
      <c r="Y148" s="45">
        <f>SUM('Statistics NZ'!Y$148,$H$13/5*(Y$8-Y$9)*1000)*'Economic Forecasts'!AA$9*1000000/SUM('Statistics NZ'!Y$30:Y$110,'Statistics NZ'!Y$130:Y$210,SUM($E$12:$T$13)*(Y$8-Y$9)*1000)</f>
        <v>38367.602055575888</v>
      </c>
      <c r="Z148" s="46">
        <f>SUM(Y$148,'Statistics NZ'!Z$148-'Statistics NZ'!Y$148,$H$13/5*(Z$8-Z$9)*1000)</f>
        <v>37364.518355390675</v>
      </c>
      <c r="AA148" s="46">
        <f>SUM(Z$148,'Statistics NZ'!AA$148-'Statistics NZ'!Z$148,$H$13/5*(AA$8-AA$9)*1000)</f>
        <v>37432.888399670483</v>
      </c>
      <c r="AB148" s="46">
        <f>SUM(AA$148,'Statistics NZ'!AB$148-'Statistics NZ'!AA$148,$H$13/5*(AB$8-AB$9)*1000)</f>
        <v>36632.712188415317</v>
      </c>
      <c r="AC148" s="46">
        <f>SUM(AB$148,'Statistics NZ'!AC$148-'Statistics NZ'!AB$148,$H$13/5*(AC$8-AC$9)*1000)</f>
        <v>37673.989721625177</v>
      </c>
      <c r="AD148" s="46">
        <f>SUM(AC$148,'Statistics NZ'!AD$148-'Statistics NZ'!AC$148,$H$13/5*(AD$8-AD$9)*1000)</f>
        <v>37456.720999300058</v>
      </c>
      <c r="AE148" s="46">
        <f>SUM(AD$148,'Statistics NZ'!AE$148-'Statistics NZ'!AD$148,$H$13/5*(AE$8-AE$9)*1000)</f>
        <v>36420.906021439965</v>
      </c>
      <c r="AF148" s="46">
        <f>SUM(AE$148,'Statistics NZ'!AF$148-'Statistics NZ'!AE$148,$H$13/5*(AF$8-AF$9)*1000)</f>
        <v>37166.544788044892</v>
      </c>
      <c r="AG148" s="46">
        <f>SUM(AF$148,'Statistics NZ'!AG$148-'Statistics NZ'!AF$148,$H$13/5*(AG$8-AG$9)*1000)</f>
        <v>37713.637299114846</v>
      </c>
      <c r="AH148" s="46">
        <f>SUM(AG$148,'Statistics NZ'!AH$148-'Statistics NZ'!AG$148,$H$13/5*(AH$8-AH$9)*1000)</f>
        <v>38322.183554649819</v>
      </c>
      <c r="AI148" s="46">
        <f>SUM(AH$148,'Statistics NZ'!AI$148-'Statistics NZ'!AH$148,$H$13/5*(AI$8-AI$9)*1000)</f>
        <v>39472.183554649819</v>
      </c>
    </row>
    <row r="149" spans="1:35" x14ac:dyDescent="0.25">
      <c r="A149" s="11">
        <f>$A$49</f>
        <v>34</v>
      </c>
      <c r="B149" s="44">
        <f>'Statistics NZ'!B$149*'Economic Forecasts'!D$9*1000000/SUM('Statistics NZ'!B$30:B$110,'Statistics NZ'!B$130:B$210)</f>
        <v>29028.952589554407</v>
      </c>
      <c r="C149" s="44">
        <f>'Statistics NZ'!C$149*'Economic Forecasts'!E$9*1000000/SUM('Statistics NZ'!C$30:C$110,'Statistics NZ'!C$130:C$210)</f>
        <v>28055.96358355138</v>
      </c>
      <c r="D149" s="44">
        <f>'Statistics NZ'!D$149*'Economic Forecasts'!F$9*1000000/SUM('Statistics NZ'!D$30:D$110,'Statistics NZ'!D$130:D$210)</f>
        <v>27091.071980595909</v>
      </c>
      <c r="E149" s="44">
        <f>'Statistics NZ'!E$149*'Economic Forecasts'!G$9*1000000/SUM('Statistics NZ'!E$30:E$110,'Statistics NZ'!E$130:E$210)</f>
        <v>26135.716049673079</v>
      </c>
      <c r="F149" s="44">
        <f>'Statistics NZ'!F$149*'Economic Forecasts'!H$9*1000000/SUM('Statistics NZ'!F$30:F$110,'Statistics NZ'!F$130:F$210)</f>
        <v>25277.358380948783</v>
      </c>
      <c r="G149" s="44">
        <f>'Statistics NZ'!G$149*'Economic Forecasts'!I$9*1000000/SUM('Statistics NZ'!G$30:G$110,'Statistics NZ'!G$130:G$210)</f>
        <v>25243.753706892083</v>
      </c>
      <c r="H149" s="44">
        <f>'Statistics NZ'!H$149*'Economic Forecasts'!J$9*1000000/SUM('Statistics NZ'!H$30:H$110,'Statistics NZ'!H$130:H$210)</f>
        <v>24543.192583550826</v>
      </c>
      <c r="I149" s="44">
        <f>'Statistics NZ'!I$149*'Economic Forecasts'!K$9*1000000/SUM('Statistics NZ'!I$30:I$110,'Statistics NZ'!I$130:I$210)</f>
        <v>24822.602036051183</v>
      </c>
      <c r="J149" s="44">
        <f>'Statistics NZ'!J$149*'Economic Forecasts'!L$9*1000000/SUM('Statistics NZ'!J$30:J$110,'Statistics NZ'!J$130:J$210)</f>
        <v>25637.698419303477</v>
      </c>
      <c r="K149" s="44">
        <f>'Statistics NZ'!K$149*'Economic Forecasts'!M$9*1000000/SUM('Statistics NZ'!K$30:K$110,'Statistics NZ'!K$130:K$210)</f>
        <v>26969.327578644112</v>
      </c>
      <c r="L149" s="44">
        <f>'Statistics NZ'!L$149*'Economic Forecasts'!N$9*1000000/SUM('Statistics NZ'!L$30:L$110,'Statistics NZ'!L$130:L$210)</f>
        <v>28197.237109811031</v>
      </c>
      <c r="M149" s="44">
        <f>'Statistics NZ'!M$149*'Economic Forecasts'!O$9*1000000/SUM('Statistics NZ'!M$30:M$110,'Statistics NZ'!M$130:M$210)</f>
        <v>30012.130842230436</v>
      </c>
      <c r="N149" s="44">
        <f>'Statistics NZ'!N$149*'Economic Forecasts'!P$9*1000000/SUM('Statistics NZ'!N$30:N$110,'Statistics NZ'!N$130:N$210)</f>
        <v>31497.703419706941</v>
      </c>
      <c r="O149" s="44">
        <f>'Statistics NZ'!O$149*'Economic Forecasts'!Q$9*1000000/SUM('Statistics NZ'!O$30:O$110,'Statistics NZ'!O$130:O$210)</f>
        <v>32254.299605285396</v>
      </c>
      <c r="P149" s="44">
        <f>'Statistics NZ'!P$149*'Economic Forecasts'!R$9*1000000/SUM('Statistics NZ'!P$30:P$110,'Statistics NZ'!P$130:P$210)</f>
        <v>33941.170479511507</v>
      </c>
      <c r="Q149" s="44">
        <f>'Statistics NZ'!Q$149*'Economic Forecasts'!S$9*1000000/SUM('Statistics NZ'!Q$30:Q$110,'Statistics NZ'!Q$130:Q$210)</f>
        <v>35687.247820011245</v>
      </c>
      <c r="R149" s="44">
        <f>'Statistics NZ'!R$149*'Economic Forecasts'!T$9*1000000/SUM('Statistics NZ'!R$30:R$110,'Statistics NZ'!R$130:R$210)</f>
        <v>36617.276287025248</v>
      </c>
      <c r="S149" s="45">
        <f>SUM('Statistics NZ'!S$149,$H$13/5*(S$8-S$9)*1000)*'Economic Forecasts'!U$9*1000000/SUM('Statistics NZ'!S$30:S$110,'Statistics NZ'!S$130:S$210,SUM($E$12:$T$13)*(S$8-S$9)*1000)</f>
        <v>38744.177658290624</v>
      </c>
      <c r="T149" s="45">
        <f>SUM('Statistics NZ'!T$149,$H$13/5*(T$8-T$9)*1000)*'Economic Forecasts'!V$9*1000000/SUM('Statistics NZ'!T$30:T$110,'Statistics NZ'!T$130:T$210,SUM($E$12:$T$13)*(T$8-T$9)*1000)</f>
        <v>40539.158926262804</v>
      </c>
      <c r="U149" s="45">
        <f>SUM('Statistics NZ'!U$149,$H$13/5*(U$8-U$9)*1000)*'Economic Forecasts'!W$9*1000000/SUM('Statistics NZ'!U$30:U$110,'Statistics NZ'!U$130:U$210,SUM($E$12:$T$13)*(U$8-U$9)*1000)</f>
        <v>40918.835622091974</v>
      </c>
      <c r="V149" s="45">
        <f>SUM('Statistics NZ'!V$149,$H$13/5*(V$8-V$9)*1000)*'Economic Forecasts'!X$9*1000000/SUM('Statistics NZ'!V$30:V$110,'Statistics NZ'!V$130:V$210,SUM($E$12:$T$13)*(V$8-V$9)*1000)</f>
        <v>40957.043370420855</v>
      </c>
      <c r="W149" s="45">
        <f>SUM('Statistics NZ'!W$149,$H$13/5*(W$8-W$9)*1000)*'Economic Forecasts'!Y$9*1000000/SUM('Statistics NZ'!W$30:W$110,'Statistics NZ'!W$130:W$210,SUM($E$12:$T$13)*(W$8-W$9)*1000)</f>
        <v>40272.628706703086</v>
      </c>
      <c r="X149" s="45">
        <f>SUM('Statistics NZ'!X$149,$H$13/5*(X$8-X$9)*1000)*'Economic Forecasts'!Z$9*1000000/SUM('Statistics NZ'!X$30:X$110,'Statistics NZ'!X$130:X$210,SUM($E$12:$T$13)*(X$8-X$9)*1000)</f>
        <v>39101.291209292373</v>
      </c>
      <c r="Y149" s="45">
        <f>SUM('Statistics NZ'!Y$149,$H$13/5*(Y$8-Y$9)*1000)*'Economic Forecasts'!AA$9*1000000/SUM('Statistics NZ'!Y$30:Y$110,'Statistics NZ'!Y$130:Y$210,SUM($E$12:$T$13)*(Y$8-Y$9)*1000)</f>
        <v>38967.803768058373</v>
      </c>
      <c r="Z149" s="46">
        <f>SUM(Y$149,'Statistics NZ'!Z$149-'Statistics NZ'!Y$149,$H$13/5*(Z$8-Z$9)*1000)</f>
        <v>38934.720067873161</v>
      </c>
      <c r="AA149" s="46">
        <f>SUM(Z$149,'Statistics NZ'!AA$149-'Statistics NZ'!Z$149,$H$13/5*(AA$8-AA$9)*1000)</f>
        <v>37913.090112152968</v>
      </c>
      <c r="AB149" s="46">
        <f>SUM(AA$149,'Statistics NZ'!AB$149-'Statistics NZ'!AA$149,$H$13/5*(AB$8-AB$9)*1000)</f>
        <v>37952.913900897802</v>
      </c>
      <c r="AC149" s="46">
        <f>SUM(AB$149,'Statistics NZ'!AC$149-'Statistics NZ'!AB$149,$H$13/5*(AC$8-AC$9)*1000)</f>
        <v>37124.191434107663</v>
      </c>
      <c r="AD149" s="46">
        <f>SUM(AC$149,'Statistics NZ'!AD$149-'Statistics NZ'!AC$149,$H$13/5*(AD$8-AD$9)*1000)</f>
        <v>38136.922711782543</v>
      </c>
      <c r="AE149" s="46">
        <f>SUM(AD$149,'Statistics NZ'!AE$149-'Statistics NZ'!AD$149,$H$13/5*(AE$8-AE$9)*1000)</f>
        <v>37891.10773392245</v>
      </c>
      <c r="AF149" s="46">
        <f>SUM(AE$149,'Statistics NZ'!AF$149-'Statistics NZ'!AE$149,$H$13/5*(AF$8-AF$9)*1000)</f>
        <v>36826.746500527377</v>
      </c>
      <c r="AG149" s="46">
        <f>SUM(AF$149,'Statistics NZ'!AG$149-'Statistics NZ'!AF$149,$H$13/5*(AG$8-AG$9)*1000)</f>
        <v>37543.839011597331</v>
      </c>
      <c r="AH149" s="46">
        <f>SUM(AG$149,'Statistics NZ'!AH$149-'Statistics NZ'!AG$149,$H$13/5*(AH$8-AH$9)*1000)</f>
        <v>38062.385267132304</v>
      </c>
      <c r="AI149" s="46">
        <f>SUM(AH$149,'Statistics NZ'!AI$149-'Statistics NZ'!AH$149,$H$13/5*(AI$8-AI$9)*1000)</f>
        <v>38642.385267132304</v>
      </c>
    </row>
    <row r="150" spans="1:35" x14ac:dyDescent="0.25">
      <c r="A150" s="11">
        <f>$A$50</f>
        <v>35</v>
      </c>
      <c r="B150" s="44">
        <f>'Statistics NZ'!B$150*'Economic Forecasts'!D$9*1000000/SUM('Statistics NZ'!B$30:B$110,'Statistics NZ'!B$130:B$210)</f>
        <v>29488.797810892145</v>
      </c>
      <c r="C150" s="44">
        <f>'Statistics NZ'!C$150*'Economic Forecasts'!E$9*1000000/SUM('Statistics NZ'!C$30:C$110,'Statistics NZ'!C$130:C$210)</f>
        <v>29371.854070144269</v>
      </c>
      <c r="D150" s="44">
        <f>'Statistics NZ'!D$150*'Economic Forecasts'!F$9*1000000/SUM('Statistics NZ'!D$30:D$110,'Statistics NZ'!D$130:D$210)</f>
        <v>28132.280693410692</v>
      </c>
      <c r="E150" s="44">
        <f>'Statistics NZ'!E$150*'Economic Forecasts'!G$9*1000000/SUM('Statistics NZ'!E$30:E$110,'Statistics NZ'!E$130:E$210)</f>
        <v>27214.488569547018</v>
      </c>
      <c r="F150" s="44">
        <f>'Statistics NZ'!F$150*'Economic Forecasts'!H$9*1000000/SUM('Statistics NZ'!F$30:F$110,'Statistics NZ'!F$130:F$210)</f>
        <v>26268.050346985194</v>
      </c>
      <c r="G150" s="44">
        <f>'Statistics NZ'!G$150*'Economic Forecasts'!I$9*1000000/SUM('Statistics NZ'!G$30:G$110,'Statistics NZ'!G$130:G$210)</f>
        <v>25273.221123670559</v>
      </c>
      <c r="H150" s="44">
        <f>'Statistics NZ'!H$150*'Economic Forecasts'!J$9*1000000/SUM('Statistics NZ'!H$30:H$110,'Statistics NZ'!H$130:H$210)</f>
        <v>25221.127046427133</v>
      </c>
      <c r="I150" s="44">
        <f>'Statistics NZ'!I$150*'Economic Forecasts'!K$9*1000000/SUM('Statistics NZ'!I$30:I$110,'Statistics NZ'!I$130:I$210)</f>
        <v>24479.477600323775</v>
      </c>
      <c r="J150" s="44">
        <f>'Statistics NZ'!J$150*'Economic Forecasts'!L$9*1000000/SUM('Statistics NZ'!J$30:J$110,'Statistics NZ'!J$130:J$210)</f>
        <v>25335.390069741508</v>
      </c>
      <c r="K150" s="44">
        <f>'Statistics NZ'!K$150*'Economic Forecasts'!M$9*1000000/SUM('Statistics NZ'!K$30:K$110,'Statistics NZ'!K$130:K$210)</f>
        <v>26472.780392178098</v>
      </c>
      <c r="L150" s="44">
        <f>'Statistics NZ'!L$150*'Economic Forecasts'!N$9*1000000/SUM('Statistics NZ'!L$30:L$110,'Statistics NZ'!L$130:L$210)</f>
        <v>27924.61188913606</v>
      </c>
      <c r="M150" s="44">
        <f>'Statistics NZ'!M$150*'Economic Forecasts'!O$9*1000000/SUM('Statistics NZ'!M$30:M$110,'Statistics NZ'!M$130:M$210)</f>
        <v>29347.799820983149</v>
      </c>
      <c r="N150" s="44">
        <f>'Statistics NZ'!N$150*'Economic Forecasts'!P$9*1000000/SUM('Statistics NZ'!N$30:N$110,'Statistics NZ'!N$130:N$210)</f>
        <v>31028.02657467869</v>
      </c>
      <c r="O150" s="44">
        <f>'Statistics NZ'!O$150*'Economic Forecasts'!Q$9*1000000/SUM('Statistics NZ'!O$30:O$110,'Statistics NZ'!O$130:O$210)</f>
        <v>32283.728710764673</v>
      </c>
      <c r="P150" s="44">
        <f>'Statistics NZ'!P$150*'Economic Forecasts'!R$9*1000000/SUM('Statistics NZ'!P$30:P$110,'Statistics NZ'!P$130:P$210)</f>
        <v>33217.353011072359</v>
      </c>
      <c r="Q150" s="44">
        <f>'Statistics NZ'!Q$150*'Economic Forecasts'!S$9*1000000/SUM('Statistics NZ'!Q$30:Q$110,'Statistics NZ'!Q$130:Q$210)</f>
        <v>34275.94349527076</v>
      </c>
      <c r="R150" s="44">
        <f>'Statistics NZ'!R$150*'Economic Forecasts'!T$9*1000000/SUM('Statistics NZ'!R$30:R$110,'Statistics NZ'!R$130:R$210)</f>
        <v>35592.741249669685</v>
      </c>
      <c r="S150" s="45">
        <f>SUM('Statistics NZ'!S$150,$I$13/5*(S$8-S$9)*1000)*'Economic Forecasts'!U$9*1000000/SUM('Statistics NZ'!S$30:S$110,'Statistics NZ'!S$130:S$210,SUM($E$12:$T$13)*(S$8-S$9)*1000)</f>
        <v>37659.943048304602</v>
      </c>
      <c r="T150" s="45">
        <f>SUM('Statistics NZ'!T$150,$I$13/5*(T$8-T$9)*1000)*'Economic Forecasts'!V$9*1000000/SUM('Statistics NZ'!T$30:T$110,'Statistics NZ'!T$130:T$210,SUM($E$12:$T$13)*(T$8-T$9)*1000)</f>
        <v>38708.720039516978</v>
      </c>
      <c r="U150" s="45">
        <f>SUM('Statistics NZ'!U$150,$I$13/5*(U$8-U$9)*1000)*'Economic Forecasts'!W$9*1000000/SUM('Statistics NZ'!U$30:U$110,'Statistics NZ'!U$130:U$210,SUM($E$12:$T$13)*(U$8-U$9)*1000)</f>
        <v>40218.486317694762</v>
      </c>
      <c r="V150" s="45">
        <f>SUM('Statistics NZ'!V$150,$I$13/5*(V$8-V$9)*1000)*'Economic Forecasts'!X$9*1000000/SUM('Statistics NZ'!V$30:V$110,'Statistics NZ'!V$130:V$210,SUM($E$12:$T$13)*(V$8-V$9)*1000)</f>
        <v>41123.6389409111</v>
      </c>
      <c r="W150" s="45">
        <f>SUM('Statistics NZ'!W$150,$I$13/5*(W$8-W$9)*1000)*'Economic Forecasts'!Y$9*1000000/SUM('Statistics NZ'!W$30:W$110,'Statistics NZ'!W$130:W$210,SUM($E$12:$T$13)*(W$8-W$9)*1000)</f>
        <v>41263.408436828366</v>
      </c>
      <c r="X150" s="45">
        <f>SUM('Statistics NZ'!X$150,$I$13/5*(X$8-X$9)*1000)*'Economic Forecasts'!Z$9*1000000/SUM('Statistics NZ'!X$30:X$110,'Statistics NZ'!X$130:X$210,SUM($E$12:$T$13)*(X$8-X$9)*1000)</f>
        <v>40579.084967872412</v>
      </c>
      <c r="Y150" s="45">
        <f>SUM('Statistics NZ'!Y$150,$I$13/5*(Y$8-Y$9)*1000)*'Economic Forecasts'!AA$9*1000000/SUM('Statistics NZ'!Y$30:Y$110,'Statistics NZ'!Y$130:Y$210,SUM($E$12:$T$13)*(Y$8-Y$9)*1000)</f>
        <v>39421.355376761981</v>
      </c>
      <c r="Z150" s="46">
        <f>SUM(Y$150,'Statistics NZ'!Z$150-'Statistics NZ'!Y$150,$I$13/5*(Z$8-Z$9)*1000)</f>
        <v>39381.529952274628</v>
      </c>
      <c r="AA150" s="46">
        <f>SUM(Z$150,'Statistics NZ'!AA$150-'Statistics NZ'!Z$150,$I$13/5*(AA$8-AA$9)*1000)</f>
        <v>39270.574019396983</v>
      </c>
      <c r="AB150" s="46">
        <f>SUM(AA$150,'Statistics NZ'!AB$150-'Statistics NZ'!AA$150,$I$13/5*(AB$8-AB$9)*1000)</f>
        <v>38158.487578129039</v>
      </c>
      <c r="AC150" s="46">
        <f>SUM(AB$150,'Statistics NZ'!AC$150-'Statistics NZ'!AB$150,$I$13/5*(AC$8-AC$9)*1000)</f>
        <v>38125.270628470804</v>
      </c>
      <c r="AD150" s="46">
        <f>SUM(AC$150,'Statistics NZ'!AD$150-'Statistics NZ'!AC$150,$I$13/5*(AD$8-AD$9)*1000)</f>
        <v>37230.923170422277</v>
      </c>
      <c r="AE150" s="46">
        <f>SUM(AD$150,'Statistics NZ'!AE$150-'Statistics NZ'!AD$150,$I$13/5*(AE$8-AE$9)*1000)</f>
        <v>38185.44520398345</v>
      </c>
      <c r="AF150" s="46">
        <f>SUM(AE$150,'Statistics NZ'!AF$150-'Statistics NZ'!AE$150,$I$13/5*(AF$8-AF$9)*1000)</f>
        <v>37888.836729154333</v>
      </c>
      <c r="AG150" s="46">
        <f>SUM(AF$150,'Statistics NZ'!AG$150-'Statistics NZ'!AF$150,$I$13/5*(AG$8-AG$9)*1000)</f>
        <v>36791.097745934923</v>
      </c>
      <c r="AH150" s="46">
        <f>SUM(AG$150,'Statistics NZ'!AH$150-'Statistics NZ'!AG$150,$I$13/5*(AH$8-AH$9)*1000)</f>
        <v>37462.228254325215</v>
      </c>
      <c r="AI150" s="46">
        <f>SUM(AH$150,'Statistics NZ'!AI$150-'Statistics NZ'!AH$150,$I$13/5*(AI$8-AI$9)*1000)</f>
        <v>37952.228254325215</v>
      </c>
    </row>
    <row r="151" spans="1:35" x14ac:dyDescent="0.25">
      <c r="A151" s="11">
        <f>$A$51</f>
        <v>36</v>
      </c>
      <c r="B151" s="44">
        <f>'Statistics NZ'!B$151*'Economic Forecasts'!D$9*1000000/SUM('Statistics NZ'!B$30:B$110,'Statistics NZ'!B$130:B$210)</f>
        <v>29038.73653043394</v>
      </c>
      <c r="C151" s="44">
        <f>'Statistics NZ'!C$151*'Economic Forecasts'!E$9*1000000/SUM('Statistics NZ'!C$30:C$110,'Statistics NZ'!C$130:C$210)</f>
        <v>29774.47727872866</v>
      </c>
      <c r="D151" s="44">
        <f>'Statistics NZ'!D$151*'Economic Forecasts'!F$9*1000000/SUM('Statistics NZ'!D$30:D$110,'Statistics NZ'!D$130:D$210)</f>
        <v>29536.930183340068</v>
      </c>
      <c r="E151" s="44">
        <f>'Statistics NZ'!E$151*'Economic Forecasts'!G$9*1000000/SUM('Statistics NZ'!E$30:E$110,'Statistics NZ'!E$130:E$210)</f>
        <v>28234.418951973286</v>
      </c>
      <c r="F151" s="44">
        <f>'Statistics NZ'!F$151*'Economic Forecasts'!H$9*1000000/SUM('Statistics NZ'!F$30:F$110,'Statistics NZ'!F$130:F$210)</f>
        <v>27356.830626490555</v>
      </c>
      <c r="G151" s="44">
        <f>'Statistics NZ'!G$151*'Economic Forecasts'!I$9*1000000/SUM('Statistics NZ'!G$30:G$110,'Statistics NZ'!G$130:G$210)</f>
        <v>26324.225655436105</v>
      </c>
      <c r="H151" s="44">
        <f>'Statistics NZ'!H$151*'Economic Forecasts'!J$9*1000000/SUM('Statistics NZ'!H$30:H$110,'Statistics NZ'!H$130:H$210)</f>
        <v>25260.427594999666</v>
      </c>
      <c r="I151" s="44">
        <f>'Statistics NZ'!I$151*'Economic Forecasts'!K$9*1000000/SUM('Statistics NZ'!I$30:I$110,'Statistics NZ'!I$130:I$210)</f>
        <v>25234.351358924068</v>
      </c>
      <c r="J151" s="44">
        <f>'Statistics NZ'!J$151*'Economic Forecasts'!L$9*1000000/SUM('Statistics NZ'!J$30:J$110,'Statistics NZ'!J$130:J$210)</f>
        <v>24935.562897740198</v>
      </c>
      <c r="K151" s="44">
        <f>'Statistics NZ'!K$151*'Economic Forecasts'!M$9*1000000/SUM('Statistics NZ'!K$30:K$110,'Statistics NZ'!K$130:K$210)</f>
        <v>26122.27649584915</v>
      </c>
      <c r="L151" s="44">
        <f>'Statistics NZ'!L$151*'Economic Forecasts'!N$9*1000000/SUM('Statistics NZ'!L$30:L$110,'Statistics NZ'!L$130:L$210)</f>
        <v>27359.888217737913</v>
      </c>
      <c r="M151" s="44">
        <f>'Statistics NZ'!M$151*'Economic Forecasts'!O$9*1000000/SUM('Statistics NZ'!M$30:M$110,'Statistics NZ'!M$130:M$210)</f>
        <v>28986.32558883389</v>
      </c>
      <c r="N151" s="44">
        <f>'Statistics NZ'!N$151*'Economic Forecasts'!P$9*1000000/SUM('Statistics NZ'!N$30:N$110,'Statistics NZ'!N$130:N$210)</f>
        <v>30421.360649850536</v>
      </c>
      <c r="O151" s="44">
        <f>'Statistics NZ'!O$151*'Economic Forecasts'!Q$9*1000000/SUM('Statistics NZ'!O$30:O$110,'Statistics NZ'!O$130:O$210)</f>
        <v>31910.960041360522</v>
      </c>
      <c r="P151" s="44">
        <f>'Statistics NZ'!P$151*'Economic Forecasts'!R$9*1000000/SUM('Statistics NZ'!P$30:P$110,'Statistics NZ'!P$130:P$210)</f>
        <v>33080.41457109739</v>
      </c>
      <c r="Q151" s="44">
        <f>'Statistics NZ'!Q$151*'Economic Forecasts'!S$9*1000000/SUM('Statistics NZ'!Q$30:Q$110,'Statistics NZ'!Q$130:Q$210)</f>
        <v>33446.925570248372</v>
      </c>
      <c r="R151" s="44">
        <f>'Statistics NZ'!R$151*'Economic Forecasts'!T$9*1000000/SUM('Statistics NZ'!R$30:R$110,'Statistics NZ'!R$130:R$210)</f>
        <v>34174.154274869674</v>
      </c>
      <c r="S151" s="45">
        <f>SUM('Statistics NZ'!S$151,$I$13/5*(S$8-S$9)*1000)*'Economic Forecasts'!U$9*1000000/SUM('Statistics NZ'!S$30:S$110,'Statistics NZ'!S$130:S$210,SUM($E$12:$T$13)*(S$8-S$9)*1000)</f>
        <v>36650.948256463373</v>
      </c>
      <c r="T151" s="45">
        <f>SUM('Statistics NZ'!T$151,$I$13/5*(T$8-T$9)*1000)*'Economic Forecasts'!V$9*1000000/SUM('Statistics NZ'!T$30:T$110,'Statistics NZ'!T$130:T$210,SUM($E$12:$T$13)*(T$8-T$9)*1000)</f>
        <v>38139.499231876631</v>
      </c>
      <c r="U151" s="45">
        <f>SUM('Statistics NZ'!U$151,$I$13/5*(U$8-U$9)*1000)*'Economic Forecasts'!W$9*1000000/SUM('Statistics NZ'!U$30:U$110,'Statistics NZ'!U$130:U$210,SUM($E$12:$T$13)*(U$8-U$9)*1000)</f>
        <v>38673.48844417178</v>
      </c>
      <c r="V151" s="45">
        <f>SUM('Statistics NZ'!V$151,$I$13/5*(V$8-V$9)*1000)*'Economic Forecasts'!X$9*1000000/SUM('Statistics NZ'!V$30:V$110,'Statistics NZ'!V$130:V$210,SUM($E$12:$T$13)*(V$8-V$9)*1000)</f>
        <v>40496.660913833482</v>
      </c>
      <c r="W151" s="45">
        <f>SUM('Statistics NZ'!W$151,$I$13/5*(W$8-W$9)*1000)*'Economic Forecasts'!Y$9*1000000/SUM('Statistics NZ'!W$30:W$110,'Statistics NZ'!W$130:W$210,SUM($E$12:$T$13)*(W$8-W$9)*1000)</f>
        <v>41476.084171655093</v>
      </c>
      <c r="X151" s="45">
        <f>SUM('Statistics NZ'!X$151,$I$13/5*(X$8-X$9)*1000)*'Economic Forecasts'!Z$9*1000000/SUM('Statistics NZ'!X$30:X$110,'Statistics NZ'!X$130:X$210,SUM($E$12:$T$13)*(X$8-X$9)*1000)</f>
        <v>41624.260407094538</v>
      </c>
      <c r="Y151" s="45">
        <f>SUM('Statistics NZ'!Y$151,$I$13/5*(Y$8-Y$9)*1000)*'Economic Forecasts'!AA$9*1000000/SUM('Statistics NZ'!Y$30:Y$110,'Statistics NZ'!Y$130:Y$210,SUM($E$12:$T$13)*(Y$8-Y$9)*1000)</f>
        <v>40957.464844301896</v>
      </c>
      <c r="Z151" s="46">
        <f>SUM(Y$151,'Statistics NZ'!Z$151-'Statistics NZ'!Y$151,$I$13/5*(Z$8-Z$9)*1000)</f>
        <v>39907.639419814543</v>
      </c>
      <c r="AA151" s="46">
        <f>SUM(Z$151,'Statistics NZ'!AA$151-'Statistics NZ'!Z$151,$I$13/5*(AA$8-AA$9)*1000)</f>
        <v>39846.683486936898</v>
      </c>
      <c r="AB151" s="46">
        <f>SUM(AA$151,'Statistics NZ'!AB$151-'Statistics NZ'!AA$151,$I$13/5*(AB$8-AB$9)*1000)</f>
        <v>39714.597045668954</v>
      </c>
      <c r="AC151" s="46">
        <f>SUM(AB$151,'Statistics NZ'!AC$151-'Statistics NZ'!AB$151,$I$13/5*(AC$8-AC$9)*1000)</f>
        <v>38591.380096010718</v>
      </c>
      <c r="AD151" s="46">
        <f>SUM(AC$151,'Statistics NZ'!AD$151-'Statistics NZ'!AC$151,$I$13/5*(AD$8-AD$9)*1000)</f>
        <v>38527.032637962191</v>
      </c>
      <c r="AE151" s="46">
        <f>SUM(AD$151,'Statistics NZ'!AE$151-'Statistics NZ'!AD$151,$I$13/5*(AE$8-AE$9)*1000)</f>
        <v>37621.554671523365</v>
      </c>
      <c r="AF151" s="46">
        <f>SUM(AE$151,'Statistics NZ'!AF$151-'Statistics NZ'!AE$151,$I$13/5*(AF$8-AF$9)*1000)</f>
        <v>38554.946196694247</v>
      </c>
      <c r="AG151" s="46">
        <f>SUM(AF$151,'Statistics NZ'!AG$151-'Statistics NZ'!AF$151,$I$13/5*(AG$8-AG$9)*1000)</f>
        <v>38237.207213474838</v>
      </c>
      <c r="AH151" s="46">
        <f>SUM(AG$151,'Statistics NZ'!AH$151-'Statistics NZ'!AG$151,$I$13/5*(AH$8-AH$9)*1000)</f>
        <v>37108.337721865129</v>
      </c>
      <c r="AI151" s="46">
        <f>SUM(AH$151,'Statistics NZ'!AI$151-'Statistics NZ'!AH$151,$I$13/5*(AI$8-AI$9)*1000)</f>
        <v>37768.337721865129</v>
      </c>
    </row>
    <row r="152" spans="1:35" x14ac:dyDescent="0.25">
      <c r="A152" s="11">
        <f>$A$52</f>
        <v>37</v>
      </c>
      <c r="B152" s="44">
        <f>'Statistics NZ'!B$152*'Economic Forecasts'!D$9*1000000/SUM('Statistics NZ'!B$30:B$110,'Statistics NZ'!B$130:B$210)</f>
        <v>29390.958402096883</v>
      </c>
      <c r="C152" s="44">
        <f>'Statistics NZ'!C$152*'Economic Forecasts'!E$9*1000000/SUM('Statistics NZ'!C$30:C$110,'Statistics NZ'!C$130:C$210)</f>
        <v>29322.753678853493</v>
      </c>
      <c r="D152" s="44">
        <f>'Statistics NZ'!D$152*'Economic Forecasts'!F$9*1000000/SUM('Statistics NZ'!D$30:D$110,'Statistics NZ'!D$130:D$210)</f>
        <v>29939.661855277864</v>
      </c>
      <c r="E152" s="44">
        <f>'Statistics NZ'!E$152*'Economic Forecasts'!G$9*1000000/SUM('Statistics NZ'!E$30:E$110,'Statistics NZ'!E$130:E$210)</f>
        <v>29617.209181993509</v>
      </c>
      <c r="F152" s="44">
        <f>'Statistics NZ'!F$152*'Economic Forecasts'!H$9*1000000/SUM('Statistics NZ'!F$30:F$110,'Statistics NZ'!F$130:F$210)</f>
        <v>28367.140255220755</v>
      </c>
      <c r="G152" s="44">
        <f>'Statistics NZ'!G$152*'Economic Forecasts'!I$9*1000000/SUM('Statistics NZ'!G$30:G$110,'Statistics NZ'!G$130:G$210)</f>
        <v>27463.632437537068</v>
      </c>
      <c r="H152" s="44">
        <f>'Statistics NZ'!H$152*'Economic Forecasts'!J$9*1000000/SUM('Statistics NZ'!H$30:H$110,'Statistics NZ'!H$130:H$210)</f>
        <v>26301.892132171961</v>
      </c>
      <c r="I152" s="44">
        <f>'Statistics NZ'!I$152*'Economic Forecasts'!K$9*1000000/SUM('Statistics NZ'!I$30:I$110,'Statistics NZ'!I$130:I$210)</f>
        <v>25322.583356682549</v>
      </c>
      <c r="J152" s="44">
        <f>'Statistics NZ'!J$152*'Economic Forecasts'!L$9*1000000/SUM('Statistics NZ'!J$30:J$110,'Statistics NZ'!J$130:J$210)</f>
        <v>25579.187125839868</v>
      </c>
      <c r="K152" s="44">
        <f>'Statistics NZ'!K$152*'Economic Forecasts'!M$9*1000000/SUM('Statistics NZ'!K$30:K$110,'Statistics NZ'!K$130:K$210)</f>
        <v>25586.784432013257</v>
      </c>
      <c r="L152" s="44">
        <f>'Statistics NZ'!L$152*'Economic Forecasts'!N$9*1000000/SUM('Statistics NZ'!L$30:L$110,'Statistics NZ'!L$130:L$210)</f>
        <v>26989.896846821885</v>
      </c>
      <c r="M152" s="44">
        <f>'Statistics NZ'!M$152*'Economic Forecasts'!O$9*1000000/SUM('Statistics NZ'!M$30:M$110,'Statistics NZ'!M$130:M$210)</f>
        <v>28468.538175214679</v>
      </c>
      <c r="N152" s="44">
        <f>'Statistics NZ'!N$152*'Economic Forecasts'!P$9*1000000/SUM('Statistics NZ'!N$30:N$110,'Statistics NZ'!N$130:N$210)</f>
        <v>29941.898870550867</v>
      </c>
      <c r="O152" s="44">
        <f>'Statistics NZ'!O$152*'Economic Forecasts'!Q$9*1000000/SUM('Statistics NZ'!O$30:O$110,'Statistics NZ'!O$130:O$210)</f>
        <v>31332.18763360145</v>
      </c>
      <c r="P152" s="44">
        <f>'Statistics NZ'!P$152*'Economic Forecasts'!R$9*1000000/SUM('Statistics NZ'!P$30:P$110,'Statistics NZ'!P$130:P$210)</f>
        <v>32738.068471159957</v>
      </c>
      <c r="Q152" s="44">
        <f>'Statistics NZ'!Q$152*'Economic Forecasts'!S$9*1000000/SUM('Statistics NZ'!Q$30:Q$110,'Statistics NZ'!Q$130:Q$210)</f>
        <v>33348.232960126661</v>
      </c>
      <c r="R152" s="44">
        <f>'Statistics NZ'!R$152*'Economic Forecasts'!T$9*1000000/SUM('Statistics NZ'!R$30:R$110,'Statistics NZ'!R$130:R$210)</f>
        <v>33307.240012491893</v>
      </c>
      <c r="S152" s="45">
        <f>SUM('Statistics NZ'!S$152,$I$13/5*(S$8-S$9)*1000)*'Economic Forecasts'!U$9*1000000/SUM('Statistics NZ'!S$30:S$110,'Statistics NZ'!S$130:S$210,SUM($E$12:$T$13)*(S$8-S$9)*1000)</f>
        <v>35224.772925687794</v>
      </c>
      <c r="T152" s="45">
        <f>SUM('Statistics NZ'!T$152,$I$13/5*(T$8-T$9)*1000)*'Economic Forecasts'!V$9*1000000/SUM('Statistics NZ'!T$30:T$110,'Statistics NZ'!T$130:T$210,SUM($E$12:$T$13)*(T$8-T$9)*1000)</f>
        <v>37080.948256264768</v>
      </c>
      <c r="U152" s="45">
        <f>SUM('Statistics NZ'!U$152,$I$13/5*(U$8-U$9)*1000)*'Economic Forecasts'!W$9*1000000/SUM('Statistics NZ'!U$30:U$110,'Statistics NZ'!U$130:U$210,SUM($E$12:$T$13)*(U$8-U$9)*1000)</f>
        <v>38077.70495046032</v>
      </c>
      <c r="V152" s="45">
        <f>SUM('Statistics NZ'!V$152,$I$13/5*(V$8-V$9)*1000)*'Economic Forecasts'!X$9*1000000/SUM('Statistics NZ'!V$30:V$110,'Statistics NZ'!V$130:V$210,SUM($E$12:$T$13)*(V$8-V$9)*1000)</f>
        <v>38919.103297315603</v>
      </c>
      <c r="W152" s="45">
        <f>SUM('Statistics NZ'!W$152,$I$13/5*(W$8-W$9)*1000)*'Economic Forecasts'!Y$9*1000000/SUM('Statistics NZ'!W$30:W$110,'Statistics NZ'!W$130:W$210,SUM($E$12:$T$13)*(W$8-W$9)*1000)</f>
        <v>40817.802135286664</v>
      </c>
      <c r="X152" s="45">
        <f>SUM('Statistics NZ'!X$152,$I$13/5*(X$8-X$9)*1000)*'Economic Forecasts'!Z$9*1000000/SUM('Statistics NZ'!X$30:X$110,'Statistics NZ'!X$130:X$210,SUM($E$12:$T$13)*(X$8-X$9)*1000)</f>
        <v>41817.05975996075</v>
      </c>
      <c r="Y152" s="45">
        <f>SUM('Statistics NZ'!Y$152,$I$13/5*(Y$8-Y$9)*1000)*'Economic Forecasts'!AA$9*1000000/SUM('Statistics NZ'!Y$30:Y$110,'Statistics NZ'!Y$130:Y$210,SUM($E$12:$T$13)*(Y$8-Y$9)*1000)</f>
        <v>41974.755882407793</v>
      </c>
      <c r="Z152" s="46">
        <f>SUM(Y$152,'Statistics NZ'!Z$152-'Statistics NZ'!Y$152,$I$13/5*(Z$8-Z$9)*1000)</f>
        <v>41414.93045792044</v>
      </c>
      <c r="AA152" s="46">
        <f>SUM(Z$152,'Statistics NZ'!AA$152-'Statistics NZ'!Z$152,$I$13/5*(AA$8-AA$9)*1000)</f>
        <v>40343.974525042795</v>
      </c>
      <c r="AB152" s="46">
        <f>SUM(AA$152,'Statistics NZ'!AB$152-'Statistics NZ'!AA$152,$I$13/5*(AB$8-AB$9)*1000)</f>
        <v>40261.888083774851</v>
      </c>
      <c r="AC152" s="46">
        <f>SUM(AB$152,'Statistics NZ'!AC$152-'Statistics NZ'!AB$152,$I$13/5*(AC$8-AC$9)*1000)</f>
        <v>40108.671134116616</v>
      </c>
      <c r="AD152" s="46">
        <f>SUM(AC$152,'Statistics NZ'!AD$152-'Statistics NZ'!AC$152,$I$13/5*(AD$8-AD$9)*1000)</f>
        <v>38964.323676068088</v>
      </c>
      <c r="AE152" s="46">
        <f>SUM(AD$152,'Statistics NZ'!AE$152-'Statistics NZ'!AD$152,$I$13/5*(AE$8-AE$9)*1000)</f>
        <v>38888.845709629262</v>
      </c>
      <c r="AF152" s="46">
        <f>SUM(AE$152,'Statistics NZ'!AF$152-'Statistics NZ'!AE$152,$I$13/5*(AF$8-AF$9)*1000)</f>
        <v>37952.237234800145</v>
      </c>
      <c r="AG152" s="46">
        <f>SUM(AF$152,'Statistics NZ'!AG$152-'Statistics NZ'!AF$152,$I$13/5*(AG$8-AG$9)*1000)</f>
        <v>38864.498251580735</v>
      </c>
      <c r="AH152" s="46">
        <f>SUM(AG$152,'Statistics NZ'!AH$152-'Statistics NZ'!AG$152,$I$13/5*(AH$8-AH$9)*1000)</f>
        <v>38525.628759971027</v>
      </c>
      <c r="AI152" s="46">
        <f>SUM(AH$152,'Statistics NZ'!AI$152-'Statistics NZ'!AH$152,$I$13/5*(AI$8-AI$9)*1000)</f>
        <v>37385.628759971027</v>
      </c>
    </row>
    <row r="153" spans="1:35" x14ac:dyDescent="0.25">
      <c r="A153" s="11">
        <f>$A$53</f>
        <v>38</v>
      </c>
      <c r="B153" s="44">
        <f>'Statistics NZ'!B$153*'Economic Forecasts'!D$9*1000000/SUM('Statistics NZ'!B$30:B$110,'Statistics NZ'!B$130:B$210)</f>
        <v>29068.088353072511</v>
      </c>
      <c r="C153" s="44">
        <f>'Statistics NZ'!C$153*'Economic Forecasts'!E$9*1000000/SUM('Statistics NZ'!C$30:C$110,'Statistics NZ'!C$130:C$210)</f>
        <v>29676.276496147108</v>
      </c>
      <c r="D153" s="44">
        <f>'Statistics NZ'!D$153*'Economic Forecasts'!F$9*1000000/SUM('Statistics NZ'!D$30:D$110,'Statistics NZ'!D$130:D$210)</f>
        <v>29379.766604047272</v>
      </c>
      <c r="E153" s="44">
        <f>'Statistics NZ'!E$153*'Economic Forecasts'!G$9*1000000/SUM('Statistics NZ'!E$30:E$110,'Statistics NZ'!E$130:E$210)</f>
        <v>30019.29712121925</v>
      </c>
      <c r="F153" s="44">
        <f>'Statistics NZ'!F$153*'Economic Forecasts'!H$9*1000000/SUM('Statistics NZ'!F$30:F$110,'Statistics NZ'!F$130:F$210)</f>
        <v>29720.758981092284</v>
      </c>
      <c r="G153" s="44">
        <f>'Statistics NZ'!G$153*'Economic Forecasts'!I$9*1000000/SUM('Statistics NZ'!G$30:G$110,'Statistics NZ'!G$130:G$210)</f>
        <v>28396.76730218872</v>
      </c>
      <c r="H153" s="44">
        <f>'Statistics NZ'!H$153*'Economic Forecasts'!J$9*1000000/SUM('Statistics NZ'!H$30:H$110,'Statistics NZ'!H$130:H$210)</f>
        <v>27451.433177918741</v>
      </c>
      <c r="I153" s="44">
        <f>'Statistics NZ'!I$153*'Economic Forecasts'!K$9*1000000/SUM('Statistics NZ'!I$30:I$110,'Statistics NZ'!I$130:I$210)</f>
        <v>26312.742442638773</v>
      </c>
      <c r="J153" s="44">
        <f>'Statistics NZ'!J$153*'Economic Forecasts'!L$9*1000000/SUM('Statistics NZ'!J$30:J$110,'Statistics NZ'!J$130:J$210)</f>
        <v>25705.961595011013</v>
      </c>
      <c r="K153" s="44">
        <f>'Statistics NZ'!K$153*'Economic Forecasts'!M$9*1000000/SUM('Statistics NZ'!K$30:K$110,'Statistics NZ'!K$130:K$210)</f>
        <v>26170.957592561506</v>
      </c>
      <c r="L153" s="44">
        <f>'Statistics NZ'!L$153*'Economic Forecasts'!N$9*1000000/SUM('Statistics NZ'!L$30:L$110,'Statistics NZ'!L$130:L$210)</f>
        <v>26366.753485279096</v>
      </c>
      <c r="M153" s="44">
        <f>'Statistics NZ'!M$153*'Economic Forecasts'!O$9*1000000/SUM('Statistics NZ'!M$30:M$110,'Statistics NZ'!M$130:M$210)</f>
        <v>27980.059483121084</v>
      </c>
      <c r="N153" s="44">
        <f>'Statistics NZ'!N$153*'Economic Forecasts'!P$9*1000000/SUM('Statistics NZ'!N$30:N$110,'Statistics NZ'!N$130:N$210)</f>
        <v>29393.942551351243</v>
      </c>
      <c r="O153" s="44">
        <f>'Statistics NZ'!O$153*'Economic Forecasts'!Q$9*1000000/SUM('Statistics NZ'!O$30:O$110,'Statistics NZ'!O$130:O$210)</f>
        <v>30645.508505751699</v>
      </c>
      <c r="P153" s="44">
        <f>'Statistics NZ'!P$153*'Economic Forecasts'!R$9*1000000/SUM('Statistics NZ'!P$30:P$110,'Statistics NZ'!P$130:P$210)</f>
        <v>32004.469685579734</v>
      </c>
      <c r="Q153" s="44">
        <f>'Statistics NZ'!Q$153*'Economic Forecasts'!S$9*1000000/SUM('Statistics NZ'!Q$30:Q$110,'Statistics NZ'!Q$130:Q$210)</f>
        <v>33002.808824700667</v>
      </c>
      <c r="R153" s="44">
        <f>'Statistics NZ'!R$153*'Economic Forecasts'!T$9*1000000/SUM('Statistics NZ'!R$30:R$110,'Statistics NZ'!R$130:R$210)</f>
        <v>33248.132221875232</v>
      </c>
      <c r="S153" s="45">
        <f>SUM('Statistics NZ'!S$153,$I$13/5*(S$8-S$9)*1000)*'Economic Forecasts'!U$9*1000000/SUM('Statistics NZ'!S$30:S$110,'Statistics NZ'!S$130:S$210,SUM($E$12:$T$13)*(S$8-S$9)*1000)</f>
        <v>34361.306228823676</v>
      </c>
      <c r="T153" s="45">
        <f>SUM('Statistics NZ'!T$153,$I$13/5*(T$8-T$9)*1000)*'Economic Forecasts'!V$9*1000000/SUM('Statistics NZ'!T$30:T$110,'Statistics NZ'!T$130:T$210,SUM($E$12:$T$13)*(T$8-T$9)*1000)</f>
        <v>35602.971422391594</v>
      </c>
      <c r="U153" s="45">
        <f>SUM('Statistics NZ'!U$153,$I$13/5*(U$8-U$9)*1000)*'Economic Forecasts'!W$9*1000000/SUM('Statistics NZ'!U$30:U$110,'Statistics NZ'!U$130:U$210,SUM($E$12:$T$13)*(U$8-U$9)*1000)</f>
        <v>36997.216241525952</v>
      </c>
      <c r="V153" s="45">
        <f>SUM('Statistics NZ'!V$153,$I$13/5*(V$8-V$9)*1000)*'Economic Forecasts'!X$9*1000000/SUM('Statistics NZ'!V$30:V$110,'Statistics NZ'!V$130:V$210,SUM($E$12:$T$13)*(V$8-V$9)*1000)</f>
        <v>38322.462916709483</v>
      </c>
      <c r="W153" s="45">
        <f>SUM('Statistics NZ'!W$153,$I$13/5*(W$8-W$9)*1000)*'Economic Forecasts'!Y$9*1000000/SUM('Statistics NZ'!W$30:W$110,'Statistics NZ'!W$130:W$210,SUM($E$12:$T$13)*(W$8-W$9)*1000)</f>
        <v>39237.925248002444</v>
      </c>
      <c r="X153" s="45">
        <f>SUM('Statistics NZ'!X$153,$I$13/5*(X$8-X$9)*1000)*'Economic Forecasts'!Z$9*1000000/SUM('Statistics NZ'!X$30:X$110,'Statistics NZ'!X$130:X$210,SUM($E$12:$T$13)*(X$8-X$9)*1000)</f>
        <v>41147.335692109678</v>
      </c>
      <c r="Y153" s="45">
        <f>SUM('Statistics NZ'!Y$153,$I$13/5*(Y$8-Y$9)*1000)*'Economic Forecasts'!AA$9*1000000/SUM('Statistics NZ'!Y$30:Y$110,'Statistics NZ'!Y$130:Y$210,SUM($E$12:$T$13)*(Y$8-Y$9)*1000)</f>
        <v>42168.041179647909</v>
      </c>
      <c r="Z153" s="46">
        <f>SUM(Y$153,'Statistics NZ'!Z$153-'Statistics NZ'!Y$153,$I$13/5*(Z$8-Z$9)*1000)</f>
        <v>42408.215755160556</v>
      </c>
      <c r="AA153" s="46">
        <f>SUM(Z$153,'Statistics NZ'!AA$153-'Statistics NZ'!Z$153,$I$13/5*(AA$8-AA$9)*1000)</f>
        <v>41827.259822282911</v>
      </c>
      <c r="AB153" s="46">
        <f>SUM(AA$153,'Statistics NZ'!AB$153-'Statistics NZ'!AA$153,$I$13/5*(AB$8-AB$9)*1000)</f>
        <v>40735.173381014967</v>
      </c>
      <c r="AC153" s="46">
        <f>SUM(AB$153,'Statistics NZ'!AC$153-'Statistics NZ'!AB$153,$I$13/5*(AC$8-AC$9)*1000)</f>
        <v>40631.956431356732</v>
      </c>
      <c r="AD153" s="46">
        <f>SUM(AC$153,'Statistics NZ'!AD$153-'Statistics NZ'!AC$153,$I$13/5*(AD$8-AD$9)*1000)</f>
        <v>40457.608973308204</v>
      </c>
      <c r="AE153" s="46">
        <f>SUM(AD$153,'Statistics NZ'!AE$153-'Statistics NZ'!AD$153,$I$13/5*(AE$8-AE$9)*1000)</f>
        <v>39292.131006869378</v>
      </c>
      <c r="AF153" s="46">
        <f>SUM(AE$153,'Statistics NZ'!AF$153-'Statistics NZ'!AE$153,$I$13/5*(AF$8-AF$9)*1000)</f>
        <v>39195.522532040261</v>
      </c>
      <c r="AG153" s="46">
        <f>SUM(AF$153,'Statistics NZ'!AG$153-'Statistics NZ'!AF$153,$I$13/5*(AG$8-AG$9)*1000)</f>
        <v>38247.783548820851</v>
      </c>
      <c r="AH153" s="46">
        <f>SUM(AG$153,'Statistics NZ'!AH$153-'Statistics NZ'!AG$153,$I$13/5*(AH$8-AH$9)*1000)</f>
        <v>39138.914057211143</v>
      </c>
      <c r="AI153" s="46">
        <f>SUM(AH$153,'Statistics NZ'!AI$153-'Statistics NZ'!AH$153,$I$13/5*(AI$8-AI$9)*1000)</f>
        <v>38778.914057211143</v>
      </c>
    </row>
    <row r="154" spans="1:35" x14ac:dyDescent="0.25">
      <c r="A154" s="11">
        <f>$A$54</f>
        <v>39</v>
      </c>
      <c r="B154" s="44">
        <f>'Statistics NZ'!B$154*'Economic Forecasts'!D$9*1000000/SUM('Statistics NZ'!B$30:B$110,'Statistics NZ'!B$130:B$210)</f>
        <v>28931.113180759148</v>
      </c>
      <c r="C154" s="44">
        <f>'Statistics NZ'!C$154*'Economic Forecasts'!E$9*1000000/SUM('Statistics NZ'!C$30:C$110,'Statistics NZ'!C$130:C$210)</f>
        <v>29352.213913627962</v>
      </c>
      <c r="D154" s="44">
        <f>'Statistics NZ'!D$154*'Economic Forecasts'!F$9*1000000/SUM('Statistics NZ'!D$30:D$110,'Statistics NZ'!D$130:D$210)</f>
        <v>29723.561933750269</v>
      </c>
      <c r="E154" s="44">
        <f>'Statistics NZ'!E$154*'Economic Forecasts'!G$9*1000000/SUM('Statistics NZ'!E$30:E$110,'Statistics NZ'!E$130:E$210)</f>
        <v>29450.489792558452</v>
      </c>
      <c r="F154" s="44">
        <f>'Statistics NZ'!F$154*'Economic Forecasts'!H$9*1000000/SUM('Statistics NZ'!F$30:F$110,'Statistics NZ'!F$130:F$210)</f>
        <v>30054.259246886719</v>
      </c>
      <c r="G154" s="44">
        <f>'Statistics NZ'!G$154*'Economic Forecasts'!I$9*1000000/SUM('Statistics NZ'!G$30:G$110,'Statistics NZ'!G$130:G$210)</f>
        <v>29712.978584960529</v>
      </c>
      <c r="H154" s="44">
        <f>'Statistics NZ'!H$154*'Economic Forecasts'!J$9*1000000/SUM('Statistics NZ'!H$30:H$110,'Statistics NZ'!H$130:H$210)</f>
        <v>28404.471480802818</v>
      </c>
      <c r="I154" s="44">
        <f>'Statistics NZ'!I$154*'Economic Forecasts'!K$9*1000000/SUM('Statistics NZ'!I$30:I$110,'Statistics NZ'!I$130:I$210)</f>
        <v>27567.597521870426</v>
      </c>
      <c r="J154" s="44">
        <f>'Statistics NZ'!J$154*'Economic Forecasts'!L$9*1000000/SUM('Statistics NZ'!J$30:J$110,'Statistics NZ'!J$130:J$210)</f>
        <v>26632.390408184783</v>
      </c>
      <c r="K154" s="44">
        <f>'Statistics NZ'!K$154*'Economic Forecasts'!M$9*1000000/SUM('Statistics NZ'!K$30:K$110,'Statistics NZ'!K$130:K$210)</f>
        <v>26297.528444013624</v>
      </c>
      <c r="L154" s="44">
        <f>'Statistics NZ'!L$154*'Economic Forecasts'!N$9*1000000/SUM('Statistics NZ'!L$30:L$110,'Statistics NZ'!L$130:L$210)</f>
        <v>26853.584236484396</v>
      </c>
      <c r="M154" s="44">
        <f>'Statistics NZ'!M$154*'Economic Forecasts'!O$9*1000000/SUM('Statistics NZ'!M$30:M$110,'Statistics NZ'!M$130:M$210)</f>
        <v>27227.802297296948</v>
      </c>
      <c r="N154" s="44">
        <f>'Statistics NZ'!N$154*'Economic Forecasts'!P$9*1000000/SUM('Statistics NZ'!N$30:N$110,'Statistics NZ'!N$130:N$210)</f>
        <v>28865.556100694463</v>
      </c>
      <c r="O154" s="44">
        <f>'Statistics NZ'!O$154*'Economic Forecasts'!Q$9*1000000/SUM('Statistics NZ'!O$30:O$110,'Statistics NZ'!O$130:O$210)</f>
        <v>30174.642818083299</v>
      </c>
      <c r="P154" s="44">
        <f>'Statistics NZ'!P$154*'Economic Forecasts'!R$9*1000000/SUM('Statistics NZ'!P$30:P$110,'Statistics NZ'!P$130:P$210)</f>
        <v>31349.121437128069</v>
      </c>
      <c r="Q154" s="44">
        <f>'Statistics NZ'!Q$154*'Economic Forecasts'!S$9*1000000/SUM('Statistics NZ'!Q$30:Q$110,'Statistics NZ'!Q$130:Q$210)</f>
        <v>32272.483509799993</v>
      </c>
      <c r="R154" s="44">
        <f>'Statistics NZ'!R$154*'Economic Forecasts'!T$9*1000000/SUM('Statistics NZ'!R$30:R$110,'Statistics NZ'!R$130:R$210)</f>
        <v>32765.418598505777</v>
      </c>
      <c r="S154" s="45">
        <f>SUM('Statistics NZ'!S$154,$I$13/5*(S$8-S$9)*1000)*'Economic Forecasts'!U$9*1000000/SUM('Statistics NZ'!S$30:S$110,'Statistics NZ'!S$130:S$210,SUM($E$12:$T$13)*(S$8-S$9)*1000)</f>
        <v>34283.691244835893</v>
      </c>
      <c r="T154" s="45">
        <f>SUM('Statistics NZ'!T$154,$I$13/5*(T$8-T$9)*1000)*'Economic Forecasts'!V$9*1000000/SUM('Statistics NZ'!T$30:T$110,'Statistics NZ'!T$130:T$210,SUM($E$12:$T$13)*(T$8-T$9)*1000)</f>
        <v>34694.215396158768</v>
      </c>
      <c r="U154" s="45">
        <f>SUM('Statistics NZ'!U$154,$I$13/5*(U$8-U$9)*1000)*'Economic Forecasts'!W$9*1000000/SUM('Statistics NZ'!U$30:U$110,'Statistics NZ'!U$130:U$210,SUM($E$12:$T$13)*(U$8-U$9)*1000)</f>
        <v>35482.512443954416</v>
      </c>
      <c r="V154" s="45">
        <f>SUM('Statistics NZ'!V$154,$I$13/5*(V$8-V$9)*1000)*'Economic Forecasts'!X$9*1000000/SUM('Statistics NZ'!V$30:V$110,'Statistics NZ'!V$130:V$210,SUM($E$12:$T$13)*(V$8-V$9)*1000)</f>
        <v>37210.082546087906</v>
      </c>
      <c r="W154" s="45">
        <f>SUM('Statistics NZ'!W$154,$I$13/5*(W$8-W$9)*1000)*'Economic Forecasts'!Y$9*1000000/SUM('Statistics NZ'!W$30:W$110,'Statistics NZ'!W$130:W$210,SUM($E$12:$T$13)*(W$8-W$9)*1000)</f>
        <v>38610.0254594664</v>
      </c>
      <c r="X154" s="45">
        <f>SUM('Statistics NZ'!X$154,$I$13/5*(X$8-X$9)*1000)*'Economic Forecasts'!Z$9*1000000/SUM('Statistics NZ'!X$30:X$110,'Statistics NZ'!X$130:X$210,SUM($E$12:$T$13)*(X$8-X$9)*1000)</f>
        <v>39533.909528650271</v>
      </c>
      <c r="Y154" s="45">
        <f>SUM('Statistics NZ'!Y$154,$I$13/5*(Y$8-Y$9)*1000)*'Economic Forecasts'!AA$9*1000000/SUM('Statistics NZ'!Y$30:Y$110,'Statistics NZ'!Y$130:Y$210,SUM($E$12:$T$13)*(Y$8-Y$9)*1000)</f>
        <v>41466.110363354841</v>
      </c>
      <c r="Z154" s="46">
        <f>SUM(Y$154,'Statistics NZ'!Z$154-'Statistics NZ'!Y$154,$I$13/5*(Z$8-Z$9)*1000)</f>
        <v>42546.284938867488</v>
      </c>
      <c r="AA154" s="46">
        <f>SUM(Z$154,'Statistics NZ'!AA$154-'Statistics NZ'!Z$154,$I$13/5*(AA$8-AA$9)*1000)</f>
        <v>42775.329005989843</v>
      </c>
      <c r="AB154" s="46">
        <f>SUM(AA$154,'Statistics NZ'!AB$154-'Statistics NZ'!AA$154,$I$13/5*(AB$8-AB$9)*1000)</f>
        <v>42173.242564721899</v>
      </c>
      <c r="AC154" s="46">
        <f>SUM(AB$154,'Statistics NZ'!AC$154-'Statistics NZ'!AB$154,$I$13/5*(AC$8-AC$9)*1000)</f>
        <v>41060.025615063663</v>
      </c>
      <c r="AD154" s="46">
        <f>SUM(AC$154,'Statistics NZ'!AD$154-'Statistics NZ'!AC$154,$I$13/5*(AD$8-AD$9)*1000)</f>
        <v>40935.678157015136</v>
      </c>
      <c r="AE154" s="46">
        <f>SUM(AD$154,'Statistics NZ'!AE$154-'Statistics NZ'!AD$154,$I$13/5*(AE$8-AE$9)*1000)</f>
        <v>40740.20019057631</v>
      </c>
      <c r="AF154" s="46">
        <f>SUM(AE$154,'Statistics NZ'!AF$154-'Statistics NZ'!AE$154,$I$13/5*(AF$8-AF$9)*1000)</f>
        <v>39553.591715747192</v>
      </c>
      <c r="AG154" s="46">
        <f>SUM(AF$154,'Statistics NZ'!AG$154-'Statistics NZ'!AF$154,$I$13/5*(AG$8-AG$9)*1000)</f>
        <v>39435.852732527783</v>
      </c>
      <c r="AH154" s="46">
        <f>SUM(AG$154,'Statistics NZ'!AH$154-'Statistics NZ'!AG$154,$I$13/5*(AH$8-AH$9)*1000)</f>
        <v>38466.983240918074</v>
      </c>
      <c r="AI154" s="46">
        <f>SUM(AH$154,'Statistics NZ'!AI$154-'Statistics NZ'!AH$154,$I$13/5*(AI$8-AI$9)*1000)</f>
        <v>39336.983240918074</v>
      </c>
    </row>
    <row r="155" spans="1:35" x14ac:dyDescent="0.25">
      <c r="A155" s="11">
        <f>$A$55</f>
        <v>40</v>
      </c>
      <c r="B155" s="44">
        <f>'Statistics NZ'!B$155*'Economic Forecasts'!D$9*1000000/SUM('Statistics NZ'!B$30:B$110,'Statistics NZ'!B$130:B$210)</f>
        <v>29273.551111542569</v>
      </c>
      <c r="C155" s="44">
        <f>'Statistics NZ'!C$155*'Economic Forecasts'!E$9*1000000/SUM('Statistics NZ'!C$30:C$110,'Statistics NZ'!C$130:C$210)</f>
        <v>29214.732818013774</v>
      </c>
      <c r="D155" s="44">
        <f>'Statistics NZ'!D$155*'Economic Forecasts'!F$9*1000000/SUM('Statistics NZ'!D$30:D$110,'Statistics NZ'!D$130:D$210)</f>
        <v>29419.057498870468</v>
      </c>
      <c r="E155" s="44">
        <f>'Statistics NZ'!E$155*'Economic Forecasts'!G$9*1000000/SUM('Statistics NZ'!E$30:E$110,'Statistics NZ'!E$130:E$210)</f>
        <v>29774.121548520627</v>
      </c>
      <c r="F155" s="44">
        <f>'Statistics NZ'!F$155*'Economic Forecasts'!H$9*1000000/SUM('Statistics NZ'!F$30:F$110,'Statistics NZ'!F$130:F$210)</f>
        <v>29475.538197419904</v>
      </c>
      <c r="G155" s="44">
        <f>'Statistics NZ'!G$155*'Economic Forecasts'!I$9*1000000/SUM('Statistics NZ'!G$30:G$110,'Statistics NZ'!G$130:G$210)</f>
        <v>30066.587586302205</v>
      </c>
      <c r="H155" s="44">
        <f>'Statistics NZ'!H$155*'Economic Forecasts'!J$9*1000000/SUM('Statistics NZ'!H$30:H$110,'Statistics NZ'!H$130:H$210)</f>
        <v>29681.739309410343</v>
      </c>
      <c r="I155" s="44">
        <f>'Statistics NZ'!I$155*'Economic Forecasts'!K$9*1000000/SUM('Statistics NZ'!I$30:I$110,'Statistics NZ'!I$130:I$210)</f>
        <v>28430.31038884219</v>
      </c>
      <c r="J155" s="44">
        <f>'Statistics NZ'!J$155*'Economic Forecasts'!L$9*1000000/SUM('Statistics NZ'!J$30:J$110,'Statistics NZ'!J$130:J$210)</f>
        <v>27831.871924188712</v>
      </c>
      <c r="K155" s="44">
        <f>'Statistics NZ'!K$155*'Economic Forecasts'!M$9*1000000/SUM('Statistics NZ'!K$30:K$110,'Statistics NZ'!K$130:K$210)</f>
        <v>27144.579526808589</v>
      </c>
      <c r="L155" s="44">
        <f>'Statistics NZ'!L$155*'Economic Forecasts'!N$9*1000000/SUM('Statistics NZ'!L$30:L$110,'Statistics NZ'!L$130:L$210)</f>
        <v>26999.633461845991</v>
      </c>
      <c r="M155" s="44">
        <f>'Statistics NZ'!M$155*'Economic Forecasts'!O$9*1000000/SUM('Statistics NZ'!M$30:M$110,'Statistics NZ'!M$130:M$210)</f>
        <v>27686.972267864927</v>
      </c>
      <c r="N155" s="44">
        <f>'Statistics NZ'!N$155*'Economic Forecasts'!P$9*1000000/SUM('Statistics NZ'!N$30:N$110,'Statistics NZ'!N$130:N$210)</f>
        <v>28053.406556166447</v>
      </c>
      <c r="O155" s="44">
        <f>'Statistics NZ'!O$155*'Economic Forecasts'!Q$9*1000000/SUM('Statistics NZ'!O$30:O$110,'Statistics NZ'!O$130:O$210)</f>
        <v>29605.680112150647</v>
      </c>
      <c r="P155" s="44">
        <f>'Statistics NZ'!P$155*'Economic Forecasts'!R$9*1000000/SUM('Statistics NZ'!P$30:P$110,'Statistics NZ'!P$130:P$210)</f>
        <v>30820.93031151031</v>
      </c>
      <c r="Q155" s="44">
        <f>'Statistics NZ'!Q$155*'Economic Forecasts'!S$9*1000000/SUM('Statistics NZ'!Q$30:Q$110,'Statistics NZ'!Q$130:Q$210)</f>
        <v>31709.93563210623</v>
      </c>
      <c r="R155" s="44">
        <f>'Statistics NZ'!R$155*'Economic Forecasts'!T$9*1000000/SUM('Statistics NZ'!R$30:R$110,'Statistics NZ'!R$130:R$210)</f>
        <v>32125.084200158555</v>
      </c>
      <c r="S155" s="45">
        <f>SUM('Statistics NZ'!S$155,$J$13/5*(S$8-S$9)*1000)*'Economic Forecasts'!U$9*1000000/SUM('Statistics NZ'!S$30:S$110,'Statistics NZ'!S$130:S$210,SUM($E$12:$T$13)*(S$8-S$9)*1000)</f>
        <v>33253.243767886233</v>
      </c>
      <c r="T155" s="45">
        <f>SUM('Statistics NZ'!T$155,$J$13/5*(T$8-T$9)*1000)*'Economic Forecasts'!V$9*1000000/SUM('Statistics NZ'!T$30:T$110,'Statistics NZ'!T$130:T$210,SUM($E$12:$T$13)*(T$8-T$9)*1000)</f>
        <v>34280.350885853521</v>
      </c>
      <c r="U155" s="45">
        <f>SUM('Statistics NZ'!U$155,$J$13/5*(U$8-U$9)*1000)*'Economic Forecasts'!W$9*1000000/SUM('Statistics NZ'!U$30:U$110,'Statistics NZ'!U$130:U$210,SUM($E$12:$T$13)*(U$8-U$9)*1000)</f>
        <v>34441.125513431616</v>
      </c>
      <c r="V155" s="45">
        <f>SUM('Statistics NZ'!V$155,$J$13/5*(V$8-V$9)*1000)*'Economic Forecasts'!X$9*1000000/SUM('Statistics NZ'!V$30:V$110,'Statistics NZ'!V$130:V$210,SUM($E$12:$T$13)*(V$8-V$9)*1000)</f>
        <v>35588.552280815537</v>
      </c>
      <c r="W155" s="45">
        <f>SUM('Statistics NZ'!W$155,$J$13/5*(W$8-W$9)*1000)*'Economic Forecasts'!Y$9*1000000/SUM('Statistics NZ'!W$30:W$110,'Statistics NZ'!W$130:W$210,SUM($E$12:$T$13)*(W$8-W$9)*1000)</f>
        <v>37384.876113665545</v>
      </c>
      <c r="X155" s="45">
        <f>SUM('Statistics NZ'!X$155,$J$13/5*(X$8-X$9)*1000)*'Economic Forecasts'!Z$9*1000000/SUM('Statistics NZ'!X$30:X$110,'Statistics NZ'!X$130:X$210,SUM($E$12:$T$13)*(X$8-X$9)*1000)</f>
        <v>38791.470552703642</v>
      </c>
      <c r="Y155" s="45">
        <f>SUM('Statistics NZ'!Y$155,$J$13/5*(Y$8-Y$9)*1000)*'Economic Forecasts'!AA$9*1000000/SUM('Statistics NZ'!Y$30:Y$110,'Statistics NZ'!Y$130:Y$210,SUM($E$12:$T$13)*(Y$8-Y$9)*1000)</f>
        <v>39734.538538078283</v>
      </c>
      <c r="Z155" s="46">
        <f>SUM(Y$155,'Statistics NZ'!Z$155-'Statistics NZ'!Y$155,$J$13/5*(Z$8-Z$9)*1000)</f>
        <v>41659.787062565723</v>
      </c>
      <c r="AA155" s="46">
        <f>SUM(Z$155,'Statistics NZ'!AA$155-'Statistics NZ'!Z$155,$J$13/5*(AA$8-AA$9)*1000)</f>
        <v>42661.119084332335</v>
      </c>
      <c r="AB155" s="46">
        <f>SUM(AA$155,'Statistics NZ'!AB$155-'Statistics NZ'!AA$155,$J$13/5*(AB$8-AB$9)*1000)</f>
        <v>42818.534603378117</v>
      </c>
      <c r="AC155" s="46">
        <f>SUM(AB$155,'Statistics NZ'!AC$155-'Statistics NZ'!AB$155,$J$13/5*(AC$8-AC$9)*1000)</f>
        <v>42152.033619703077</v>
      </c>
      <c r="AD155" s="46">
        <f>SUM(AC$155,'Statistics NZ'!AD$155-'Statistics NZ'!AC$155,$J$13/5*(AD$8-AD$9)*1000)</f>
        <v>40991.616133307209</v>
      </c>
      <c r="AE155" s="46">
        <f>SUM(AD$155,'Statistics NZ'!AE$155-'Statistics NZ'!AD$155,$J$13/5*(AE$8-AE$9)*1000)</f>
        <v>40817.282144190511</v>
      </c>
      <c r="AF155" s="46">
        <f>SUM(AE$155,'Statistics NZ'!AF$155-'Statistics NZ'!AE$155,$J$13/5*(AF$8-AF$9)*1000)</f>
        <v>40579.031652352991</v>
      </c>
      <c r="AG155" s="46">
        <f>SUM(AF$155,'Statistics NZ'!AG$155-'Statistics NZ'!AF$155,$J$13/5*(AG$8-AG$9)*1000)</f>
        <v>39356.864657794642</v>
      </c>
      <c r="AH155" s="46">
        <f>SUM(AG$155,'Statistics NZ'!AH$155-'Statistics NZ'!AG$155,$J$13/5*(AH$8-AH$9)*1000)</f>
        <v>39210.781160515471</v>
      </c>
      <c r="AI155" s="46">
        <f>SUM(AH$155,'Statistics NZ'!AI$155-'Statistics NZ'!AH$155,$J$13/5*(AI$8-AI$9)*1000)</f>
        <v>38220.781160515471</v>
      </c>
    </row>
    <row r="156" spans="1:35" x14ac:dyDescent="0.25">
      <c r="A156" s="11">
        <f>$A$56</f>
        <v>41</v>
      </c>
      <c r="B156" s="44">
        <f>'Statistics NZ'!B$156*'Economic Forecasts'!D$9*1000000/SUM('Statistics NZ'!B$30:B$110,'Statistics NZ'!B$130:B$210)</f>
        <v>29723.612392000778</v>
      </c>
      <c r="C156" s="44">
        <f>'Statistics NZ'!C$156*'Economic Forecasts'!E$9*1000000/SUM('Statistics NZ'!C$30:C$110,'Statistics NZ'!C$130:C$210)</f>
        <v>29499.515087500302</v>
      </c>
      <c r="D156" s="44">
        <f>'Statistics NZ'!D$156*'Economic Forecasts'!F$9*1000000/SUM('Statistics NZ'!D$30:D$110,'Statistics NZ'!D$130:D$210)</f>
        <v>29252.071195871875</v>
      </c>
      <c r="E156" s="44">
        <f>'Statistics NZ'!E$156*'Economic Forecasts'!G$9*1000000/SUM('Statistics NZ'!E$30:E$110,'Statistics NZ'!E$130:E$210)</f>
        <v>29430.875746742557</v>
      </c>
      <c r="F156" s="44">
        <f>'Statistics NZ'!F$156*'Economic Forecasts'!H$9*1000000/SUM('Statistics NZ'!F$30:F$110,'Statistics NZ'!F$130:F$210)</f>
        <v>29838.464957255026</v>
      </c>
      <c r="G156" s="44">
        <f>'Statistics NZ'!G$156*'Economic Forecasts'!I$9*1000000/SUM('Statistics NZ'!G$30:G$110,'Statistics NZ'!G$130:G$210)</f>
        <v>29477.239250732742</v>
      </c>
      <c r="H156" s="44">
        <f>'Statistics NZ'!H$156*'Economic Forecasts'!J$9*1000000/SUM('Statistics NZ'!H$30:H$110,'Statistics NZ'!H$130:H$210)</f>
        <v>30045.269383706334</v>
      </c>
      <c r="I156" s="44">
        <f>'Statistics NZ'!I$156*'Economic Forecasts'!K$9*1000000/SUM('Statistics NZ'!I$30:I$110,'Statistics NZ'!I$130:I$210)</f>
        <v>29675.361912767352</v>
      </c>
      <c r="J156" s="44">
        <f>'Statistics NZ'!J$156*'Economic Forecasts'!L$9*1000000/SUM('Statistics NZ'!J$30:J$110,'Statistics NZ'!J$130:J$210)</f>
        <v>28836.315795313949</v>
      </c>
      <c r="K156" s="44">
        <f>'Statistics NZ'!K$156*'Economic Forecasts'!M$9*1000000/SUM('Statistics NZ'!K$30:K$110,'Statistics NZ'!K$130:K$210)</f>
        <v>28283.717189877669</v>
      </c>
      <c r="L156" s="44">
        <f>'Statistics NZ'!L$156*'Economic Forecasts'!N$9*1000000/SUM('Statistics NZ'!L$30:L$110,'Statistics NZ'!L$130:L$210)</f>
        <v>27749.352818702155</v>
      </c>
      <c r="M156" s="44">
        <f>'Statistics NZ'!M$156*'Economic Forecasts'!O$9*1000000/SUM('Statistics NZ'!M$30:M$110,'Statistics NZ'!M$130:M$210)</f>
        <v>27745.58971091616</v>
      </c>
      <c r="N156" s="44">
        <f>'Statistics NZ'!N$156*'Economic Forecasts'!P$9*1000000/SUM('Statistics NZ'!N$30:N$110,'Statistics NZ'!N$130:N$210)</f>
        <v>28395.879255666212</v>
      </c>
      <c r="O156" s="44">
        <f>'Statistics NZ'!O$156*'Economic Forecasts'!Q$9*1000000/SUM('Statistics NZ'!O$30:O$110,'Statistics NZ'!O$130:O$210)</f>
        <v>28663.948736813847</v>
      </c>
      <c r="P156" s="44">
        <f>'Statistics NZ'!P$156*'Economic Forecasts'!R$9*1000000/SUM('Statistics NZ'!P$30:P$110,'Statistics NZ'!P$130:P$210)</f>
        <v>30175.36338019972</v>
      </c>
      <c r="Q156" s="44">
        <f>'Statistics NZ'!Q$156*'Economic Forecasts'!S$9*1000000/SUM('Statistics NZ'!Q$30:Q$110,'Statistics NZ'!Q$130:Q$210)</f>
        <v>31137.518493400301</v>
      </c>
      <c r="R156" s="44">
        <f>'Statistics NZ'!R$156*'Economic Forecasts'!T$9*1000000/SUM('Statistics NZ'!R$30:R$110,'Statistics NZ'!R$130:R$210)</f>
        <v>31602.965383044662</v>
      </c>
      <c r="S156" s="45">
        <f>SUM('Statistics NZ'!S$156,$J$13/5*(S$8-S$9)*1000)*'Economic Forecasts'!U$9*1000000/SUM('Statistics NZ'!S$30:S$110,'Statistics NZ'!S$130:S$210,SUM($E$12:$T$13)*(S$8-S$9)*1000)</f>
        <v>32622.622022985459</v>
      </c>
      <c r="T156" s="45">
        <f>SUM('Statistics NZ'!T$156,$J$13/5*(T$8-T$9)*1000)*'Economic Forecasts'!V$9*1000000/SUM('Statistics NZ'!T$30:T$110,'Statistics NZ'!T$130:T$210,SUM($E$12:$T$13)*(T$8-T$9)*1000)</f>
        <v>33771.048057964799</v>
      </c>
      <c r="U156" s="45">
        <f>SUM('Statistics NZ'!U$156,$J$13/5*(U$8-U$9)*1000)*'Economic Forecasts'!W$9*1000000/SUM('Statistics NZ'!U$30:U$110,'Statistics NZ'!U$130:U$210,SUM($E$12:$T$13)*(U$8-U$9)*1000)</f>
        <v>34330.047234943049</v>
      </c>
      <c r="V156" s="45">
        <f>SUM('Statistics NZ'!V$156,$J$13/5*(V$8-V$9)*1000)*'Economic Forecasts'!X$9*1000000/SUM('Statistics NZ'!V$30:V$110,'Statistics NZ'!V$130:V$210,SUM($E$12:$T$13)*(V$8-V$9)*1000)</f>
        <v>34627.86014255145</v>
      </c>
      <c r="W156" s="45">
        <f>SUM('Statistics NZ'!W$156,$J$13/5*(W$8-W$9)*1000)*'Economic Forecasts'!Y$9*1000000/SUM('Statistics NZ'!W$30:W$110,'Statistics NZ'!W$130:W$210,SUM($E$12:$T$13)*(W$8-W$9)*1000)</f>
        <v>35825.254058269587</v>
      </c>
      <c r="X156" s="45">
        <f>SUM('Statistics NZ'!X$156,$J$13/5*(X$8-X$9)*1000)*'Economic Forecasts'!Z$9*1000000/SUM('Statistics NZ'!X$30:X$110,'Statistics NZ'!X$130:X$210,SUM($E$12:$T$13)*(X$8-X$9)*1000)</f>
        <v>37634.674435506335</v>
      </c>
      <c r="Y156" s="45">
        <f>SUM('Statistics NZ'!Y$156,$J$13/5*(Y$8-Y$9)*1000)*'Economic Forecasts'!AA$9*1000000/SUM('Statistics NZ'!Y$30:Y$110,'Statistics NZ'!Y$130:Y$210,SUM($E$12:$T$13)*(Y$8-Y$9)*1000)</f>
        <v>39063.126452928394</v>
      </c>
      <c r="Z156" s="46">
        <f>SUM(Y$156,'Statistics NZ'!Z$156-'Statistics NZ'!Y$156,$J$13/5*(Z$8-Z$9)*1000)</f>
        <v>40018.374977415835</v>
      </c>
      <c r="AA156" s="46">
        <f>SUM(Z$156,'Statistics NZ'!AA$156-'Statistics NZ'!Z$156,$J$13/5*(AA$8-AA$9)*1000)</f>
        <v>41919.706999182446</v>
      </c>
      <c r="AB156" s="46">
        <f>SUM(AA$156,'Statistics NZ'!AB$156-'Statistics NZ'!AA$156,$J$13/5*(AB$8-AB$9)*1000)</f>
        <v>42917.122518228229</v>
      </c>
      <c r="AC156" s="46">
        <f>SUM(AB$156,'Statistics NZ'!AC$156-'Statistics NZ'!AB$156,$J$13/5*(AC$8-AC$9)*1000)</f>
        <v>43050.621534553189</v>
      </c>
      <c r="AD156" s="46">
        <f>SUM(AC$156,'Statistics NZ'!AD$156-'Statistics NZ'!AC$156,$J$13/5*(AD$8-AD$9)*1000)</f>
        <v>42380.20404815732</v>
      </c>
      <c r="AE156" s="46">
        <f>SUM(AD$156,'Statistics NZ'!AE$156-'Statistics NZ'!AD$156,$J$13/5*(AE$8-AE$9)*1000)</f>
        <v>41205.870059040622</v>
      </c>
      <c r="AF156" s="46">
        <f>SUM(AE$156,'Statistics NZ'!AF$156-'Statistics NZ'!AE$156,$J$13/5*(AF$8-AF$9)*1000)</f>
        <v>41017.619567203103</v>
      </c>
      <c r="AG156" s="46">
        <f>SUM(AF$156,'Statistics NZ'!AG$156-'Statistics NZ'!AF$156,$J$13/5*(AG$8-AG$9)*1000)</f>
        <v>40765.452572644754</v>
      </c>
      <c r="AH156" s="46">
        <f>SUM(AG$156,'Statistics NZ'!AH$156-'Statistics NZ'!AG$156,$J$13/5*(AH$8-AH$9)*1000)</f>
        <v>39529.369075365583</v>
      </c>
      <c r="AI156" s="46">
        <f>SUM(AH$156,'Statistics NZ'!AI$156-'Statistics NZ'!AH$156,$J$13/5*(AI$8-AI$9)*1000)</f>
        <v>39369.369075365583</v>
      </c>
    </row>
    <row r="157" spans="1:35" x14ac:dyDescent="0.25">
      <c r="A157" s="11">
        <f>$A$57</f>
        <v>42</v>
      </c>
      <c r="B157" s="44">
        <f>'Statistics NZ'!B$157*'Economic Forecasts'!D$9*1000000/SUM('Statistics NZ'!B$30:B$110,'Statistics NZ'!B$130:B$210)</f>
        <v>30917.253179302974</v>
      </c>
      <c r="C157" s="44">
        <f>'Statistics NZ'!C$157*'Economic Forecasts'!E$9*1000000/SUM('Statistics NZ'!C$30:C$110,'Statistics NZ'!C$130:C$210)</f>
        <v>29931.598530859159</v>
      </c>
      <c r="D157" s="44">
        <f>'Statistics NZ'!D$157*'Economic Forecasts'!F$9*1000000/SUM('Statistics NZ'!D$30:D$110,'Statistics NZ'!D$130:D$210)</f>
        <v>29507.46201222267</v>
      </c>
      <c r="E157" s="44">
        <f>'Statistics NZ'!E$157*'Economic Forecasts'!G$9*1000000/SUM('Statistics NZ'!E$30:E$110,'Statistics NZ'!E$130:E$210)</f>
        <v>29234.735288583659</v>
      </c>
      <c r="F157" s="44">
        <f>'Statistics NZ'!F$157*'Economic Forecasts'!H$9*1000000/SUM('Statistics NZ'!F$30:F$110,'Statistics NZ'!F$130:F$210)</f>
        <v>29485.347028766802</v>
      </c>
      <c r="G157" s="44">
        <f>'Statistics NZ'!G$157*'Economic Forecasts'!I$9*1000000/SUM('Statistics NZ'!G$30:G$110,'Statistics NZ'!G$130:G$210)</f>
        <v>29860.315668852894</v>
      </c>
      <c r="H157" s="44">
        <f>'Statistics NZ'!H$157*'Economic Forecasts'!J$9*1000000/SUM('Statistics NZ'!H$30:H$110,'Statistics NZ'!H$130:H$210)</f>
        <v>29416.460606545708</v>
      </c>
      <c r="I157" s="44">
        <f>'Statistics NZ'!I$157*'Economic Forecasts'!K$9*1000000/SUM('Statistics NZ'!I$30:I$110,'Statistics NZ'!I$130:I$210)</f>
        <v>30047.897014414248</v>
      </c>
      <c r="J157" s="44">
        <f>'Statistics NZ'!J$157*'Economic Forecasts'!L$9*1000000/SUM('Statistics NZ'!J$30:J$110,'Statistics NZ'!J$130:J$210)</f>
        <v>29967.534135610338</v>
      </c>
      <c r="K157" s="44">
        <f>'Statistics NZ'!K$157*'Economic Forecasts'!M$9*1000000/SUM('Statistics NZ'!K$30:K$110,'Statistics NZ'!K$130:K$210)</f>
        <v>29344.965098206983</v>
      </c>
      <c r="L157" s="44">
        <f>'Statistics NZ'!L$157*'Economic Forecasts'!N$9*1000000/SUM('Statistics NZ'!L$30:L$110,'Statistics NZ'!L$130:L$210)</f>
        <v>28859.326931450239</v>
      </c>
      <c r="M157" s="44">
        <f>'Statistics NZ'!M$157*'Economic Forecasts'!O$9*1000000/SUM('Statistics NZ'!M$30:M$110,'Statistics NZ'!M$130:M$210)</f>
        <v>28488.077322898422</v>
      </c>
      <c r="N157" s="44">
        <f>'Statistics NZ'!N$157*'Economic Forecasts'!P$9*1000000/SUM('Statistics NZ'!N$30:N$110,'Statistics NZ'!N$130:N$210)</f>
        <v>28425.234058480477</v>
      </c>
      <c r="O157" s="44">
        <f>'Statistics NZ'!O$157*'Economic Forecasts'!Q$9*1000000/SUM('Statistics NZ'!O$30:O$110,'Statistics NZ'!O$130:O$210)</f>
        <v>29075.956213523699</v>
      </c>
      <c r="P157" s="44">
        <f>'Statistics NZ'!P$157*'Economic Forecasts'!R$9*1000000/SUM('Statistics NZ'!P$30:P$110,'Statistics NZ'!P$130:P$210)</f>
        <v>29197.231666092757</v>
      </c>
      <c r="Q157" s="44">
        <f>'Statistics NZ'!Q$157*'Economic Forecasts'!S$9*1000000/SUM('Statistics NZ'!Q$30:Q$110,'Statistics NZ'!Q$130:Q$210)</f>
        <v>30505.885788621337</v>
      </c>
      <c r="R157" s="44">
        <f>'Statistics NZ'!R$157*'Economic Forecasts'!T$9*1000000/SUM('Statistics NZ'!R$30:R$110,'Statistics NZ'!R$130:R$210)</f>
        <v>30962.630984697436</v>
      </c>
      <c r="S157" s="45">
        <f>SUM('Statistics NZ'!S$157,$J$13/5*(S$8-S$9)*1000)*'Economic Forecasts'!U$9*1000000/SUM('Statistics NZ'!S$30:S$110,'Statistics NZ'!S$130:S$210,SUM($E$12:$T$13)*(S$8-S$9)*1000)</f>
        <v>32089.019008069426</v>
      </c>
      <c r="T157" s="45">
        <f>SUM('Statistics NZ'!T$157,$J$13/5*(T$8-T$9)*1000)*'Economic Forecasts'!V$9*1000000/SUM('Statistics NZ'!T$30:T$110,'Statistics NZ'!T$130:T$210,SUM($E$12:$T$13)*(T$8-T$9)*1000)</f>
        <v>33101.963950738427</v>
      </c>
      <c r="U157" s="45">
        <f>SUM('Statistics NZ'!U$157,$J$13/5*(U$8-U$9)*1000)*'Economic Forecasts'!W$9*1000000/SUM('Statistics NZ'!U$30:U$110,'Statistics NZ'!U$130:U$210,SUM($E$12:$T$13)*(U$8-U$9)*1000)</f>
        <v>33784.753867817286</v>
      </c>
      <c r="V157" s="45">
        <f>SUM('Statistics NZ'!V$157,$J$13/5*(V$8-V$9)*1000)*'Economic Forecasts'!X$9*1000000/SUM('Statistics NZ'!V$30:V$110,'Statistics NZ'!V$130:V$210,SUM($E$12:$T$13)*(V$8-V$9)*1000)</f>
        <v>34486.284459017792</v>
      </c>
      <c r="W157" s="45">
        <f>SUM('Statistics NZ'!W$157,$J$13/5*(W$8-W$9)*1000)*'Economic Forecasts'!Y$9*1000000/SUM('Statistics NZ'!W$30:W$110,'Statistics NZ'!W$130:W$210,SUM($E$12:$T$13)*(W$8-W$9)*1000)</f>
        <v>34832.767295744874</v>
      </c>
      <c r="X157" s="45">
        <f>SUM('Statistics NZ'!X$157,$J$13/5*(X$8-X$9)*1000)*'Economic Forecasts'!Z$9*1000000/SUM('Statistics NZ'!X$30:X$110,'Statistics NZ'!X$130:X$210,SUM($E$12:$T$13)*(X$8-X$9)*1000)</f>
        <v>36041.542940769679</v>
      </c>
      <c r="Y157" s="45">
        <f>SUM('Statistics NZ'!Y$157,$J$13/5*(Y$8-Y$9)*1000)*'Economic Forecasts'!AA$9*1000000/SUM('Statistics NZ'!Y$30:Y$110,'Statistics NZ'!Y$130:Y$210,SUM($E$12:$T$13)*(Y$8-Y$9)*1000)</f>
        <v>37872.895938344489</v>
      </c>
      <c r="Z157" s="46">
        <f>SUM(Y$157,'Statistics NZ'!Z$157-'Statistics NZ'!Y$157,$J$13/5*(Z$8-Z$9)*1000)</f>
        <v>39298.14446283193</v>
      </c>
      <c r="AA157" s="46">
        <f>SUM(Z$157,'Statistics NZ'!AA$157-'Statistics NZ'!Z$157,$J$13/5*(AA$8-AA$9)*1000)</f>
        <v>40249.476484598541</v>
      </c>
      <c r="AB157" s="46">
        <f>SUM(AA$157,'Statistics NZ'!AB$157-'Statistics NZ'!AA$157,$J$13/5*(AB$8-AB$9)*1000)</f>
        <v>42136.892003644323</v>
      </c>
      <c r="AC157" s="46">
        <f>SUM(AB$157,'Statistics NZ'!AC$157-'Statistics NZ'!AB$157,$J$13/5*(AC$8-AC$9)*1000)</f>
        <v>43110.391019969284</v>
      </c>
      <c r="AD157" s="46">
        <f>SUM(AC$157,'Statistics NZ'!AD$157-'Statistics NZ'!AC$157,$J$13/5*(AD$8-AD$9)*1000)</f>
        <v>43239.973533573415</v>
      </c>
      <c r="AE157" s="46">
        <f>SUM(AD$157,'Statistics NZ'!AE$157-'Statistics NZ'!AD$157,$J$13/5*(AE$8-AE$9)*1000)</f>
        <v>42545.639544456717</v>
      </c>
      <c r="AF157" s="46">
        <f>SUM(AE$157,'Statistics NZ'!AF$157-'Statistics NZ'!AE$157,$J$13/5*(AF$8-AF$9)*1000)</f>
        <v>41367.389052619197</v>
      </c>
      <c r="AG157" s="46">
        <f>SUM(AF$157,'Statistics NZ'!AG$157-'Statistics NZ'!AF$157,$J$13/5*(AG$8-AG$9)*1000)</f>
        <v>41165.222058060848</v>
      </c>
      <c r="AH157" s="46">
        <f>SUM(AG$157,'Statistics NZ'!AH$157-'Statistics NZ'!AG$157,$J$13/5*(AH$8-AH$9)*1000)</f>
        <v>40899.138560781677</v>
      </c>
      <c r="AI157" s="46">
        <f>SUM(AH$157,'Statistics NZ'!AI$157-'Statistics NZ'!AH$157,$J$13/5*(AI$8-AI$9)*1000)</f>
        <v>39659.138560781677</v>
      </c>
    </row>
    <row r="158" spans="1:35" x14ac:dyDescent="0.25">
      <c r="A158" s="11">
        <f>$A$58</f>
        <v>43</v>
      </c>
      <c r="B158" s="44">
        <f>'Statistics NZ'!B$158*'Economic Forecasts'!D$9*1000000/SUM('Statistics NZ'!B$30:B$110,'Statistics NZ'!B$130:B$210)</f>
        <v>31249.907169206868</v>
      </c>
      <c r="C158" s="44">
        <f>'Statistics NZ'!C$158*'Economic Forecasts'!E$9*1000000/SUM('Statistics NZ'!C$30:C$110,'Statistics NZ'!C$130:C$210)</f>
        <v>31060.907530547083</v>
      </c>
      <c r="D158" s="44">
        <f>'Statistics NZ'!D$158*'Economic Forecasts'!F$9*1000000/SUM('Statistics NZ'!D$30:D$110,'Statistics NZ'!D$130:D$210)</f>
        <v>29929.839131572066</v>
      </c>
      <c r="E158" s="44">
        <f>'Statistics NZ'!E$158*'Economic Forecasts'!G$9*1000000/SUM('Statistics NZ'!E$30:E$110,'Statistics NZ'!E$130:E$210)</f>
        <v>29460.296815466394</v>
      </c>
      <c r="F158" s="44">
        <f>'Statistics NZ'!F$158*'Economic Forecasts'!H$9*1000000/SUM('Statistics NZ'!F$30:F$110,'Statistics NZ'!F$130:F$210)</f>
        <v>29191.082088359948</v>
      </c>
      <c r="G158" s="44">
        <f>'Statistics NZ'!G$158*'Economic Forecasts'!I$9*1000000/SUM('Statistics NZ'!G$30:G$110,'Statistics NZ'!G$130:G$210)</f>
        <v>29477.239250732742</v>
      </c>
      <c r="H158" s="44">
        <f>'Statistics NZ'!H$158*'Economic Forecasts'!J$9*1000000/SUM('Statistics NZ'!H$30:H$110,'Statistics NZ'!H$130:H$210)</f>
        <v>29770.165543698557</v>
      </c>
      <c r="I158" s="44">
        <f>'Statistics NZ'!I$158*'Economic Forecasts'!K$9*1000000/SUM('Statistics NZ'!I$30:I$110,'Statistics NZ'!I$130:I$210)</f>
        <v>29400.862364185425</v>
      </c>
      <c r="J158" s="44">
        <f>'Statistics NZ'!J$158*'Economic Forecasts'!L$9*1000000/SUM('Statistics NZ'!J$30:J$110,'Statistics NZ'!J$130:J$210)</f>
        <v>30338.105660879843</v>
      </c>
      <c r="K158" s="44">
        <f>'Statistics NZ'!K$158*'Economic Forecasts'!M$9*1000000/SUM('Statistics NZ'!K$30:K$110,'Statistics NZ'!K$130:K$210)</f>
        <v>30484.102761276066</v>
      </c>
      <c r="L158" s="44">
        <f>'Statistics NZ'!L$158*'Economic Forecasts'!N$9*1000000/SUM('Statistics NZ'!L$30:L$110,'Statistics NZ'!L$130:L$210)</f>
        <v>30008.247504294748</v>
      </c>
      <c r="M158" s="44">
        <f>'Statistics NZ'!M$158*'Economic Forecasts'!O$9*1000000/SUM('Statistics NZ'!M$30:M$110,'Statistics NZ'!M$130:M$210)</f>
        <v>29543.191297820587</v>
      </c>
      <c r="N158" s="44">
        <f>'Statistics NZ'!N$158*'Economic Forecasts'!P$9*1000000/SUM('Statistics NZ'!N$30:N$110,'Statistics NZ'!N$130:N$210)</f>
        <v>29129.749326022851</v>
      </c>
      <c r="O158" s="44">
        <f>'Statistics NZ'!O$158*'Economic Forecasts'!Q$9*1000000/SUM('Statistics NZ'!O$30:O$110,'Statistics NZ'!O$130:O$210)</f>
        <v>28997.478598912297</v>
      </c>
      <c r="P158" s="44">
        <f>'Statistics NZ'!P$158*'Economic Forecasts'!R$9*1000000/SUM('Statistics NZ'!P$30:P$110,'Statistics NZ'!P$130:P$210)</f>
        <v>29549.359083171265</v>
      </c>
      <c r="Q158" s="44">
        <f>'Statistics NZ'!Q$158*'Economic Forecasts'!S$9*1000000/SUM('Statistics NZ'!Q$30:Q$110,'Statistics NZ'!Q$130:Q$210)</f>
        <v>29459.744121331187</v>
      </c>
      <c r="R158" s="44">
        <f>'Statistics NZ'!R$158*'Economic Forecasts'!T$9*1000000/SUM('Statistics NZ'!R$30:R$110,'Statistics NZ'!R$130:R$210)</f>
        <v>30371.553078530764</v>
      </c>
      <c r="S158" s="45">
        <f>SUM('Statistics NZ'!S$158,$J$13/5*(S$8-S$9)*1000)*'Economic Forecasts'!U$9*1000000/SUM('Statistics NZ'!S$30:S$110,'Statistics NZ'!S$130:S$210,SUM($E$12:$T$13)*(S$8-S$9)*1000)</f>
        <v>31438.993517171719</v>
      </c>
      <c r="T158" s="45">
        <f>SUM('Statistics NZ'!T$158,$J$13/5*(T$8-T$9)*1000)*'Economic Forecasts'!V$9*1000000/SUM('Statistics NZ'!T$30:T$110,'Statistics NZ'!T$130:T$210,SUM($E$12:$T$13)*(T$8-T$9)*1000)</f>
        <v>32532.74314309808</v>
      </c>
      <c r="U158" s="45">
        <f>SUM('Statistics NZ'!U$158,$J$13/5*(U$8-U$9)*1000)*'Economic Forecasts'!W$9*1000000/SUM('Statistics NZ'!U$30:U$110,'Statistics NZ'!U$130:U$210,SUM($E$12:$T$13)*(U$8-U$9)*1000)</f>
        <v>33077.892095617237</v>
      </c>
      <c r="V158" s="45">
        <f>SUM('Statistics NZ'!V$158,$J$13/5*(V$8-V$9)*1000)*'Economic Forecasts'!X$9*1000000/SUM('Statistics NZ'!V$30:V$110,'Statistics NZ'!V$130:V$210,SUM($E$12:$T$13)*(V$8-V$9)*1000)</f>
        <v>33909.869176059336</v>
      </c>
      <c r="W158" s="45">
        <f>SUM('Statistics NZ'!W$158,$J$13/5*(W$8-W$9)*1000)*'Economic Forecasts'!Y$9*1000000/SUM('Statistics NZ'!W$30:W$110,'Statistics NZ'!W$130:W$210,SUM($E$12:$T$13)*(W$8-W$9)*1000)</f>
        <v>34660.60122469467</v>
      </c>
      <c r="X158" s="45">
        <f>SUM('Statistics NZ'!X$158,$J$13/5*(X$8-X$9)*1000)*'Economic Forecasts'!Z$9*1000000/SUM('Statistics NZ'!X$30:X$110,'Statistics NZ'!X$130:X$210,SUM($E$12:$T$13)*(X$8-X$9)*1000)</f>
        <v>35016.662170270312</v>
      </c>
      <c r="Y158" s="45">
        <f>SUM('Statistics NZ'!Y$158,$J$13/5*(Y$8-Y$9)*1000)*'Economic Forecasts'!AA$9*1000000/SUM('Statistics NZ'!Y$30:Y$110,'Statistics NZ'!Y$130:Y$210,SUM($E$12:$T$13)*(Y$8-Y$9)*1000)</f>
        <v>36245.230277375056</v>
      </c>
      <c r="Z158" s="46">
        <f>SUM(Y$158,'Statistics NZ'!Z$158-'Statistics NZ'!Y$158,$J$13/5*(Z$8-Z$9)*1000)</f>
        <v>38070.478801862497</v>
      </c>
      <c r="AA158" s="46">
        <f>SUM(Z$158,'Statistics NZ'!AA$158-'Statistics NZ'!Z$158,$J$13/5*(AA$8-AA$9)*1000)</f>
        <v>39491.810823629108</v>
      </c>
      <c r="AB158" s="46">
        <f>SUM(AA$158,'Statistics NZ'!AB$158-'Statistics NZ'!AA$158,$J$13/5*(AB$8-AB$9)*1000)</f>
        <v>40419.22634267489</v>
      </c>
      <c r="AC158" s="46">
        <f>SUM(AB$158,'Statistics NZ'!AC$158-'Statistics NZ'!AB$158,$J$13/5*(AC$8-AC$9)*1000)</f>
        <v>42292.725358999851</v>
      </c>
      <c r="AD158" s="46">
        <f>SUM(AC$158,'Statistics NZ'!AD$158-'Statistics NZ'!AC$158,$J$13/5*(AD$8-AD$9)*1000)</f>
        <v>43262.307872603982</v>
      </c>
      <c r="AE158" s="46">
        <f>SUM(AD$158,'Statistics NZ'!AE$158-'Statistics NZ'!AD$158,$J$13/5*(AE$8-AE$9)*1000)</f>
        <v>43367.973883487284</v>
      </c>
      <c r="AF158" s="46">
        <f>SUM(AE$158,'Statistics NZ'!AF$158-'Statistics NZ'!AE$158,$J$13/5*(AF$8-AF$9)*1000)</f>
        <v>42669.723391649764</v>
      </c>
      <c r="AG158" s="46">
        <f>SUM(AF$158,'Statistics NZ'!AG$158-'Statistics NZ'!AF$158,$J$13/5*(AG$8-AG$9)*1000)</f>
        <v>41467.556397091415</v>
      </c>
      <c r="AH158" s="46">
        <f>SUM(AG$158,'Statistics NZ'!AH$158-'Statistics NZ'!AG$158,$J$13/5*(AH$8-AH$9)*1000)</f>
        <v>41261.472899812245</v>
      </c>
      <c r="AI158" s="46">
        <f>SUM(AH$158,'Statistics NZ'!AI$158-'Statistics NZ'!AH$158,$J$13/5*(AI$8-AI$9)*1000)</f>
        <v>40981.472899812245</v>
      </c>
    </row>
    <row r="159" spans="1:35" x14ac:dyDescent="0.25">
      <c r="A159" s="11">
        <f>$A$59</f>
        <v>44</v>
      </c>
      <c r="B159" s="44">
        <f>'Statistics NZ'!B$159*'Economic Forecasts'!D$9*1000000/SUM('Statistics NZ'!B$30:B$110,'Statistics NZ'!B$130:B$210)</f>
        <v>31416.234164158821</v>
      </c>
      <c r="C159" s="44">
        <f>'Statistics NZ'!C$159*'Economic Forecasts'!E$9*1000000/SUM('Statistics NZ'!C$30:C$110,'Statistics NZ'!C$130:C$210)</f>
        <v>31394.790191324388</v>
      </c>
      <c r="D159" s="44">
        <f>'Statistics NZ'!D$159*'Economic Forecasts'!F$9*1000000/SUM('Statistics NZ'!D$30:D$110,'Statistics NZ'!D$130:D$210)</f>
        <v>30980.87056809264</v>
      </c>
      <c r="E159" s="44">
        <f>'Statistics NZ'!E$159*'Economic Forecasts'!G$9*1000000/SUM('Statistics NZ'!E$30:E$110,'Statistics NZ'!E$130:E$210)</f>
        <v>29832.963685968294</v>
      </c>
      <c r="F159" s="44">
        <f>'Statistics NZ'!F$159*'Economic Forecasts'!H$9*1000000/SUM('Statistics NZ'!F$30:F$110,'Statistics NZ'!F$130:F$210)</f>
        <v>29485.347028766802</v>
      </c>
      <c r="G159" s="44">
        <f>'Statistics NZ'!G$159*'Economic Forecasts'!I$9*1000000/SUM('Statistics NZ'!G$30:G$110,'Statistics NZ'!G$130:G$210)</f>
        <v>29143.275193910045</v>
      </c>
      <c r="H159" s="44">
        <f>'Statistics NZ'!H$159*'Economic Forecasts'!J$9*1000000/SUM('Statistics NZ'!H$30:H$110,'Statistics NZ'!H$130:H$210)</f>
        <v>29396.81033225944</v>
      </c>
      <c r="I159" s="44">
        <f>'Statistics NZ'!I$159*'Economic Forecasts'!K$9*1000000/SUM('Statistics NZ'!I$30:I$110,'Statistics NZ'!I$130:I$210)</f>
        <v>29665.55835746085</v>
      </c>
      <c r="J159" s="44">
        <f>'Statistics NZ'!J$159*'Economic Forecasts'!L$9*1000000/SUM('Statistics NZ'!J$30:J$110,'Statistics NZ'!J$130:J$210)</f>
        <v>29713.985197268041</v>
      </c>
      <c r="K159" s="44">
        <f>'Statistics NZ'!K$159*'Economic Forecasts'!M$9*1000000/SUM('Statistics NZ'!K$30:K$110,'Statistics NZ'!K$130:K$210)</f>
        <v>30737.244464180309</v>
      </c>
      <c r="L159" s="44">
        <f>'Statistics NZ'!L$159*'Economic Forecasts'!N$9*1000000/SUM('Statistics NZ'!L$30:L$110,'Statistics NZ'!L$130:L$210)</f>
        <v>31089.011771970519</v>
      </c>
      <c r="M159" s="44">
        <f>'Statistics NZ'!M$159*'Economic Forecasts'!O$9*1000000/SUM('Statistics NZ'!M$30:M$110,'Statistics NZ'!M$130:M$210)</f>
        <v>30705.770585003338</v>
      </c>
      <c r="N159" s="44">
        <f>'Statistics NZ'!N$159*'Economic Forecasts'!P$9*1000000/SUM('Statistics NZ'!N$30:N$110,'Statistics NZ'!N$130:N$210)</f>
        <v>30127.812621707882</v>
      </c>
      <c r="O159" s="44">
        <f>'Statistics NZ'!O$159*'Economic Forecasts'!Q$9*1000000/SUM('Statistics NZ'!O$30:O$110,'Statistics NZ'!O$130:O$210)</f>
        <v>29635.109217629924</v>
      </c>
      <c r="P159" s="44">
        <f>'Statistics NZ'!P$159*'Economic Forecasts'!R$9*1000000/SUM('Statistics NZ'!P$30:P$110,'Statistics NZ'!P$130:P$210)</f>
        <v>29431.983277478426</v>
      </c>
      <c r="Q159" s="44">
        <f>'Statistics NZ'!Q$159*'Economic Forecasts'!S$9*1000000/SUM('Statistics NZ'!Q$30:Q$110,'Statistics NZ'!Q$130:Q$210)</f>
        <v>29893.991605866722</v>
      </c>
      <c r="R159" s="44">
        <f>'Statistics NZ'!R$159*'Economic Forecasts'!T$9*1000000/SUM('Statistics NZ'!R$30:R$110,'Statistics NZ'!R$130:R$210)</f>
        <v>29327.315444302978</v>
      </c>
      <c r="S159" s="45">
        <f>SUM('Statistics NZ'!S$159,$J$13/5*(S$8-S$9)*1000)*'Economic Forecasts'!U$9*1000000/SUM('Statistics NZ'!S$30:S$110,'Statistics NZ'!S$130:S$210,SUM($E$12:$T$13)*(S$8-S$9)*1000)</f>
        <v>30856.881137263324</v>
      </c>
      <c r="T159" s="45">
        <f>SUM('Statistics NZ'!T$159,$J$13/5*(T$8-T$9)*1000)*'Economic Forecasts'!V$9*1000000/SUM('Statistics NZ'!T$30:T$110,'Statistics NZ'!T$130:T$210,SUM($E$12:$T$13)*(T$8-T$9)*1000)</f>
        <v>31853.672705913112</v>
      </c>
      <c r="U159" s="45">
        <f>SUM('Statistics NZ'!U$159,$J$13/5*(U$8-U$9)*1000)*'Economic Forecasts'!W$9*1000000/SUM('Statistics NZ'!U$30:U$110,'Statistics NZ'!U$130:U$210,SUM($E$12:$T$13)*(U$8-U$9)*1000)</f>
        <v>32482.108601905762</v>
      </c>
      <c r="V159" s="45">
        <f>SUM('Statistics NZ'!V$159,$J$13/5*(V$8-V$9)*1000)*'Economic Forecasts'!X$9*1000000/SUM('Statistics NZ'!V$30:V$110,'Statistics NZ'!V$130:V$210,SUM($E$12:$T$13)*(V$8-V$9)*1000)</f>
        <v>33181.765660743389</v>
      </c>
      <c r="W159" s="45">
        <f>SUM('Statistics NZ'!W$159,$J$13/5*(W$8-W$9)*1000)*'Economic Forecasts'!Y$9*1000000/SUM('Statistics NZ'!W$30:W$110,'Statistics NZ'!W$130:W$210,SUM($E$12:$T$13)*(W$8-W$9)*1000)</f>
        <v>34052.956268046895</v>
      </c>
      <c r="X159" s="45">
        <f>SUM('Statistics NZ'!X$159,$J$13/5*(X$8-X$9)*1000)*'Economic Forecasts'!Z$9*1000000/SUM('Statistics NZ'!X$30:X$110,'Statistics NZ'!X$130:X$210,SUM($E$12:$T$13)*(X$8-X$9)*1000)</f>
        <v>34813.715483042717</v>
      </c>
      <c r="Y159" s="45">
        <f>SUM('Statistics NZ'!Y$159,$J$13/5*(Y$8-Y$9)*1000)*'Economic Forecasts'!AA$9*1000000/SUM('Statistics NZ'!Y$30:Y$110,'Statistics NZ'!Y$130:Y$210,SUM($E$12:$T$13)*(Y$8-Y$9)*1000)</f>
        <v>35197.420508125979</v>
      </c>
      <c r="Z159" s="46">
        <f>SUM(Y$159,'Statistics NZ'!Z$159-'Statistics NZ'!Y$159,$J$13/5*(Z$8-Z$9)*1000)</f>
        <v>36442.669032613419</v>
      </c>
      <c r="AA159" s="46">
        <f>SUM(Z$159,'Statistics NZ'!AA$159-'Statistics NZ'!Z$159,$J$13/5*(AA$8-AA$9)*1000)</f>
        <v>38254.001054380031</v>
      </c>
      <c r="AB159" s="46">
        <f>SUM(AA$159,'Statistics NZ'!AB$159-'Statistics NZ'!AA$159,$J$13/5*(AB$8-AB$9)*1000)</f>
        <v>39661.416573425813</v>
      </c>
      <c r="AC159" s="46">
        <f>SUM(AB$159,'Statistics NZ'!AC$159-'Statistics NZ'!AB$159,$J$13/5*(AC$8-AC$9)*1000)</f>
        <v>40574.915589750774</v>
      </c>
      <c r="AD159" s="46">
        <f>SUM(AC$159,'Statistics NZ'!AD$159-'Statistics NZ'!AC$159,$J$13/5*(AD$8-AD$9)*1000)</f>
        <v>42434.498103354905</v>
      </c>
      <c r="AE159" s="46">
        <f>SUM(AD$159,'Statistics NZ'!AE$159-'Statistics NZ'!AD$159,$J$13/5*(AE$8-AE$9)*1000)</f>
        <v>43380.164114238207</v>
      </c>
      <c r="AF159" s="46">
        <f>SUM(AE$159,'Statistics NZ'!AF$159-'Statistics NZ'!AE$159,$J$13/5*(AF$8-AF$9)*1000)</f>
        <v>43481.913622400687</v>
      </c>
      <c r="AG159" s="46">
        <f>SUM(AF$159,'Statistics NZ'!AG$159-'Statistics NZ'!AF$159,$J$13/5*(AG$8-AG$9)*1000)</f>
        <v>42769.746627842338</v>
      </c>
      <c r="AH159" s="46">
        <f>SUM(AG$159,'Statistics NZ'!AH$159-'Statistics NZ'!AG$159,$J$13/5*(AH$8-AH$9)*1000)</f>
        <v>41553.663130563167</v>
      </c>
      <c r="AI159" s="46">
        <f>SUM(AH$159,'Statistics NZ'!AI$159-'Statistics NZ'!AH$159,$J$13/5*(AI$8-AI$9)*1000)</f>
        <v>41333.663130563167</v>
      </c>
    </row>
    <row r="160" spans="1:35" x14ac:dyDescent="0.25">
      <c r="A160" s="11">
        <f>$A$60</f>
        <v>45</v>
      </c>
      <c r="B160" s="44">
        <f>'Statistics NZ'!B$160*'Economic Forecasts'!D$9*1000000/SUM('Statistics NZ'!B$30:B$110,'Statistics NZ'!B$130:B$210)</f>
        <v>30809.629829628186</v>
      </c>
      <c r="C160" s="44">
        <f>'Statistics NZ'!C$160*'Economic Forecasts'!E$9*1000000/SUM('Statistics NZ'!C$30:C$110,'Statistics NZ'!C$130:C$210)</f>
        <v>31561.731521713034</v>
      </c>
      <c r="D160" s="44">
        <f>'Statistics NZ'!D$160*'Economic Forecasts'!F$9*1000000/SUM('Statistics NZ'!D$30:D$110,'Statistics NZ'!D$130:D$210)</f>
        <v>31354.134068913037</v>
      </c>
      <c r="E160" s="44">
        <f>'Statistics NZ'!E$160*'Economic Forecasts'!G$9*1000000/SUM('Statistics NZ'!E$30:E$110,'Statistics NZ'!E$130:E$210)</f>
        <v>30921.543228750175</v>
      </c>
      <c r="F160" s="44">
        <f>'Statistics NZ'!F$160*'Economic Forecasts'!H$9*1000000/SUM('Statistics NZ'!F$30:F$110,'Statistics NZ'!F$130:F$210)</f>
        <v>29818.847294561238</v>
      </c>
      <c r="G160" s="44">
        <f>'Statistics NZ'!G$160*'Economic Forecasts'!I$9*1000000/SUM('Statistics NZ'!G$30:G$110,'Statistics NZ'!G$130:G$210)</f>
        <v>29437.949361694777</v>
      </c>
      <c r="H160" s="44">
        <f>'Statistics NZ'!H$160*'Economic Forecasts'!J$9*1000000/SUM('Statistics NZ'!H$30:H$110,'Statistics NZ'!H$130:H$210)</f>
        <v>29013.62998367718</v>
      </c>
      <c r="I160" s="44">
        <f>'Statistics NZ'!I$160*'Economic Forecasts'!K$9*1000000/SUM('Statistics NZ'!I$30:I$110,'Statistics NZ'!I$130:I$210)</f>
        <v>29342.041032346438</v>
      </c>
      <c r="J160" s="44">
        <f>'Statistics NZ'!J$160*'Economic Forecasts'!L$9*1000000/SUM('Statistics NZ'!J$30:J$110,'Statistics NZ'!J$130:J$210)</f>
        <v>29889.519077658861</v>
      </c>
      <c r="K160" s="44">
        <f>'Statistics NZ'!K$160*'Economic Forecasts'!M$9*1000000/SUM('Statistics NZ'!K$30:K$110,'Statistics NZ'!K$130:K$210)</f>
        <v>30123.862645604648</v>
      </c>
      <c r="L160" s="44">
        <f>'Statistics NZ'!L$160*'Economic Forecasts'!N$9*1000000/SUM('Statistics NZ'!L$30:L$110,'Statistics NZ'!L$130:L$210)</f>
        <v>31215.587767283894</v>
      </c>
      <c r="M160" s="44">
        <f>'Statistics NZ'!M$160*'Economic Forecasts'!O$9*1000000/SUM('Statistics NZ'!M$30:M$110,'Statistics NZ'!M$130:M$210)</f>
        <v>31751.114986083634</v>
      </c>
      <c r="N160" s="44">
        <f>'Statistics NZ'!N$160*'Economic Forecasts'!P$9*1000000/SUM('Statistics NZ'!N$30:N$110,'Statistics NZ'!N$130:N$210)</f>
        <v>31341.14447136419</v>
      </c>
      <c r="O160" s="44">
        <f>'Statistics NZ'!O$160*'Economic Forecasts'!Q$9*1000000/SUM('Statistics NZ'!O$30:O$110,'Statistics NZ'!O$130:O$210)</f>
        <v>30567.030891140297</v>
      </c>
      <c r="P160" s="44">
        <f>'Statistics NZ'!P$160*'Economic Forecasts'!R$9*1000000/SUM('Statistics NZ'!P$30:P$110,'Statistics NZ'!P$130:P$210)</f>
        <v>29979.737037378327</v>
      </c>
      <c r="Q160" s="44">
        <f>'Statistics NZ'!Q$160*'Economic Forecasts'!S$9*1000000/SUM('Statistics NZ'!Q$30:Q$110,'Statistics NZ'!Q$130:Q$210)</f>
        <v>29745.952690684153</v>
      </c>
      <c r="R160" s="44">
        <f>'Statistics NZ'!R$160*'Economic Forecasts'!T$9*1000000/SUM('Statistics NZ'!R$30:R$110,'Statistics NZ'!R$130:R$210)</f>
        <v>29760.772575491872</v>
      </c>
      <c r="S160" s="45">
        <f>SUM('Statistics NZ'!S$160,$K$13/5*(S$8-S$9)*1000)*'Economic Forecasts'!U$9*1000000/SUM('Statistics NZ'!S$30:S$110,'Statistics NZ'!S$130:S$210,SUM($E$12:$T$13)*(S$8-S$9)*1000)</f>
        <v>29166.260993771164</v>
      </c>
      <c r="T160" s="45">
        <f>SUM('Statistics NZ'!T$160,$K$13/5*(T$8-T$9)*1000)*'Economic Forecasts'!V$9*1000000/SUM('Statistics NZ'!T$30:T$110,'Statistics NZ'!T$130:T$210,SUM($E$12:$T$13)*(T$8-T$9)*1000)</f>
        <v>30855.215974546347</v>
      </c>
      <c r="U160" s="45">
        <f>SUM('Statistics NZ'!U$160,$K$13/5*(U$8-U$9)*1000)*'Economic Forecasts'!W$9*1000000/SUM('Statistics NZ'!U$30:U$110,'Statistics NZ'!U$130:U$210,SUM($E$12:$T$13)*(U$8-U$9)*1000)</f>
        <v>31668.140488197896</v>
      </c>
      <c r="V160" s="45">
        <f>SUM('Statistics NZ'!V$160,$K$13/5*(V$8-V$9)*1000)*'Economic Forecasts'!X$9*1000000/SUM('Statistics NZ'!V$30:V$110,'Statistics NZ'!V$130:V$210,SUM($E$12:$T$13)*(V$8-V$9)*1000)</f>
        <v>32478.908848478772</v>
      </c>
      <c r="W160" s="45">
        <f>SUM('Statistics NZ'!W$160,$K$13/5*(W$8-W$9)*1000)*'Economic Forecasts'!Y$9*1000000/SUM('Statistics NZ'!W$30:W$110,'Statistics NZ'!W$130:W$210,SUM($E$12:$T$13)*(W$8-W$9)*1000)</f>
        <v>33220.053251545163</v>
      </c>
      <c r="X160" s="45">
        <f>SUM('Statistics NZ'!X$160,$K$13/5*(X$8-X$9)*1000)*'Economic Forecasts'!Z$9*1000000/SUM('Statistics NZ'!X$30:X$110,'Statistics NZ'!X$130:X$210,SUM($E$12:$T$13)*(X$8-X$9)*1000)</f>
        <v>34098.635073847872</v>
      </c>
      <c r="Y160" s="45">
        <f>SUM('Statistics NZ'!Y$160,$K$13/5*(Y$8-Y$9)*1000)*'Economic Forecasts'!AA$9*1000000/SUM('Statistics NZ'!Y$30:Y$110,'Statistics NZ'!Y$130:Y$210,SUM($E$12:$T$13)*(Y$8-Y$9)*1000)</f>
        <v>34876.702996856322</v>
      </c>
      <c r="Z160" s="46">
        <f>SUM(Y$160,'Statistics NZ'!Z$160-'Statistics NZ'!Y$160,$K$13/5*(Z$8-Z$9)*1000)</f>
        <v>35205.211913571213</v>
      </c>
      <c r="AA160" s="46">
        <f>SUM(Z$160,'Statistics NZ'!AA$160-'Statistics NZ'!Z$160,$K$13/5*(AA$8-AA$9)*1000)</f>
        <v>36368.330950651114</v>
      </c>
      <c r="AB160" s="46">
        <f>SUM(AA$160,'Statistics NZ'!AB$160-'Statistics NZ'!AA$160,$K$13/5*(AB$8-AB$9)*1000)</f>
        <v>38106.060108096026</v>
      </c>
      <c r="AC160" s="46">
        <f>SUM(AB$160,'Statistics NZ'!AC$160-'Statistics NZ'!AB$160,$K$13/5*(AC$8-AC$9)*1000)</f>
        <v>39448.399385905956</v>
      </c>
      <c r="AD160" s="46">
        <f>SUM(AC$160,'Statistics NZ'!AD$160-'Statistics NZ'!AC$160,$K$13/5*(AD$8-AD$9)*1000)</f>
        <v>40305.348784080896</v>
      </c>
      <c r="AE160" s="46">
        <f>SUM(AD$160,'Statistics NZ'!AE$160-'Statistics NZ'!AD$160,$K$13/5*(AE$8-AE$9)*1000)</f>
        <v>42116.908302620846</v>
      </c>
      <c r="AF160" s="46">
        <f>SUM(AE$160,'Statistics NZ'!AF$160-'Statistics NZ'!AE$160,$K$13/5*(AF$8-AF$9)*1000)</f>
        <v>43023.077941525808</v>
      </c>
      <c r="AG160" s="46">
        <f>SUM(AF$160,'Statistics NZ'!AG$160-'Statistics NZ'!AF$160,$K$13/5*(AG$8-AG$9)*1000)</f>
        <v>43093.857700795787</v>
      </c>
      <c r="AH160" s="46">
        <f>SUM(AG$160,'Statistics NZ'!AH$160-'Statistics NZ'!AG$160,$K$13/5*(AH$8-AH$9)*1000)</f>
        <v>42359.247580430776</v>
      </c>
      <c r="AI160" s="46">
        <f>SUM(AH$160,'Statistics NZ'!AI$160-'Statistics NZ'!AH$160,$K$13/5*(AI$8-AI$9)*1000)</f>
        <v>41139.247580430776</v>
      </c>
    </row>
    <row r="161" spans="1:35" x14ac:dyDescent="0.25">
      <c r="A161" s="11">
        <f>$A$61</f>
        <v>46</v>
      </c>
      <c r="B161" s="44">
        <f>'Statistics NZ'!B$161*'Economic Forecasts'!D$9*1000000/SUM('Statistics NZ'!B$30:B$110,'Statistics NZ'!B$130:B$210)</f>
        <v>29880.155446073193</v>
      </c>
      <c r="C161" s="44">
        <f>'Statistics NZ'!C$161*'Economic Forecasts'!E$9*1000000/SUM('Statistics NZ'!C$30:C$110,'Statistics NZ'!C$130:C$210)</f>
        <v>30854.685887125808</v>
      </c>
      <c r="D161" s="44">
        <f>'Statistics NZ'!D$161*'Economic Forecasts'!F$9*1000000/SUM('Statistics NZ'!D$30:D$110,'Statistics NZ'!D$130:D$210)</f>
        <v>31501.474924500035</v>
      </c>
      <c r="E161" s="44">
        <f>'Statistics NZ'!E$161*'Economic Forecasts'!G$9*1000000/SUM('Statistics NZ'!E$30:E$110,'Statistics NZ'!E$130:E$210)</f>
        <v>31254.982007620307</v>
      </c>
      <c r="F161" s="44">
        <f>'Statistics NZ'!F$161*'Economic Forecasts'!H$9*1000000/SUM('Statistics NZ'!F$30:F$110,'Statistics NZ'!F$130:F$210)</f>
        <v>30858.58341733212</v>
      </c>
      <c r="G161" s="44">
        <f>'Statistics NZ'!G$161*'Economic Forecasts'!I$9*1000000/SUM('Statistics NZ'!G$30:G$110,'Statistics NZ'!G$130:G$210)</f>
        <v>29752.268473998491</v>
      </c>
      <c r="H161" s="44">
        <f>'Statistics NZ'!H$161*'Economic Forecasts'!J$9*1000000/SUM('Statistics NZ'!H$30:H$110,'Statistics NZ'!H$130:H$210)</f>
        <v>29298.55896082809</v>
      </c>
      <c r="I161" s="44">
        <f>'Statistics NZ'!I$161*'Economic Forecasts'!K$9*1000000/SUM('Statistics NZ'!I$30:I$110,'Statistics NZ'!I$130:I$210)</f>
        <v>28940.095264780055</v>
      </c>
      <c r="J161" s="44">
        <f>'Statistics NZ'!J$161*'Economic Forecasts'!L$9*1000000/SUM('Statistics NZ'!J$30:J$110,'Statistics NZ'!J$130:J$210)</f>
        <v>29479.940023413619</v>
      </c>
      <c r="K161" s="44">
        <f>'Statistics NZ'!K$161*'Economic Forecasts'!M$9*1000000/SUM('Statistics NZ'!K$30:K$110,'Statistics NZ'!K$130:K$210)</f>
        <v>30269.90593574171</v>
      </c>
      <c r="L161" s="44">
        <f>'Statistics NZ'!L$161*'Economic Forecasts'!N$9*1000000/SUM('Statistics NZ'!L$30:L$110,'Statistics NZ'!L$130:L$210)</f>
        <v>30631.390865837537</v>
      </c>
      <c r="M161" s="44">
        <f>'Statistics NZ'!M$161*'Economic Forecasts'!O$9*1000000/SUM('Statistics NZ'!M$30:M$110,'Statistics NZ'!M$130:M$210)</f>
        <v>31809.73242913486</v>
      </c>
      <c r="N161" s="44">
        <f>'Statistics NZ'!N$161*'Economic Forecasts'!P$9*1000000/SUM('Statistics NZ'!N$30:N$110,'Statistics NZ'!N$130:N$210)</f>
        <v>32290.28309569211</v>
      </c>
      <c r="O161" s="44">
        <f>'Statistics NZ'!O$161*'Economic Forecasts'!Q$9*1000000/SUM('Statistics NZ'!O$30:O$110,'Statistics NZ'!O$130:O$210)</f>
        <v>31763.814513964153</v>
      </c>
      <c r="P161" s="44">
        <f>'Statistics NZ'!P$161*'Economic Forecasts'!R$9*1000000/SUM('Statistics NZ'!P$30:P$110,'Statistics NZ'!P$130:P$210)</f>
        <v>30889.399531497798</v>
      </c>
      <c r="Q161" s="44">
        <f>'Statistics NZ'!Q$161*'Economic Forecasts'!S$9*1000000/SUM('Statistics NZ'!Q$30:Q$110,'Statistics NZ'!Q$130:Q$210)</f>
        <v>30269.02352432923</v>
      </c>
      <c r="R161" s="44">
        <f>'Statistics NZ'!R$161*'Economic Forecasts'!T$9*1000000/SUM('Statistics NZ'!R$30:R$110,'Statistics NZ'!R$130:R$210)</f>
        <v>29603.151800514093</v>
      </c>
      <c r="S161" s="45">
        <f>SUM('Statistics NZ'!S$161,$K$13/5*(S$8-S$9)*1000)*'Economic Forecasts'!U$9*1000000/SUM('Statistics NZ'!S$30:S$110,'Statistics NZ'!S$130:S$210,SUM($E$12:$T$13)*(S$8-S$9)*1000)</f>
        <v>29564.037786708574</v>
      </c>
      <c r="T161" s="45">
        <f>SUM('Statistics NZ'!T$161,$K$13/5*(T$8-T$9)*1000)*'Economic Forecasts'!V$9*1000000/SUM('Statistics NZ'!T$30:T$110,'Statistics NZ'!T$130:T$210,SUM($E$12:$T$13)*(T$8-T$9)*1000)</f>
        <v>29746.733349141465</v>
      </c>
      <c r="U161" s="45">
        <f>SUM('Statistics NZ'!U$161,$K$13/5*(U$8-U$9)*1000)*'Economic Forecasts'!W$9*1000000/SUM('Statistics NZ'!U$30:U$110,'Statistics NZ'!U$130:U$210,SUM($E$12:$T$13)*(U$8-U$9)*1000)</f>
        <v>31001.670817266415</v>
      </c>
      <c r="V161" s="45">
        <f>SUM('Statistics NZ'!V$161,$K$13/5*(V$8-V$9)*1000)*'Economic Forecasts'!X$9*1000000/SUM('Statistics NZ'!V$30:V$110,'Statistics NZ'!V$130:V$210,SUM($E$12:$T$13)*(V$8-V$9)*1000)</f>
        <v>31720.467686691332</v>
      </c>
      <c r="W161" s="45">
        <f>SUM('Statistics NZ'!W$161,$K$13/5*(W$8-W$9)*1000)*'Economic Forecasts'!Y$9*1000000/SUM('Statistics NZ'!W$30:W$110,'Statistics NZ'!W$130:W$210,SUM($E$12:$T$13)*(W$8-W$9)*1000)</f>
        <v>32551.643799232603</v>
      </c>
      <c r="X161" s="45">
        <f>SUM('Statistics NZ'!X$161,$K$13/5*(X$8-X$9)*1000)*'Economic Forecasts'!Z$9*1000000/SUM('Statistics NZ'!X$30:X$110,'Statistics NZ'!X$130:X$210,SUM($E$12:$T$13)*(X$8-X$9)*1000)</f>
        <v>33307.142993660236</v>
      </c>
      <c r="Y161" s="45">
        <f>SUM('Statistics NZ'!Y$161,$K$13/5*(Y$8-Y$9)*1000)*'Economic Forecasts'!AA$9*1000000/SUM('Statistics NZ'!Y$30:Y$110,'Statistics NZ'!Y$130:Y$210,SUM($E$12:$T$13)*(Y$8-Y$9)*1000)</f>
        <v>34205.290911706434</v>
      </c>
      <c r="Z161" s="46">
        <f>SUM(Y$161,'Statistics NZ'!Z$161-'Statistics NZ'!Y$161,$K$13/5*(Z$8-Z$9)*1000)</f>
        <v>34933.799828421324</v>
      </c>
      <c r="AA161" s="46">
        <f>SUM(Z$161,'Statistics NZ'!AA$161-'Statistics NZ'!Z$161,$K$13/5*(AA$8-AA$9)*1000)</f>
        <v>35256.918865501226</v>
      </c>
      <c r="AB161" s="46">
        <f>SUM(AA$161,'Statistics NZ'!AB$161-'Statistics NZ'!AA$161,$K$13/5*(AB$8-AB$9)*1000)</f>
        <v>36414.648022946138</v>
      </c>
      <c r="AC161" s="46">
        <f>SUM(AB$161,'Statistics NZ'!AC$161-'Statistics NZ'!AB$161,$K$13/5*(AC$8-AC$9)*1000)</f>
        <v>38146.987300756067</v>
      </c>
      <c r="AD161" s="46">
        <f>SUM(AC$161,'Statistics NZ'!AD$161-'Statistics NZ'!AC$161,$K$13/5*(AD$8-AD$9)*1000)</f>
        <v>39473.936698931007</v>
      </c>
      <c r="AE161" s="46">
        <f>SUM(AD$161,'Statistics NZ'!AE$161-'Statistics NZ'!AD$161,$K$13/5*(AE$8-AE$9)*1000)</f>
        <v>40325.496217470958</v>
      </c>
      <c r="AF161" s="46">
        <f>SUM(AE$161,'Statistics NZ'!AF$161-'Statistics NZ'!AE$161,$K$13/5*(AF$8-AF$9)*1000)</f>
        <v>42131.665856375919</v>
      </c>
      <c r="AG161" s="46">
        <f>SUM(AF$161,'Statistics NZ'!AG$161-'Statistics NZ'!AF$161,$K$13/5*(AG$8-AG$9)*1000)</f>
        <v>43032.445615645898</v>
      </c>
      <c r="AH161" s="46">
        <f>SUM(AG$161,'Statistics NZ'!AH$161-'Statistics NZ'!AG$161,$K$13/5*(AH$8-AH$9)*1000)</f>
        <v>43097.835495280888</v>
      </c>
      <c r="AI161" s="46">
        <f>SUM(AH$161,'Statistics NZ'!AI$161-'Statistics NZ'!AH$161,$K$13/5*(AI$8-AI$9)*1000)</f>
        <v>42357.835495280888</v>
      </c>
    </row>
    <row r="162" spans="1:35" x14ac:dyDescent="0.25">
      <c r="A162" s="11">
        <f>$A$62</f>
        <v>47</v>
      </c>
      <c r="B162" s="44">
        <f>'Statistics NZ'!B$162*'Economic Forecasts'!D$9*1000000/SUM('Statistics NZ'!B$30:B$110,'Statistics NZ'!B$130:B$210)</f>
        <v>29430.094165614988</v>
      </c>
      <c r="C162" s="44">
        <f>'Statistics NZ'!C$162*'Economic Forecasts'!E$9*1000000/SUM('Statistics NZ'!C$30:C$110,'Statistics NZ'!C$130:C$210)</f>
        <v>29921.778452601</v>
      </c>
      <c r="D162" s="44">
        <f>'Statistics NZ'!D$162*'Economic Forecasts'!F$9*1000000/SUM('Statistics NZ'!D$30:D$110,'Statistics NZ'!D$130:D$210)</f>
        <v>30715.657028036047</v>
      </c>
      <c r="E162" s="44">
        <f>'Statistics NZ'!E$162*'Economic Forecasts'!G$9*1000000/SUM('Statistics NZ'!E$30:E$110,'Statistics NZ'!E$130:E$210)</f>
        <v>31343.245213791804</v>
      </c>
      <c r="F162" s="44">
        <f>'Statistics NZ'!F$162*'Economic Forecasts'!H$9*1000000/SUM('Statistics NZ'!F$30:F$110,'Statistics NZ'!F$130:F$210)</f>
        <v>31113.613032351393</v>
      </c>
      <c r="G162" s="44">
        <f>'Statistics NZ'!G$162*'Economic Forecasts'!I$9*1000000/SUM('Statistics NZ'!G$30:G$110,'Statistics NZ'!G$130:G$210)</f>
        <v>30744.338172207092</v>
      </c>
      <c r="H162" s="44">
        <f>'Statistics NZ'!H$162*'Economic Forecasts'!J$9*1000000/SUM('Statistics NZ'!H$30:H$110,'Statistics NZ'!H$130:H$210)</f>
        <v>29622.788486551537</v>
      </c>
      <c r="I162" s="44">
        <f>'Statistics NZ'!I$162*'Economic Forecasts'!K$9*1000000/SUM('Statistics NZ'!I$30:I$110,'Statistics NZ'!I$130:I$210)</f>
        <v>29096.952149684013</v>
      </c>
      <c r="J162" s="44">
        <f>'Statistics NZ'!J$162*'Economic Forecasts'!L$9*1000000/SUM('Statistics NZ'!J$30:J$110,'Statistics NZ'!J$130:J$210)</f>
        <v>29041.105322436571</v>
      </c>
      <c r="K162" s="44">
        <f>'Statistics NZ'!K$162*'Economic Forecasts'!M$9*1000000/SUM('Statistics NZ'!K$30:K$110,'Statistics NZ'!K$130:K$210)</f>
        <v>29783.09496861817</v>
      </c>
      <c r="L162" s="44">
        <f>'Statistics NZ'!L$162*'Economic Forecasts'!N$9*1000000/SUM('Statistics NZ'!L$30:L$110,'Statistics NZ'!L$130:L$210)</f>
        <v>30660.60071090985</v>
      </c>
      <c r="M162" s="44">
        <f>'Statistics NZ'!M$162*'Economic Forecasts'!O$9*1000000/SUM('Statistics NZ'!M$30:M$110,'Statistics NZ'!M$130:M$210)</f>
        <v>31184.47970325506</v>
      </c>
      <c r="N162" s="44">
        <f>'Statistics NZ'!N$162*'Economic Forecasts'!P$9*1000000/SUM('Statistics NZ'!N$30:N$110,'Statistics NZ'!N$130:N$210)</f>
        <v>32290.28309569211</v>
      </c>
      <c r="O162" s="44">
        <f>'Statistics NZ'!O$162*'Economic Forecasts'!Q$9*1000000/SUM('Statistics NZ'!O$30:O$110,'Statistics NZ'!O$130:O$210)</f>
        <v>32695.736187474526</v>
      </c>
      <c r="P162" s="44">
        <f>'Statistics NZ'!P$162*'Economic Forecasts'!R$9*1000000/SUM('Statistics NZ'!P$30:P$110,'Statistics NZ'!P$130:P$210)</f>
        <v>32024.032319861872</v>
      </c>
      <c r="Q162" s="44">
        <f>'Statistics NZ'!Q$162*'Economic Forecasts'!S$9*1000000/SUM('Statistics NZ'!Q$30:Q$110,'Statistics NZ'!Q$130:Q$210)</f>
        <v>31117.779971375956</v>
      </c>
      <c r="R162" s="44">
        <f>'Statistics NZ'!R$162*'Economic Forecasts'!T$9*1000000/SUM('Statistics NZ'!R$30:R$110,'Statistics NZ'!R$130:R$210)</f>
        <v>30125.270617627983</v>
      </c>
      <c r="S162" s="45">
        <f>SUM('Statistics NZ'!S$162,$K$13/5*(S$8-S$9)*1000)*'Economic Forecasts'!U$9*1000000/SUM('Statistics NZ'!S$30:S$110,'Statistics NZ'!S$130:S$210,SUM($E$12:$T$13)*(S$8-S$9)*1000)</f>
        <v>29379.702199737581</v>
      </c>
      <c r="T162" s="45">
        <f>SUM('Statistics NZ'!T$162,$K$13/5*(T$8-T$9)*1000)*'Economic Forecasts'!V$9*1000000/SUM('Statistics NZ'!T$30:T$110,'Statistics NZ'!T$130:T$210,SUM($E$12:$T$13)*(T$8-T$9)*1000)</f>
        <v>30126.213887568363</v>
      </c>
      <c r="U162" s="45">
        <f>SUM('Statistics NZ'!U$162,$K$13/5*(U$8-U$9)*1000)*'Economic Forecasts'!W$9*1000000/SUM('Statistics NZ'!U$30:U$110,'Statistics NZ'!U$130:U$210,SUM($E$12:$T$13)*(U$8-U$9)*1000)</f>
        <v>29850.495931112047</v>
      </c>
      <c r="V162" s="45">
        <f>SUM('Statistics NZ'!V$162,$K$13/5*(V$8-V$9)*1000)*'Economic Forecasts'!X$9*1000000/SUM('Statistics NZ'!V$30:V$110,'Statistics NZ'!V$130:V$210,SUM($E$12:$T$13)*(V$8-V$9)*1000)</f>
        <v>31022.701817846886</v>
      </c>
      <c r="W162" s="45">
        <f>SUM('Statistics NZ'!W$162,$K$13/5*(W$8-W$9)*1000)*'Economic Forecasts'!Y$9*1000000/SUM('Statistics NZ'!W$30:W$110,'Statistics NZ'!W$130:W$210,SUM($E$12:$T$13)*(W$8-W$9)*1000)</f>
        <v>31771.832771534628</v>
      </c>
      <c r="X162" s="45">
        <f>SUM('Statistics NZ'!X$162,$K$13/5*(X$8-X$9)*1000)*'Economic Forecasts'!Z$9*1000000/SUM('Statistics NZ'!X$30:X$110,'Statistics NZ'!X$130:X$210,SUM($E$12:$T$13)*(X$8-X$9)*1000)</f>
        <v>32606.976922725033</v>
      </c>
      <c r="Y162" s="45">
        <f>SUM('Statistics NZ'!Y$162,$K$13/5*(Y$8-Y$9)*1000)*'Economic Forecasts'!AA$9*1000000/SUM('Statistics NZ'!Y$30:Y$110,'Statistics NZ'!Y$130:Y$210,SUM($E$12:$T$13)*(Y$8-Y$9)*1000)</f>
        <v>33381.285170840645</v>
      </c>
      <c r="Z162" s="46">
        <f>SUM(Y$162,'Statistics NZ'!Z$162-'Statistics NZ'!Y$162,$K$13/5*(Z$8-Z$9)*1000)</f>
        <v>34229.794087555536</v>
      </c>
      <c r="AA162" s="46">
        <f>SUM(Z$162,'Statistics NZ'!AA$162-'Statistics NZ'!Z$162,$K$13/5*(AA$8-AA$9)*1000)</f>
        <v>34952.913124635437</v>
      </c>
      <c r="AB162" s="46">
        <f>SUM(AA$162,'Statistics NZ'!AB$162-'Statistics NZ'!AA$162,$K$13/5*(AB$8-AB$9)*1000)</f>
        <v>35270.642282080349</v>
      </c>
      <c r="AC162" s="46">
        <f>SUM(AB$162,'Statistics NZ'!AC$162-'Statistics NZ'!AB$162,$K$13/5*(AC$8-AC$9)*1000)</f>
        <v>36422.981559890279</v>
      </c>
      <c r="AD162" s="46">
        <f>SUM(AC$162,'Statistics NZ'!AD$162-'Statistics NZ'!AC$162,$K$13/5*(AD$8-AD$9)*1000)</f>
        <v>38149.930958065219</v>
      </c>
      <c r="AE162" s="46">
        <f>SUM(AD$162,'Statistics NZ'!AE$162-'Statistics NZ'!AD$162,$K$13/5*(AE$8-AE$9)*1000)</f>
        <v>39471.49047660517</v>
      </c>
      <c r="AF162" s="46">
        <f>SUM(AE$162,'Statistics NZ'!AF$162-'Statistics NZ'!AE$162,$K$13/5*(AF$8-AF$9)*1000)</f>
        <v>40317.660115510131</v>
      </c>
      <c r="AG162" s="46">
        <f>SUM(AF$162,'Statistics NZ'!AG$162-'Statistics NZ'!AF$162,$K$13/5*(AG$8-AG$9)*1000)</f>
        <v>42118.43987478011</v>
      </c>
      <c r="AH162" s="46">
        <f>SUM(AG$162,'Statistics NZ'!AH$162-'Statistics NZ'!AG$162,$K$13/5*(AH$8-AH$9)*1000)</f>
        <v>43013.829754415099</v>
      </c>
      <c r="AI162" s="46">
        <f>SUM(AH$162,'Statistics NZ'!AI$162-'Statistics NZ'!AH$162,$K$13/5*(AI$8-AI$9)*1000)</f>
        <v>43073.829754415099</v>
      </c>
    </row>
    <row r="163" spans="1:35" x14ac:dyDescent="0.25">
      <c r="A163" s="11">
        <f>$A$63</f>
        <v>48</v>
      </c>
      <c r="B163" s="44">
        <f>'Statistics NZ'!B$163*'Economic Forecasts'!D$9*1000000/SUM('Statistics NZ'!B$30:B$110,'Statistics NZ'!B$130:B$210)</f>
        <v>27991.854856324622</v>
      </c>
      <c r="C163" s="44">
        <f>'Statistics NZ'!C$163*'Economic Forecasts'!E$9*1000000/SUM('Statistics NZ'!C$30:C$110,'Statistics NZ'!C$130:C$210)</f>
        <v>29470.054852725832</v>
      </c>
      <c r="D163" s="44">
        <f>'Statistics NZ'!D$163*'Economic Forecasts'!F$9*1000000/SUM('Statistics NZ'!D$30:D$110,'Statistics NZ'!D$130:D$210)</f>
        <v>29802.143723396664</v>
      </c>
      <c r="E163" s="44">
        <f>'Statistics NZ'!E$163*'Economic Forecasts'!G$9*1000000/SUM('Statistics NZ'!E$30:E$110,'Statistics NZ'!E$130:E$210)</f>
        <v>30637.139564419776</v>
      </c>
      <c r="F163" s="44">
        <f>'Statistics NZ'!F$163*'Economic Forecasts'!H$9*1000000/SUM('Statistics NZ'!F$30:F$110,'Statistics NZ'!F$130:F$210)</f>
        <v>31280.363165248611</v>
      </c>
      <c r="G163" s="44">
        <f>'Statistics NZ'!G$163*'Economic Forecasts'!I$9*1000000/SUM('Statistics NZ'!G$30:G$110,'Statistics NZ'!G$130:G$210)</f>
        <v>30970.255034175381</v>
      </c>
      <c r="H163" s="44">
        <f>'Statistics NZ'!H$163*'Economic Forecasts'!J$9*1000000/SUM('Statistics NZ'!H$30:H$110,'Statistics NZ'!H$130:H$210)</f>
        <v>30566.001652292485</v>
      </c>
      <c r="I163" s="44">
        <f>'Statistics NZ'!I$163*'Economic Forecasts'!K$9*1000000/SUM('Statistics NZ'!I$30:I$110,'Statistics NZ'!I$130:I$210)</f>
        <v>29410.665919491923</v>
      </c>
      <c r="J163" s="44">
        <f>'Statistics NZ'!J$163*'Economic Forecasts'!L$9*1000000/SUM('Statistics NZ'!J$30:J$110,'Statistics NZ'!J$130:J$210)</f>
        <v>29158.127909363786</v>
      </c>
      <c r="K163" s="44">
        <f>'Statistics NZ'!K$163*'Economic Forecasts'!M$9*1000000/SUM('Statistics NZ'!K$30:K$110,'Statistics NZ'!K$130:K$210)</f>
        <v>29286.54778215216</v>
      </c>
      <c r="L163" s="44">
        <f>'Statistics NZ'!L$163*'Economic Forecasts'!N$9*1000000/SUM('Statistics NZ'!L$30:L$110,'Statistics NZ'!L$130:L$210)</f>
        <v>30212.716419800974</v>
      </c>
      <c r="M163" s="44">
        <f>'Statistics NZ'!M$163*'Economic Forecasts'!O$9*1000000/SUM('Statistics NZ'!M$30:M$110,'Statistics NZ'!M$130:M$210)</f>
        <v>31164.94055557132</v>
      </c>
      <c r="N163" s="44">
        <f>'Statistics NZ'!N$163*'Economic Forecasts'!P$9*1000000/SUM('Statistics NZ'!N$30:N$110,'Statistics NZ'!N$130:N$210)</f>
        <v>31595.552762421157</v>
      </c>
      <c r="O163" s="44">
        <f>'Statistics NZ'!O$163*'Economic Forecasts'!Q$9*1000000/SUM('Statistics NZ'!O$30:O$110,'Statistics NZ'!O$130:O$210)</f>
        <v>32617.258572863127</v>
      </c>
      <c r="P163" s="44">
        <f>'Statistics NZ'!P$163*'Economic Forecasts'!R$9*1000000/SUM('Statistics NZ'!P$30:P$110,'Statistics NZ'!P$130:P$210)</f>
        <v>32884.788228275997</v>
      </c>
      <c r="Q163" s="44">
        <f>'Statistics NZ'!Q$163*'Economic Forecasts'!S$9*1000000/SUM('Statistics NZ'!Q$30:Q$110,'Statistics NZ'!Q$130:Q$210)</f>
        <v>32341.568336885193</v>
      </c>
      <c r="R163" s="44">
        <f>'Statistics NZ'!R$163*'Economic Forecasts'!T$9*1000000/SUM('Statistics NZ'!R$30:R$110,'Statistics NZ'!R$130:R$210)</f>
        <v>30992.184880005771</v>
      </c>
      <c r="S163" s="45">
        <f>SUM('Statistics NZ'!S$163,$K$13/5*(S$8-S$9)*1000)*'Economic Forecasts'!U$9*1000000/SUM('Statistics NZ'!S$30:S$110,'Statistics NZ'!S$130:S$210,SUM($E$12:$T$13)*(S$8-S$9)*1000)</f>
        <v>29874.497722659715</v>
      </c>
      <c r="T163" s="45">
        <f>SUM('Statistics NZ'!T$163,$K$13/5*(T$8-T$9)*1000)*'Economic Forecasts'!V$9*1000000/SUM('Statistics NZ'!T$30:T$110,'Statistics NZ'!T$130:T$210,SUM($E$12:$T$13)*(T$8-T$9)*1000)</f>
        <v>29916.500958437708</v>
      </c>
      <c r="U163" s="45">
        <f>SUM('Statistics NZ'!U$163,$K$13/5*(U$8-U$9)*1000)*'Economic Forecasts'!W$9*1000000/SUM('Statistics NZ'!U$30:U$110,'Statistics NZ'!U$130:U$210,SUM($E$12:$T$13)*(U$8-U$9)*1000)</f>
        <v>30203.926817212072</v>
      </c>
      <c r="V163" s="45">
        <f>SUM('Statistics NZ'!V$163,$K$13/5*(V$8-V$9)*1000)*'Economic Forecasts'!X$9*1000000/SUM('Statistics NZ'!V$30:V$110,'Statistics NZ'!V$130:V$210,SUM($E$12:$T$13)*(V$8-V$9)*1000)</f>
        <v>29849.646154282309</v>
      </c>
      <c r="W163" s="45">
        <f>SUM('Statistics NZ'!W$163,$K$13/5*(W$8-W$9)*1000)*'Economic Forecasts'!Y$9*1000000/SUM('Statistics NZ'!W$30:W$110,'Statistics NZ'!W$130:W$210,SUM($E$12:$T$13)*(W$8-W$9)*1000)</f>
        <v>31042.658823557293</v>
      </c>
      <c r="X163" s="45">
        <f>SUM('Statistics NZ'!X$163,$K$13/5*(X$8-X$9)*1000)*'Economic Forecasts'!Z$9*1000000/SUM('Statistics NZ'!X$30:X$110,'Statistics NZ'!X$130:X$210,SUM($E$12:$T$13)*(X$8-X$9)*1000)</f>
        <v>31795.190173814633</v>
      </c>
      <c r="Y163" s="45">
        <f>SUM('Statistics NZ'!Y$163,$K$13/5*(Y$8-Y$9)*1000)*'Economic Forecasts'!AA$9*1000000/SUM('Statistics NZ'!Y$30:Y$110,'Statistics NZ'!Y$130:Y$210,SUM($E$12:$T$13)*(Y$8-Y$9)*1000)</f>
        <v>32648.8356234044</v>
      </c>
      <c r="Z163" s="46">
        <f>SUM(Y$163,'Statistics NZ'!Z$163-'Statistics NZ'!Y$163,$K$13/5*(Z$8-Z$9)*1000)</f>
        <v>33377.344540119295</v>
      </c>
      <c r="AA163" s="46">
        <f>SUM(Z$163,'Statistics NZ'!AA$163-'Statistics NZ'!Z$163,$K$13/5*(AA$8-AA$9)*1000)</f>
        <v>34220.463577199196</v>
      </c>
      <c r="AB163" s="46">
        <f>SUM(AA$163,'Statistics NZ'!AB$163-'Statistics NZ'!AA$163,$K$13/5*(AB$8-AB$9)*1000)</f>
        <v>34938.192734644108</v>
      </c>
      <c r="AC163" s="46">
        <f>SUM(AB$163,'Statistics NZ'!AC$163-'Statistics NZ'!AB$163,$K$13/5*(AC$8-AC$9)*1000)</f>
        <v>35260.532012454038</v>
      </c>
      <c r="AD163" s="46">
        <f>SUM(AC$163,'Statistics NZ'!AD$163-'Statistics NZ'!AC$163,$K$13/5*(AD$8-AD$9)*1000)</f>
        <v>36397.481410628978</v>
      </c>
      <c r="AE163" s="46">
        <f>SUM(AD$163,'Statistics NZ'!AE$163-'Statistics NZ'!AD$163,$K$13/5*(AE$8-AE$9)*1000)</f>
        <v>38119.040929168928</v>
      </c>
      <c r="AF163" s="46">
        <f>SUM(AE$163,'Statistics NZ'!AF$163-'Statistics NZ'!AE$163,$K$13/5*(AF$8-AF$9)*1000)</f>
        <v>39435.21056807389</v>
      </c>
      <c r="AG163" s="46">
        <f>SUM(AF$163,'Statistics NZ'!AG$163-'Statistics NZ'!AF$163,$K$13/5*(AG$8-AG$9)*1000)</f>
        <v>40275.990327343869</v>
      </c>
      <c r="AH163" s="46">
        <f>SUM(AG$163,'Statistics NZ'!AH$163-'Statistics NZ'!AG$163,$K$13/5*(AH$8-AH$9)*1000)</f>
        <v>42061.380206978858</v>
      </c>
      <c r="AI163" s="46">
        <f>SUM(AH$163,'Statistics NZ'!AI$163-'Statistics NZ'!AH$163,$K$13/5*(AI$8-AI$9)*1000)</f>
        <v>42951.380206978858</v>
      </c>
    </row>
    <row r="164" spans="1:35" x14ac:dyDescent="0.25">
      <c r="A164" s="11">
        <f>$A$64</f>
        <v>49</v>
      </c>
      <c r="B164" s="44">
        <f>'Statistics NZ'!B$164*'Economic Forecasts'!D$9*1000000/SUM('Statistics NZ'!B$30:B$110,'Statistics NZ'!B$130:B$210)</f>
        <v>27786.392097854576</v>
      </c>
      <c r="C164" s="44">
        <f>'Statistics NZ'!C$164*'Economic Forecasts'!E$9*1000000/SUM('Statistics NZ'!C$30:C$110,'Statistics NZ'!C$130:C$210)</f>
        <v>27977.402957486138</v>
      </c>
      <c r="D164" s="44">
        <f>'Statistics NZ'!D$164*'Economic Forecasts'!F$9*1000000/SUM('Statistics NZ'!D$30:D$110,'Statistics NZ'!D$130:D$210)</f>
        <v>29330.652985518274</v>
      </c>
      <c r="E164" s="44">
        <f>'Statistics NZ'!E$164*'Economic Forecasts'!G$9*1000000/SUM('Statistics NZ'!E$30:E$110,'Statistics NZ'!E$130:E$210)</f>
        <v>29636.8232278094</v>
      </c>
      <c r="F164" s="44">
        <f>'Statistics NZ'!F$164*'Economic Forecasts'!H$9*1000000/SUM('Statistics NZ'!F$30:F$110,'Statistics NZ'!F$130:F$210)</f>
        <v>30534.891982884583</v>
      </c>
      <c r="G164" s="44">
        <f>'Statistics NZ'!G$164*'Economic Forecasts'!I$9*1000000/SUM('Statistics NZ'!G$30:G$110,'Statistics NZ'!G$130:G$210)</f>
        <v>31196.171896143682</v>
      </c>
      <c r="H164" s="44">
        <f>'Statistics NZ'!H$164*'Economic Forecasts'!J$9*1000000/SUM('Statistics NZ'!H$30:H$110,'Statistics NZ'!H$130:H$210)</f>
        <v>30782.154669441446</v>
      </c>
      <c r="I164" s="44">
        <f>'Statistics NZ'!I$164*'Economic Forecasts'!K$9*1000000/SUM('Statistics NZ'!I$30:I$110,'Statistics NZ'!I$130:I$210)</f>
        <v>30351.807228915666</v>
      </c>
      <c r="J164" s="44">
        <f>'Statistics NZ'!J$164*'Economic Forecasts'!L$9*1000000/SUM('Statistics NZ'!J$30:J$110,'Statistics NZ'!J$130:J$210)</f>
        <v>29450.684376681817</v>
      </c>
      <c r="K164" s="44">
        <f>'Statistics NZ'!K$164*'Economic Forecasts'!M$9*1000000/SUM('Statistics NZ'!K$30:K$110,'Statistics NZ'!K$130:K$210)</f>
        <v>29344.965098206983</v>
      </c>
      <c r="L164" s="44">
        <f>'Statistics NZ'!L$164*'Economic Forecasts'!N$9*1000000/SUM('Statistics NZ'!L$30:L$110,'Statistics NZ'!L$130:L$210)</f>
        <v>29560.363213185869</v>
      </c>
      <c r="M164" s="44">
        <f>'Statistics NZ'!M$164*'Economic Forecasts'!O$9*1000000/SUM('Statistics NZ'!M$30:M$110,'Statistics NZ'!M$130:M$210)</f>
        <v>30637.383568110236</v>
      </c>
      <c r="N164" s="44">
        <f>'Statistics NZ'!N$164*'Economic Forecasts'!P$9*1000000/SUM('Statistics NZ'!N$30:N$110,'Statistics NZ'!N$130:N$210)</f>
        <v>31595.552762421157</v>
      </c>
      <c r="O164" s="44">
        <f>'Statistics NZ'!O$164*'Economic Forecasts'!Q$9*1000000/SUM('Statistics NZ'!O$30:O$110,'Statistics NZ'!O$130:O$210)</f>
        <v>31910.960041360522</v>
      </c>
      <c r="P164" s="44">
        <f>'Statistics NZ'!P$164*'Economic Forecasts'!R$9*1000000/SUM('Statistics NZ'!P$30:P$110,'Statistics NZ'!P$130:P$210)</f>
        <v>32757.631105442095</v>
      </c>
      <c r="Q164" s="44">
        <f>'Statistics NZ'!Q$164*'Economic Forecasts'!S$9*1000000/SUM('Statistics NZ'!Q$30:Q$110,'Statistics NZ'!Q$130:Q$210)</f>
        <v>33140.978478871068</v>
      </c>
      <c r="R164" s="44">
        <f>'Statistics NZ'!R$164*'Economic Forecasts'!T$9*1000000/SUM('Statistics NZ'!R$30:R$110,'Statistics NZ'!R$130:R$210)</f>
        <v>32174.340692339116</v>
      </c>
      <c r="S164" s="45">
        <f>SUM('Statistics NZ'!S$164,$K$13/5*(S$8-S$9)*1000)*'Economic Forecasts'!U$9*1000000/SUM('Statistics NZ'!S$30:S$110,'Statistics NZ'!S$130:S$210,SUM($E$12:$T$13)*(S$8-S$9)*1000)</f>
        <v>30708.858800528425</v>
      </c>
      <c r="T164" s="45">
        <f>SUM('Statistics NZ'!T$164,$K$13/5*(T$8-T$9)*1000)*'Economic Forecasts'!V$9*1000000/SUM('Statistics NZ'!T$30:T$110,'Statistics NZ'!T$130:T$210,SUM($E$12:$T$13)*(T$8-T$9)*1000)</f>
        <v>30395.84479645063</v>
      </c>
      <c r="U164" s="45">
        <f>SUM('Statistics NZ'!U$164,$K$13/5*(U$8-U$9)*1000)*'Economic Forecasts'!W$9*1000000/SUM('Statistics NZ'!U$30:U$110,'Statistics NZ'!U$130:U$210,SUM($E$12:$T$13)*(U$8-U$9)*1000)</f>
        <v>29971.672234917773</v>
      </c>
      <c r="V164" s="45">
        <f>SUM('Statistics NZ'!V$164,$K$13/5*(V$8-V$9)*1000)*'Economic Forecasts'!X$9*1000000/SUM('Statistics NZ'!V$30:V$110,'Statistics NZ'!V$130:V$210,SUM($E$12:$T$13)*(V$8-V$9)*1000)</f>
        <v>30173.24771664495</v>
      </c>
      <c r="W164" s="45">
        <f>SUM('Statistics NZ'!W$164,$K$13/5*(W$8-W$9)*1000)*'Economic Forecasts'!Y$9*1000000/SUM('Statistics NZ'!W$30:W$110,'Statistics NZ'!W$130:W$210,SUM($E$12:$T$13)*(W$8-W$9)*1000)</f>
        <v>29827.368910261728</v>
      </c>
      <c r="X164" s="45">
        <f>SUM('Statistics NZ'!X$164,$K$13/5*(X$8-X$9)*1000)*'Economic Forecasts'!Z$9*1000000/SUM('Statistics NZ'!X$30:X$110,'Statistics NZ'!X$130:X$210,SUM($E$12:$T$13)*(X$8-X$9)*1000)</f>
        <v>31034.14009671114</v>
      </c>
      <c r="Y164" s="45">
        <f>SUM('Statistics NZ'!Y$164,$K$13/5*(Y$8-Y$9)*1000)*'Economic Forecasts'!AA$9*1000000/SUM('Statistics NZ'!Y$30:Y$110,'Statistics NZ'!Y$130:Y$210,SUM($E$12:$T$13)*(Y$8-Y$9)*1000)</f>
        <v>31804.484061776504</v>
      </c>
      <c r="Z164" s="46">
        <f>SUM(Y$164,'Statistics NZ'!Z$164-'Statistics NZ'!Y$164,$K$13/5*(Z$8-Z$9)*1000)</f>
        <v>32612.992978491395</v>
      </c>
      <c r="AA164" s="46">
        <f>SUM(Z$164,'Statistics NZ'!AA$164-'Statistics NZ'!Z$164,$K$13/5*(AA$8-AA$9)*1000)</f>
        <v>33336.1120155713</v>
      </c>
      <c r="AB164" s="46">
        <f>SUM(AA$164,'Statistics NZ'!AB$164-'Statistics NZ'!AA$164,$K$13/5*(AB$8-AB$9)*1000)</f>
        <v>34173.841173016212</v>
      </c>
      <c r="AC164" s="46">
        <f>SUM(AB$164,'Statistics NZ'!AC$164-'Statistics NZ'!AB$164,$K$13/5*(AC$8-AC$9)*1000)</f>
        <v>34886.180450826141</v>
      </c>
      <c r="AD164" s="46">
        <f>SUM(AC$164,'Statistics NZ'!AD$164-'Statistics NZ'!AC$164,$K$13/5*(AD$8-AD$9)*1000)</f>
        <v>35203.129849001081</v>
      </c>
      <c r="AE164" s="46">
        <f>SUM(AD$164,'Statistics NZ'!AE$164-'Statistics NZ'!AD$164,$K$13/5*(AE$8-AE$9)*1000)</f>
        <v>36334.689367541032</v>
      </c>
      <c r="AF164" s="46">
        <f>SUM(AE$164,'Statistics NZ'!AF$164-'Statistics NZ'!AE$164,$K$13/5*(AF$8-AF$9)*1000)</f>
        <v>38040.859006445993</v>
      </c>
      <c r="AG164" s="46">
        <f>SUM(AF$164,'Statistics NZ'!AG$164-'Statistics NZ'!AF$164,$K$13/5*(AG$8-AG$9)*1000)</f>
        <v>39351.638765715972</v>
      </c>
      <c r="AH164" s="46">
        <f>SUM(AG$164,'Statistics NZ'!AH$164-'Statistics NZ'!AG$164,$K$13/5*(AH$8-AH$9)*1000)</f>
        <v>40187.028645350962</v>
      </c>
      <c r="AI164" s="46">
        <f>SUM(AH$164,'Statistics NZ'!AI$164-'Statistics NZ'!AH$164,$K$13/5*(AI$8-AI$9)*1000)</f>
        <v>41977.028645350962</v>
      </c>
    </row>
    <row r="165" spans="1:35" x14ac:dyDescent="0.25">
      <c r="A165" s="11">
        <f>$A$65</f>
        <v>50</v>
      </c>
      <c r="B165" s="44">
        <f>'Statistics NZ'!B$165*'Economic Forecasts'!D$9*1000000/SUM('Statistics NZ'!B$30:B$110,'Statistics NZ'!B$130:B$210)</f>
        <v>27150.435940685369</v>
      </c>
      <c r="C165" s="44">
        <f>'Statistics NZ'!C$165*'Economic Forecasts'!E$9*1000000/SUM('Statistics NZ'!C$30:C$110,'Statistics NZ'!C$130:C$210)</f>
        <v>27790.82147058117</v>
      </c>
      <c r="D165" s="44">
        <f>'Statistics NZ'!D$165*'Economic Forecasts'!F$9*1000000/SUM('Statistics NZ'!D$30:D$110,'Statistics NZ'!D$130:D$210)</f>
        <v>27827.776258530903</v>
      </c>
      <c r="E165" s="44">
        <f>'Statistics NZ'!E$165*'Economic Forecasts'!G$9*1000000/SUM('Statistics NZ'!E$30:E$110,'Statistics NZ'!E$130:E$210)</f>
        <v>29156.2791053201</v>
      </c>
      <c r="F165" s="44">
        <f>'Statistics NZ'!F$165*'Economic Forecasts'!H$9*1000000/SUM('Statistics NZ'!F$30:F$110,'Statistics NZ'!F$130:F$210)</f>
        <v>29504.964691460591</v>
      </c>
      <c r="G165" s="44">
        <f>'Statistics NZ'!G$165*'Economic Forecasts'!I$9*1000000/SUM('Statistics NZ'!G$30:G$110,'Statistics NZ'!G$130:G$210)</f>
        <v>30390.729170865412</v>
      </c>
      <c r="H165" s="44">
        <f>'Statistics NZ'!H$165*'Economic Forecasts'!J$9*1000000/SUM('Statistics NZ'!H$30:H$110,'Statistics NZ'!H$130:H$210)</f>
        <v>30968.832275161007</v>
      </c>
      <c r="I165" s="44">
        <f>'Statistics NZ'!I$165*'Economic Forecasts'!K$9*1000000/SUM('Statistics NZ'!I$30:I$110,'Statistics NZ'!I$130:I$210)</f>
        <v>30587.092556271597</v>
      </c>
      <c r="J165" s="44">
        <f>'Statistics NZ'!J$165*'Economic Forecasts'!L$9*1000000/SUM('Statistics NZ'!J$30:J$110,'Statistics NZ'!J$130:J$210)</f>
        <v>30377.113189855583</v>
      </c>
      <c r="K165" s="44">
        <f>'Statistics NZ'!K$165*'Economic Forecasts'!M$9*1000000/SUM('Statistics NZ'!K$30:K$110,'Statistics NZ'!K$130:K$210)</f>
        <v>29666.26033650852</v>
      </c>
      <c r="L165" s="44">
        <f>'Statistics NZ'!L$165*'Economic Forecasts'!N$9*1000000/SUM('Statistics NZ'!L$30:L$110,'Statistics NZ'!L$130:L$210)</f>
        <v>29638.256133378723</v>
      </c>
      <c r="M165" s="44">
        <f>'Statistics NZ'!M$165*'Economic Forecasts'!O$9*1000000/SUM('Statistics NZ'!M$30:M$110,'Statistics NZ'!M$130:M$210)</f>
        <v>29933.97425149546</v>
      </c>
      <c r="N165" s="44">
        <f>'Statistics NZ'!N$165*'Economic Forecasts'!P$9*1000000/SUM('Statistics NZ'!N$30:N$110,'Statistics NZ'!N$130:N$210)</f>
        <v>30979.101903321582</v>
      </c>
      <c r="O165" s="44">
        <f>'Statistics NZ'!O$165*'Economic Forecasts'!Q$9*1000000/SUM('Statistics NZ'!O$30:O$110,'Statistics NZ'!O$130:O$210)</f>
        <v>31803.053321269846</v>
      </c>
      <c r="P165" s="44">
        <f>'Statistics NZ'!P$165*'Economic Forecasts'!R$9*1000000/SUM('Statistics NZ'!P$30:P$110,'Statistics NZ'!P$130:P$210)</f>
        <v>32033.813637002942</v>
      </c>
      <c r="Q165" s="44">
        <f>'Statistics NZ'!Q$165*'Economic Forecasts'!S$9*1000000/SUM('Statistics NZ'!Q$30:Q$110,'Statistics NZ'!Q$130:Q$210)</f>
        <v>33052.155129761522</v>
      </c>
      <c r="R165" s="44">
        <f>'Statistics NZ'!R$165*'Economic Forecasts'!T$9*1000000/SUM('Statistics NZ'!R$30:R$110,'Statistics NZ'!R$130:R$210)</f>
        <v>32982.147164100228</v>
      </c>
      <c r="S165" s="45">
        <f>SUM('Statistics NZ'!S$165,$L$13/5*(S$8-S$9)*1000)*'Economic Forecasts'!U$9*1000000/SUM('Statistics NZ'!S$30:S$110,'Statistics NZ'!S$130:S$210,SUM($E$12:$T$13)*(S$8-S$9)*1000)</f>
        <v>31560.752659148649</v>
      </c>
      <c r="T165" s="45">
        <f>SUM('Statistics NZ'!T$165,$L$13/5*(T$8-T$9)*1000)*'Economic Forecasts'!V$9*1000000/SUM('Statistics NZ'!T$30:T$110,'Statistics NZ'!T$130:T$210,SUM($E$12:$T$13)*(T$8-T$9)*1000)</f>
        <v>31062.936236117017</v>
      </c>
      <c r="U165" s="45">
        <f>SUM('Statistics NZ'!U$165,$L$13/5*(U$8-U$9)*1000)*'Economic Forecasts'!W$9*1000000/SUM('Statistics NZ'!U$30:U$110,'Statistics NZ'!U$130:U$210,SUM($E$12:$T$13)*(U$8-U$9)*1000)</f>
        <v>30379.71346239651</v>
      </c>
      <c r="V165" s="45">
        <f>SUM('Statistics NZ'!V$165,$L$13/5*(V$8-V$9)*1000)*'Economic Forecasts'!X$9*1000000/SUM('Statistics NZ'!V$30:V$110,'Statistics NZ'!V$130:V$210,SUM($E$12:$T$13)*(V$8-V$9)*1000)</f>
        <v>29863.938888630928</v>
      </c>
      <c r="W165" s="45">
        <f>SUM('Statistics NZ'!W$165,$L$13/5*(W$8-W$9)*1000)*'Economic Forecasts'!Y$9*1000000/SUM('Statistics NZ'!W$30:W$110,'Statistics NZ'!W$130:W$210,SUM($E$12:$T$13)*(W$8-W$9)*1000)</f>
        <v>30081.163342038089</v>
      </c>
      <c r="X165" s="45">
        <f>SUM('Statistics NZ'!X$165,$L$13/5*(X$8-X$9)*1000)*'Economic Forecasts'!Z$9*1000000/SUM('Statistics NZ'!X$30:X$110,'Statistics NZ'!X$130:X$210,SUM($E$12:$T$13)*(X$8-X$9)*1000)</f>
        <v>29755.083326284035</v>
      </c>
      <c r="Y165" s="45">
        <f>SUM('Statistics NZ'!Y$165,$L$13/5*(Y$8-Y$9)*1000)*'Economic Forecasts'!AA$9*1000000/SUM('Statistics NZ'!Y$30:Y$110,'Statistics NZ'!Y$130:Y$210,SUM($E$12:$T$13)*(Y$8-Y$9)*1000)</f>
        <v>30979.708025419015</v>
      </c>
      <c r="Z165" s="46">
        <f>SUM(Y$165,'Statistics NZ'!Z$165-'Statistics NZ'!Y$165,$L$13/5*(Z$8-Z$9)*1000)</f>
        <v>31671.535459729588</v>
      </c>
      <c r="AA165" s="46">
        <f>SUM(Z$165,'Statistics NZ'!AA$165-'Statistics NZ'!Z$165,$L$13/5*(AA$8-AA$9)*1000)</f>
        <v>32442.04873467232</v>
      </c>
      <c r="AB165" s="46">
        <f>SUM(AA$165,'Statistics NZ'!AB$165-'Statistics NZ'!AA$165,$L$13/5*(AB$8-AB$9)*1000)</f>
        <v>33131.247850247215</v>
      </c>
      <c r="AC165" s="46">
        <f>SUM(AB$165,'Statistics NZ'!AC$165-'Statistics NZ'!AB$165,$L$13/5*(AC$8-AC$9)*1000)</f>
        <v>33939.132806454261</v>
      </c>
      <c r="AD165" s="46">
        <f>SUM(AC$165,'Statistics NZ'!AD$165-'Statistics NZ'!AC$165,$L$13/5*(AD$8-AD$9)*1000)</f>
        <v>34625.70360329347</v>
      </c>
      <c r="AE165" s="46">
        <f>SUM(AD$165,'Statistics NZ'!AE$165-'Statistics NZ'!AD$165,$L$13/5*(AE$8-AE$9)*1000)</f>
        <v>34910.960240764834</v>
      </c>
      <c r="AF165" s="46">
        <f>SUM(AE$165,'Statistics NZ'!AF$165-'Statistics NZ'!AE$165,$L$13/5*(AF$8-AF$9)*1000)</f>
        <v>36024.902718868361</v>
      </c>
      <c r="AG165" s="46">
        <f>SUM(AF$165,'Statistics NZ'!AG$165-'Statistics NZ'!AF$165,$L$13/5*(AG$8-AG$9)*1000)</f>
        <v>37727.531037604043</v>
      </c>
      <c r="AH165" s="46">
        <f>SUM(AG$165,'Statistics NZ'!AH$165-'Statistics NZ'!AG$165,$L$13/5*(AH$8-AH$9)*1000)</f>
        <v>39028.845196971888</v>
      </c>
      <c r="AI165" s="46">
        <f>SUM(AH$165,'Statistics NZ'!AI$165-'Statistics NZ'!AH$165,$L$13/5*(AI$8-AI$9)*1000)</f>
        <v>39858.845196971888</v>
      </c>
    </row>
    <row r="166" spans="1:35" x14ac:dyDescent="0.25">
      <c r="A166" s="11">
        <f>$A$66</f>
        <v>51</v>
      </c>
      <c r="B166" s="44">
        <f>'Statistics NZ'!B$166*'Economic Forecasts'!D$9*1000000/SUM('Statistics NZ'!B$30:B$110,'Statistics NZ'!B$130:B$210)</f>
        <v>25976.363035142218</v>
      </c>
      <c r="C166" s="44">
        <f>'Statistics NZ'!C$166*'Economic Forecasts'!E$9*1000000/SUM('Statistics NZ'!C$30:C$110,'Statistics NZ'!C$130:C$210)</f>
        <v>27132.876227284731</v>
      </c>
      <c r="D166" s="44">
        <f>'Statistics NZ'!D$166*'Economic Forecasts'!F$9*1000000/SUM('Statistics NZ'!D$30:D$110,'Statistics NZ'!D$130:D$210)</f>
        <v>27660.789955532306</v>
      </c>
      <c r="E166" s="44">
        <f>'Statistics NZ'!E$166*'Economic Forecasts'!G$9*1000000/SUM('Statistics NZ'!E$30:E$110,'Statistics NZ'!E$130:E$210)</f>
        <v>27645.99757749659</v>
      </c>
      <c r="F166" s="44">
        <f>'Statistics NZ'!F$166*'Economic Forecasts'!H$9*1000000/SUM('Statistics NZ'!F$30:F$110,'Statistics NZ'!F$130:F$210)</f>
        <v>29063.567280850311</v>
      </c>
      <c r="G166" s="44">
        <f>'Statistics NZ'!G$166*'Economic Forecasts'!I$9*1000000/SUM('Statistics NZ'!G$30:G$110,'Statistics NZ'!G$130:G$210)</f>
        <v>29349.547111359356</v>
      </c>
      <c r="H166" s="44">
        <f>'Statistics NZ'!H$166*'Economic Forecasts'!J$9*1000000/SUM('Statistics NZ'!H$30:H$110,'Statistics NZ'!H$130:H$210)</f>
        <v>30202.47157799649</v>
      </c>
      <c r="I166" s="44">
        <f>'Statistics NZ'!I$166*'Economic Forecasts'!K$9*1000000/SUM('Statistics NZ'!I$30:I$110,'Statistics NZ'!I$130:I$210)</f>
        <v>30753.752996482053</v>
      </c>
      <c r="J166" s="44">
        <f>'Statistics NZ'!J$166*'Economic Forecasts'!L$9*1000000/SUM('Statistics NZ'!J$30:J$110,'Statistics NZ'!J$130:J$210)</f>
        <v>30591.65459922214</v>
      </c>
      <c r="K166" s="44">
        <f>'Statistics NZ'!K$166*'Economic Forecasts'!M$9*1000000/SUM('Statistics NZ'!K$30:K$110,'Statistics NZ'!K$130:K$210)</f>
        <v>30484.102761276066</v>
      </c>
      <c r="L166" s="44">
        <f>'Statistics NZ'!L$166*'Economic Forecasts'!N$9*1000000/SUM('Statistics NZ'!L$30:L$110,'Statistics NZ'!L$130:L$210)</f>
        <v>29891.408124005477</v>
      </c>
      <c r="M166" s="44">
        <f>'Statistics NZ'!M$166*'Economic Forecasts'!O$9*1000000/SUM('Statistics NZ'!M$30:M$110,'Statistics NZ'!M$130:M$210)</f>
        <v>29953.513399179206</v>
      </c>
      <c r="N166" s="44">
        <f>'Statistics NZ'!N$166*'Economic Forecasts'!P$9*1000000/SUM('Statistics NZ'!N$30:N$110,'Statistics NZ'!N$130:N$210)</f>
        <v>30235.446898693521</v>
      </c>
      <c r="O166" s="44">
        <f>'Statistics NZ'!O$166*'Economic Forecasts'!Q$9*1000000/SUM('Statistics NZ'!O$30:O$110,'Statistics NZ'!O$130:O$210)</f>
        <v>31077.135386114398</v>
      </c>
      <c r="P166" s="44">
        <f>'Statistics NZ'!P$166*'Economic Forecasts'!R$9*1000000/SUM('Statistics NZ'!P$30:P$110,'Statistics NZ'!P$130:P$210)</f>
        <v>31926.219148451179</v>
      </c>
      <c r="Q166" s="44">
        <f>'Statistics NZ'!Q$166*'Economic Forecasts'!S$9*1000000/SUM('Statistics NZ'!Q$30:Q$110,'Statistics NZ'!Q$130:Q$210)</f>
        <v>32242.875726763476</v>
      </c>
      <c r="R166" s="44">
        <f>'Statistics NZ'!R$166*'Economic Forecasts'!T$9*1000000/SUM('Statistics NZ'!R$30:R$110,'Statistics NZ'!R$130:R$210)</f>
        <v>32854.080284430784</v>
      </c>
      <c r="S166" s="45">
        <f>SUM('Statistics NZ'!S$166,$L$13/5*(S$8-S$9)*1000)*'Economic Forecasts'!U$9*1000000/SUM('Statistics NZ'!S$30:S$110,'Statistics NZ'!S$130:S$210,SUM($E$12:$T$13)*(S$8-S$9)*1000)</f>
        <v>32346.60437202498</v>
      </c>
      <c r="T166" s="45">
        <f>SUM('Statistics NZ'!T$166,$L$13/5*(T$8-T$9)*1000)*'Economic Forecasts'!V$9*1000000/SUM('Statistics NZ'!T$30:T$110,'Statistics NZ'!T$130:T$210,SUM($E$12:$T$13)*(T$8-T$9)*1000)</f>
        <v>32241.323171232114</v>
      </c>
      <c r="U166" s="45">
        <f>SUM('Statistics NZ'!U$166,$L$13/5*(U$8-U$9)*1000)*'Economic Forecasts'!W$9*1000000/SUM('Statistics NZ'!U$30:U$110,'Statistics NZ'!U$130:U$210,SUM($E$12:$T$13)*(U$8-U$9)*1000)</f>
        <v>31217.849563719428</v>
      </c>
      <c r="V166" s="45">
        <f>SUM('Statistics NZ'!V$166,$L$13/5*(V$8-V$9)*1000)*'Economic Forecasts'!X$9*1000000/SUM('Statistics NZ'!V$30:V$110,'Statistics NZ'!V$130:V$210,SUM($E$12:$T$13)*(V$8-V$9)*1000)</f>
        <v>30308.891036879559</v>
      </c>
      <c r="W166" s="45">
        <f>SUM('Statistics NZ'!W$166,$L$13/5*(W$8-W$9)*1000)*'Economic Forecasts'!Y$9*1000000/SUM('Statistics NZ'!W$30:W$110,'Statistics NZ'!W$130:W$210,SUM($E$12:$T$13)*(W$8-W$9)*1000)</f>
        <v>29797.595695602457</v>
      </c>
      <c r="X166" s="45">
        <f>SUM('Statistics NZ'!X$166,$L$13/5*(X$8-X$9)*1000)*'Economic Forecasts'!Z$9*1000000/SUM('Statistics NZ'!X$30:X$110,'Statistics NZ'!X$130:X$210,SUM($E$12:$T$13)*(X$8-X$9)*1000)</f>
        <v>30029.061354041292</v>
      </c>
      <c r="Y166" s="45">
        <f>SUM('Statistics NZ'!Y$166,$L$13/5*(Y$8-Y$9)*1000)*'Economic Forecasts'!AA$9*1000000/SUM('Statistics NZ'!Y$30:Y$110,'Statistics NZ'!Y$130:Y$210,SUM($E$12:$T$13)*(Y$8-Y$9)*1000)</f>
        <v>29718.267138167706</v>
      </c>
      <c r="Z166" s="46">
        <f>SUM(Y$166,'Statistics NZ'!Z$166-'Statistics NZ'!Y$166,$L$13/5*(Z$8-Z$9)*1000)</f>
        <v>30860.09457247828</v>
      </c>
      <c r="AA166" s="46">
        <f>SUM(Z$166,'Statistics NZ'!AA$166-'Statistics NZ'!Z$166,$L$13/5*(AA$8-AA$9)*1000)</f>
        <v>31550.607847421012</v>
      </c>
      <c r="AB166" s="46">
        <f>SUM(AA$166,'Statistics NZ'!AB$166-'Statistics NZ'!AA$166,$L$13/5*(AB$8-AB$9)*1000)</f>
        <v>32319.806962995903</v>
      </c>
      <c r="AC166" s="46">
        <f>SUM(AB$166,'Statistics NZ'!AC$166-'Statistics NZ'!AB$166,$L$13/5*(AC$8-AC$9)*1000)</f>
        <v>33007.691919202953</v>
      </c>
      <c r="AD166" s="46">
        <f>SUM(AC$166,'Statistics NZ'!AD$166-'Statistics NZ'!AC$166,$L$13/5*(AD$8-AD$9)*1000)</f>
        <v>33814.262716042162</v>
      </c>
      <c r="AE166" s="46">
        <f>SUM(AD$166,'Statistics NZ'!AE$166-'Statistics NZ'!AD$166,$L$13/5*(AE$8-AE$9)*1000)</f>
        <v>34499.519353513526</v>
      </c>
      <c r="AF166" s="46">
        <f>SUM(AE$166,'Statistics NZ'!AF$166-'Statistics NZ'!AE$166,$L$13/5*(AF$8-AF$9)*1000)</f>
        <v>34783.461831617053</v>
      </c>
      <c r="AG166" s="46">
        <f>SUM(AF$166,'Statistics NZ'!AG$166-'Statistics NZ'!AF$166,$L$13/5*(AG$8-AG$9)*1000)</f>
        <v>35896.090150352735</v>
      </c>
      <c r="AH166" s="46">
        <f>SUM(AG$166,'Statistics NZ'!AH$166-'Statistics NZ'!AG$166,$L$13/5*(AH$8-AH$9)*1000)</f>
        <v>37587.404309720579</v>
      </c>
      <c r="AI166" s="46">
        <f>SUM(AH$166,'Statistics NZ'!AI$166-'Statistics NZ'!AH$166,$L$13/5*(AI$8-AI$9)*1000)</f>
        <v>38887.404309720579</v>
      </c>
    </row>
    <row r="167" spans="1:35" x14ac:dyDescent="0.25">
      <c r="A167" s="11">
        <f>$A$67</f>
        <v>52</v>
      </c>
      <c r="B167" s="44">
        <f>'Statistics NZ'!B$167*'Economic Forecasts'!D$9*1000000/SUM('Statistics NZ'!B$30:B$110,'Statistics NZ'!B$130:B$210)</f>
        <v>25252.351410057272</v>
      </c>
      <c r="C167" s="44">
        <f>'Statistics NZ'!C$167*'Economic Forecasts'!E$9*1000000/SUM('Statistics NZ'!C$30:C$110,'Statistics NZ'!C$130:C$210)</f>
        <v>25974.10699282233</v>
      </c>
      <c r="D167" s="44">
        <f>'Statistics NZ'!D$167*'Economic Forecasts'!F$9*1000000/SUM('Statistics NZ'!D$30:D$110,'Statistics NZ'!D$130:D$210)</f>
        <v>26933.908401303117</v>
      </c>
      <c r="E167" s="44">
        <f>'Statistics NZ'!E$167*'Economic Forecasts'!G$9*1000000/SUM('Statistics NZ'!E$30:E$110,'Statistics NZ'!E$130:E$210)</f>
        <v>27440.050096429753</v>
      </c>
      <c r="F167" s="44">
        <f>'Statistics NZ'!F$167*'Economic Forecasts'!H$9*1000000/SUM('Statistics NZ'!F$30:F$110,'Statistics NZ'!F$130:F$210)</f>
        <v>27513.771928040878</v>
      </c>
      <c r="G167" s="44">
        <f>'Statistics NZ'!G$167*'Economic Forecasts'!I$9*1000000/SUM('Statistics NZ'!G$30:G$110,'Statistics NZ'!G$130:G$210)</f>
        <v>28907.535859682255</v>
      </c>
      <c r="H167" s="44">
        <f>'Statistics NZ'!H$167*'Economic Forecasts'!J$9*1000000/SUM('Statistics NZ'!H$30:H$110,'Statistics NZ'!H$130:H$210)</f>
        <v>29111.88135510853</v>
      </c>
      <c r="I167" s="44">
        <f>'Statistics NZ'!I$167*'Economic Forecasts'!K$9*1000000/SUM('Statistics NZ'!I$30:I$110,'Statistics NZ'!I$130:I$210)</f>
        <v>29969.468571962272</v>
      </c>
      <c r="J167" s="44">
        <f>'Statistics NZ'!J$167*'Economic Forecasts'!L$9*1000000/SUM('Statistics NZ'!J$30:J$110,'Statistics NZ'!J$130:J$210)</f>
        <v>30659.917774929676</v>
      </c>
      <c r="K167" s="44">
        <f>'Statistics NZ'!K$167*'Economic Forecasts'!M$9*1000000/SUM('Statistics NZ'!K$30:K$110,'Statistics NZ'!K$130:K$210)</f>
        <v>30785.925560892661</v>
      </c>
      <c r="L167" s="44">
        <f>'Statistics NZ'!L$167*'Economic Forecasts'!N$9*1000000/SUM('Statistics NZ'!L$30:L$110,'Statistics NZ'!L$130:L$210)</f>
        <v>30728.757016078591</v>
      </c>
      <c r="M167" s="44">
        <f>'Statistics NZ'!M$167*'Economic Forecasts'!O$9*1000000/SUM('Statistics NZ'!M$30:M$110,'Statistics NZ'!M$130:M$210)</f>
        <v>30246.600614435363</v>
      </c>
      <c r="N167" s="44">
        <f>'Statistics NZ'!N$167*'Economic Forecasts'!P$9*1000000/SUM('Statistics NZ'!N$30:N$110,'Statistics NZ'!N$130:N$210)</f>
        <v>30137.597555979304</v>
      </c>
      <c r="O167" s="44">
        <f>'Statistics NZ'!O$167*'Economic Forecasts'!Q$9*1000000/SUM('Statistics NZ'!O$30:O$110,'Statistics NZ'!O$130:O$210)</f>
        <v>30302.168941826822</v>
      </c>
      <c r="P167" s="44">
        <f>'Statistics NZ'!P$167*'Economic Forecasts'!R$9*1000000/SUM('Statistics NZ'!P$30:P$110,'Statistics NZ'!P$130:P$210)</f>
        <v>31075.244557178125</v>
      </c>
      <c r="Q167" s="44">
        <f>'Statistics NZ'!Q$167*'Economic Forecasts'!S$9*1000000/SUM('Statistics NZ'!Q$30:Q$110,'Statistics NZ'!Q$130:Q$210)</f>
        <v>32154.052377653938</v>
      </c>
      <c r="R167" s="44">
        <f>'Statistics NZ'!R$167*'Economic Forecasts'!T$9*1000000/SUM('Statistics NZ'!R$30:R$110,'Statistics NZ'!R$130:R$210)</f>
        <v>32046.27381266966</v>
      </c>
      <c r="S167" s="45">
        <f>SUM('Statistics NZ'!S$167,$L$13/5*(S$8-S$9)*1000)*'Economic Forecasts'!U$9*1000000/SUM('Statistics NZ'!S$30:S$110,'Statistics NZ'!S$130:S$210,SUM($E$12:$T$13)*(S$8-S$9)*1000)</f>
        <v>32220.480023044827</v>
      </c>
      <c r="T167" s="45">
        <f>SUM('Statistics NZ'!T$167,$L$13/5*(T$8-T$9)*1000)*'Economic Forecasts'!V$9*1000000/SUM('Statistics NZ'!T$30:T$110,'Statistics NZ'!T$130:T$210,SUM($E$12:$T$13)*(T$8-T$9)*1000)</f>
        <v>33050.215897878916</v>
      </c>
      <c r="U167" s="45">
        <f>SUM('Statistics NZ'!U$167,$L$13/5*(U$8-U$9)*1000)*'Economic Forecasts'!W$9*1000000/SUM('Statistics NZ'!U$30:U$110,'Statistics NZ'!U$130:U$210,SUM($E$12:$T$13)*(U$8-U$9)*1000)</f>
        <v>32389.22050050809</v>
      </c>
      <c r="V167" s="45">
        <f>SUM('Statistics NZ'!V$167,$L$13/5*(V$8-V$9)*1000)*'Economic Forecasts'!X$9*1000000/SUM('Statistics NZ'!V$30:V$110,'Statistics NZ'!V$130:V$210,SUM($E$12:$T$13)*(V$8-V$9)*1000)</f>
        <v>31128.007491609991</v>
      </c>
      <c r="W167" s="45">
        <f>SUM('Statistics NZ'!W$167,$L$13/5*(W$8-W$9)*1000)*'Economic Forecasts'!Y$9*1000000/SUM('Statistics NZ'!W$30:W$110,'Statistics NZ'!W$130:W$210,SUM($E$12:$T$13)*(W$8-W$9)*1000)</f>
        <v>30233.074581200028</v>
      </c>
      <c r="X167" s="45">
        <f>SUM('Statistics NZ'!X$167,$L$13/5*(X$8-X$9)*1000)*'Economic Forecasts'!Z$9*1000000/SUM('Statistics NZ'!X$30:X$110,'Statistics NZ'!X$130:X$210,SUM($E$12:$T$13)*(X$8-X$9)*1000)</f>
        <v>29734.788657561276</v>
      </c>
      <c r="Y167" s="45">
        <f>SUM('Statistics NZ'!Y$167,$L$13/5*(Y$8-Y$9)*1000)*'Economic Forecasts'!AA$9*1000000/SUM('Statistics NZ'!Y$30:Y$110,'Statistics NZ'!Y$130:Y$210,SUM($E$12:$T$13)*(Y$8-Y$9)*1000)</f>
        <v>29992.935718456301</v>
      </c>
      <c r="Z167" s="46">
        <f>SUM(Y$167,'Statistics NZ'!Z$167-'Statistics NZ'!Y$167,$L$13/5*(Z$8-Z$9)*1000)</f>
        <v>29624.763152766875</v>
      </c>
      <c r="AA167" s="46">
        <f>SUM(Z$167,'Statistics NZ'!AA$167-'Statistics NZ'!Z$167,$L$13/5*(AA$8-AA$9)*1000)</f>
        <v>30755.276427709607</v>
      </c>
      <c r="AB167" s="46">
        <f>SUM(AA$167,'Statistics NZ'!AB$167-'Statistics NZ'!AA$167,$L$13/5*(AB$8-AB$9)*1000)</f>
        <v>31444.475543284498</v>
      </c>
      <c r="AC167" s="46">
        <f>SUM(AB$167,'Statistics NZ'!AC$167-'Statistics NZ'!AB$167,$L$13/5*(AC$8-AC$9)*1000)</f>
        <v>32212.360499491544</v>
      </c>
      <c r="AD167" s="46">
        <f>SUM(AC$167,'Statistics NZ'!AD$167-'Statistics NZ'!AC$167,$L$13/5*(AD$8-AD$9)*1000)</f>
        <v>32898.931296330753</v>
      </c>
      <c r="AE167" s="46">
        <f>SUM(AD$167,'Statistics NZ'!AE$167-'Statistics NZ'!AD$167,$L$13/5*(AE$8-AE$9)*1000)</f>
        <v>33704.187933802117</v>
      </c>
      <c r="AF167" s="46">
        <f>SUM(AE$167,'Statistics NZ'!AF$167-'Statistics NZ'!AE$167,$L$13/5*(AF$8-AF$9)*1000)</f>
        <v>34388.130411905644</v>
      </c>
      <c r="AG167" s="46">
        <f>SUM(AF$167,'Statistics NZ'!AG$167-'Statistics NZ'!AF$167,$L$13/5*(AG$8-AG$9)*1000)</f>
        <v>34670.758730641326</v>
      </c>
      <c r="AH167" s="46">
        <f>SUM(AG$167,'Statistics NZ'!AH$167-'Statistics NZ'!AG$167,$L$13/5*(AH$8-AH$9)*1000)</f>
        <v>35782.072890009171</v>
      </c>
      <c r="AI167" s="46">
        <f>SUM(AH$167,'Statistics NZ'!AI$167-'Statistics NZ'!AH$167,$L$13/5*(AI$8-AI$9)*1000)</f>
        <v>37472.072890009171</v>
      </c>
    </row>
    <row r="168" spans="1:35" x14ac:dyDescent="0.25">
      <c r="A168" s="11">
        <f>$A$68</f>
        <v>53</v>
      </c>
      <c r="B168" s="44">
        <f>'Statistics NZ'!B$168*'Economic Forecasts'!D$9*1000000/SUM('Statistics NZ'!B$30:B$110,'Statistics NZ'!B$130:B$210)</f>
        <v>24528.339784972333</v>
      </c>
      <c r="C168" s="44">
        <f>'Statistics NZ'!C$168*'Economic Forecasts'!E$9*1000000/SUM('Statistics NZ'!C$30:C$110,'Statistics NZ'!C$130:C$210)</f>
        <v>25217.960966944327</v>
      </c>
      <c r="D168" s="44">
        <f>'Statistics NZ'!D$168*'Economic Forecasts'!F$9*1000000/SUM('Statistics NZ'!D$30:D$110,'Statistics NZ'!D$130:D$210)</f>
        <v>25804.295175136132</v>
      </c>
      <c r="E168" s="44">
        <f>'Statistics NZ'!E$168*'Economic Forecasts'!G$9*1000000/SUM('Statistics NZ'!E$30:E$110,'Statistics NZ'!E$130:E$210)</f>
        <v>26763.365515781552</v>
      </c>
      <c r="F168" s="44">
        <f>'Statistics NZ'!F$168*'Economic Forecasts'!H$9*1000000/SUM('Statistics NZ'!F$30:F$110,'Statistics NZ'!F$130:F$210)</f>
        <v>27337.212963796763</v>
      </c>
      <c r="G168" s="44">
        <f>'Statistics NZ'!G$168*'Economic Forecasts'!I$9*1000000/SUM('Statistics NZ'!G$30:G$110,'Statistics NZ'!G$130:G$210)</f>
        <v>27345.762770423175</v>
      </c>
      <c r="H168" s="44">
        <f>'Statistics NZ'!H$168*'Economic Forecasts'!J$9*1000000/SUM('Statistics NZ'!H$30:H$110,'Statistics NZ'!H$130:H$210)</f>
        <v>28679.575320810596</v>
      </c>
      <c r="I168" s="44">
        <f>'Statistics NZ'!I$168*'Economic Forecasts'!K$9*1000000/SUM('Statistics NZ'!I$30:I$110,'Statistics NZ'!I$130:I$210)</f>
        <v>28920.488154167055</v>
      </c>
      <c r="J168" s="44">
        <f>'Statistics NZ'!J$168*'Economic Forecasts'!L$9*1000000/SUM('Statistics NZ'!J$30:J$110,'Statistics NZ'!J$130:J$210)</f>
        <v>29831.007784195259</v>
      </c>
      <c r="K168" s="44">
        <f>'Statistics NZ'!K$168*'Economic Forecasts'!M$9*1000000/SUM('Statistics NZ'!K$30:K$110,'Statistics NZ'!K$130:K$210)</f>
        <v>30717.772025495367</v>
      </c>
      <c r="L168" s="44">
        <f>'Statistics NZ'!L$168*'Economic Forecasts'!N$9*1000000/SUM('Statistics NZ'!L$30:L$110,'Statistics NZ'!L$130:L$210)</f>
        <v>30972.172391681241</v>
      </c>
      <c r="M168" s="44">
        <f>'Statistics NZ'!M$168*'Economic Forecasts'!O$9*1000000/SUM('Statistics NZ'!M$30:M$110,'Statistics NZ'!M$130:M$210)</f>
        <v>31008.627374101368</v>
      </c>
      <c r="N168" s="44">
        <f>'Statistics NZ'!N$168*'Economic Forecasts'!P$9*1000000/SUM('Statistics NZ'!N$30:N$110,'Statistics NZ'!N$130:N$210)</f>
        <v>30480.070255479066</v>
      </c>
      <c r="O168" s="44">
        <f>'Statistics NZ'!O$168*'Economic Forecasts'!Q$9*1000000/SUM('Statistics NZ'!O$30:O$110,'Statistics NZ'!O$130:O$210)</f>
        <v>30233.501029041847</v>
      </c>
      <c r="P168" s="44">
        <f>'Statistics NZ'!P$168*'Economic Forecasts'!R$9*1000000/SUM('Statistics NZ'!P$30:P$110,'Statistics NZ'!P$130:P$210)</f>
        <v>30390.552357303248</v>
      </c>
      <c r="Q168" s="44">
        <f>'Statistics NZ'!Q$168*'Economic Forecasts'!S$9*1000000/SUM('Statistics NZ'!Q$30:Q$110,'Statistics NZ'!Q$130:Q$210)</f>
        <v>31285.55740858287</v>
      </c>
      <c r="R168" s="44">
        <f>'Statistics NZ'!R$168*'Economic Forecasts'!T$9*1000000/SUM('Statistics NZ'!R$30:R$110,'Statistics NZ'!R$130:R$210)</f>
        <v>31947.760828308554</v>
      </c>
      <c r="S168" s="45">
        <f>SUM('Statistics NZ'!S$168,$L$13/5*(S$8-S$9)*1000)*'Economic Forecasts'!U$9*1000000/SUM('Statistics NZ'!S$30:S$110,'Statistics NZ'!S$130:S$210,SUM($E$12:$T$13)*(S$8-S$9)*1000)</f>
        <v>31434.628310168489</v>
      </c>
      <c r="T168" s="45">
        <f>SUM('Statistics NZ'!T$168,$L$13/5*(T$8-T$9)*1000)*'Economic Forecasts'!V$9*1000000/SUM('Statistics NZ'!T$30:T$110,'Statistics NZ'!T$130:T$210,SUM($E$12:$T$13)*(T$8-T$9)*1000)</f>
        <v>32920.393608417085</v>
      </c>
      <c r="U168" s="45">
        <f>SUM('Statistics NZ'!U$168,$L$13/5*(U$8-U$9)*1000)*'Economic Forecasts'!W$9*1000000/SUM('Statistics NZ'!U$30:U$110,'Statistics NZ'!U$130:U$210,SUM($E$12:$T$13)*(U$8-U$9)*1000)</f>
        <v>33207.160551196721</v>
      </c>
      <c r="V168" s="45">
        <f>SUM('Statistics NZ'!V$168,$L$13/5*(V$8-V$9)*1000)*'Economic Forecasts'!X$9*1000000/SUM('Statistics NZ'!V$30:V$110,'Statistics NZ'!V$130:V$210,SUM($E$12:$T$13)*(V$8-V$9)*1000)</f>
        <v>32301.063155174568</v>
      </c>
      <c r="W168" s="45">
        <f>SUM('Statistics NZ'!W$168,$L$13/5*(W$8-W$9)*1000)*'Economic Forecasts'!Y$9*1000000/SUM('Statistics NZ'!W$30:W$110,'Statistics NZ'!W$130:W$210,SUM($E$12:$T$13)*(W$8-W$9)*1000)</f>
        <v>31053.395272674537</v>
      </c>
      <c r="X168" s="45">
        <f>SUM('Statistics NZ'!X$168,$L$13/5*(X$8-X$9)*1000)*'Economic Forecasts'!Z$9*1000000/SUM('Statistics NZ'!X$30:X$110,'Statistics NZ'!X$130:X$210,SUM($E$12:$T$13)*(X$8-X$9)*1000)</f>
        <v>30171.124035100609</v>
      </c>
      <c r="Y168" s="45">
        <f>SUM('Statistics NZ'!Y$168,$L$13/5*(Y$8-Y$9)*1000)*'Economic Forecasts'!AA$9*1000000/SUM('Statistics NZ'!Y$30:Y$110,'Statistics NZ'!Y$130:Y$210,SUM($E$12:$T$13)*(Y$8-Y$9)*1000)</f>
        <v>29697.921317405588</v>
      </c>
      <c r="Z168" s="46">
        <f>SUM(Y$168,'Statistics NZ'!Z$168-'Statistics NZ'!Y$168,$L$13/5*(Z$8-Z$9)*1000)</f>
        <v>29879.748751716161</v>
      </c>
      <c r="AA168" s="46">
        <f>SUM(Z$168,'Statistics NZ'!AA$168-'Statistics NZ'!Z$168,$L$13/5*(AA$8-AA$9)*1000)</f>
        <v>29510.262026658893</v>
      </c>
      <c r="AB168" s="46">
        <f>SUM(AA$168,'Statistics NZ'!AB$168-'Statistics NZ'!AA$168,$L$13/5*(AB$8-AB$9)*1000)</f>
        <v>30639.461142233784</v>
      </c>
      <c r="AC168" s="46">
        <f>SUM(AB$168,'Statistics NZ'!AC$168-'Statistics NZ'!AB$168,$L$13/5*(AC$8-AC$9)*1000)</f>
        <v>31337.34609844083</v>
      </c>
      <c r="AD168" s="46">
        <f>SUM(AC$168,'Statistics NZ'!AD$168-'Statistics NZ'!AC$168,$L$13/5*(AD$8-AD$9)*1000)</f>
        <v>32103.916895280036</v>
      </c>
      <c r="AE168" s="46">
        <f>SUM(AD$168,'Statistics NZ'!AE$168-'Statistics NZ'!AD$168,$L$13/5*(AE$8-AE$9)*1000)</f>
        <v>32779.173532751403</v>
      </c>
      <c r="AF168" s="46">
        <f>SUM(AE$168,'Statistics NZ'!AF$168-'Statistics NZ'!AE$168,$L$13/5*(AF$8-AF$9)*1000)</f>
        <v>33583.11601085493</v>
      </c>
      <c r="AG168" s="46">
        <f>SUM(AF$168,'Statistics NZ'!AG$168-'Statistics NZ'!AF$168,$L$13/5*(AG$8-AG$9)*1000)</f>
        <v>34265.744329590612</v>
      </c>
      <c r="AH168" s="46">
        <f>SUM(AG$168,'Statistics NZ'!AH$168-'Statistics NZ'!AG$168,$L$13/5*(AH$8-AH$9)*1000)</f>
        <v>34557.058488958457</v>
      </c>
      <c r="AI168" s="46">
        <f>SUM(AH$168,'Statistics NZ'!AI$168-'Statistics NZ'!AH$168,$L$13/5*(AI$8-AI$9)*1000)</f>
        <v>35657.058488958457</v>
      </c>
    </row>
    <row r="169" spans="1:35" x14ac:dyDescent="0.25">
      <c r="A169" s="11">
        <f>$A$69</f>
        <v>54</v>
      </c>
      <c r="B169" s="44">
        <f>'Statistics NZ'!B$169*'Economic Forecasts'!D$9*1000000/SUM('Statistics NZ'!B$30:B$110,'Statistics NZ'!B$130:B$210)</f>
        <v>24215.253676827488</v>
      </c>
      <c r="C169" s="44">
        <f>'Statistics NZ'!C$169*'Economic Forecasts'!E$9*1000000/SUM('Statistics NZ'!C$30:C$110,'Statistics NZ'!C$130:C$210)</f>
        <v>24461.814941066328</v>
      </c>
      <c r="D169" s="44">
        <f>'Statistics NZ'!D$169*'Economic Forecasts'!F$9*1000000/SUM('Statistics NZ'!D$30:D$110,'Statistics NZ'!D$130:D$210)</f>
        <v>25155.995410553351</v>
      </c>
      <c r="E169" s="44">
        <f>'Statistics NZ'!E$169*'Economic Forecasts'!G$9*1000000/SUM('Statistics NZ'!E$30:E$110,'Statistics NZ'!E$130:E$210)</f>
        <v>25664.978950091729</v>
      </c>
      <c r="F169" s="44">
        <f>'Statistics NZ'!F$169*'Economic Forecasts'!H$9*1000000/SUM('Statistics NZ'!F$30:F$110,'Statistics NZ'!F$130:F$210)</f>
        <v>26650.594769514104</v>
      </c>
      <c r="G169" s="44">
        <f>'Statistics NZ'!G$169*'Economic Forecasts'!I$9*1000000/SUM('Statistics NZ'!G$30:G$110,'Statistics NZ'!G$130:G$210)</f>
        <v>27208.248158790302</v>
      </c>
      <c r="H169" s="44">
        <f>'Statistics NZ'!H$169*'Economic Forecasts'!J$9*1000000/SUM('Statistics NZ'!H$30:H$110,'Statistics NZ'!H$130:H$210)</f>
        <v>27186.1544750541</v>
      </c>
      <c r="I169" s="44">
        <f>'Statistics NZ'!I$169*'Economic Forecasts'!K$9*1000000/SUM('Statistics NZ'!I$30:I$110,'Statistics NZ'!I$130:I$210)</f>
        <v>28459.721054761681</v>
      </c>
      <c r="J169" s="44">
        <f>'Statistics NZ'!J$169*'Economic Forecasts'!L$9*1000000/SUM('Statistics NZ'!J$30:J$110,'Statistics NZ'!J$130:J$210)</f>
        <v>28768.052619606406</v>
      </c>
      <c r="K169" s="44">
        <f>'Statistics NZ'!K$169*'Economic Forecasts'!M$9*1000000/SUM('Statistics NZ'!K$30:K$110,'Statistics NZ'!K$130:K$210)</f>
        <v>29851.248504015468</v>
      </c>
      <c r="L169" s="44">
        <f>'Statistics NZ'!L$169*'Economic Forecasts'!N$9*1000000/SUM('Statistics NZ'!L$30:L$110,'Statistics NZ'!L$130:L$210)</f>
        <v>30865.069626416076</v>
      </c>
      <c r="M169" s="44">
        <f>'Statistics NZ'!M$169*'Economic Forecasts'!O$9*1000000/SUM('Statistics NZ'!M$30:M$110,'Statistics NZ'!M$130:M$210)</f>
        <v>31243.097146306292</v>
      </c>
      <c r="N169" s="44">
        <f>'Statistics NZ'!N$169*'Economic Forecasts'!P$9*1000000/SUM('Statistics NZ'!N$30:N$110,'Statistics NZ'!N$130:N$210)</f>
        <v>31155.230720207175</v>
      </c>
      <c r="O169" s="44">
        <f>'Statistics NZ'!O$169*'Economic Forecasts'!Q$9*1000000/SUM('Statistics NZ'!O$30:O$110,'Statistics NZ'!O$130:O$210)</f>
        <v>30557.221189313874</v>
      </c>
      <c r="P169" s="44">
        <f>'Statistics NZ'!P$169*'Economic Forecasts'!R$9*1000000/SUM('Statistics NZ'!P$30:P$110,'Statistics NZ'!P$130:P$210)</f>
        <v>30263.395234469346</v>
      </c>
      <c r="Q169" s="44">
        <f>'Statistics NZ'!Q$169*'Economic Forecasts'!S$9*1000000/SUM('Statistics NZ'!Q$30:Q$110,'Statistics NZ'!Q$130:Q$210)</f>
        <v>30555.232093682196</v>
      </c>
      <c r="R169" s="44">
        <f>'Statistics NZ'!R$169*'Economic Forecasts'!T$9*1000000/SUM('Statistics NZ'!R$30:R$110,'Statistics NZ'!R$130:R$210)</f>
        <v>31070.995267494658</v>
      </c>
      <c r="S169" s="45">
        <f>SUM('Statistics NZ'!S$169,$L$13/5*(S$8-S$9)*1000)*'Economic Forecasts'!U$9*1000000/SUM('Statistics NZ'!S$30:S$110,'Statistics NZ'!S$130:S$210,SUM($E$12:$T$13)*(S$8-S$9)*1000)</f>
        <v>31337.609580183758</v>
      </c>
      <c r="T169" s="45">
        <f>SUM('Statistics NZ'!T$169,$L$13/5*(T$8-T$9)*1000)*'Economic Forecasts'!V$9*1000000/SUM('Statistics NZ'!T$30:T$110,'Statistics NZ'!T$130:T$210,SUM($E$12:$T$13)*(T$8-T$9)*1000)</f>
        <v>32121.487211728887</v>
      </c>
      <c r="U169" s="45">
        <f>SUM('Statistics NZ'!U$169,$L$13/5*(U$8-U$9)*1000)*'Economic Forecasts'!W$9*1000000/SUM('Statistics NZ'!U$30:U$110,'Statistics NZ'!U$130:U$210,SUM($E$12:$T$13)*(U$8-U$9)*1000)</f>
        <v>33085.984247390988</v>
      </c>
      <c r="V169" s="45">
        <f>SUM('Statistics NZ'!V$169,$L$13/5*(V$8-V$9)*1000)*'Economic Forecasts'!X$9*1000000/SUM('Statistics NZ'!V$30:V$110,'Statistics NZ'!V$130:V$210,SUM($E$12:$T$13)*(V$8-V$9)*1000)</f>
        <v>33120.179609905004</v>
      </c>
      <c r="W169" s="45">
        <f>SUM('Statistics NZ'!W$169,$L$13/5*(W$8-W$9)*1000)*'Economic Forecasts'!Y$9*1000000/SUM('Statistics NZ'!W$30:W$110,'Statistics NZ'!W$130:W$210,SUM($E$12:$T$13)*(W$8-W$9)*1000)</f>
        <v>32228.175522193578</v>
      </c>
      <c r="X169" s="45">
        <f>SUM('Statistics NZ'!X$169,$L$13/5*(X$8-X$9)*1000)*'Economic Forecasts'!Z$9*1000000/SUM('Statistics NZ'!X$30:X$110,'Statistics NZ'!X$130:X$210,SUM($E$12:$T$13)*(X$8-X$9)*1000)</f>
        <v>30993.058118372384</v>
      </c>
      <c r="Y169" s="45">
        <f>SUM('Statistics NZ'!Y$169,$L$13/5*(Y$8-Y$9)*1000)*'Economic Forecasts'!AA$9*1000000/SUM('Statistics NZ'!Y$30:Y$110,'Statistics NZ'!Y$130:Y$210,SUM($E$12:$T$13)*(Y$8-Y$9)*1000)</f>
        <v>30135.356463791122</v>
      </c>
      <c r="Z169" s="46">
        <f>SUM(Y$169,'Statistics NZ'!Z$169-'Statistics NZ'!Y$169,$L$13/5*(Z$8-Z$9)*1000)</f>
        <v>29607.183898101695</v>
      </c>
      <c r="AA169" s="46">
        <f>SUM(Z$169,'Statistics NZ'!AA$169-'Statistics NZ'!Z$169,$L$13/5*(AA$8-AA$9)*1000)</f>
        <v>29787.697173044427</v>
      </c>
      <c r="AB169" s="46">
        <f>SUM(AA$169,'Statistics NZ'!AB$169-'Statistics NZ'!AA$169,$L$13/5*(AB$8-AB$9)*1000)</f>
        <v>29426.896288619319</v>
      </c>
      <c r="AC169" s="46">
        <f>SUM(AB$169,'Statistics NZ'!AC$169-'Statistics NZ'!AB$169,$L$13/5*(AC$8-AC$9)*1000)</f>
        <v>30554.781244826365</v>
      </c>
      <c r="AD169" s="46">
        <f>SUM(AC$169,'Statistics NZ'!AD$169-'Statistics NZ'!AC$169,$L$13/5*(AD$8-AD$9)*1000)</f>
        <v>31241.35204166557</v>
      </c>
      <c r="AE169" s="46">
        <f>SUM(AD$169,'Statistics NZ'!AE$169-'Statistics NZ'!AD$169,$L$13/5*(AE$8-AE$9)*1000)</f>
        <v>32006.608679136934</v>
      </c>
      <c r="AF169" s="46">
        <f>SUM(AE$169,'Statistics NZ'!AF$169-'Statistics NZ'!AE$169,$L$13/5*(AF$8-AF$9)*1000)</f>
        <v>32680.551157240458</v>
      </c>
      <c r="AG169" s="46">
        <f>SUM(AF$169,'Statistics NZ'!AG$169-'Statistics NZ'!AF$169,$L$13/5*(AG$8-AG$9)*1000)</f>
        <v>33483.17947597614</v>
      </c>
      <c r="AH169" s="46">
        <f>SUM(AG$169,'Statistics NZ'!AH$169-'Statistics NZ'!AG$169,$L$13/5*(AH$8-AH$9)*1000)</f>
        <v>34164.493635343984</v>
      </c>
      <c r="AI169" s="46">
        <f>SUM(AH$169,'Statistics NZ'!AI$169-'Statistics NZ'!AH$169,$L$13/5*(AI$8-AI$9)*1000)</f>
        <v>34454.493635343984</v>
      </c>
    </row>
    <row r="170" spans="1:35" x14ac:dyDescent="0.25">
      <c r="A170" s="11">
        <f>$A$70</f>
        <v>55</v>
      </c>
      <c r="B170" s="44">
        <f>'Statistics NZ'!B$170*'Economic Forecasts'!D$9*1000000/SUM('Statistics NZ'!B$30:B$110,'Statistics NZ'!B$130:B$210)</f>
        <v>23638.001164935442</v>
      </c>
      <c r="C170" s="44">
        <f>'Statistics NZ'!C$170*'Economic Forecasts'!E$9*1000000/SUM('Statistics NZ'!C$30:C$110,'Statistics NZ'!C$130:C$210)</f>
        <v>24147.572436805338</v>
      </c>
      <c r="D170" s="44">
        <f>'Statistics NZ'!D$170*'Economic Forecasts'!F$9*1000000/SUM('Statistics NZ'!D$30:D$110,'Statistics NZ'!D$130:D$210)</f>
        <v>24271.950277031367</v>
      </c>
      <c r="E170" s="44">
        <f>'Statistics NZ'!E$170*'Economic Forecasts'!G$9*1000000/SUM('Statistics NZ'!E$30:E$110,'Statistics NZ'!E$130:E$210)</f>
        <v>25037.329483983252</v>
      </c>
      <c r="F170" s="44">
        <f>'Statistics NZ'!F$170*'Economic Forecasts'!H$9*1000000/SUM('Statistics NZ'!F$30:F$110,'Statistics NZ'!F$130:F$210)</f>
        <v>25532.38799596806</v>
      </c>
      <c r="G170" s="44">
        <f>'Statistics NZ'!G$170*'Economic Forecasts'!I$9*1000000/SUM('Statistics NZ'!G$30:G$110,'Statistics NZ'!G$130:G$210)</f>
        <v>26481.38521158796</v>
      </c>
      <c r="H170" s="44">
        <f>'Statistics NZ'!H$170*'Economic Forecasts'!J$9*1000000/SUM('Statistics NZ'!H$30:H$110,'Statistics NZ'!H$130:H$210)</f>
        <v>27038.777417907073</v>
      </c>
      <c r="I170" s="44">
        <f>'Statistics NZ'!I$170*'Economic Forecasts'!K$9*1000000/SUM('Statistics NZ'!I$30:I$110,'Statistics NZ'!I$130:I$210)</f>
        <v>26989.187758787088</v>
      </c>
      <c r="J170" s="44">
        <f>'Statistics NZ'!J$170*'Economic Forecasts'!L$9*1000000/SUM('Statistics NZ'!J$30:J$110,'Statistics NZ'!J$130:J$210)</f>
        <v>28348.721683117234</v>
      </c>
      <c r="K170" s="44">
        <f>'Statistics NZ'!K$170*'Economic Forecasts'!M$9*1000000/SUM('Statistics NZ'!K$30:K$110,'Statistics NZ'!K$130:K$210)</f>
        <v>28858.154131083444</v>
      </c>
      <c r="L170" s="44">
        <f>'Statistics NZ'!L$170*'Economic Forecasts'!N$9*1000000/SUM('Statistics NZ'!L$30:L$110,'Statistics NZ'!L$130:L$210)</f>
        <v>29901.14473902958</v>
      </c>
      <c r="M170" s="44">
        <f>'Statistics NZ'!M$170*'Economic Forecasts'!O$9*1000000/SUM('Statistics NZ'!M$30:M$110,'Statistics NZ'!M$130:M$210)</f>
        <v>31037.936095626981</v>
      </c>
      <c r="N170" s="44">
        <f>'Statistics NZ'!N$170*'Economic Forecasts'!P$9*1000000/SUM('Statistics NZ'!N$30:N$110,'Statistics NZ'!N$130:N$210)</f>
        <v>31419.423945535564</v>
      </c>
      <c r="O170" s="44">
        <f>'Statistics NZ'!O$170*'Economic Forecasts'!Q$9*1000000/SUM('Statistics NZ'!O$30:O$110,'Statistics NZ'!O$130:O$210)</f>
        <v>31185.042106205074</v>
      </c>
      <c r="P170" s="44">
        <f>'Statistics NZ'!P$170*'Economic Forecasts'!R$9*1000000/SUM('Statistics NZ'!P$30:P$110,'Statistics NZ'!P$130:P$210)</f>
        <v>30615.522651547853</v>
      </c>
      <c r="Q170" s="44">
        <f>'Statistics NZ'!Q$170*'Economic Forecasts'!S$9*1000000/SUM('Statistics NZ'!Q$30:Q$110,'Statistics NZ'!Q$130:Q$210)</f>
        <v>30417.062439511799</v>
      </c>
      <c r="R170" s="44">
        <f>'Statistics NZ'!R$170*'Economic Forecasts'!T$9*1000000/SUM('Statistics NZ'!R$30:R$110,'Statistics NZ'!R$130:R$210)</f>
        <v>30351.850481658541</v>
      </c>
      <c r="S170" s="45">
        <f>SUM('Statistics NZ'!S$170,$M$13/5*(S$8-S$9)*1000)*'Economic Forecasts'!U$9*1000000/SUM('Statistics NZ'!S$30:S$110,'Statistics NZ'!S$130:S$210,SUM($E$12:$T$13)*(S$8-S$9)*1000)</f>
        <v>30523.350614430728</v>
      </c>
      <c r="T170" s="45">
        <f>SUM('Statistics NZ'!T$170,$M$13/5*(T$8-T$9)*1000)*'Economic Forecasts'!V$9*1000000/SUM('Statistics NZ'!T$30:T$110,'Statistics NZ'!T$130:T$210,SUM($E$12:$T$13)*(T$8-T$9)*1000)</f>
        <v>32053.005736484709</v>
      </c>
      <c r="U170" s="45">
        <f>SUM('Statistics NZ'!U$170,$M$13/5*(U$8-U$9)*1000)*'Economic Forecasts'!W$9*1000000/SUM('Statistics NZ'!U$30:U$110,'Statistics NZ'!U$130:U$210,SUM($E$12:$T$13)*(U$8-U$9)*1000)</f>
        <v>32291.320365497166</v>
      </c>
      <c r="V170" s="45">
        <f>SUM('Statistics NZ'!V$170,$M$13/5*(V$8-V$9)*1000)*'Economic Forecasts'!X$9*1000000/SUM('Statistics NZ'!V$30:V$110,'Statistics NZ'!V$130:V$210,SUM($E$12:$T$13)*(V$8-V$9)*1000)</f>
        <v>33011.350805715141</v>
      </c>
      <c r="W170" s="45">
        <f>SUM('Statistics NZ'!W$170,$M$13/5*(W$8-W$9)*1000)*'Economic Forecasts'!Y$9*1000000/SUM('Statistics NZ'!W$30:W$110,'Statistics NZ'!W$130:W$210,SUM($E$12:$T$13)*(W$8-W$9)*1000)</f>
        <v>33051.146610276264</v>
      </c>
      <c r="X170" s="45">
        <f>SUM('Statistics NZ'!X$170,$M$13/5*(X$8-X$9)*1000)*'Economic Forecasts'!Z$9*1000000/SUM('Statistics NZ'!X$30:X$110,'Statistics NZ'!X$130:X$210,SUM($E$12:$T$13)*(X$8-X$9)*1000)</f>
        <v>32172.877771841668</v>
      </c>
      <c r="Y170" s="45">
        <f>SUM('Statistics NZ'!Y$170,$M$13/5*(Y$8-Y$9)*1000)*'Economic Forecasts'!AA$9*1000000/SUM('Statistics NZ'!Y$30:Y$110,'Statistics NZ'!Y$130:Y$210,SUM($E$12:$T$13)*(Y$8-Y$9)*1000)</f>
        <v>30962.116310934776</v>
      </c>
      <c r="Z170" s="46">
        <f>SUM(Y$170,'Statistics NZ'!Z$170-'Statistics NZ'!Y$170,$M$13/5*(Z$8-Z$9)*1000)</f>
        <v>30056.380310158671</v>
      </c>
      <c r="AA170" s="46">
        <f>SUM(Z$170,'Statistics NZ'!AA$170-'Statistics NZ'!Z$170,$M$13/5*(AA$8-AA$9)*1000)</f>
        <v>29539.05942057991</v>
      </c>
      <c r="AB170" s="46">
        <f>SUM(AA$170,'Statistics NZ'!AB$170-'Statistics NZ'!AA$170,$M$13/5*(AB$8-AB$9)*1000)</f>
        <v>29720.153642198497</v>
      </c>
      <c r="AC170" s="46">
        <f>SUM(AB$170,'Statistics NZ'!AC$170-'Statistics NZ'!AB$170,$M$13/5*(AC$8-AC$9)*1000)</f>
        <v>29359.662975014428</v>
      </c>
      <c r="AD170" s="46">
        <f>SUM(AC$170,'Statistics NZ'!AD$170-'Statistics NZ'!AC$170,$M$13/5*(AD$8-AD$9)*1000)</f>
        <v>30487.587419027703</v>
      </c>
      <c r="AE170" s="46">
        <f>SUM(AD$170,'Statistics NZ'!AE$170-'Statistics NZ'!AD$170,$M$13/5*(AE$8-AE$9)*1000)</f>
        <v>31173.926974238322</v>
      </c>
      <c r="AF170" s="46">
        <f>SUM(AE$170,'Statistics NZ'!AF$170-'Statistics NZ'!AE$170,$M$13/5*(AF$8-AF$9)*1000)</f>
        <v>31938.681640646286</v>
      </c>
      <c r="AG170" s="46">
        <f>SUM(AF$170,'Statistics NZ'!AG$170-'Statistics NZ'!AF$170,$M$13/5*(AG$8-AG$9)*1000)</f>
        <v>32611.851418251597</v>
      </c>
      <c r="AH170" s="46">
        <f>SUM(AG$170,'Statistics NZ'!AH$170-'Statistics NZ'!AG$170,$M$13/5*(AH$8-AH$9)*1000)</f>
        <v>33413.436307054246</v>
      </c>
      <c r="AI170" s="46">
        <f>SUM(AH$170,'Statistics NZ'!AI$170-'Statistics NZ'!AH$170,$M$13/5*(AI$8-AI$9)*1000)</f>
        <v>34093.436307054246</v>
      </c>
    </row>
    <row r="171" spans="1:35" x14ac:dyDescent="0.25">
      <c r="A171" s="11">
        <f>$A$71</f>
        <v>56</v>
      </c>
      <c r="B171" s="44">
        <f>'Statistics NZ'!B$171*'Economic Forecasts'!D$9*1000000/SUM('Statistics NZ'!B$30:B$110,'Statistics NZ'!B$130:B$210)</f>
        <v>23657.569046694491</v>
      </c>
      <c r="C171" s="44">
        <f>'Statistics NZ'!C$171*'Economic Forecasts'!E$9*1000000/SUM('Statistics NZ'!C$30:C$110,'Statistics NZ'!C$130:C$210)</f>
        <v>23666.388602155697</v>
      </c>
      <c r="D171" s="44">
        <f>'Statistics NZ'!D$171*'Economic Forecasts'!F$9*1000000/SUM('Statistics NZ'!D$30:D$110,'Statistics NZ'!D$130:D$210)</f>
        <v>24016.559460680568</v>
      </c>
      <c r="E171" s="44">
        <f>'Statistics NZ'!E$171*'Economic Forecasts'!G$9*1000000/SUM('Statistics NZ'!E$30:E$110,'Statistics NZ'!E$130:E$210)</f>
        <v>24095.855284820551</v>
      </c>
      <c r="F171" s="44">
        <f>'Statistics NZ'!F$171*'Economic Forecasts'!H$9*1000000/SUM('Statistics NZ'!F$30:F$110,'Statistics NZ'!F$130:F$210)</f>
        <v>24924.240452460559</v>
      </c>
      <c r="G171" s="44">
        <f>'Statistics NZ'!G$171*'Economic Forecasts'!I$9*1000000/SUM('Statistics NZ'!G$30:G$110,'Statistics NZ'!G$130:G$210)</f>
        <v>25410.735735303431</v>
      </c>
      <c r="H171" s="44">
        <f>'Statistics NZ'!H$171*'Economic Forecasts'!J$9*1000000/SUM('Statistics NZ'!H$30:H$110,'Statistics NZ'!H$130:H$210)</f>
        <v>26292.066995028828</v>
      </c>
      <c r="I171" s="44">
        <f>'Statistics NZ'!I$171*'Economic Forecasts'!K$9*1000000/SUM('Statistics NZ'!I$30:I$110,'Statistics NZ'!I$130:I$210)</f>
        <v>26842.134429189631</v>
      </c>
      <c r="J171" s="44">
        <f>'Statistics NZ'!J$171*'Economic Forecasts'!L$9*1000000/SUM('Statistics NZ'!J$30:J$110,'Statistics NZ'!J$130:J$210)</f>
        <v>26905.443111014945</v>
      </c>
      <c r="K171" s="44">
        <f>'Statistics NZ'!K$171*'Economic Forecasts'!M$9*1000000/SUM('Statistics NZ'!K$30:K$110,'Statistics NZ'!K$130:K$210)</f>
        <v>28381.079383302374</v>
      </c>
      <c r="L171" s="44">
        <f>'Statistics NZ'!L$171*'Economic Forecasts'!N$9*1000000/SUM('Statistics NZ'!L$30:L$110,'Statistics NZ'!L$130:L$210)</f>
        <v>28946.95646666719</v>
      </c>
      <c r="M171" s="44">
        <f>'Statistics NZ'!M$171*'Economic Forecasts'!O$9*1000000/SUM('Statistics NZ'!M$30:M$110,'Statistics NZ'!M$130:M$210)</f>
        <v>30021.900416072309</v>
      </c>
      <c r="N171" s="44">
        <f>'Statistics NZ'!N$171*'Economic Forecasts'!P$9*1000000/SUM('Statistics NZ'!N$30:N$110,'Statistics NZ'!N$130:N$210)</f>
        <v>31125.87591739291</v>
      </c>
      <c r="O171" s="44">
        <f>'Statistics NZ'!O$171*'Economic Forecasts'!Q$9*1000000/SUM('Statistics NZ'!O$30:O$110,'Statistics NZ'!O$130:O$210)</f>
        <v>31420.474950039272</v>
      </c>
      <c r="P171" s="44">
        <f>'Statistics NZ'!P$171*'Economic Forecasts'!R$9*1000000/SUM('Statistics NZ'!P$30:P$110,'Statistics NZ'!P$130:P$210)</f>
        <v>31192.620362870959</v>
      </c>
      <c r="Q171" s="44">
        <f>'Statistics NZ'!Q$171*'Economic Forecasts'!S$9*1000000/SUM('Statistics NZ'!Q$30:Q$110,'Statistics NZ'!Q$130:Q$210)</f>
        <v>30752.617313925621</v>
      </c>
      <c r="R171" s="44">
        <f>'Statistics NZ'!R$171*'Economic Forecasts'!T$9*1000000/SUM('Statistics NZ'!R$30:R$110,'Statistics NZ'!R$130:R$210)</f>
        <v>30125.270617627983</v>
      </c>
      <c r="S171" s="45">
        <f>SUM('Statistics NZ'!S$171,$M$13/5*(S$8-S$9)*1000)*'Economic Forecasts'!U$9*1000000/SUM('Statistics NZ'!S$30:S$110,'Statistics NZ'!S$130:S$210,SUM($E$12:$T$13)*(S$8-S$9)*1000)</f>
        <v>29824.815758540652</v>
      </c>
      <c r="T171" s="45">
        <f>SUM('Statistics NZ'!T$171,$M$13/5*(T$8-T$9)*1000)*'Economic Forecasts'!V$9*1000000/SUM('Statistics NZ'!T$30:T$110,'Statistics NZ'!T$130:T$210,SUM($E$12:$T$13)*(T$8-T$9)*1000)</f>
        <v>31204.167690003494</v>
      </c>
      <c r="U171" s="45">
        <f>SUM('Statistics NZ'!U$171,$M$13/5*(U$8-U$9)*1000)*'Economic Forecasts'!W$9*1000000/SUM('Statistics NZ'!U$30:U$110,'Statistics NZ'!U$130:U$210,SUM($E$12:$T$13)*(U$8-U$9)*1000)</f>
        <v>32220.634188277163</v>
      </c>
      <c r="V171" s="45">
        <f>SUM('Statistics NZ'!V$171,$M$13/5*(V$8-V$9)*1000)*'Economic Forecasts'!X$9*1000000/SUM('Statistics NZ'!V$30:V$110,'Statistics NZ'!V$130:V$210,SUM($E$12:$T$13)*(V$8-V$9)*1000)</f>
        <v>32222.571997456205</v>
      </c>
      <c r="W171" s="45">
        <f>SUM('Statistics NZ'!W$171,$M$13/5*(W$8-W$9)*1000)*'Economic Forecasts'!Y$9*1000000/SUM('Statistics NZ'!W$30:W$110,'Statistics NZ'!W$130:W$210,SUM($E$12:$T$13)*(W$8-W$9)*1000)</f>
        <v>32939.745034890839</v>
      </c>
      <c r="X171" s="45">
        <f>SUM('Statistics NZ'!X$171,$M$13/5*(X$8-X$9)*1000)*'Economic Forecasts'!Z$9*1000000/SUM('Statistics NZ'!X$30:X$110,'Statistics NZ'!X$130:X$210,SUM($E$12:$T$13)*(X$8-X$9)*1000)</f>
        <v>33004.959189474816</v>
      </c>
      <c r="Y171" s="45">
        <f>SUM('Statistics NZ'!Y$171,$M$13/5*(Y$8-Y$9)*1000)*'Economic Forecasts'!AA$9*1000000/SUM('Statistics NZ'!Y$30:Y$110,'Statistics NZ'!Y$130:Y$210,SUM($E$12:$T$13)*(Y$8-Y$9)*1000)</f>
        <v>32152.346825518678</v>
      </c>
      <c r="Z171" s="46">
        <f>SUM(Y$171,'Statistics NZ'!Z$171-'Statistics NZ'!Y$171,$M$13/5*(Z$8-Z$9)*1000)</f>
        <v>30896.610824742573</v>
      </c>
      <c r="AA171" s="46">
        <f>SUM(Z$171,'Statistics NZ'!AA$171-'Statistics NZ'!Z$171,$M$13/5*(AA$8-AA$9)*1000)</f>
        <v>29999.289935163812</v>
      </c>
      <c r="AB171" s="46">
        <f>SUM(AA$171,'Statistics NZ'!AB$171-'Statistics NZ'!AA$171,$M$13/5*(AB$8-AB$9)*1000)</f>
        <v>29480.384156782398</v>
      </c>
      <c r="AC171" s="46">
        <f>SUM(AB$171,'Statistics NZ'!AC$171-'Statistics NZ'!AB$171,$M$13/5*(AC$8-AC$9)*1000)</f>
        <v>29659.893489598329</v>
      </c>
      <c r="AD171" s="46">
        <f>SUM(AC$171,'Statistics NZ'!AD$171-'Statistics NZ'!AC$171,$M$13/5*(AD$8-AD$9)*1000)</f>
        <v>29307.817933611605</v>
      </c>
      <c r="AE171" s="46">
        <f>SUM(AD$171,'Statistics NZ'!AE$171-'Statistics NZ'!AD$171,$M$13/5*(AE$8-AE$9)*1000)</f>
        <v>30424.157488822224</v>
      </c>
      <c r="AF171" s="46">
        <f>SUM(AE$171,'Statistics NZ'!AF$171-'Statistics NZ'!AE$171,$M$13/5*(AF$8-AF$9)*1000)</f>
        <v>31108.912155230188</v>
      </c>
      <c r="AG171" s="46">
        <f>SUM(AF$171,'Statistics NZ'!AG$171-'Statistics NZ'!AF$171,$M$13/5*(AG$8-AG$9)*1000)</f>
        <v>31872.081932835499</v>
      </c>
      <c r="AH171" s="46">
        <f>SUM(AG$171,'Statistics NZ'!AH$171-'Statistics NZ'!AG$171,$M$13/5*(AH$8-AH$9)*1000)</f>
        <v>32553.666821638155</v>
      </c>
      <c r="AI171" s="46">
        <f>SUM(AH$171,'Statistics NZ'!AI$171-'Statistics NZ'!AH$171,$M$13/5*(AI$8-AI$9)*1000)</f>
        <v>33343.666821638151</v>
      </c>
    </row>
    <row r="172" spans="1:35" x14ac:dyDescent="0.25">
      <c r="A172" s="11">
        <f>$A$72</f>
        <v>57</v>
      </c>
      <c r="B172" s="44">
        <f>'Statistics NZ'!B$172*'Economic Forecasts'!D$9*1000000/SUM('Statistics NZ'!B$30:B$110,'Statistics NZ'!B$130:B$210)</f>
        <v>23315.131115911077</v>
      </c>
      <c r="C172" s="44">
        <f>'Statistics NZ'!C$172*'Economic Forecasts'!E$9*1000000/SUM('Statistics NZ'!C$30:C$110,'Statistics NZ'!C$130:C$210)</f>
        <v>23597.64805434861</v>
      </c>
      <c r="D172" s="44">
        <f>'Statistics NZ'!D$172*'Economic Forecasts'!F$9*1000000/SUM('Statistics NZ'!D$30:D$110,'Statistics NZ'!D$130:D$210)</f>
        <v>23545.068722802174</v>
      </c>
      <c r="E172" s="44">
        <f>'Statistics NZ'!E$172*'Economic Forecasts'!G$9*1000000/SUM('Statistics NZ'!E$30:E$110,'Statistics NZ'!E$130:E$210)</f>
        <v>23840.872689213986</v>
      </c>
      <c r="F172" s="44">
        <f>'Statistics NZ'!F$172*'Economic Forecasts'!H$9*1000000/SUM('Statistics NZ'!F$30:F$110,'Statistics NZ'!F$130:F$210)</f>
        <v>24012.01913719931</v>
      </c>
      <c r="G172" s="44">
        <f>'Statistics NZ'!G$172*'Economic Forecasts'!I$9*1000000/SUM('Statistics NZ'!G$30:G$110,'Statistics NZ'!G$130:G$210)</f>
        <v>24841.032344252948</v>
      </c>
      <c r="H172" s="44">
        <f>'Statistics NZ'!H$172*'Economic Forecasts'!J$9*1000000/SUM('Statistics NZ'!H$30:H$110,'Statistics NZ'!H$130:H$210)</f>
        <v>25280.077869285942</v>
      </c>
      <c r="I172" s="44">
        <f>'Statistics NZ'!I$172*'Economic Forecasts'!K$9*1000000/SUM('Statistics NZ'!I$30:I$110,'Statistics NZ'!I$130:I$210)</f>
        <v>26097.064225895836</v>
      </c>
      <c r="J172" s="44">
        <f>'Statistics NZ'!J$172*'Economic Forecasts'!L$9*1000000/SUM('Statistics NZ'!J$30:J$110,'Statistics NZ'!J$130:J$210)</f>
        <v>26651.894172672648</v>
      </c>
      <c r="K172" s="44">
        <f>'Statistics NZ'!K$172*'Economic Forecasts'!M$9*1000000/SUM('Statistics NZ'!K$30:K$110,'Statistics NZ'!K$130:K$210)</f>
        <v>26959.591359301638</v>
      </c>
      <c r="L172" s="44">
        <f>'Statistics NZ'!L$172*'Economic Forecasts'!N$9*1000000/SUM('Statistics NZ'!L$30:L$110,'Statistics NZ'!L$130:L$210)</f>
        <v>28479.598945510101</v>
      </c>
      <c r="M172" s="44">
        <f>'Statistics NZ'!M$172*'Economic Forecasts'!O$9*1000000/SUM('Statistics NZ'!M$30:M$110,'Statistics NZ'!M$130:M$210)</f>
        <v>29162.177917987581</v>
      </c>
      <c r="N172" s="44">
        <f>'Statistics NZ'!N$172*'Economic Forecasts'!P$9*1000000/SUM('Statistics NZ'!N$30:N$110,'Statistics NZ'!N$130:N$210)</f>
        <v>30108.242753165036</v>
      </c>
      <c r="O172" s="44">
        <f>'Statistics NZ'!O$172*'Economic Forecasts'!Q$9*1000000/SUM('Statistics NZ'!O$30:O$110,'Statistics NZ'!O$130:O$210)</f>
        <v>31077.135386114398</v>
      </c>
      <c r="P172" s="44">
        <f>'Statistics NZ'!P$172*'Economic Forecasts'!R$9*1000000/SUM('Statistics NZ'!P$30:P$110,'Statistics NZ'!P$130:P$210)</f>
        <v>31466.497242820908</v>
      </c>
      <c r="Q172" s="44">
        <f>'Statistics NZ'!Q$172*'Economic Forecasts'!S$9*1000000/SUM('Statistics NZ'!Q$30:Q$110,'Statistics NZ'!Q$130:Q$210)</f>
        <v>31325.034452631553</v>
      </c>
      <c r="R172" s="44">
        <f>'Statistics NZ'!R$172*'Economic Forecasts'!T$9*1000000/SUM('Statistics NZ'!R$30:R$110,'Statistics NZ'!R$130:R$210)</f>
        <v>30489.7686597641</v>
      </c>
      <c r="S172" s="45">
        <f>SUM('Statistics NZ'!S$172,$M$13/5*(S$8-S$9)*1000)*'Economic Forecasts'!U$9*1000000/SUM('Statistics NZ'!S$30:S$110,'Statistics NZ'!S$130:S$210,SUM($E$12:$T$13)*(S$8-S$9)*1000)</f>
        <v>29621.076425572712</v>
      </c>
      <c r="T172" s="45">
        <f>SUM('Statistics NZ'!T$172,$M$13/5*(T$8-T$9)*1000)*'Economic Forecasts'!V$9*1000000/SUM('Statistics NZ'!T$30:T$110,'Statistics NZ'!T$130:T$210,SUM($E$12:$T$13)*(T$8-T$9)*1000)</f>
        <v>30495.138262942713</v>
      </c>
      <c r="U172" s="45">
        <f>SUM('Statistics NZ'!U$172,$M$13/5*(U$8-U$9)*1000)*'Economic Forecasts'!W$9*1000000/SUM('Statistics NZ'!U$30:U$110,'Statistics NZ'!U$130:U$210,SUM($E$12:$T$13)*(U$8-U$9)*1000)</f>
        <v>31372.400061637094</v>
      </c>
      <c r="V172" s="45">
        <f>SUM('Statistics NZ'!V$172,$M$13/5*(V$8-V$9)*1000)*'Economic Forecasts'!X$9*1000000/SUM('Statistics NZ'!V$30:V$110,'Statistics NZ'!V$130:V$210,SUM($E$12:$T$13)*(V$8-V$9)*1000)</f>
        <v>32151.784155689376</v>
      </c>
      <c r="W172" s="45">
        <f>SUM('Statistics NZ'!W$172,$M$13/5*(W$8-W$9)*1000)*'Economic Forecasts'!Y$9*1000000/SUM('Statistics NZ'!W$30:W$110,'Statistics NZ'!W$130:W$210,SUM($E$12:$T$13)*(W$8-W$9)*1000)</f>
        <v>32159.934007192856</v>
      </c>
      <c r="X172" s="45">
        <f>SUM('Statistics NZ'!X$172,$M$13/5*(X$8-X$9)*1000)*'Economic Forecasts'!Z$9*1000000/SUM('Statistics NZ'!X$30:X$110,'Statistics NZ'!X$130:X$210,SUM($E$12:$T$13)*(X$8-X$9)*1000)</f>
        <v>32903.485845861018</v>
      </c>
      <c r="Y172" s="45">
        <f>SUM('Statistics NZ'!Y$172,$M$13/5*(Y$8-Y$9)*1000)*'Economic Forecasts'!AA$9*1000000/SUM('Statistics NZ'!Y$30:Y$110,'Statistics NZ'!Y$130:Y$210,SUM($E$12:$T$13)*(Y$8-Y$9)*1000)</f>
        <v>32986.525476765513</v>
      </c>
      <c r="Z172" s="46">
        <f>SUM(Y$172,'Statistics NZ'!Z$172-'Statistics NZ'!Y$172,$M$13/5*(Z$8-Z$9)*1000)</f>
        <v>32080.789475989408</v>
      </c>
      <c r="AA172" s="46">
        <f>SUM(Z$172,'Statistics NZ'!AA$172-'Statistics NZ'!Z$172,$M$13/5*(AA$8-AA$9)*1000)</f>
        <v>30833.468586410647</v>
      </c>
      <c r="AB172" s="46">
        <f>SUM(AA$172,'Statistics NZ'!AB$172-'Statistics NZ'!AA$172,$M$13/5*(AB$8-AB$9)*1000)</f>
        <v>29934.562808029234</v>
      </c>
      <c r="AC172" s="46">
        <f>SUM(AB$172,'Statistics NZ'!AC$172-'Statistics NZ'!AB$172,$M$13/5*(AC$8-AC$9)*1000)</f>
        <v>29424.072140845165</v>
      </c>
      <c r="AD172" s="46">
        <f>SUM(AC$172,'Statistics NZ'!AD$172-'Statistics NZ'!AC$172,$M$13/5*(AD$8-AD$9)*1000)</f>
        <v>29601.99658485844</v>
      </c>
      <c r="AE172" s="46">
        <f>SUM(AD$172,'Statistics NZ'!AE$172-'Statistics NZ'!AD$172,$M$13/5*(AE$8-AE$9)*1000)</f>
        <v>29248.336140069059</v>
      </c>
      <c r="AF172" s="46">
        <f>SUM(AE$172,'Statistics NZ'!AF$172-'Statistics NZ'!AE$172,$M$13/5*(AF$8-AF$9)*1000)</f>
        <v>30363.090806477023</v>
      </c>
      <c r="AG172" s="46">
        <f>SUM(AF$172,'Statistics NZ'!AG$172-'Statistics NZ'!AF$172,$M$13/5*(AG$8-AG$9)*1000)</f>
        <v>31046.260584082334</v>
      </c>
      <c r="AH172" s="46">
        <f>SUM(AG$172,'Statistics NZ'!AH$172-'Statistics NZ'!AG$172,$M$13/5*(AH$8-AH$9)*1000)</f>
        <v>31807.84547288499</v>
      </c>
      <c r="AI172" s="46">
        <f>SUM(AH$172,'Statistics NZ'!AI$172-'Statistics NZ'!AH$172,$M$13/5*(AI$8-AI$9)*1000)</f>
        <v>32477.84547288499</v>
      </c>
    </row>
    <row r="173" spans="1:35" x14ac:dyDescent="0.25">
      <c r="A173" s="11">
        <f>$A$73</f>
        <v>58</v>
      </c>
      <c r="B173" s="44">
        <f>'Statistics NZ'!B$173*'Economic Forecasts'!D$9*1000000/SUM('Statistics NZ'!B$30:B$110,'Statistics NZ'!B$130:B$210)</f>
        <v>23373.834761188235</v>
      </c>
      <c r="C173" s="44">
        <f>'Statistics NZ'!C$173*'Economic Forecasts'!E$9*1000000/SUM('Statistics NZ'!C$30:C$110,'Statistics NZ'!C$130:C$210)</f>
        <v>23283.405550087617</v>
      </c>
      <c r="D173" s="44">
        <f>'Statistics NZ'!D$173*'Economic Forecasts'!F$9*1000000/SUM('Statistics NZ'!D$30:D$110,'Statistics NZ'!D$130:D$210)</f>
        <v>23476.309656861577</v>
      </c>
      <c r="E173" s="44">
        <f>'Statistics NZ'!E$173*'Economic Forecasts'!G$9*1000000/SUM('Statistics NZ'!E$30:E$110,'Statistics NZ'!E$130:E$210)</f>
        <v>23409.363681264407</v>
      </c>
      <c r="F173" s="44">
        <f>'Statistics NZ'!F$173*'Economic Forecasts'!H$9*1000000/SUM('Statistics NZ'!F$30:F$110,'Statistics NZ'!F$130:F$210)</f>
        <v>23776.607184873828</v>
      </c>
      <c r="G173" s="44">
        <f>'Statistics NZ'!G$173*'Economic Forecasts'!I$9*1000000/SUM('Statistics NZ'!G$30:G$110,'Statistics NZ'!G$130:G$210)</f>
        <v>23917.719951860789</v>
      </c>
      <c r="H173" s="44">
        <f>'Statistics NZ'!H$173*'Economic Forecasts'!J$9*1000000/SUM('Statistics NZ'!H$30:H$110,'Statistics NZ'!H$130:H$210)</f>
        <v>24720.045052127254</v>
      </c>
      <c r="I173" s="44">
        <f>'Statistics NZ'!I$173*'Economic Forecasts'!K$9*1000000/SUM('Statistics NZ'!I$30:I$110,'Statistics NZ'!I$130:I$210)</f>
        <v>25106.905139939605</v>
      </c>
      <c r="J173" s="44">
        <f>'Statistics NZ'!J$173*'Economic Forecasts'!L$9*1000000/SUM('Statistics NZ'!J$30:J$110,'Statistics NZ'!J$130:J$210)</f>
        <v>25930.254886621504</v>
      </c>
      <c r="K173" s="44">
        <f>'Statistics NZ'!K$173*'Economic Forecasts'!M$9*1000000/SUM('Statistics NZ'!K$30:K$110,'Statistics NZ'!K$130:K$210)</f>
        <v>26521.461488890454</v>
      </c>
      <c r="L173" s="44">
        <f>'Statistics NZ'!L$173*'Economic Forecasts'!N$9*1000000/SUM('Statistics NZ'!L$30:L$110,'Statistics NZ'!L$130:L$210)</f>
        <v>27019.106691894198</v>
      </c>
      <c r="M173" s="44">
        <f>'Statistics NZ'!M$173*'Economic Forecasts'!O$9*1000000/SUM('Statistics NZ'!M$30:M$110,'Statistics NZ'!M$130:M$210)</f>
        <v>28605.312209000884</v>
      </c>
      <c r="N173" s="44">
        <f>'Statistics NZ'!N$173*'Economic Forecasts'!P$9*1000000/SUM('Statistics NZ'!N$30:N$110,'Statistics NZ'!N$130:N$210)</f>
        <v>29237.383603008493</v>
      </c>
      <c r="O173" s="44">
        <f>'Statistics NZ'!O$173*'Economic Forecasts'!Q$9*1000000/SUM('Statistics NZ'!O$30:O$110,'Statistics NZ'!O$130:O$210)</f>
        <v>30096.165203471901</v>
      </c>
      <c r="P173" s="44">
        <f>'Statistics NZ'!P$173*'Economic Forecasts'!R$9*1000000/SUM('Statistics NZ'!P$30:P$110,'Statistics NZ'!P$130:P$210)</f>
        <v>31104.588508601333</v>
      </c>
      <c r="Q173" s="44">
        <f>'Statistics NZ'!Q$173*'Economic Forecasts'!S$9*1000000/SUM('Statistics NZ'!Q$30:Q$110,'Statistics NZ'!Q$130:Q$210)</f>
        <v>31621.112282996692</v>
      </c>
      <c r="R173" s="44">
        <f>'Statistics NZ'!R$173*'Economic Forecasts'!T$9*1000000/SUM('Statistics NZ'!R$30:R$110,'Statistics NZ'!R$130:R$210)</f>
        <v>31061.143969058547</v>
      </c>
      <c r="S173" s="45">
        <f>SUM('Statistics NZ'!S$173,$M$13/5*(S$8-S$9)*1000)*'Economic Forecasts'!U$9*1000000/SUM('Statistics NZ'!S$30:S$110,'Statistics NZ'!S$130:S$210,SUM($E$12:$T$13)*(S$8-S$9)*1000)</f>
        <v>29980.045726516222</v>
      </c>
      <c r="T173" s="45">
        <f>SUM('Statistics NZ'!T$173,$M$13/5*(T$8-T$9)*1000)*'Economic Forecasts'!V$9*1000000/SUM('Statistics NZ'!T$30:T$110,'Statistics NZ'!T$130:T$210,SUM($E$12:$T$13)*(T$8-T$9)*1000)</f>
        <v>30295.411663770661</v>
      </c>
      <c r="U173" s="45">
        <f>SUM('Statistics NZ'!U$173,$M$13/5*(U$8-U$9)*1000)*'Economic Forecasts'!W$9*1000000/SUM('Statistics NZ'!U$30:U$110,'Statistics NZ'!U$130:U$210,SUM($E$12:$T$13)*(U$8-U$9)*1000)</f>
        <v>30665.538289437041</v>
      </c>
      <c r="V173" s="45">
        <f>SUM('Statistics NZ'!V$173,$M$13/5*(V$8-V$9)*1000)*'Economic Forecasts'!X$9*1000000/SUM('Statistics NZ'!V$30:V$110,'Statistics NZ'!V$130:V$210,SUM($E$12:$T$13)*(V$8-V$9)*1000)</f>
        <v>31312.442603311272</v>
      </c>
      <c r="W173" s="45">
        <f>SUM('Statistics NZ'!W$173,$M$13/5*(W$8-W$9)*1000)*'Economic Forecasts'!Y$9*1000000/SUM('Statistics NZ'!W$30:W$110,'Statistics NZ'!W$130:W$210,SUM($E$12:$T$13)*(W$8-W$9)*1000)</f>
        <v>32099.169511528078</v>
      </c>
      <c r="X173" s="45">
        <f>SUM('Statistics NZ'!X$173,$M$13/5*(X$8-X$9)*1000)*'Economic Forecasts'!Z$9*1000000/SUM('Statistics NZ'!X$30:X$110,'Statistics NZ'!X$130:X$210,SUM($E$12:$T$13)*(X$8-X$9)*1000)</f>
        <v>32132.288434396141</v>
      </c>
      <c r="Y173" s="45">
        <f>SUM('Statistics NZ'!Y$173,$M$13/5*(Y$8-Y$9)*1000)*'Economic Forecasts'!AA$9*1000000/SUM('Statistics NZ'!Y$30:Y$110,'Statistics NZ'!Y$130:Y$210,SUM($E$12:$T$13)*(Y$8-Y$9)*1000)</f>
        <v>32884.796372954923</v>
      </c>
      <c r="Z173" s="46">
        <f>SUM(Y$173,'Statistics NZ'!Z$173-'Statistics NZ'!Y$173,$M$13/5*(Z$8-Z$9)*1000)</f>
        <v>32899.060372178821</v>
      </c>
      <c r="AA173" s="46">
        <f>SUM(Z$173,'Statistics NZ'!AA$173-'Statistics NZ'!Z$173,$M$13/5*(AA$8-AA$9)*1000)</f>
        <v>32001.73948260006</v>
      </c>
      <c r="AB173" s="46">
        <f>SUM(AA$173,'Statistics NZ'!AB$173-'Statistics NZ'!AA$173,$M$13/5*(AB$8-AB$9)*1000)</f>
        <v>30762.833704218647</v>
      </c>
      <c r="AC173" s="46">
        <f>SUM(AB$173,'Statistics NZ'!AC$173-'Statistics NZ'!AB$173,$M$13/5*(AC$8-AC$9)*1000)</f>
        <v>29872.343037034578</v>
      </c>
      <c r="AD173" s="46">
        <f>SUM(AC$173,'Statistics NZ'!AD$173-'Statistics NZ'!AC$173,$M$13/5*(AD$8-AD$9)*1000)</f>
        <v>29360.267481047853</v>
      </c>
      <c r="AE173" s="46">
        <f>SUM(AD$173,'Statistics NZ'!AE$173-'Statistics NZ'!AD$173,$M$13/5*(AE$8-AE$9)*1000)</f>
        <v>29536.607036258472</v>
      </c>
      <c r="AF173" s="46">
        <f>SUM(AE$173,'Statistics NZ'!AF$173-'Statistics NZ'!AE$173,$M$13/5*(AF$8-AF$9)*1000)</f>
        <v>29191.361702666436</v>
      </c>
      <c r="AG173" s="46">
        <f>SUM(AF$173,'Statistics NZ'!AG$173-'Statistics NZ'!AF$173,$M$13/5*(AG$8-AG$9)*1000)</f>
        <v>30304.531480271748</v>
      </c>
      <c r="AH173" s="46">
        <f>SUM(AG$173,'Statistics NZ'!AH$173-'Statistics NZ'!AG$173,$M$13/5*(AH$8-AH$9)*1000)</f>
        <v>30976.116369074403</v>
      </c>
      <c r="AI173" s="46">
        <f>SUM(AH$173,'Statistics NZ'!AI$173-'Statistics NZ'!AH$173,$M$13/5*(AI$8-AI$9)*1000)</f>
        <v>31736.116369074403</v>
      </c>
    </row>
    <row r="174" spans="1:35" x14ac:dyDescent="0.25">
      <c r="A174" s="11">
        <f>$A$74</f>
        <v>59</v>
      </c>
      <c r="B174" s="44">
        <f>'Statistics NZ'!B$174*'Economic Forecasts'!D$9*1000000/SUM('Statistics NZ'!B$30:B$110,'Statistics NZ'!B$130:B$210)</f>
        <v>23501.025992622075</v>
      </c>
      <c r="C174" s="44">
        <f>'Statistics NZ'!C$174*'Economic Forecasts'!E$9*1000000/SUM('Statistics NZ'!C$30:C$110,'Statistics NZ'!C$130:C$210)</f>
        <v>23381.60633266918</v>
      </c>
      <c r="D174" s="44">
        <f>'Statistics NZ'!D$174*'Economic Forecasts'!F$9*1000000/SUM('Statistics NZ'!D$30:D$110,'Statistics NZ'!D$130:D$210)</f>
        <v>23191.450669393384</v>
      </c>
      <c r="E174" s="44">
        <f>'Statistics NZ'!E$174*'Economic Forecasts'!G$9*1000000/SUM('Statistics NZ'!E$30:E$110,'Statistics NZ'!E$130:E$210)</f>
        <v>23281.872383461123</v>
      </c>
      <c r="F174" s="44">
        <f>'Statistics NZ'!F$174*'Economic Forecasts'!H$9*1000000/SUM('Statistics NZ'!F$30:F$110,'Statistics NZ'!F$130:F$210)</f>
        <v>23325.400942916651</v>
      </c>
      <c r="G174" s="44">
        <f>'Statistics NZ'!G$174*'Economic Forecasts'!I$9*1000000/SUM('Statistics NZ'!G$30:G$110,'Statistics NZ'!G$130:G$210)</f>
        <v>23632.868256335547</v>
      </c>
      <c r="H174" s="44">
        <f>'Statistics NZ'!H$174*'Economic Forecasts'!J$9*1000000/SUM('Statistics NZ'!H$30:H$110,'Statistics NZ'!H$130:H$210)</f>
        <v>23786.657023529442</v>
      </c>
      <c r="I174" s="44">
        <f>'Statistics NZ'!I$174*'Economic Forecasts'!K$9*1000000/SUM('Statistics NZ'!I$30:I$110,'Statistics NZ'!I$130:I$210)</f>
        <v>24538.298932162761</v>
      </c>
      <c r="J174" s="44">
        <f>'Statistics NZ'!J$174*'Economic Forecasts'!L$9*1000000/SUM('Statistics NZ'!J$30:J$110,'Statistics NZ'!J$130:J$210)</f>
        <v>24935.562897740198</v>
      </c>
      <c r="K174" s="44">
        <f>'Statistics NZ'!K$174*'Economic Forecasts'!M$9*1000000/SUM('Statistics NZ'!K$30:K$110,'Statistics NZ'!K$130:K$210)</f>
        <v>25839.926134917496</v>
      </c>
      <c r="L174" s="44">
        <f>'Statistics NZ'!L$174*'Economic Forecasts'!N$9*1000000/SUM('Statistics NZ'!L$30:L$110,'Statistics NZ'!L$130:L$210)</f>
        <v>26542.012555713009</v>
      </c>
      <c r="M174" s="44">
        <f>'Statistics NZ'!M$174*'Economic Forecasts'!O$9*1000000/SUM('Statistics NZ'!M$30:M$110,'Statistics NZ'!M$130:M$210)</f>
        <v>27159.415280403846</v>
      </c>
      <c r="N174" s="44">
        <f>'Statistics NZ'!N$174*'Economic Forecasts'!P$9*1000000/SUM('Statistics NZ'!N$30:N$110,'Statistics NZ'!N$130:N$210)</f>
        <v>28630.717678180339</v>
      </c>
      <c r="O174" s="44">
        <f>'Statistics NZ'!O$174*'Economic Forecasts'!Q$9*1000000/SUM('Statistics NZ'!O$30:O$110,'Statistics NZ'!O$130:O$210)</f>
        <v>29223.101740920072</v>
      </c>
      <c r="P174" s="44">
        <f>'Statistics NZ'!P$174*'Economic Forecasts'!R$9*1000000/SUM('Statistics NZ'!P$30:P$110,'Statistics NZ'!P$130:P$210)</f>
        <v>30097.112843071158</v>
      </c>
      <c r="Q174" s="44">
        <f>'Statistics NZ'!Q$174*'Economic Forecasts'!S$9*1000000/SUM('Statistics NZ'!Q$30:Q$110,'Statistics NZ'!Q$130:Q$210)</f>
        <v>31206.603320485498</v>
      </c>
      <c r="R174" s="44">
        <f>'Statistics NZ'!R$174*'Economic Forecasts'!T$9*1000000/SUM('Statistics NZ'!R$30:R$110,'Statistics NZ'!R$130:R$210)</f>
        <v>31336.980325269662</v>
      </c>
      <c r="S174" s="45">
        <f>SUM('Statistics NZ'!S$174,$M$13/5*(S$8-S$9)*1000)*'Economic Forecasts'!U$9*1000000/SUM('Statistics NZ'!S$30:S$110,'Statistics NZ'!S$130:S$210,SUM($E$12:$T$13)*(S$8-S$9)*1000)</f>
        <v>30552.456233426146</v>
      </c>
      <c r="T174" s="45">
        <f>SUM('Statistics NZ'!T$174,$M$13/5*(T$8-T$9)*1000)*'Economic Forecasts'!V$9*1000000/SUM('Statistics NZ'!T$30:T$110,'Statistics NZ'!T$130:T$210,SUM($E$12:$T$13)*(T$8-T$9)*1000)</f>
        <v>30674.892202197556</v>
      </c>
      <c r="U174" s="45">
        <f>SUM('Statistics NZ'!U$174,$M$13/5*(U$8-U$9)*1000)*'Economic Forecasts'!W$9*1000000/SUM('Statistics NZ'!U$30:U$110,'Statistics NZ'!U$130:U$210,SUM($E$12:$T$13)*(U$8-U$9)*1000)</f>
        <v>30473.675808411317</v>
      </c>
      <c r="V174" s="45">
        <f>SUM('Statistics NZ'!V$174,$M$13/5*(V$8-V$9)*1000)*'Economic Forecasts'!X$9*1000000/SUM('Statistics NZ'!V$30:V$110,'Statistics NZ'!V$130:V$210,SUM($E$12:$T$13)*(V$8-V$9)*1000)</f>
        <v>30614.676734466822</v>
      </c>
      <c r="W174" s="45">
        <f>SUM('Statistics NZ'!W$174,$M$13/5*(W$8-W$9)*1000)*'Economic Forecasts'!Y$9*1000000/SUM('Statistics NZ'!W$30:W$110,'Statistics NZ'!W$130:W$210,SUM($E$12:$T$13)*(W$8-W$9)*1000)</f>
        <v>31268.721404109445</v>
      </c>
      <c r="X174" s="45">
        <f>SUM('Statistics NZ'!X$174,$M$13/5*(X$8-X$9)*1000)*'Economic Forecasts'!Z$9*1000000/SUM('Statistics NZ'!X$30:X$110,'Statistics NZ'!X$130:X$210,SUM($E$12:$T$13)*(X$8-X$9)*1000)</f>
        <v>32071.404428227863</v>
      </c>
      <c r="Y174" s="45">
        <f>SUM('Statistics NZ'!Y$174,$M$13/5*(Y$8-Y$9)*1000)*'Economic Forecasts'!AA$9*1000000/SUM('Statistics NZ'!Y$30:Y$110,'Statistics NZ'!Y$130:Y$210,SUM($E$12:$T$13)*(Y$8-Y$9)*1000)</f>
        <v>32121.828094375502</v>
      </c>
      <c r="Z174" s="46">
        <f>SUM(Y$174,'Statistics NZ'!Z$174-'Statistics NZ'!Y$174,$M$13/5*(Z$8-Z$9)*1000)</f>
        <v>32806.0920935994</v>
      </c>
      <c r="AA174" s="46">
        <f>SUM(Z$174,'Statistics NZ'!AA$174-'Statistics NZ'!Z$174,$M$13/5*(AA$8-AA$9)*1000)</f>
        <v>32818.771204020639</v>
      </c>
      <c r="AB174" s="46">
        <f>SUM(AA$174,'Statistics NZ'!AB$174-'Statistics NZ'!AA$174,$M$13/5*(AB$8-AB$9)*1000)</f>
        <v>31929.865425639226</v>
      </c>
      <c r="AC174" s="46">
        <f>SUM(AB$174,'Statistics NZ'!AC$174-'Statistics NZ'!AB$174,$M$13/5*(AC$8-AC$9)*1000)</f>
        <v>30689.374758455157</v>
      </c>
      <c r="AD174" s="46">
        <f>SUM(AC$174,'Statistics NZ'!AD$174-'Statistics NZ'!AC$174,$M$13/5*(AD$8-AD$9)*1000)</f>
        <v>29807.299202468432</v>
      </c>
      <c r="AE174" s="46">
        <f>SUM(AD$174,'Statistics NZ'!AE$174-'Statistics NZ'!AD$174,$M$13/5*(AE$8-AE$9)*1000)</f>
        <v>29293.638757679051</v>
      </c>
      <c r="AF174" s="46">
        <f>SUM(AE$174,'Statistics NZ'!AF$174-'Statistics NZ'!AE$174,$M$13/5*(AF$8-AF$9)*1000)</f>
        <v>29478.393424087015</v>
      </c>
      <c r="AG174" s="46">
        <f>SUM(AF$174,'Statistics NZ'!AG$174-'Statistics NZ'!AF$174,$M$13/5*(AG$8-AG$9)*1000)</f>
        <v>29121.563201692326</v>
      </c>
      <c r="AH174" s="46">
        <f>SUM(AG$174,'Statistics NZ'!AH$174-'Statistics NZ'!AG$174,$M$13/5*(AH$8-AH$9)*1000)</f>
        <v>30233.148090494982</v>
      </c>
      <c r="AI174" s="46">
        <f>SUM(AH$174,'Statistics NZ'!AI$174-'Statistics NZ'!AH$174,$M$13/5*(AI$8-AI$9)*1000)</f>
        <v>30913.148090494982</v>
      </c>
    </row>
    <row r="175" spans="1:35" x14ac:dyDescent="0.25">
      <c r="A175" s="11">
        <f>$A$75</f>
        <v>60</v>
      </c>
      <c r="B175" s="44">
        <f>'Statistics NZ'!B$175*'Economic Forecasts'!D$9*1000000/SUM('Statistics NZ'!B$30:B$110,'Statistics NZ'!B$130:B$210)</f>
        <v>19724.424813124937</v>
      </c>
      <c r="C175" s="44">
        <f>'Statistics NZ'!C$175*'Economic Forecasts'!E$9*1000000/SUM('Statistics NZ'!C$30:C$110,'Statistics NZ'!C$130:C$210)</f>
        <v>23430.706723959953</v>
      </c>
      <c r="D175" s="44">
        <f>'Statistics NZ'!D$175*'Economic Forecasts'!F$9*1000000/SUM('Statistics NZ'!D$30:D$110,'Statistics NZ'!D$130:D$210)</f>
        <v>23270.032459039779</v>
      </c>
      <c r="E175" s="44">
        <f>'Statistics NZ'!E$175*'Economic Forecasts'!G$9*1000000/SUM('Statistics NZ'!E$30:E$110,'Statistics NZ'!E$130:E$210)</f>
        <v>23056.310856578395</v>
      </c>
      <c r="F175" s="44">
        <f>'Statistics NZ'!F$175*'Economic Forecasts'!H$9*1000000/SUM('Statistics NZ'!F$30:F$110,'Statistics NZ'!F$130:F$210)</f>
        <v>23227.312629447701</v>
      </c>
      <c r="G175" s="44">
        <f>'Statistics NZ'!G$175*'Economic Forecasts'!I$9*1000000/SUM('Statistics NZ'!G$30:G$110,'Statistics NZ'!G$130:G$210)</f>
        <v>23279.259254993867</v>
      </c>
      <c r="H175" s="44">
        <f>'Statistics NZ'!H$175*'Economic Forecasts'!J$9*1000000/SUM('Statistics NZ'!H$30:H$110,'Statistics NZ'!H$130:H$210)</f>
        <v>23531.20345780794</v>
      </c>
      <c r="I175" s="44">
        <f>'Statistics NZ'!I$175*'Economic Forecasts'!K$9*1000000/SUM('Statistics NZ'!I$30:I$110,'Statistics NZ'!I$130:I$210)</f>
        <v>23646.175399271509</v>
      </c>
      <c r="J175" s="44">
        <f>'Statistics NZ'!J$175*'Economic Forecasts'!L$9*1000000/SUM('Statistics NZ'!J$30:J$110,'Statistics NZ'!J$130:J$210)</f>
        <v>24350.44996310414</v>
      </c>
      <c r="K175" s="44">
        <f>'Statistics NZ'!K$175*'Economic Forecasts'!M$9*1000000/SUM('Statistics NZ'!K$30:K$110,'Statistics NZ'!K$130:K$210)</f>
        <v>24944.193955410188</v>
      </c>
      <c r="L175" s="44">
        <f>'Statistics NZ'!L$175*'Economic Forecasts'!N$9*1000000/SUM('Statistics NZ'!L$30:L$110,'Statistics NZ'!L$130:L$210)</f>
        <v>25840.976273977369</v>
      </c>
      <c r="M175" s="44">
        <f>'Statistics NZ'!M$175*'Economic Forecasts'!O$9*1000000/SUM('Statistics NZ'!M$30:M$110,'Statistics NZ'!M$130:M$210)</f>
        <v>26583.010423733405</v>
      </c>
      <c r="N175" s="44">
        <f>'Statistics NZ'!N$175*'Economic Forecasts'!P$9*1000000/SUM('Statistics NZ'!N$30:N$110,'Statistics NZ'!N$130:N$210)</f>
        <v>27241.257011638434</v>
      </c>
      <c r="O175" s="44">
        <f>'Statistics NZ'!O$175*'Economic Forecasts'!Q$9*1000000/SUM('Statistics NZ'!O$30:O$110,'Statistics NZ'!O$130:O$210)</f>
        <v>28654.139034987424</v>
      </c>
      <c r="P175" s="44">
        <f>'Statistics NZ'!P$175*'Economic Forecasts'!R$9*1000000/SUM('Statistics NZ'!P$30:P$110,'Statistics NZ'!P$130:P$210)</f>
        <v>29226.575617515969</v>
      </c>
      <c r="Q175" s="44">
        <f>'Statistics NZ'!Q$175*'Economic Forecasts'!S$9*1000000/SUM('Statistics NZ'!Q$30:Q$110,'Statistics NZ'!Q$130:Q$210)</f>
        <v>30190.069436231861</v>
      </c>
      <c r="R175" s="44">
        <f>'Statistics NZ'!R$175*'Economic Forecasts'!T$9*1000000/SUM('Statistics NZ'!R$30:R$110,'Statistics NZ'!R$130:R$210)</f>
        <v>30942.928387825214</v>
      </c>
      <c r="S175" s="45">
        <f>SUM('Statistics NZ'!S$175,$N$13/5*(S$8-S$9)*1000)*'Economic Forecasts'!U$9*1000000/SUM('Statistics NZ'!S$30:S$110,'Statistics NZ'!S$130:S$210,SUM($E$12:$T$13)*(S$8-S$9)*1000)</f>
        <v>31010.200461194359</v>
      </c>
      <c r="T175" s="45">
        <f>SUM('Statistics NZ'!T$175,$N$13/5*(T$8-T$9)*1000)*'Economic Forecasts'!V$9*1000000/SUM('Statistics NZ'!T$30:T$110,'Statistics NZ'!T$130:T$210,SUM($E$12:$T$13)*(T$8-T$9)*1000)</f>
        <v>31369.704012114242</v>
      </c>
      <c r="U175" s="45">
        <f>SUM('Statistics NZ'!U$175,$N$13/5*(U$8-U$9)*1000)*'Economic Forecasts'!W$9*1000000/SUM('Statistics NZ'!U$30:U$110,'Statistics NZ'!U$130:U$210,SUM($E$12:$T$13)*(U$8-U$9)*1000)</f>
        <v>30885.914425124527</v>
      </c>
      <c r="V175" s="45">
        <f>SUM('Statistics NZ'!V$175,$N$13/5*(V$8-V$9)*1000)*'Economic Forecasts'!X$9*1000000/SUM('Statistics NZ'!V$30:V$110,'Statistics NZ'!V$130:V$210,SUM($E$12:$T$13)*(V$8-V$9)*1000)</f>
        <v>30444.841358366029</v>
      </c>
      <c r="W175" s="45">
        <f>SUM('Statistics NZ'!W$175,$N$13/5*(W$8-W$9)*1000)*'Economic Forecasts'!Y$9*1000000/SUM('Statistics NZ'!W$30:W$110,'Statistics NZ'!W$130:W$210,SUM($E$12:$T$13)*(W$8-W$9)*1000)</f>
        <v>30594.465286583192</v>
      </c>
      <c r="X175" s="45">
        <f>SUM('Statistics NZ'!X$175,$N$13/5*(X$8-X$9)*1000)*'Economic Forecasts'!Z$9*1000000/SUM('Statistics NZ'!X$30:X$110,'Statistics NZ'!X$130:X$210,SUM($E$12:$T$13)*(X$8-X$9)*1000)</f>
        <v>31264.585024212716</v>
      </c>
      <c r="Y175" s="45">
        <f>SUM('Statistics NZ'!Y$175,$N$13/5*(Y$8-Y$9)*1000)*'Economic Forecasts'!AA$9*1000000/SUM('Statistics NZ'!Y$30:Y$110,'Statistics NZ'!Y$130:Y$210,SUM($E$12:$T$13)*(Y$8-Y$9)*1000)</f>
        <v>32086.286288819421</v>
      </c>
      <c r="Z175" s="46">
        <f>SUM(Y$175,'Statistics NZ'!Z$175-'Statistics NZ'!Y$175,$N$13/5*(Z$8-Z$9)*1000)</f>
        <v>32103.106361180431</v>
      </c>
      <c r="AA175" s="46">
        <f>SUM(Z$175,'Statistics NZ'!AA$175-'Statistics NZ'!Z$175,$N$13/5*(AA$8-AA$9)*1000)</f>
        <v>32795.835314390213</v>
      </c>
      <c r="AB175" s="46">
        <f>SUM(AA$175,'Statistics NZ'!AB$175-'Statistics NZ'!AA$175,$N$13/5*(AB$8-AB$9)*1000)</f>
        <v>32834.473148448778</v>
      </c>
      <c r="AC175" s="46">
        <f>SUM(AB$175,'Statistics NZ'!AC$175-'Statistics NZ'!AB$175,$N$13/5*(AC$8-AC$9)*1000)</f>
        <v>31959.019863356116</v>
      </c>
      <c r="AD175" s="46">
        <f>SUM(AC$175,'Statistics NZ'!AD$175-'Statistics NZ'!AC$175,$N$13/5*(AD$8-AD$9)*1000)</f>
        <v>30749.475459112233</v>
      </c>
      <c r="AE175" s="46">
        <f>SUM(AD$175,'Statistics NZ'!AE$175-'Statistics NZ'!AD$175,$N$13/5*(AE$8-AE$9)*1000)</f>
        <v>29875.839935717126</v>
      </c>
      <c r="AF175" s="46">
        <f>SUM(AE$175,'Statistics NZ'!AF$175-'Statistics NZ'!AE$175,$N$13/5*(AF$8-AF$9)*1000)</f>
        <v>29368.113293170794</v>
      </c>
      <c r="AG175" s="46">
        <f>SUM(AF$175,'Statistics NZ'!AG$175-'Statistics NZ'!AF$175,$N$13/5*(AG$8-AG$9)*1000)</f>
        <v>29556.295531473239</v>
      </c>
      <c r="AH175" s="46">
        <f>SUM(AG$175,'Statistics NZ'!AH$175-'Statistics NZ'!AG$175,$N$13/5*(AH$8-AH$9)*1000)</f>
        <v>29210.386650624463</v>
      </c>
      <c r="AI175" s="46">
        <f>SUM(AH$175,'Statistics NZ'!AI$175-'Statistics NZ'!AH$175,$N$13/5*(AI$8-AI$9)*1000)</f>
        <v>30320.386650624463</v>
      </c>
    </row>
    <row r="176" spans="1:35" x14ac:dyDescent="0.25">
      <c r="A176" s="11">
        <f>$A$76</f>
        <v>61</v>
      </c>
      <c r="B176" s="44">
        <f>'Statistics NZ'!B$176*'Economic Forecasts'!D$9*1000000/SUM('Statistics NZ'!B$30:B$110,'Statistics NZ'!B$130:B$210)</f>
        <v>18726.462843413261</v>
      </c>
      <c r="C176" s="44">
        <f>'Statistics NZ'!C$176*'Economic Forecasts'!E$9*1000000/SUM('Statistics NZ'!C$30:C$110,'Statistics NZ'!C$130:C$210)</f>
        <v>19669.616751086251</v>
      </c>
      <c r="D176" s="44">
        <f>'Statistics NZ'!D$176*'Economic Forecasts'!F$9*1000000/SUM('Statistics NZ'!D$30:D$110,'Statistics NZ'!D$130:D$210)</f>
        <v>23279.855182745578</v>
      </c>
      <c r="E176" s="44">
        <f>'Statistics NZ'!E$176*'Economic Forecasts'!G$9*1000000/SUM('Statistics NZ'!E$30:E$110,'Statistics NZ'!E$130:E$210)</f>
        <v>23095.538948210175</v>
      </c>
      <c r="F176" s="44">
        <f>'Statistics NZ'!F$176*'Economic Forecasts'!H$9*1000000/SUM('Statistics NZ'!F$30:F$110,'Statistics NZ'!F$130:F$210)</f>
        <v>22972.283014428427</v>
      </c>
      <c r="G176" s="44">
        <f>'Statistics NZ'!G$176*'Economic Forecasts'!I$9*1000000/SUM('Statistics NZ'!G$30:G$110,'Statistics NZ'!G$130:G$210)</f>
        <v>23122.099698842008</v>
      </c>
      <c r="H176" s="44">
        <f>'Statistics NZ'!H$176*'Economic Forecasts'!J$9*1000000/SUM('Statistics NZ'!H$30:H$110,'Statistics NZ'!H$130:H$210)</f>
        <v>23167.673383511945</v>
      </c>
      <c r="I176" s="44">
        <f>'Statistics NZ'!I$176*'Economic Forecasts'!K$9*1000000/SUM('Statistics NZ'!I$30:I$110,'Statistics NZ'!I$130:I$210)</f>
        <v>23381.479405996077</v>
      </c>
      <c r="J176" s="44">
        <f>'Statistics NZ'!J$176*'Economic Forecasts'!L$9*1000000/SUM('Statistics NZ'!J$30:J$110,'Statistics NZ'!J$130:J$210)</f>
        <v>23511.788090125778</v>
      </c>
      <c r="K176" s="44">
        <f>'Statistics NZ'!K$176*'Economic Forecasts'!M$9*1000000/SUM('Statistics NZ'!K$30:K$110,'Statistics NZ'!K$130:K$210)</f>
        <v>24301.603478807112</v>
      </c>
      <c r="L176" s="44">
        <f>'Statistics NZ'!L$176*'Economic Forecasts'!N$9*1000000/SUM('Statistics NZ'!L$30:L$110,'Statistics NZ'!L$130:L$210)</f>
        <v>24964.680921807834</v>
      </c>
      <c r="M176" s="44">
        <f>'Statistics NZ'!M$176*'Economic Forecasts'!O$9*1000000/SUM('Statistics NZ'!M$30:M$110,'Statistics NZ'!M$130:M$210)</f>
        <v>25899.140254802373</v>
      </c>
      <c r="N176" s="44">
        <f>'Statistics NZ'!N$176*'Economic Forecasts'!P$9*1000000/SUM('Statistics NZ'!N$30:N$110,'Statistics NZ'!N$130:N$210)</f>
        <v>26526.956809824638</v>
      </c>
      <c r="O176" s="44">
        <f>'Statistics NZ'!O$176*'Economic Forecasts'!Q$9*1000000/SUM('Statistics NZ'!O$30:O$110,'Statistics NZ'!O$130:O$210)</f>
        <v>27241.541971982228</v>
      </c>
      <c r="P176" s="44">
        <f>'Statistics NZ'!P$176*'Economic Forecasts'!R$9*1000000/SUM('Statistics NZ'!P$30:P$110,'Statistics NZ'!P$130:P$210)</f>
        <v>28688.60317475714</v>
      </c>
      <c r="Q176" s="44">
        <f>'Statistics NZ'!Q$176*'Economic Forecasts'!S$9*1000000/SUM('Statistics NZ'!Q$30:Q$110,'Statistics NZ'!Q$130:Q$210)</f>
        <v>29301.835945136449</v>
      </c>
      <c r="R176" s="44">
        <f>'Statistics NZ'!R$176*'Economic Forecasts'!T$9*1000000/SUM('Statistics NZ'!R$30:R$110,'Statistics NZ'!R$130:R$210)</f>
        <v>29938.095947341873</v>
      </c>
      <c r="S176" s="45">
        <f>SUM('Statistics NZ'!S$176,$N$13/5*(S$8-S$9)*1000)*'Economic Forecasts'!U$9*1000000/SUM('Statistics NZ'!S$30:S$110,'Statistics NZ'!S$130:S$210,SUM($E$12:$T$13)*(S$8-S$9)*1000)</f>
        <v>30622.125541255427</v>
      </c>
      <c r="T176" s="45">
        <f>SUM('Statistics NZ'!T$176,$N$13/5*(T$8-T$9)*1000)*'Economic Forecasts'!V$9*1000000/SUM('Statistics NZ'!T$30:T$110,'Statistics NZ'!T$130:T$210,SUM($E$12:$T$13)*(T$8-T$9)*1000)</f>
        <v>31639.334920996509</v>
      </c>
      <c r="U176" s="45">
        <f>SUM('Statistics NZ'!U$176,$N$13/5*(U$8-U$9)*1000)*'Economic Forecasts'!W$9*1000000/SUM('Statistics NZ'!U$30:U$110,'Statistics NZ'!U$130:U$210,SUM($E$12:$T$13)*(U$8-U$9)*1000)</f>
        <v>31471.599893518858</v>
      </c>
      <c r="V176" s="45">
        <f>SUM('Statistics NZ'!V$176,$N$13/5*(V$8-V$9)*1000)*'Economic Forecasts'!X$9*1000000/SUM('Statistics NZ'!V$30:V$110,'Statistics NZ'!V$130:V$210,SUM($E$12:$T$13)*(V$8-V$9)*1000)</f>
        <v>30819.005664847838</v>
      </c>
      <c r="W176" s="45">
        <f>SUM('Statistics NZ'!W$176,$N$13/5*(W$8-W$9)*1000)*'Economic Forecasts'!Y$9*1000000/SUM('Statistics NZ'!W$30:W$110,'Statistics NZ'!W$130:W$210,SUM($E$12:$T$13)*(W$8-W$9)*1000)</f>
        <v>30402.044383644734</v>
      </c>
      <c r="X176" s="45">
        <f>SUM('Statistics NZ'!X$176,$N$13/5*(X$8-X$9)*1000)*'Economic Forecasts'!Z$9*1000000/SUM('Statistics NZ'!X$30:X$110,'Statistics NZ'!X$130:X$210,SUM($E$12:$T$13)*(X$8-X$9)*1000)</f>
        <v>30574.566287638885</v>
      </c>
      <c r="Y176" s="45">
        <f>SUM('Statistics NZ'!Y$176,$N$13/5*(Y$8-Y$9)*1000)*'Economic Forecasts'!AA$9*1000000/SUM('Statistics NZ'!Y$30:Y$110,'Statistics NZ'!Y$130:Y$210,SUM($E$12:$T$13)*(Y$8-Y$9)*1000)</f>
        <v>31262.280547953644</v>
      </c>
      <c r="Z176" s="46">
        <f>SUM(Y$176,'Statistics NZ'!Z$176-'Statistics NZ'!Y$176,$N$13/5*(Z$8-Z$9)*1000)</f>
        <v>32029.100620314653</v>
      </c>
      <c r="AA176" s="46">
        <f>SUM(Z$176,'Statistics NZ'!AA$176-'Statistics NZ'!Z$176,$N$13/5*(AA$8-AA$9)*1000)</f>
        <v>32041.829573524439</v>
      </c>
      <c r="AB176" s="46">
        <f>SUM(AA$176,'Statistics NZ'!AB$176-'Statistics NZ'!AA$176,$N$13/5*(AB$8-AB$9)*1000)</f>
        <v>32730.467407583001</v>
      </c>
      <c r="AC176" s="46">
        <f>SUM(AB$176,'Statistics NZ'!AC$176-'Statistics NZ'!AB$176,$N$13/5*(AC$8-AC$9)*1000)</f>
        <v>32765.014122490338</v>
      </c>
      <c r="AD176" s="46">
        <f>SUM(AC$176,'Statistics NZ'!AD$176-'Statistics NZ'!AC$176,$N$13/5*(AD$8-AD$9)*1000)</f>
        <v>31895.469718246455</v>
      </c>
      <c r="AE176" s="46">
        <f>SUM(AD$176,'Statistics NZ'!AE$176-'Statistics NZ'!AD$176,$N$13/5*(AE$8-AE$9)*1000)</f>
        <v>30681.834194851348</v>
      </c>
      <c r="AF176" s="46">
        <f>SUM(AE$176,'Statistics NZ'!AF$176-'Statistics NZ'!AE$176,$N$13/5*(AF$8-AF$9)*1000)</f>
        <v>29814.107552305017</v>
      </c>
      <c r="AG176" s="46">
        <f>SUM(AF$176,'Statistics NZ'!AG$176-'Statistics NZ'!AF$176,$N$13/5*(AG$8-AG$9)*1000)</f>
        <v>29312.289790607461</v>
      </c>
      <c r="AH176" s="46">
        <f>SUM(AG$176,'Statistics NZ'!AH$176-'Statistics NZ'!AG$176,$N$13/5*(AH$8-AH$9)*1000)</f>
        <v>29506.380909758685</v>
      </c>
      <c r="AI176" s="46">
        <f>SUM(AH$176,'Statistics NZ'!AI$176-'Statistics NZ'!AH$176,$N$13/5*(AI$8-AI$9)*1000)</f>
        <v>29156.380909758685</v>
      </c>
    </row>
    <row r="177" spans="1:35" x14ac:dyDescent="0.25">
      <c r="A177" s="11">
        <f>$A$77</f>
        <v>62</v>
      </c>
      <c r="B177" s="44">
        <f>'Statistics NZ'!B$177*'Economic Forecasts'!D$9*1000000/SUM('Statistics NZ'!B$30:B$110,'Statistics NZ'!B$130:B$210)</f>
        <v>18002.451218328319</v>
      </c>
      <c r="C177" s="44">
        <f>'Statistics NZ'!C$177*'Economic Forecasts'!E$9*1000000/SUM('Statistics NZ'!C$30:C$110,'Statistics NZ'!C$130:C$210)</f>
        <v>18677.788847012504</v>
      </c>
      <c r="D177" s="44">
        <f>'Statistics NZ'!D$177*'Economic Forecasts'!F$9*1000000/SUM('Statistics NZ'!D$30:D$110,'Statistics NZ'!D$130:D$210)</f>
        <v>19537.397450835848</v>
      </c>
      <c r="E177" s="44">
        <f>'Statistics NZ'!E$177*'Economic Forecasts'!G$9*1000000/SUM('Statistics NZ'!E$30:E$110,'Statistics NZ'!E$130:E$210)</f>
        <v>23105.345971118113</v>
      </c>
      <c r="F177" s="44">
        <f>'Statistics NZ'!F$177*'Economic Forecasts'!H$9*1000000/SUM('Statistics NZ'!F$30:F$110,'Statistics NZ'!F$130:F$210)</f>
        <v>23001.70950846911</v>
      </c>
      <c r="G177" s="44">
        <f>'Statistics NZ'!G$177*'Economic Forecasts'!I$9*1000000/SUM('Statistics NZ'!G$30:G$110,'Statistics NZ'!G$130:G$210)</f>
        <v>22915.827781392698</v>
      </c>
      <c r="H177" s="44">
        <f>'Statistics NZ'!H$177*'Economic Forecasts'!J$9*1000000/SUM('Statistics NZ'!H$30:H$110,'Statistics NZ'!H$130:H$210)</f>
        <v>23000.646052078657</v>
      </c>
      <c r="I177" s="44">
        <f>'Statistics NZ'!I$177*'Economic Forecasts'!K$9*1000000/SUM('Statistics NZ'!I$30:I$110,'Statistics NZ'!I$130:I$210)</f>
        <v>23057.962080881665</v>
      </c>
      <c r="J177" s="44">
        <f>'Statistics NZ'!J$177*'Economic Forecasts'!L$9*1000000/SUM('Statistics NZ'!J$30:J$110,'Statistics NZ'!J$130:J$210)</f>
        <v>23248.487269539553</v>
      </c>
      <c r="K177" s="44">
        <f>'Statistics NZ'!K$177*'Economic Forecasts'!M$9*1000000/SUM('Statistics NZ'!K$30:K$110,'Statistics NZ'!K$130:K$210)</f>
        <v>23493.49727338204</v>
      </c>
      <c r="L177" s="44">
        <f>'Statistics NZ'!L$177*'Economic Forecasts'!N$9*1000000/SUM('Statistics NZ'!L$30:L$110,'Statistics NZ'!L$130:L$210)</f>
        <v>24273.381255096301</v>
      </c>
      <c r="M177" s="44">
        <f>'Statistics NZ'!M$177*'Economic Forecasts'!O$9*1000000/SUM('Statistics NZ'!M$30:M$110,'Statistics NZ'!M$130:M$210)</f>
        <v>25019.878609033902</v>
      </c>
      <c r="N177" s="44">
        <f>'Statistics NZ'!N$177*'Economic Forecasts'!P$9*1000000/SUM('Statistics NZ'!N$30:N$110,'Statistics NZ'!N$130:N$210)</f>
        <v>25832.226476553689</v>
      </c>
      <c r="O177" s="44">
        <f>'Statistics NZ'!O$177*'Economic Forecasts'!Q$9*1000000/SUM('Statistics NZ'!O$30:O$110,'Statistics NZ'!O$130:O$210)</f>
        <v>26535.243440479622</v>
      </c>
      <c r="P177" s="44">
        <f>'Statistics NZ'!P$177*'Economic Forecasts'!R$9*1000000/SUM('Statistics NZ'!P$30:P$110,'Statistics NZ'!P$130:P$210)</f>
        <v>27329.000092148464</v>
      </c>
      <c r="Q177" s="44">
        <f>'Statistics NZ'!Q$177*'Economic Forecasts'!S$9*1000000/SUM('Statistics NZ'!Q$30:Q$110,'Statistics NZ'!Q$130:Q$210)</f>
        <v>28640.595457320975</v>
      </c>
      <c r="R177" s="44">
        <f>'Statistics NZ'!R$177*'Economic Forecasts'!T$9*1000000/SUM('Statistics NZ'!R$30:R$110,'Statistics NZ'!R$130:R$210)</f>
        <v>28952.966103730756</v>
      </c>
      <c r="S177" s="45">
        <f>SUM('Statistics NZ'!S$177,$N$13/5*(S$8-S$9)*1000)*'Economic Forecasts'!U$9*1000000/SUM('Statistics NZ'!S$30:S$110,'Statistics NZ'!S$130:S$210,SUM($E$12:$T$13)*(S$8-S$9)*1000)</f>
        <v>29642.236368409624</v>
      </c>
      <c r="T177" s="45">
        <f>SUM('Statistics NZ'!T$177,$N$13/5*(T$8-T$9)*1000)*'Economic Forecasts'!V$9*1000000/SUM('Statistics NZ'!T$30:T$110,'Statistics NZ'!T$130:T$210,SUM($E$12:$T$13)*(T$8-T$9)*1000)</f>
        <v>31239.881722652412</v>
      </c>
      <c r="U177" s="45">
        <f>SUM('Statistics NZ'!U$177,$N$13/5*(U$8-U$9)*1000)*'Economic Forecasts'!W$9*1000000/SUM('Statistics NZ'!U$30:U$110,'Statistics NZ'!U$130:U$210,SUM($E$12:$T$13)*(U$8-U$9)*1000)</f>
        <v>31744.246577081733</v>
      </c>
      <c r="V177" s="45">
        <f>SUM('Statistics NZ'!V$177,$N$13/5*(V$8-V$9)*1000)*'Economic Forecasts'!X$9*1000000/SUM('Statistics NZ'!V$30:V$110,'Statistics NZ'!V$130:V$210,SUM($E$12:$T$13)*(V$8-V$9)*1000)</f>
        <v>31405.533496630123</v>
      </c>
      <c r="W177" s="45">
        <f>SUM('Statistics NZ'!W$177,$N$13/5*(W$8-W$9)*1000)*'Economic Forecasts'!Y$9*1000000/SUM('Statistics NZ'!W$30:W$110,'Statistics NZ'!W$130:W$210,SUM($E$12:$T$13)*(W$8-W$9)*1000)</f>
        <v>30776.758773577527</v>
      </c>
      <c r="X177" s="45">
        <f>SUM('Statistics NZ'!X$177,$N$13/5*(X$8-X$9)*1000)*'Economic Forecasts'!Z$9*1000000/SUM('Statistics NZ'!X$30:X$110,'Statistics NZ'!X$130:X$210,SUM($E$12:$T$13)*(X$8-X$9)*1000)</f>
        <v>30381.766934772662</v>
      </c>
      <c r="Y177" s="45">
        <f>SUM('Statistics NZ'!Y$177,$N$13/5*(Y$8-Y$9)*1000)*'Economic Forecasts'!AA$9*1000000/SUM('Statistics NZ'!Y$30:Y$110,'Statistics NZ'!Y$130:Y$210,SUM($E$12:$T$13)*(Y$8-Y$9)*1000)</f>
        <v>30570.522642041633</v>
      </c>
      <c r="Z177" s="46">
        <f>SUM(Y$177,'Statistics NZ'!Z$177-'Statistics NZ'!Y$177,$N$13/5*(Z$8-Z$9)*1000)</f>
        <v>31207.342714402643</v>
      </c>
      <c r="AA177" s="46">
        <f>SUM(Z$177,'Statistics NZ'!AA$177-'Statistics NZ'!Z$177,$N$13/5*(AA$8-AA$9)*1000)</f>
        <v>31970.071667612428</v>
      </c>
      <c r="AB177" s="46">
        <f>SUM(AA$177,'Statistics NZ'!AB$177-'Statistics NZ'!AA$177,$N$13/5*(AB$8-AB$9)*1000)</f>
        <v>31978.70950167099</v>
      </c>
      <c r="AC177" s="46">
        <f>SUM(AB$177,'Statistics NZ'!AC$177-'Statistics NZ'!AB$177,$N$13/5*(AC$8-AC$9)*1000)</f>
        <v>32663.256216578327</v>
      </c>
      <c r="AD177" s="46">
        <f>SUM(AC$177,'Statistics NZ'!AD$177-'Statistics NZ'!AC$177,$N$13/5*(AD$8-AD$9)*1000)</f>
        <v>32693.711812334444</v>
      </c>
      <c r="AE177" s="46">
        <f>SUM(AD$177,'Statistics NZ'!AE$177-'Statistics NZ'!AD$177,$N$13/5*(AE$8-AE$9)*1000)</f>
        <v>31830.076288939337</v>
      </c>
      <c r="AF177" s="46">
        <f>SUM(AE$177,'Statistics NZ'!AF$177-'Statistics NZ'!AE$177,$N$13/5*(AF$8-AF$9)*1000)</f>
        <v>30632.349646393006</v>
      </c>
      <c r="AG177" s="46">
        <f>SUM(AF$177,'Statistics NZ'!AG$177-'Statistics NZ'!AF$177,$N$13/5*(AG$8-AG$9)*1000)</f>
        <v>29760.531884695451</v>
      </c>
      <c r="AH177" s="46">
        <f>SUM(AG$177,'Statistics NZ'!AH$177-'Statistics NZ'!AG$177,$N$13/5*(AH$8-AH$9)*1000)</f>
        <v>29264.623003846675</v>
      </c>
      <c r="AI177" s="46">
        <f>SUM(AH$177,'Statistics NZ'!AI$177-'Statistics NZ'!AH$177,$N$13/5*(AI$8-AI$9)*1000)</f>
        <v>29444.623003846675</v>
      </c>
    </row>
    <row r="178" spans="1:35" x14ac:dyDescent="0.25">
      <c r="A178" s="11">
        <f>$A$78</f>
        <v>63</v>
      </c>
      <c r="B178" s="44">
        <f>'Statistics NZ'!B$178*'Economic Forecasts'!D$9*1000000/SUM('Statistics NZ'!B$30:B$110,'Statistics NZ'!B$130:B$210)</f>
        <v>15918.471810989224</v>
      </c>
      <c r="C178" s="44">
        <f>'Statistics NZ'!C$178*'Economic Forecasts'!E$9*1000000/SUM('Statistics NZ'!C$30:C$110,'Statistics NZ'!C$130:C$210)</f>
        <v>17902.00266461819</v>
      </c>
      <c r="D178" s="44">
        <f>'Statistics NZ'!D$178*'Economic Forecasts'!F$9*1000000/SUM('Statistics NZ'!D$30:D$110,'Statistics NZ'!D$130:D$210)</f>
        <v>18555.125080255864</v>
      </c>
      <c r="E178" s="44">
        <f>'Statistics NZ'!E$178*'Economic Forecasts'!G$9*1000000/SUM('Statistics NZ'!E$30:E$110,'Statistics NZ'!E$130:E$210)</f>
        <v>19378.677266099065</v>
      </c>
      <c r="F178" s="44">
        <f>'Statistics NZ'!F$178*'Economic Forecasts'!H$9*1000000/SUM('Statistics NZ'!F$30:F$110,'Statistics NZ'!F$130:F$210)</f>
        <v>22962.474183081529</v>
      </c>
      <c r="G178" s="44">
        <f>'Statistics NZ'!G$178*'Economic Forecasts'!I$9*1000000/SUM('Statistics NZ'!G$30:G$110,'Statistics NZ'!G$130:G$210)</f>
        <v>22906.005309133205</v>
      </c>
      <c r="H178" s="44">
        <f>'Statistics NZ'!H$178*'Economic Forecasts'!J$9*1000000/SUM('Statistics NZ'!H$30:H$110,'Statistics NZ'!H$130:H$210)</f>
        <v>22833.618720645361</v>
      </c>
      <c r="I178" s="44">
        <f>'Statistics NZ'!I$178*'Economic Forecasts'!K$9*1000000/SUM('Statistics NZ'!I$30:I$110,'Statistics NZ'!I$130:I$210)</f>
        <v>22812.873198219237</v>
      </c>
      <c r="J178" s="44">
        <f>'Statistics NZ'!J$178*'Economic Forecasts'!L$9*1000000/SUM('Statistics NZ'!J$30:J$110,'Statistics NZ'!J$130:J$210)</f>
        <v>22858.41197978218</v>
      </c>
      <c r="K178" s="44">
        <f>'Statistics NZ'!K$178*'Economic Forecasts'!M$9*1000000/SUM('Statistics NZ'!K$30:K$110,'Statistics NZ'!K$130:K$210)</f>
        <v>23172.202035080503</v>
      </c>
      <c r="L178" s="44">
        <f>'Statistics NZ'!L$178*'Economic Forecasts'!N$9*1000000/SUM('Statistics NZ'!L$30:L$110,'Statistics NZ'!L$130:L$210)</f>
        <v>23455.505593071397</v>
      </c>
      <c r="M178" s="44">
        <f>'Statistics NZ'!M$178*'Economic Forecasts'!O$9*1000000/SUM('Statistics NZ'!M$30:M$110,'Statistics NZ'!M$130:M$210)</f>
        <v>24316.469292419126</v>
      </c>
      <c r="N178" s="44">
        <f>'Statistics NZ'!N$178*'Economic Forecasts'!P$9*1000000/SUM('Statistics NZ'!N$30:N$110,'Statistics NZ'!N$130:N$210)</f>
        <v>24883.08785222577</v>
      </c>
      <c r="O178" s="44">
        <f>'Statistics NZ'!O$178*'Economic Forecasts'!Q$9*1000000/SUM('Statistics NZ'!O$30:O$110,'Statistics NZ'!O$130:O$210)</f>
        <v>25819.135207150597</v>
      </c>
      <c r="P178" s="44">
        <f>'Statistics NZ'!P$178*'Economic Forecasts'!R$9*1000000/SUM('Statistics NZ'!P$30:P$110,'Statistics NZ'!P$130:P$210)</f>
        <v>26575.838672286107</v>
      </c>
      <c r="Q178" s="44">
        <f>'Statistics NZ'!Q$178*'Economic Forecasts'!S$9*1000000/SUM('Statistics NZ'!Q$30:Q$110,'Statistics NZ'!Q$130:Q$210)</f>
        <v>27357.59152573871</v>
      </c>
      <c r="R178" s="44">
        <f>'Statistics NZ'!R$178*'Economic Forecasts'!T$9*1000000/SUM('Statistics NZ'!R$30:R$110,'Statistics NZ'!R$130:R$210)</f>
        <v>28342.185600691861</v>
      </c>
      <c r="S178" s="45">
        <f>SUM('Statistics NZ'!S$178,$N$13/5*(S$8-S$9)*1000)*'Economic Forecasts'!U$9*1000000/SUM('Statistics NZ'!S$30:S$110,'Statistics NZ'!S$130:S$210,SUM($E$12:$T$13)*(S$8-S$9)*1000)</f>
        <v>28662.34719556382</v>
      </c>
      <c r="T178" s="45">
        <f>SUM('Statistics NZ'!T$178,$N$13/5*(T$8-T$9)*1000)*'Economic Forecasts'!V$9*1000000/SUM('Statistics NZ'!T$30:T$110,'Statistics NZ'!T$130:T$210,SUM($E$12:$T$13)*(T$8-T$9)*1000)</f>
        <v>30221.276066874951</v>
      </c>
      <c r="U178" s="45">
        <f>SUM('Statistics NZ'!U$178,$N$13/5*(U$8-U$9)*1000)*'Economic Forecasts'!W$9*1000000/SUM('Statistics NZ'!U$30:U$110,'Statistics NZ'!U$130:U$210,SUM($E$12:$T$13)*(U$8-U$9)*1000)</f>
        <v>31330.227539078849</v>
      </c>
      <c r="V178" s="45">
        <f>SUM('Statistics NZ'!V$178,$N$13/5*(V$8-V$9)*1000)*'Economic Forecasts'!X$9*1000000/SUM('Statistics NZ'!V$30:V$110,'Statistics NZ'!V$130:V$210,SUM($E$12:$T$13)*(V$8-V$9)*1000)</f>
        <v>31658.347217225932</v>
      </c>
      <c r="W178" s="45">
        <f>SUM('Statistics NZ'!W$178,$N$13/5*(W$8-W$9)*1000)*'Economic Forecasts'!Y$9*1000000/SUM('Statistics NZ'!W$30:W$110,'Statistics NZ'!W$130:W$210,SUM($E$12:$T$13)*(W$8-W$9)*1000)</f>
        <v>31343.894066448785</v>
      </c>
      <c r="X178" s="45">
        <f>SUM('Statistics NZ'!X$178,$N$13/5*(X$8-X$9)*1000)*'Economic Forecasts'!Z$9*1000000/SUM('Statistics NZ'!X$30:X$110,'Statistics NZ'!X$130:X$210,SUM($E$12:$T$13)*(X$8-X$9)*1000)</f>
        <v>30736.923637420961</v>
      </c>
      <c r="Y178" s="45">
        <f>SUM('Statistics NZ'!Y$178,$N$13/5*(Y$8-Y$9)*1000)*'Economic Forecasts'!AA$9*1000000/SUM('Statistics NZ'!Y$30:Y$110,'Statistics NZ'!Y$130:Y$210,SUM($E$12:$T$13)*(Y$8-Y$9)*1000)</f>
        <v>30356.891524039391</v>
      </c>
      <c r="Z178" s="46">
        <f>SUM(Y$178,'Statistics NZ'!Z$178-'Statistics NZ'!Y$178,$N$13/5*(Z$8-Z$9)*1000)</f>
        <v>30513.711596400401</v>
      </c>
      <c r="AA178" s="46">
        <f>SUM(Z$178,'Statistics NZ'!AA$178-'Statistics NZ'!Z$178,$N$13/5*(AA$8-AA$9)*1000)</f>
        <v>31146.440549610186</v>
      </c>
      <c r="AB178" s="46">
        <f>SUM(AA$178,'Statistics NZ'!AB$178-'Statistics NZ'!AA$178,$N$13/5*(AB$8-AB$9)*1000)</f>
        <v>31895.078383668748</v>
      </c>
      <c r="AC178" s="46">
        <f>SUM(AB$178,'Statistics NZ'!AC$178-'Statistics NZ'!AB$178,$N$13/5*(AC$8-AC$9)*1000)</f>
        <v>31909.625098576085</v>
      </c>
      <c r="AD178" s="46">
        <f>SUM(AC$178,'Statistics NZ'!AD$178-'Statistics NZ'!AC$178,$N$13/5*(AD$8-AD$9)*1000)</f>
        <v>32590.080694332202</v>
      </c>
      <c r="AE178" s="46">
        <f>SUM(AD$178,'Statistics NZ'!AE$178-'Statistics NZ'!AD$178,$N$13/5*(AE$8-AE$9)*1000)</f>
        <v>32626.445170937095</v>
      </c>
      <c r="AF178" s="46">
        <f>SUM(AE$178,'Statistics NZ'!AF$178-'Statistics NZ'!AE$178,$N$13/5*(AF$8-AF$9)*1000)</f>
        <v>31758.718528390764</v>
      </c>
      <c r="AG178" s="46">
        <f>SUM(AF$178,'Statistics NZ'!AG$178-'Statistics NZ'!AF$178,$N$13/5*(AG$8-AG$9)*1000)</f>
        <v>30566.900766693208</v>
      </c>
      <c r="AH178" s="46">
        <f>SUM(AG$178,'Statistics NZ'!AH$178-'Statistics NZ'!AG$178,$N$13/5*(AH$8-AH$9)*1000)</f>
        <v>29700.991885844433</v>
      </c>
      <c r="AI178" s="46">
        <f>SUM(AH$178,'Statistics NZ'!AI$178-'Statistics NZ'!AH$178,$N$13/5*(AI$8-AI$9)*1000)</f>
        <v>29200.991885844433</v>
      </c>
    </row>
    <row r="179" spans="1:35" x14ac:dyDescent="0.25">
      <c r="A179" s="11">
        <f>$A$79</f>
        <v>64</v>
      </c>
      <c r="B179" s="44">
        <f>'Statistics NZ'!B$179*'Economic Forecasts'!D$9*1000000/SUM('Statistics NZ'!B$30:B$110,'Statistics NZ'!B$130:B$210)</f>
        <v>17542.605996990584</v>
      </c>
      <c r="C179" s="44">
        <f>'Statistics NZ'!C$179*'Economic Forecasts'!E$9*1000000/SUM('Statistics NZ'!C$30:C$110,'Statistics NZ'!C$130:C$210)</f>
        <v>15820.14607388914</v>
      </c>
      <c r="D179" s="44">
        <f>'Statistics NZ'!D$179*'Economic Forecasts'!F$9*1000000/SUM('Statistics NZ'!D$30:D$110,'Statistics NZ'!D$130:D$210)</f>
        <v>17759.484460086082</v>
      </c>
      <c r="E179" s="44">
        <f>'Statistics NZ'!E$179*'Economic Forecasts'!G$9*1000000/SUM('Statistics NZ'!E$30:E$110,'Statistics NZ'!E$130:E$210)</f>
        <v>18378.360929488688</v>
      </c>
      <c r="F179" s="44">
        <f>'Statistics NZ'!F$179*'Economic Forecasts'!H$9*1000000/SUM('Statistics NZ'!F$30:F$110,'Statistics NZ'!F$130:F$210)</f>
        <v>19293.971259342747</v>
      </c>
      <c r="G179" s="44">
        <f>'Statistics NZ'!G$179*'Economic Forecasts'!I$9*1000000/SUM('Statistics NZ'!G$30:G$110,'Statistics NZ'!G$130:G$210)</f>
        <v>22866.715420095243</v>
      </c>
      <c r="H179" s="44">
        <f>'Statistics NZ'!H$179*'Economic Forecasts'!J$9*1000000/SUM('Statistics NZ'!H$30:H$110,'Statistics NZ'!H$130:H$210)</f>
        <v>22784.493034929692</v>
      </c>
      <c r="I179" s="44">
        <f>'Statistics NZ'!I$179*'Economic Forecasts'!K$9*1000000/SUM('Statistics NZ'!I$30:I$110,'Statistics NZ'!I$130:I$210)</f>
        <v>22685.426979234773</v>
      </c>
      <c r="J179" s="44">
        <f>'Statistics NZ'!J$179*'Economic Forecasts'!L$9*1000000/SUM('Statistics NZ'!J$30:J$110,'Statistics NZ'!J$130:J$210)</f>
        <v>22595.111159195949</v>
      </c>
      <c r="K179" s="44">
        <f>'Statistics NZ'!K$179*'Economic Forecasts'!M$9*1000000/SUM('Statistics NZ'!K$30:K$110,'Statistics NZ'!K$130:K$210)</f>
        <v>22743.808384011783</v>
      </c>
      <c r="L179" s="44">
        <f>'Statistics NZ'!L$179*'Economic Forecasts'!N$9*1000000/SUM('Statistics NZ'!L$30:L$110,'Statistics NZ'!L$130:L$210)</f>
        <v>23153.67052732411</v>
      </c>
      <c r="M179" s="44">
        <f>'Statistics NZ'!M$179*'Economic Forecasts'!O$9*1000000/SUM('Statistics NZ'!M$30:M$110,'Statistics NZ'!M$130:M$210)</f>
        <v>23495.825089701888</v>
      </c>
      <c r="N179" s="44">
        <f>'Statistics NZ'!N$179*'Economic Forecasts'!P$9*1000000/SUM('Statistics NZ'!N$30:N$110,'Statistics NZ'!N$130:N$210)</f>
        <v>24276.421927397612</v>
      </c>
      <c r="O179" s="44">
        <f>'Statistics NZ'!O$179*'Economic Forecasts'!Q$9*1000000/SUM('Statistics NZ'!O$30:O$110,'Statistics NZ'!O$130:O$210)</f>
        <v>24955.881446425199</v>
      </c>
      <c r="P179" s="44">
        <f>'Statistics NZ'!P$179*'Economic Forecasts'!R$9*1000000/SUM('Statistics NZ'!P$30:P$110,'Statistics NZ'!P$130:P$210)</f>
        <v>25891.146472411234</v>
      </c>
      <c r="Q179" s="44">
        <f>'Statistics NZ'!Q$179*'Economic Forecasts'!S$9*1000000/SUM('Statistics NZ'!Q$30:Q$110,'Statistics NZ'!Q$130:Q$210)</f>
        <v>26577.91990577718</v>
      </c>
      <c r="R179" s="44">
        <f>'Statistics NZ'!R$179*'Economic Forecasts'!T$9*1000000/SUM('Statistics NZ'!R$30:R$110,'Statistics NZ'!R$130:R$210)</f>
        <v>27012.260311816852</v>
      </c>
      <c r="S179" s="45">
        <f>SUM('Statistics NZ'!S$179,$N$13/5*(S$8-S$9)*1000)*'Economic Forecasts'!U$9*1000000/SUM('Statistics NZ'!S$30:S$110,'Statistics NZ'!S$130:S$210,SUM($E$12:$T$13)*(S$8-S$9)*1000)</f>
        <v>28041.427323661526</v>
      </c>
      <c r="T179" s="45">
        <f>SUM('Statistics NZ'!T$179,$N$13/5*(T$8-T$9)*1000)*'Economic Forecasts'!V$9*1000000/SUM('Statistics NZ'!T$30:T$110,'Statistics NZ'!T$130:T$210,SUM($E$12:$T$13)*(T$8-T$9)*1000)</f>
        <v>29202.670411097497</v>
      </c>
      <c r="U179" s="45">
        <f>SUM('Statistics NZ'!U$179,$N$13/5*(U$8-U$9)*1000)*'Economic Forecasts'!W$9*1000000/SUM('Statistics NZ'!U$30:U$110,'Statistics NZ'!U$130:U$210,SUM($E$12:$T$13)*(U$8-U$9)*1000)</f>
        <v>30280.032906095916</v>
      </c>
      <c r="V179" s="45">
        <f>SUM('Statistics NZ'!V$179,$N$13/5*(V$8-V$9)*1000)*'Economic Forecasts'!X$9*1000000/SUM('Statistics NZ'!V$30:V$110,'Statistics NZ'!V$130:V$210,SUM($E$12:$T$13)*(V$8-V$9)*1000)</f>
        <v>31223.50761780114</v>
      </c>
      <c r="W179" s="45">
        <f>SUM('Statistics NZ'!W$179,$N$13/5*(W$8-W$9)*1000)*'Economic Forecasts'!Y$9*1000000/SUM('Statistics NZ'!W$30:W$110,'Statistics NZ'!W$130:W$210,SUM($E$12:$T$13)*(W$8-W$9)*1000)</f>
        <v>31576.824633163767</v>
      </c>
      <c r="X179" s="45">
        <f>SUM('Statistics NZ'!X$179,$N$13/5*(X$8-X$9)*1000)*'Economic Forecasts'!Z$9*1000000/SUM('Statistics NZ'!X$30:X$110,'Statistics NZ'!X$130:X$210,SUM($E$12:$T$13)*(X$8-X$9)*1000)</f>
        <v>31274.732358574096</v>
      </c>
      <c r="Y179" s="45">
        <f>SUM('Statistics NZ'!Y$179,$N$13/5*(Y$8-Y$9)*1000)*'Economic Forecasts'!AA$9*1000000/SUM('Statistics NZ'!Y$30:Y$110,'Statistics NZ'!Y$130:Y$210,SUM($E$12:$T$13)*(Y$8-Y$9)*1000)</f>
        <v>30692.597566614339</v>
      </c>
      <c r="Z179" s="46">
        <f>SUM(Y$179,'Statistics NZ'!Z$179-'Statistics NZ'!Y$179,$N$13/5*(Z$8-Z$9)*1000)</f>
        <v>30289.417638975348</v>
      </c>
      <c r="AA179" s="46">
        <f>SUM(Z$179,'Statistics NZ'!AA$179-'Statistics NZ'!Z$179,$N$13/5*(AA$8-AA$9)*1000)</f>
        <v>30442.146592185134</v>
      </c>
      <c r="AB179" s="46">
        <f>SUM(AA$179,'Statistics NZ'!AB$179-'Statistics NZ'!AA$179,$N$13/5*(AB$8-AB$9)*1000)</f>
        <v>31070.784426243696</v>
      </c>
      <c r="AC179" s="46">
        <f>SUM(AB$179,'Statistics NZ'!AC$179-'Statistics NZ'!AB$179,$N$13/5*(AC$8-AC$9)*1000)</f>
        <v>31815.331141151033</v>
      </c>
      <c r="AD179" s="46">
        <f>SUM(AC$179,'Statistics NZ'!AD$179-'Statistics NZ'!AC$179,$N$13/5*(AD$8-AD$9)*1000)</f>
        <v>31825.78673690715</v>
      </c>
      <c r="AE179" s="46">
        <f>SUM(AD$179,'Statistics NZ'!AE$179-'Statistics NZ'!AD$179,$N$13/5*(AE$8-AE$9)*1000)</f>
        <v>32502.151213512043</v>
      </c>
      <c r="AF179" s="46">
        <f>SUM(AE$179,'Statistics NZ'!AF$179-'Statistics NZ'!AE$179,$N$13/5*(AF$8-AF$9)*1000)</f>
        <v>32534.424570965712</v>
      </c>
      <c r="AG179" s="46">
        <f>SUM(AF$179,'Statistics NZ'!AG$179-'Statistics NZ'!AF$179,$N$13/5*(AG$8-AG$9)*1000)</f>
        <v>31682.606809268156</v>
      </c>
      <c r="AH179" s="46">
        <f>SUM(AG$179,'Statistics NZ'!AH$179-'Statistics NZ'!AG$179,$N$13/5*(AH$8-AH$9)*1000)</f>
        <v>30486.69792841938</v>
      </c>
      <c r="AI179" s="46">
        <f>SUM(AH$179,'Statistics NZ'!AI$179-'Statistics NZ'!AH$179,$N$13/5*(AI$8-AI$9)*1000)</f>
        <v>29636.69792841938</v>
      </c>
    </row>
    <row r="180" spans="1:35" x14ac:dyDescent="0.25">
      <c r="A180" s="11">
        <f>$A$80</f>
        <v>65</v>
      </c>
      <c r="B180" s="44">
        <f>'Statistics NZ'!B$180*'Economic Forecasts'!D$9*1000000/SUM('Statistics NZ'!B$30:B$110,'Statistics NZ'!B$130:B$210)</f>
        <v>17278.439593243373</v>
      </c>
      <c r="C180" s="44">
        <f>'Statistics NZ'!C$180*'Economic Forecasts'!E$9*1000000/SUM('Statistics NZ'!C$30:C$110,'Statistics NZ'!C$130:C$210)</f>
        <v>17460.099143001175</v>
      </c>
      <c r="D180" s="44">
        <f>'Statistics NZ'!D$180*'Economic Forecasts'!F$9*1000000/SUM('Statistics NZ'!D$30:D$110,'Statistics NZ'!D$130:D$210)</f>
        <v>15696.712481868117</v>
      </c>
      <c r="E180" s="44">
        <f>'Statistics NZ'!E$180*'Economic Forecasts'!G$9*1000000/SUM('Statistics NZ'!E$30:E$110,'Statistics NZ'!E$130:E$210)</f>
        <v>17583.992073945155</v>
      </c>
      <c r="F180" s="44">
        <f>'Statistics NZ'!F$180*'Economic Forecasts'!H$9*1000000/SUM('Statistics NZ'!F$30:F$110,'Statistics NZ'!F$130:F$210)</f>
        <v>18234.617473878072</v>
      </c>
      <c r="G180" s="44">
        <f>'Statistics NZ'!G$180*'Economic Forecasts'!I$9*1000000/SUM('Statistics NZ'!G$30:G$110,'Statistics NZ'!G$130:G$210)</f>
        <v>19242.223156343036</v>
      </c>
      <c r="H180" s="44">
        <f>'Statistics NZ'!H$180*'Economic Forecasts'!J$9*1000000/SUM('Statistics NZ'!H$30:H$110,'Statistics NZ'!H$130:H$210)</f>
        <v>22794.318172072828</v>
      </c>
      <c r="I180" s="44">
        <f>'Statistics NZ'!I$180*'Economic Forecasts'!K$9*1000000/SUM('Statistics NZ'!I$30:I$110,'Statistics NZ'!I$130:I$210)</f>
        <v>22616.802092089292</v>
      </c>
      <c r="J180" s="44">
        <f>'Statistics NZ'!J$180*'Economic Forecasts'!L$9*1000000/SUM('Statistics NZ'!J$30:J$110,'Statistics NZ'!J$130:J$210)</f>
        <v>22487.840454512672</v>
      </c>
      <c r="K180" s="44">
        <f>'Statistics NZ'!K$180*'Economic Forecasts'!M$9*1000000/SUM('Statistics NZ'!K$30:K$110,'Statistics NZ'!K$130:K$210)</f>
        <v>22490.666681107545</v>
      </c>
      <c r="L180" s="44">
        <f>'Statistics NZ'!L$180*'Economic Forecasts'!N$9*1000000/SUM('Statistics NZ'!L$30:L$110,'Statistics NZ'!L$130:L$210)</f>
        <v>22666.839776118813</v>
      </c>
      <c r="M180" s="44">
        <f>'Statistics NZ'!M$180*'Economic Forecasts'!O$9*1000000/SUM('Statistics NZ'!M$30:M$110,'Statistics NZ'!M$130:M$210)</f>
        <v>23163.659579078245</v>
      </c>
      <c r="N180" s="44">
        <f>'Statistics NZ'!N$180*'Economic Forecasts'!P$9*1000000/SUM('Statistics NZ'!N$30:N$110,'Statistics NZ'!N$130:N$210)</f>
        <v>23503.412119955286</v>
      </c>
      <c r="O180" s="44">
        <f>'Statistics NZ'!O$180*'Economic Forecasts'!Q$9*1000000/SUM('Statistics NZ'!O$30:O$110,'Statistics NZ'!O$130:O$210)</f>
        <v>24239.773213096174</v>
      </c>
      <c r="P180" s="44">
        <f>'Statistics NZ'!P$180*'Economic Forecasts'!R$9*1000000/SUM('Statistics NZ'!P$30:P$110,'Statistics NZ'!P$130:P$210)</f>
        <v>25040.17188113818</v>
      </c>
      <c r="Q180" s="44">
        <f>'Statistics NZ'!Q$180*'Economic Forecasts'!S$9*1000000/SUM('Statistics NZ'!Q$30:Q$110,'Statistics NZ'!Q$130:Q$210)</f>
        <v>25857.463851888679</v>
      </c>
      <c r="R180" s="44">
        <f>'Statistics NZ'!R$180*'Economic Forecasts'!T$9*1000000/SUM('Statistics NZ'!R$30:R$110,'Statistics NZ'!R$130:R$210)</f>
        <v>26234.00773536407</v>
      </c>
      <c r="S180" s="45">
        <f>SUM('Statistics NZ'!S$180,$O$13/5*(S$8-S$9)*1000)*'Economic Forecasts'!U$9*1000000/SUM('Statistics NZ'!S$30:S$110,'Statistics NZ'!S$130:S$210,SUM($E$12:$T$13)*(S$8-S$9)*1000)</f>
        <v>26628.295949888674</v>
      </c>
      <c r="T180" s="45">
        <f>SUM('Statistics NZ'!T$180,$O$13/5*(T$8-T$9)*1000)*'Economic Forecasts'!V$9*1000000/SUM('Statistics NZ'!T$30:T$110,'Statistics NZ'!T$130:T$210,SUM($E$12:$T$13)*(T$8-T$9)*1000)</f>
        <v>28490.405471563863</v>
      </c>
      <c r="U180" s="45">
        <f>SUM('Statistics NZ'!U$180,$O$13/5*(U$8-U$9)*1000)*'Economic Forecasts'!W$9*1000000/SUM('Statistics NZ'!U$30:U$110,'Statistics NZ'!U$130:U$210,SUM($E$12:$T$13)*(U$8-U$9)*1000)</f>
        <v>29215.484799366543</v>
      </c>
      <c r="V180" s="45">
        <f>SUM('Statistics NZ'!V$180,$O$13/5*(V$8-V$9)*1000)*'Economic Forecasts'!X$9*1000000/SUM('Statistics NZ'!V$30:V$110,'Statistics NZ'!V$130:V$210,SUM($E$12:$T$13)*(V$8-V$9)*1000)</f>
        <v>30150.46286981201</v>
      </c>
      <c r="W180" s="45">
        <f>SUM('Statistics NZ'!W$180,$O$13/5*(W$8-W$9)*1000)*'Economic Forecasts'!Y$9*1000000/SUM('Statistics NZ'!W$30:W$110,'Statistics NZ'!W$130:W$210,SUM($E$12:$T$13)*(W$8-W$9)*1000)</f>
        <v>31098.612545598015</v>
      </c>
      <c r="X180" s="45">
        <f>SUM('Statistics NZ'!X$180,$O$13/5*(X$8-X$9)*1000)*'Economic Forecasts'!Z$9*1000000/SUM('Statistics NZ'!X$30:X$110,'Statistics NZ'!X$130:X$210,SUM($E$12:$T$13)*(X$8-X$9)*1000)</f>
        <v>31464.962413944093</v>
      </c>
      <c r="Y180" s="45">
        <f>SUM('Statistics NZ'!Y$180,$O$13/5*(Y$8-Y$9)*1000)*'Economic Forecasts'!AA$9*1000000/SUM('Statistics NZ'!Y$30:Y$110,'Statistics NZ'!Y$130:Y$210,SUM($E$12:$T$13)*(Y$8-Y$9)*1000)</f>
        <v>31188.408840325275</v>
      </c>
      <c r="Z180" s="46">
        <f>SUM(Y$180,'Statistics NZ'!Z$180-'Statistics NZ'!Y$180,$O$13/5*(Z$8-Z$9)*1000)</f>
        <v>30573.874422795845</v>
      </c>
      <c r="AA180" s="46">
        <f>SUM(Z$180,'Statistics NZ'!AA$180-'Statistics NZ'!Z$180,$O$13/5*(AA$8-AA$9)*1000)</f>
        <v>30166.510496103019</v>
      </c>
      <c r="AB180" s="46">
        <f>SUM(AA$180,'Statistics NZ'!AB$180-'Statistics NZ'!AA$180,$O$13/5*(AB$8-AB$9)*1000)</f>
        <v>30306.317060246794</v>
      </c>
      <c r="AC180" s="46">
        <f>SUM(AB$180,'Statistics NZ'!AC$180-'Statistics NZ'!AB$180,$O$13/5*(AC$8-AC$9)*1000)</f>
        <v>30923.294115227174</v>
      </c>
      <c r="AD180" s="46">
        <f>SUM(AC$180,'Statistics NZ'!AD$180-'Statistics NZ'!AC$180,$O$13/5*(AD$8-AD$9)*1000)</f>
        <v>31657.441661044159</v>
      </c>
      <c r="AE180" s="46">
        <f>SUM(AD$180,'Statistics NZ'!AE$180-'Statistics NZ'!AD$180,$O$13/5*(AE$8-AE$9)*1000)</f>
        <v>31658.759697697744</v>
      </c>
      <c r="AF180" s="46">
        <f>SUM(AE$180,'Statistics NZ'!AF$180-'Statistics NZ'!AE$180,$O$13/5*(AF$8-AF$9)*1000)</f>
        <v>32337.248225187934</v>
      </c>
      <c r="AG180" s="46">
        <f>SUM(AF$180,'Statistics NZ'!AG$180-'Statistics NZ'!AF$180,$O$13/5*(AG$8-AG$9)*1000)</f>
        <v>32362.907243514728</v>
      </c>
      <c r="AH180" s="46">
        <f>SUM(AG$180,'Statistics NZ'!AH$180-'Statistics NZ'!AG$180,$O$13/5*(AH$8-AH$9)*1000)</f>
        <v>31515.736752678124</v>
      </c>
      <c r="AI180" s="46">
        <f>SUM(AH$180,'Statistics NZ'!AI$180-'Statistics NZ'!AH$180,$O$13/5*(AI$8-AI$9)*1000)</f>
        <v>30325.736752678124</v>
      </c>
    </row>
    <row r="181" spans="1:35" x14ac:dyDescent="0.25">
      <c r="A181" s="11">
        <f>$A$81</f>
        <v>66</v>
      </c>
      <c r="B181" s="44">
        <f>'Statistics NZ'!B$181*'Economic Forecasts'!D$9*1000000/SUM('Statistics NZ'!B$30:B$110,'Statistics NZ'!B$130:B$210)</f>
        <v>15928.25575186875</v>
      </c>
      <c r="C181" s="44">
        <f>'Statistics NZ'!C$181*'Economic Forecasts'!E$9*1000000/SUM('Statistics NZ'!C$30:C$110,'Statistics NZ'!C$130:C$210)</f>
        <v>17116.396403965718</v>
      </c>
      <c r="D181" s="44">
        <f>'Statistics NZ'!D$181*'Economic Forecasts'!F$9*1000000/SUM('Statistics NZ'!D$30:D$110,'Statistics NZ'!D$130:D$210)</f>
        <v>17268.348274796088</v>
      </c>
      <c r="E181" s="44">
        <f>'Statistics NZ'!E$181*'Economic Forecasts'!G$9*1000000/SUM('Statistics NZ'!E$30:E$110,'Statistics NZ'!E$130:E$210)</f>
        <v>15524.517263276732</v>
      </c>
      <c r="F181" s="44">
        <f>'Statistics NZ'!F$181*'Economic Forecasts'!H$9*1000000/SUM('Statistics NZ'!F$30:F$110,'Statistics NZ'!F$130:F$210)</f>
        <v>17449.910966126459</v>
      </c>
      <c r="G181" s="44">
        <f>'Statistics NZ'!G$181*'Economic Forecasts'!I$9*1000000/SUM('Statistics NZ'!G$30:G$110,'Statistics NZ'!G$130:G$210)</f>
        <v>18092.993901982576</v>
      </c>
      <c r="H181" s="44">
        <f>'Statistics NZ'!H$181*'Economic Forecasts'!J$9*1000000/SUM('Statistics NZ'!H$30:H$110,'Statistics NZ'!H$130:H$210)</f>
        <v>19050.940920538451</v>
      </c>
      <c r="I181" s="44">
        <f>'Statistics NZ'!I$181*'Economic Forecasts'!K$9*1000000/SUM('Statistics NZ'!I$30:I$110,'Statistics NZ'!I$130:I$210)</f>
        <v>22597.194981476292</v>
      </c>
      <c r="J181" s="44">
        <f>'Statistics NZ'!J$181*'Economic Forecasts'!L$9*1000000/SUM('Statistics NZ'!J$30:J$110,'Statistics NZ'!J$130:J$210)</f>
        <v>22283.050927390053</v>
      </c>
      <c r="K181" s="44">
        <f>'Statistics NZ'!K$181*'Economic Forecasts'!M$9*1000000/SUM('Statistics NZ'!K$30:K$110,'Statistics NZ'!K$130:K$210)</f>
        <v>22237.524978203302</v>
      </c>
      <c r="L181" s="44">
        <f>'Statistics NZ'!L$181*'Economic Forecasts'!N$9*1000000/SUM('Statistics NZ'!L$30:L$110,'Statistics NZ'!L$130:L$210)</f>
        <v>22355.268095347416</v>
      </c>
      <c r="M181" s="44">
        <f>'Statistics NZ'!M$181*'Economic Forecasts'!O$9*1000000/SUM('Statistics NZ'!M$30:M$110,'Statistics NZ'!M$130:M$210)</f>
        <v>22567.715574724058</v>
      </c>
      <c r="N181" s="44">
        <f>'Statistics NZ'!N$181*'Economic Forecasts'!P$9*1000000/SUM('Statistics NZ'!N$30:N$110,'Statistics NZ'!N$130:N$210)</f>
        <v>23014.165406384196</v>
      </c>
      <c r="O181" s="44">
        <f>'Statistics NZ'!O$181*'Economic Forecasts'!Q$9*1000000/SUM('Statistics NZ'!O$30:O$110,'Statistics NZ'!O$130:O$210)</f>
        <v>23435.377663329324</v>
      </c>
      <c r="P181" s="44">
        <f>'Statistics NZ'!P$181*'Economic Forecasts'!R$9*1000000/SUM('Statistics NZ'!P$30:P$110,'Statistics NZ'!P$130:P$210)</f>
        <v>24257.66650985261</v>
      </c>
      <c r="Q181" s="44">
        <f>'Statistics NZ'!Q$181*'Economic Forecasts'!S$9*1000000/SUM('Statistics NZ'!Q$30:Q$110,'Statistics NZ'!Q$130:Q$210)</f>
        <v>24919.884055732411</v>
      </c>
      <c r="R181" s="44">
        <f>'Statistics NZ'!R$181*'Economic Forecasts'!T$9*1000000/SUM('Statistics NZ'!R$30:R$110,'Statistics NZ'!R$130:R$210)</f>
        <v>25485.309054219622</v>
      </c>
      <c r="S181" s="45">
        <f>SUM('Statistics NZ'!S$181,$O$13/5*(S$8-S$9)*1000)*'Economic Forecasts'!U$9*1000000/SUM('Statistics NZ'!S$30:S$110,'Statistics NZ'!S$130:S$210,SUM($E$12:$T$13)*(S$8-S$9)*1000)</f>
        <v>25852.14611001081</v>
      </c>
      <c r="T181" s="45">
        <f>SUM('Statistics NZ'!T$181,$O$13/5*(T$8-T$9)*1000)*'Economic Forecasts'!V$9*1000000/SUM('Statistics NZ'!T$30:T$110,'Statistics NZ'!T$130:T$210,SUM($E$12:$T$13)*(T$8-T$9)*1000)</f>
        <v>27122.278267235317</v>
      </c>
      <c r="U181" s="45">
        <f>SUM('Statistics NZ'!U$181,$O$13/5*(U$8-U$9)*1000)*'Economic Forecasts'!W$9*1000000/SUM('Statistics NZ'!U$30:U$110,'Statistics NZ'!U$130:U$210,SUM($E$12:$T$13)*(U$8-U$9)*1000)</f>
        <v>28528.819077800777</v>
      </c>
      <c r="V181" s="45">
        <f>SUM('Statistics NZ'!V$181,$O$13/5*(V$8-V$9)*1000)*'Economic Forecasts'!X$9*1000000/SUM('Statistics NZ'!V$30:V$110,'Statistics NZ'!V$130:V$210,SUM($E$12:$T$13)*(V$8-V$9)*1000)</f>
        <v>29068.42014566193</v>
      </c>
      <c r="W181" s="45">
        <f>SUM('Statistics NZ'!W$181,$O$13/5*(W$8-W$9)*1000)*'Economic Forecasts'!Y$9*1000000/SUM('Statistics NZ'!W$30:W$110,'Statistics NZ'!W$130:W$210,SUM($E$12:$T$13)*(W$8-W$9)*1000)</f>
        <v>30004.851623632017</v>
      </c>
      <c r="X181" s="45">
        <f>SUM('Statistics NZ'!X$181,$O$13/5*(X$8-X$9)*1000)*'Economic Forecasts'!Z$9*1000000/SUM('Statistics NZ'!X$30:X$110,'Statistics NZ'!X$130:X$210,SUM($E$12:$T$13)*(X$8-X$9)*1000)</f>
        <v>30977.890364597861</v>
      </c>
      <c r="Y181" s="45">
        <f>SUM('Statistics NZ'!Y$181,$O$13/5*(Y$8-Y$9)*1000)*'Economic Forecasts'!AA$9*1000000/SUM('Statistics NZ'!Y$30:Y$110,'Statistics NZ'!Y$130:Y$210,SUM($E$12:$T$13)*(Y$8-Y$9)*1000)</f>
        <v>31361.348316803287</v>
      </c>
      <c r="Z181" s="46">
        <f>SUM(Y$181,'Statistics NZ'!Z$181-'Statistics NZ'!Y$181,$O$13/5*(Z$8-Z$9)*1000)</f>
        <v>31046.813899273857</v>
      </c>
      <c r="AA181" s="46">
        <f>SUM(Z$181,'Statistics NZ'!AA$181-'Statistics NZ'!Z$181,$O$13/5*(AA$8-AA$9)*1000)</f>
        <v>30439.449972581031</v>
      </c>
      <c r="AB181" s="46">
        <f>SUM(AA$181,'Statistics NZ'!AB$181-'Statistics NZ'!AA$181,$O$13/5*(AB$8-AB$9)*1000)</f>
        <v>30029.256536724806</v>
      </c>
      <c r="AC181" s="46">
        <f>SUM(AB$181,'Statistics NZ'!AC$181-'Statistics NZ'!AB$181,$O$13/5*(AC$8-AC$9)*1000)</f>
        <v>30166.233591705186</v>
      </c>
      <c r="AD181" s="46">
        <f>SUM(AC$181,'Statistics NZ'!AD$181-'Statistics NZ'!AC$181,$O$13/5*(AD$8-AD$9)*1000)</f>
        <v>30780.38113752217</v>
      </c>
      <c r="AE181" s="46">
        <f>SUM(AD$181,'Statistics NZ'!AE$181-'Statistics NZ'!AD$181,$O$13/5*(AE$8-AE$9)*1000)</f>
        <v>31521.699174175756</v>
      </c>
      <c r="AF181" s="46">
        <f>SUM(AE$181,'Statistics NZ'!AF$181-'Statistics NZ'!AE$181,$O$13/5*(AF$8-AF$9)*1000)</f>
        <v>31520.187701665945</v>
      </c>
      <c r="AG181" s="46">
        <f>SUM(AF$181,'Statistics NZ'!AG$181-'Statistics NZ'!AF$181,$O$13/5*(AG$8-AG$9)*1000)</f>
        <v>32195.84671999274</v>
      </c>
      <c r="AH181" s="46">
        <f>SUM(AG$181,'Statistics NZ'!AH$181-'Statistics NZ'!AG$181,$O$13/5*(AH$8-AH$9)*1000)</f>
        <v>32228.676229156135</v>
      </c>
      <c r="AI181" s="46">
        <f>SUM(AH$181,'Statistics NZ'!AI$181-'Statistics NZ'!AH$181,$O$13/5*(AI$8-AI$9)*1000)</f>
        <v>31378.676229156135</v>
      </c>
    </row>
    <row r="182" spans="1:35" x14ac:dyDescent="0.25">
      <c r="A182" s="11">
        <f>$A$82</f>
        <v>67</v>
      </c>
      <c r="B182" s="44">
        <f>'Statistics NZ'!B$182*'Economic Forecasts'!D$9*1000000/SUM('Statistics NZ'!B$30:B$110,'Statistics NZ'!B$130:B$210)</f>
        <v>14176.930334433549</v>
      </c>
      <c r="C182" s="44">
        <f>'Statistics NZ'!C$182*'Economic Forecasts'!E$9*1000000/SUM('Statistics NZ'!C$30:C$110,'Statistics NZ'!C$130:C$210)</f>
        <v>15790.685839114672</v>
      </c>
      <c r="D182" s="44">
        <f>'Statistics NZ'!D$182*'Economic Forecasts'!F$9*1000000/SUM('Statistics NZ'!D$30:D$110,'Statistics NZ'!D$130:D$210)</f>
        <v>16895.084773975694</v>
      </c>
      <c r="E182" s="44">
        <f>'Statistics NZ'!E$182*'Economic Forecasts'!G$9*1000000/SUM('Statistics NZ'!E$30:E$110,'Statistics NZ'!E$130:E$210)</f>
        <v>17034.798791100242</v>
      </c>
      <c r="F182" s="44">
        <f>'Statistics NZ'!F$182*'Economic Forecasts'!H$9*1000000/SUM('Statistics NZ'!F$30:F$110,'Statistics NZ'!F$130:F$210)</f>
        <v>15331.20339519711</v>
      </c>
      <c r="G182" s="44">
        <f>'Statistics NZ'!G$182*'Economic Forecasts'!I$9*1000000/SUM('Statistics NZ'!G$30:G$110,'Statistics NZ'!G$130:G$210)</f>
        <v>17317.018593482779</v>
      </c>
      <c r="H182" s="44">
        <f>'Statistics NZ'!H$182*'Economic Forecasts'!J$9*1000000/SUM('Statistics NZ'!H$30:H$110,'Statistics NZ'!H$130:H$210)</f>
        <v>17871.924463362273</v>
      </c>
      <c r="I182" s="44">
        <f>'Statistics NZ'!I$182*'Economic Forecasts'!K$9*1000000/SUM('Statistics NZ'!I$30:I$110,'Statistics NZ'!I$130:I$210)</f>
        <v>18871.843965007316</v>
      </c>
      <c r="J182" s="44">
        <f>'Statistics NZ'!J$182*'Economic Forecasts'!L$9*1000000/SUM('Statistics NZ'!J$30:J$110,'Statistics NZ'!J$130:J$210)</f>
        <v>22224.539633926441</v>
      </c>
      <c r="K182" s="44">
        <f>'Statistics NZ'!K$182*'Economic Forecasts'!M$9*1000000/SUM('Statistics NZ'!K$30:K$110,'Statistics NZ'!K$130:K$210)</f>
        <v>22033.064372011417</v>
      </c>
      <c r="L182" s="44">
        <f>'Statistics NZ'!L$182*'Economic Forecasts'!N$9*1000000/SUM('Statistics NZ'!L$30:L$110,'Statistics NZ'!L$130:L$210)</f>
        <v>22053.433029600132</v>
      </c>
      <c r="M182" s="44">
        <f>'Statistics NZ'!M$182*'Economic Forecasts'!O$9*1000000/SUM('Statistics NZ'!M$30:M$110,'Statistics NZ'!M$130:M$210)</f>
        <v>22264.858785626027</v>
      </c>
      <c r="N182" s="44">
        <f>'Statistics NZ'!N$182*'Economic Forecasts'!P$9*1000000/SUM('Statistics NZ'!N$30:N$110,'Statistics NZ'!N$130:N$210)</f>
        <v>22378.144678741774</v>
      </c>
      <c r="O182" s="44">
        <f>'Statistics NZ'!O$182*'Economic Forecasts'!Q$9*1000000/SUM('Statistics NZ'!O$30:O$110,'Statistics NZ'!O$130:O$210)</f>
        <v>22925.273168355223</v>
      </c>
      <c r="P182" s="44">
        <f>'Statistics NZ'!P$182*'Economic Forecasts'!R$9*1000000/SUM('Statistics NZ'!P$30:P$110,'Statistics NZ'!P$130:P$210)</f>
        <v>23367.566650015277</v>
      </c>
      <c r="Q182" s="44">
        <f>'Statistics NZ'!Q$182*'Economic Forecasts'!S$9*1000000/SUM('Statistics NZ'!Q$30:Q$110,'Statistics NZ'!Q$130:Q$210)</f>
        <v>24159.950957795223</v>
      </c>
      <c r="R182" s="44">
        <f>'Statistics NZ'!R$182*'Economic Forecasts'!T$9*1000000/SUM('Statistics NZ'!R$30:R$110,'Statistics NZ'!R$130:R$210)</f>
        <v>24441.071419991837</v>
      </c>
      <c r="S182" s="45">
        <f>SUM('Statistics NZ'!S$182,$O$13/5*(S$8-S$9)*1000)*'Economic Forecasts'!U$9*1000000/SUM('Statistics NZ'!S$30:S$110,'Statistics NZ'!S$130:S$210,SUM($E$12:$T$13)*(S$8-S$9)*1000)</f>
        <v>25075.996270132946</v>
      </c>
      <c r="T182" s="45">
        <f>SUM('Statistics NZ'!T$182,$O$13/5*(T$8-T$9)*1000)*'Economic Forecasts'!V$9*1000000/SUM('Statistics NZ'!T$30:T$110,'Statistics NZ'!T$130:T$210,SUM($E$12:$T$13)*(T$8-T$9)*1000)</f>
        <v>26283.426550712706</v>
      </c>
      <c r="U182" s="45">
        <f>SUM('Statistics NZ'!U$182,$O$13/5*(U$8-U$9)*1000)*'Economic Forecasts'!W$9*1000000/SUM('Statistics NZ'!U$30:U$110,'Statistics NZ'!U$130:U$210,SUM($E$12:$T$13)*(U$8-U$9)*1000)</f>
        <v>27115.095533400676</v>
      </c>
      <c r="V182" s="45">
        <f>SUM('Statistics NZ'!V$182,$O$13/5*(V$8-V$9)*1000)*'Economic Forecasts'!X$9*1000000/SUM('Statistics NZ'!V$30:V$110,'Statistics NZ'!V$130:V$210,SUM($E$12:$T$13)*(V$8-V$9)*1000)</f>
        <v>28350.429179169816</v>
      </c>
      <c r="W182" s="45">
        <f>SUM('Statistics NZ'!W$182,$O$13/5*(W$8-W$9)*1000)*'Economic Forecasts'!Y$9*1000000/SUM('Statistics NZ'!W$30:W$110,'Statistics NZ'!W$130:W$210,SUM($E$12:$T$13)*(W$8-W$9)*1000)</f>
        <v>28900.963285721886</v>
      </c>
      <c r="X182" s="45">
        <f>SUM('Statistics NZ'!X$182,$O$13/5*(X$8-X$9)*1000)*'Economic Forecasts'!Z$9*1000000/SUM('Statistics NZ'!X$30:X$110,'Statistics NZ'!X$130:X$210,SUM($E$12:$T$13)*(X$8-X$9)*1000)</f>
        <v>29851.536250484696</v>
      </c>
      <c r="Y182" s="45">
        <f>SUM('Statistics NZ'!Y$182,$O$13/5*(Y$8-Y$9)*1000)*'Economic Forecasts'!AA$9*1000000/SUM('Statistics NZ'!Y$30:Y$110,'Statistics NZ'!Y$130:Y$210,SUM($E$12:$T$13)*(Y$8-Y$9)*1000)</f>
        <v>30832.35697698822</v>
      </c>
      <c r="Z182" s="46">
        <f>SUM(Y$182,'Statistics NZ'!Z$182-'Statistics NZ'!Y$182,$O$13/5*(Z$8-Z$9)*1000)</f>
        <v>31157.822559458789</v>
      </c>
      <c r="AA182" s="46">
        <f>SUM(Z$182,'Statistics NZ'!AA$182-'Statistics NZ'!Z$182,$O$13/5*(AA$8-AA$9)*1000)</f>
        <v>30850.458632765964</v>
      </c>
      <c r="AB182" s="46">
        <f>SUM(AA$182,'Statistics NZ'!AB$182-'Statistics NZ'!AA$182,$O$13/5*(AB$8-AB$9)*1000)</f>
        <v>30250.265196909739</v>
      </c>
      <c r="AC182" s="46">
        <f>SUM(AB$182,'Statistics NZ'!AC$182-'Statistics NZ'!AB$182,$O$13/5*(AC$8-AC$9)*1000)</f>
        <v>29847.242251890118</v>
      </c>
      <c r="AD182" s="46">
        <f>SUM(AC$182,'Statistics NZ'!AD$182-'Statistics NZ'!AC$182,$O$13/5*(AD$8-AD$9)*1000)</f>
        <v>29991.389797707103</v>
      </c>
      <c r="AE182" s="46">
        <f>SUM(AD$182,'Statistics NZ'!AE$182-'Statistics NZ'!AD$182,$O$13/5*(AE$8-AE$9)*1000)</f>
        <v>30602.707834360688</v>
      </c>
      <c r="AF182" s="46">
        <f>SUM(AE$182,'Statistics NZ'!AF$182-'Statistics NZ'!AE$182,$O$13/5*(AF$8-AF$9)*1000)</f>
        <v>31331.196361850878</v>
      </c>
      <c r="AG182" s="46">
        <f>SUM(AF$182,'Statistics NZ'!AG$182-'Statistics NZ'!AF$182,$O$13/5*(AG$8-AG$9)*1000)</f>
        <v>31336.855380177672</v>
      </c>
      <c r="AH182" s="46">
        <f>SUM(AG$182,'Statistics NZ'!AH$182-'Statistics NZ'!AG$182,$O$13/5*(AH$8-AH$9)*1000)</f>
        <v>32009.684889341068</v>
      </c>
      <c r="AI182" s="46">
        <f>SUM(AH$182,'Statistics NZ'!AI$182-'Statistics NZ'!AH$182,$O$13/5*(AI$8-AI$9)*1000)</f>
        <v>32039.684889341068</v>
      </c>
    </row>
    <row r="183" spans="1:35" x14ac:dyDescent="0.25">
      <c r="A183" s="11">
        <f>$A$83</f>
        <v>68</v>
      </c>
      <c r="B183" s="44">
        <f>'Statistics NZ'!B$183*'Economic Forecasts'!D$9*1000000/SUM('Statistics NZ'!B$30:B$110,'Statistics NZ'!B$130:B$210)</f>
        <v>13687.733290457238</v>
      </c>
      <c r="C183" s="44">
        <f>'Statistics NZ'!C$183*'Economic Forecasts'!E$9*1000000/SUM('Statistics NZ'!C$30:C$110,'Statistics NZ'!C$130:C$210)</f>
        <v>14003.431596130302</v>
      </c>
      <c r="D183" s="44">
        <f>'Statistics NZ'!D$183*'Economic Forecasts'!F$9*1000000/SUM('Statistics NZ'!D$30:D$110,'Statistics NZ'!D$130:D$210)</f>
        <v>15559.194349986919</v>
      </c>
      <c r="E183" s="44">
        <f>'Statistics NZ'!E$183*'Economic Forecasts'!G$9*1000000/SUM('Statistics NZ'!E$30:E$110,'Statistics NZ'!E$130:E$210)</f>
        <v>16652.324897690392</v>
      </c>
      <c r="F183" s="44">
        <f>'Statistics NZ'!F$183*'Economic Forecasts'!H$9*1000000/SUM('Statistics NZ'!F$30:F$110,'Statistics NZ'!F$130:F$210)</f>
        <v>16851.572253965856</v>
      </c>
      <c r="G183" s="44">
        <f>'Statistics NZ'!G$183*'Economic Forecasts'!I$9*1000000/SUM('Statistics NZ'!G$30:G$110,'Statistics NZ'!G$130:G$210)</f>
        <v>15185.542113173215</v>
      </c>
      <c r="H183" s="44">
        <f>'Statistics NZ'!H$183*'Economic Forecasts'!J$9*1000000/SUM('Statistics NZ'!H$30:H$110,'Statistics NZ'!H$130:H$210)</f>
        <v>17115.388903340889</v>
      </c>
      <c r="I183" s="44">
        <f>'Statistics NZ'!I$183*'Economic Forecasts'!K$9*1000000/SUM('Statistics NZ'!I$30:I$110,'Statistics NZ'!I$130:I$210)</f>
        <v>17656.203107001653</v>
      </c>
      <c r="J183" s="44">
        <f>'Statistics NZ'!J$183*'Economic Forecasts'!L$9*1000000/SUM('Statistics NZ'!J$30:J$110,'Statistics NZ'!J$130:J$210)</f>
        <v>18567.583792451052</v>
      </c>
      <c r="K183" s="44">
        <f>'Statistics NZ'!K$183*'Economic Forecasts'!M$9*1000000/SUM('Statistics NZ'!K$30:K$110,'Statistics NZ'!K$130:K$210)</f>
        <v>21857.812423846943</v>
      </c>
      <c r="L183" s="44">
        <f>'Statistics NZ'!L$183*'Economic Forecasts'!N$9*1000000/SUM('Statistics NZ'!L$30:L$110,'Statistics NZ'!L$130:L$210)</f>
        <v>21848.964114093902</v>
      </c>
      <c r="M183" s="44">
        <f>'Statistics NZ'!M$183*'Economic Forecasts'!O$9*1000000/SUM('Statistics NZ'!M$30:M$110,'Statistics NZ'!M$130:M$210)</f>
        <v>21893.614979634895</v>
      </c>
      <c r="N183" s="44">
        <f>'Statistics NZ'!N$183*'Economic Forecasts'!P$9*1000000/SUM('Statistics NZ'!N$30:N$110,'Statistics NZ'!N$130:N$210)</f>
        <v>22055.241847784855</v>
      </c>
      <c r="O183" s="44">
        <f>'Statistics NZ'!O$183*'Economic Forecasts'!Q$9*1000000/SUM('Statistics NZ'!O$30:O$110,'Statistics NZ'!O$130:O$210)</f>
        <v>22238.594040505472</v>
      </c>
      <c r="P183" s="44">
        <f>'Statistics NZ'!P$183*'Economic Forecasts'!R$9*1000000/SUM('Statistics NZ'!P$30:P$110,'Statistics NZ'!P$130:P$210)</f>
        <v>22839.375524397517</v>
      </c>
      <c r="Q183" s="44">
        <f>'Statistics NZ'!Q$183*'Economic Forecasts'!S$9*1000000/SUM('Statistics NZ'!Q$30:Q$110,'Statistics NZ'!Q$130:Q$210)</f>
        <v>23251.978944675469</v>
      </c>
      <c r="R183" s="44">
        <f>'Statistics NZ'!R$183*'Economic Forecasts'!T$9*1000000/SUM('Statistics NZ'!R$30:R$110,'Statistics NZ'!R$130:R$210)</f>
        <v>23771.183126336273</v>
      </c>
      <c r="S183" s="45">
        <f>SUM('Statistics NZ'!S$183,$O$13/5*(S$8-S$9)*1000)*'Economic Forecasts'!U$9*1000000/SUM('Statistics NZ'!S$30:S$110,'Statistics NZ'!S$130:S$210,SUM($E$12:$T$13)*(S$8-S$9)*1000)</f>
        <v>24028.193986297832</v>
      </c>
      <c r="T183" s="45">
        <f>SUM('Statistics NZ'!T$183,$O$13/5*(T$8-T$9)*1000)*'Economic Forecasts'!V$9*1000000/SUM('Statistics NZ'!T$30:T$110,'Statistics NZ'!T$130:T$210,SUM($E$12:$T$13)*(T$8-T$9)*1000)</f>
        <v>25464.547494107301</v>
      </c>
      <c r="U183" s="45">
        <f>SUM('Statistics NZ'!U$183,$O$13/5*(U$8-U$9)*1000)*'Economic Forecasts'!W$9*1000000/SUM('Statistics NZ'!U$30:U$110,'Statistics NZ'!U$130:U$210,SUM($E$12:$T$13)*(U$8-U$9)*1000)</f>
        <v>26236.567330809183</v>
      </c>
      <c r="V183" s="45">
        <f>SUM('Statistics NZ'!V$183,$O$13/5*(V$8-V$9)*1000)*'Economic Forecasts'!X$9*1000000/SUM('Statistics NZ'!V$30:V$110,'Statistics NZ'!V$130:V$210,SUM($E$12:$T$13)*(V$8-V$9)*1000)</f>
        <v>26904.334697361766</v>
      </c>
      <c r="W183" s="45">
        <f>SUM('Statistics NZ'!W$183,$O$13/5*(W$8-W$9)*1000)*'Economic Forecasts'!Y$9*1000000/SUM('Statistics NZ'!W$30:W$110,'Statistics NZ'!W$130:W$210,SUM($E$12:$T$13)*(W$8-W$9)*1000)</f>
        <v>28141.407089912162</v>
      </c>
      <c r="X183" s="45">
        <f>SUM('Statistics NZ'!X$183,$O$13/5*(X$8-X$9)*1000)*'Economic Forecasts'!Z$9*1000000/SUM('Statistics NZ'!X$30:X$110,'Statistics NZ'!X$130:X$210,SUM($E$12:$T$13)*(X$8-X$9)*1000)</f>
        <v>28704.887467648765</v>
      </c>
      <c r="Y183" s="45">
        <f>SUM('Statistics NZ'!Y$183,$O$13/5*(Y$8-Y$9)*1000)*'Economic Forecasts'!AA$9*1000000/SUM('Statistics NZ'!Y$30:Y$110,'Statistics NZ'!Y$130:Y$210,SUM($E$12:$T$13)*(Y$8-Y$9)*1000)</f>
        <v>29662.472283166433</v>
      </c>
      <c r="Z183" s="46">
        <f>SUM(Y$183,'Statistics NZ'!Z$183-'Statistics NZ'!Y$183,$O$13/5*(Z$8-Z$9)*1000)</f>
        <v>30577.937865637003</v>
      </c>
      <c r="AA183" s="46">
        <f>SUM(Z$183,'Statistics NZ'!AA$183-'Statistics NZ'!Z$183,$O$13/5*(AA$8-AA$9)*1000)</f>
        <v>30910.573938944177</v>
      </c>
      <c r="AB183" s="46">
        <f>SUM(AA$183,'Statistics NZ'!AB$183-'Statistics NZ'!AA$183,$O$13/5*(AB$8-AB$9)*1000)</f>
        <v>30600.380503087952</v>
      </c>
      <c r="AC183" s="46">
        <f>SUM(AB$183,'Statistics NZ'!AC$183-'Statistics NZ'!AB$183,$O$13/5*(AC$8-AC$9)*1000)</f>
        <v>30017.357558068332</v>
      </c>
      <c r="AD183" s="46">
        <f>SUM(AC$183,'Statistics NZ'!AD$183-'Statistics NZ'!AC$183,$O$13/5*(AD$8-AD$9)*1000)</f>
        <v>29621.505103885316</v>
      </c>
      <c r="AE183" s="46">
        <f>SUM(AD$183,'Statistics NZ'!AE$183-'Statistics NZ'!AD$183,$O$13/5*(AE$8-AE$9)*1000)</f>
        <v>29762.823140538901</v>
      </c>
      <c r="AF183" s="46">
        <f>SUM(AE$183,'Statistics NZ'!AF$183-'Statistics NZ'!AE$183,$O$13/5*(AF$8-AF$9)*1000)</f>
        <v>30371.311668029091</v>
      </c>
      <c r="AG183" s="46">
        <f>SUM(AF$183,'Statistics NZ'!AG$183-'Statistics NZ'!AF$183,$O$13/5*(AG$8-AG$9)*1000)</f>
        <v>31096.970686355886</v>
      </c>
      <c r="AH183" s="46">
        <f>SUM(AG$183,'Statistics NZ'!AH$183-'Statistics NZ'!AG$183,$O$13/5*(AH$8-AH$9)*1000)</f>
        <v>31109.800195519281</v>
      </c>
      <c r="AI183" s="46">
        <f>SUM(AH$183,'Statistics NZ'!AI$183-'Statistics NZ'!AH$183,$O$13/5*(AI$8-AI$9)*1000)</f>
        <v>31769.800195519281</v>
      </c>
    </row>
    <row r="184" spans="1:35" x14ac:dyDescent="0.25">
      <c r="A184" s="11">
        <f>$A$84</f>
        <v>69</v>
      </c>
      <c r="B184" s="44">
        <f>'Statistics NZ'!B$184*'Economic Forecasts'!D$9*1000000/SUM('Statistics NZ'!B$30:B$110,'Statistics NZ'!B$130:B$210)</f>
        <v>12914.801960974663</v>
      </c>
      <c r="C184" s="44">
        <f>'Statistics NZ'!C$184*'Economic Forecasts'!E$9*1000000/SUM('Statistics NZ'!C$30:C$110,'Statistics NZ'!C$130:C$210)</f>
        <v>13512.427683222506</v>
      </c>
      <c r="D184" s="44">
        <f>'Statistics NZ'!D$184*'Economic Forecasts'!F$9*1000000/SUM('Statistics NZ'!D$30:D$110,'Statistics NZ'!D$130:D$210)</f>
        <v>13771.458635531353</v>
      </c>
      <c r="E184" s="44">
        <f>'Statistics NZ'!E$184*'Economic Forecasts'!G$9*1000000/SUM('Statistics NZ'!E$30:E$110,'Statistics NZ'!E$130:E$210)</f>
        <v>15289.148713486053</v>
      </c>
      <c r="F184" s="44">
        <f>'Statistics NZ'!F$184*'Economic Forecasts'!H$9*1000000/SUM('Statistics NZ'!F$30:F$110,'Statistics NZ'!F$130:F$210)</f>
        <v>16370.939517967994</v>
      </c>
      <c r="G184" s="44">
        <f>'Statistics NZ'!G$184*'Economic Forecasts'!I$9*1000000/SUM('Statistics NZ'!G$30:G$110,'Statistics NZ'!G$130:G$210)</f>
        <v>16658.912952096878</v>
      </c>
      <c r="H184" s="44">
        <f>'Statistics NZ'!H$184*'Economic Forecasts'!J$9*1000000/SUM('Statistics NZ'!H$30:H$110,'Statistics NZ'!H$130:H$210)</f>
        <v>14973.509006137494</v>
      </c>
      <c r="I184" s="44">
        <f>'Statistics NZ'!I$184*'Economic Forecasts'!K$9*1000000/SUM('Statistics NZ'!I$30:I$110,'Statistics NZ'!I$130:I$210)</f>
        <v>16852.311571868871</v>
      </c>
      <c r="J184" s="44">
        <f>'Statistics NZ'!J$184*'Economic Forecasts'!L$9*1000000/SUM('Statistics NZ'!J$30:J$110,'Statistics NZ'!J$130:J$210)</f>
        <v>17290.08721849565</v>
      </c>
      <c r="K184" s="44">
        <f>'Statistics NZ'!K$184*'Economic Forecasts'!M$9*1000000/SUM('Statistics NZ'!K$30:K$110,'Statistics NZ'!K$130:K$210)</f>
        <v>18274.883705817687</v>
      </c>
      <c r="L184" s="44">
        <f>'Statistics NZ'!L$184*'Economic Forecasts'!N$9*1000000/SUM('Statistics NZ'!L$30:L$110,'Statistics NZ'!L$130:L$210)</f>
        <v>21576.338893418939</v>
      </c>
      <c r="M184" s="44">
        <f>'Statistics NZ'!M$184*'Economic Forecasts'!O$9*1000000/SUM('Statistics NZ'!M$30:M$110,'Statistics NZ'!M$130:M$210)</f>
        <v>21590.758190536872</v>
      </c>
      <c r="N184" s="44">
        <f>'Statistics NZ'!N$184*'Economic Forecasts'!P$9*1000000/SUM('Statistics NZ'!N$30:N$110,'Statistics NZ'!N$130:N$210)</f>
        <v>21663.844476927978</v>
      </c>
      <c r="O184" s="44">
        <f>'Statistics NZ'!O$184*'Economic Forecasts'!Q$9*1000000/SUM('Statistics NZ'!O$30:O$110,'Statistics NZ'!O$130:O$210)</f>
        <v>21875.635072927747</v>
      </c>
      <c r="P184" s="44">
        <f>'Statistics NZ'!P$184*'Economic Forecasts'!R$9*1000000/SUM('Statistics NZ'!P$30:P$110,'Statistics NZ'!P$130:P$210)</f>
        <v>22184.027275945857</v>
      </c>
      <c r="Q184" s="44">
        <f>'Statistics NZ'!Q$184*'Economic Forecasts'!S$9*1000000/SUM('Statistics NZ'!Q$30:Q$110,'Statistics NZ'!Q$130:Q$210)</f>
        <v>22669.692544957365</v>
      </c>
      <c r="R184" s="44">
        <f>'Statistics NZ'!R$184*'Economic Forecasts'!T$9*1000000/SUM('Statistics NZ'!R$30:R$110,'Statistics NZ'!R$130:R$210)</f>
        <v>22825.458476469597</v>
      </c>
      <c r="S184" s="45">
        <f>SUM('Statistics NZ'!S$184,$O$13/5*(S$8-S$9)*1000)*'Economic Forecasts'!U$9*1000000/SUM('Statistics NZ'!S$30:S$110,'Statistics NZ'!S$130:S$210,SUM($E$12:$T$13)*(S$8-S$9)*1000)</f>
        <v>23339.361003406226</v>
      </c>
      <c r="T184" s="45">
        <f>SUM('Statistics NZ'!T$184,$O$13/5*(T$8-T$9)*1000)*'Economic Forecasts'!V$9*1000000/SUM('Statistics NZ'!T$30:T$110,'Statistics NZ'!T$130:T$210,SUM($E$12:$T$13)*(T$8-T$9)*1000)</f>
        <v>24356.064868702422</v>
      </c>
      <c r="U184" s="45">
        <f>SUM('Statistics NZ'!U$184,$O$13/5*(U$8-U$9)*1000)*'Economic Forecasts'!W$9*1000000/SUM('Statistics NZ'!U$30:U$110,'Statistics NZ'!U$130:U$210,SUM($E$12:$T$13)*(U$8-U$9)*1000)</f>
        <v>25378.235178851977</v>
      </c>
      <c r="V184" s="45">
        <f>SUM('Statistics NZ'!V$184,$O$13/5*(V$8-V$9)*1000)*'Economic Forecasts'!X$9*1000000/SUM('Statistics NZ'!V$30:V$110,'Statistics NZ'!V$130:V$210,SUM($E$12:$T$13)*(V$8-V$9)*1000)</f>
        <v>25994.205303216833</v>
      </c>
      <c r="W184" s="45">
        <f>SUM('Statistics NZ'!W$184,$O$13/5*(W$8-W$9)*1000)*'Economic Forecasts'!Y$9*1000000/SUM('Statistics NZ'!W$30:W$110,'Statistics NZ'!W$130:W$210,SUM($E$12:$T$13)*(W$8-W$9)*1000)</f>
        <v>26662.80436206923</v>
      </c>
      <c r="X184" s="45">
        <f>SUM('Statistics NZ'!X$184,$O$13/5*(X$8-X$9)*1000)*'Economic Forecasts'!Z$9*1000000/SUM('Statistics NZ'!X$30:X$110,'Statistics NZ'!X$130:X$210,SUM($E$12:$T$13)*(X$8-X$9)*1000)</f>
        <v>27903.248053099753</v>
      </c>
      <c r="Y184" s="45">
        <f>SUM('Statistics NZ'!Y$184,$O$13/5*(Y$8-Y$9)*1000)*'Economic Forecasts'!AA$9*1000000/SUM('Statistics NZ'!Y$30:Y$110,'Statistics NZ'!Y$130:Y$210,SUM($E$12:$T$13)*(Y$8-Y$9)*1000)</f>
        <v>28492.58758934465</v>
      </c>
      <c r="Z184" s="46">
        <f>SUM(Y$184,'Statistics NZ'!Z$184-'Statistics NZ'!Y$184,$O$13/5*(Z$8-Z$9)*1000)</f>
        <v>29388.05317181522</v>
      </c>
      <c r="AA184" s="46">
        <f>SUM(Z$184,'Statistics NZ'!AA$184-'Statistics NZ'!Z$184,$O$13/5*(AA$8-AA$9)*1000)</f>
        <v>30290.689245122394</v>
      </c>
      <c r="AB184" s="46">
        <f>SUM(AA$184,'Statistics NZ'!AB$184-'Statistics NZ'!AA$184,$O$13/5*(AB$8-AB$9)*1000)</f>
        <v>30620.495809266169</v>
      </c>
      <c r="AC184" s="46">
        <f>SUM(AB$184,'Statistics NZ'!AC$184-'Statistics NZ'!AB$184,$O$13/5*(AC$8-AC$9)*1000)</f>
        <v>30327.472864246549</v>
      </c>
      <c r="AD184" s="46">
        <f>SUM(AC$184,'Statistics NZ'!AD$184-'Statistics NZ'!AC$184,$O$13/5*(AD$8-AD$9)*1000)</f>
        <v>29741.620410063533</v>
      </c>
      <c r="AE184" s="46">
        <f>SUM(AD$184,'Statistics NZ'!AE$184-'Statistics NZ'!AD$184,$O$13/5*(AE$8-AE$9)*1000)</f>
        <v>29352.938446717118</v>
      </c>
      <c r="AF184" s="46">
        <f>SUM(AE$184,'Statistics NZ'!AF$184-'Statistics NZ'!AE$184,$O$13/5*(AF$8-AF$9)*1000)</f>
        <v>29501.426974207308</v>
      </c>
      <c r="AG184" s="46">
        <f>SUM(AF$184,'Statistics NZ'!AG$184-'Statistics NZ'!AF$184,$O$13/5*(AG$8-AG$9)*1000)</f>
        <v>30107.085992534103</v>
      </c>
      <c r="AH184" s="46">
        <f>SUM(AG$184,'Statistics NZ'!AH$184-'Statistics NZ'!AG$184,$O$13/5*(AH$8-AH$9)*1000)</f>
        <v>30829.915501697498</v>
      </c>
      <c r="AI184" s="46">
        <f>SUM(AH$184,'Statistics NZ'!AI$184-'Statistics NZ'!AH$184,$O$13/5*(AI$8-AI$9)*1000)</f>
        <v>30839.915501697498</v>
      </c>
    </row>
    <row r="185" spans="1:35" x14ac:dyDescent="0.25">
      <c r="A185" s="11">
        <f>$A$85</f>
        <v>70</v>
      </c>
      <c r="B185" s="44">
        <f>'Statistics NZ'!B$185*'Economic Forecasts'!D$9*1000000/SUM('Statistics NZ'!B$30:B$110,'Statistics NZ'!B$130:B$210)</f>
        <v>12132.086690612561</v>
      </c>
      <c r="C185" s="44">
        <f>'Statistics NZ'!C$185*'Economic Forecasts'!E$9*1000000/SUM('Statistics NZ'!C$30:C$110,'Statistics NZ'!C$130:C$210)</f>
        <v>12687.541109537413</v>
      </c>
      <c r="D185" s="44">
        <f>'Statistics NZ'!D$185*'Economic Forecasts'!F$9*1000000/SUM('Statistics NZ'!D$30:D$110,'Statistics NZ'!D$130:D$210)</f>
        <v>13241.03155541816</v>
      </c>
      <c r="E185" s="44">
        <f>'Statistics NZ'!E$185*'Economic Forecasts'!G$9*1000000/SUM('Statistics NZ'!E$30:E$110,'Statistics NZ'!E$130:E$210)</f>
        <v>13484.6564984242</v>
      </c>
      <c r="F185" s="44">
        <f>'Statistics NZ'!F$185*'Economic Forecasts'!H$9*1000000/SUM('Statistics NZ'!F$30:F$110,'Statistics NZ'!F$130:F$210)</f>
        <v>15046.74728613715</v>
      </c>
      <c r="G185" s="44">
        <f>'Statistics NZ'!G$185*'Economic Forecasts'!I$9*1000000/SUM('Statistics NZ'!G$30:G$110,'Statistics NZ'!G$130:G$210)</f>
        <v>16099.032033305883</v>
      </c>
      <c r="H185" s="44">
        <f>'Statistics NZ'!H$185*'Economic Forecasts'!J$9*1000000/SUM('Statistics NZ'!H$30:H$110,'Statistics NZ'!H$130:H$210)</f>
        <v>16388.328754748913</v>
      </c>
      <c r="I185" s="44">
        <f>'Statistics NZ'!I$185*'Economic Forecasts'!K$9*1000000/SUM('Statistics NZ'!I$30:I$110,'Statistics NZ'!I$130:I$210)</f>
        <v>14695.529404439465</v>
      </c>
      <c r="J185" s="44">
        <f>'Statistics NZ'!J$185*'Economic Forecasts'!L$9*1000000/SUM('Statistics NZ'!J$30:J$110,'Statistics NZ'!J$130:J$210)</f>
        <v>16509.936638980897</v>
      </c>
      <c r="K185" s="44">
        <f>'Statistics NZ'!K$185*'Economic Forecasts'!M$9*1000000/SUM('Statistics NZ'!K$30:K$110,'Statistics NZ'!K$130:K$210)</f>
        <v>16999.438971954016</v>
      </c>
      <c r="L185" s="44">
        <f>'Statistics NZ'!L$185*'Economic Forecasts'!N$9*1000000/SUM('Statistics NZ'!L$30:L$110,'Statistics NZ'!L$130:L$210)</f>
        <v>18012.737794596134</v>
      </c>
      <c r="M185" s="44">
        <f>'Statistics NZ'!M$185*'Economic Forecasts'!O$9*1000000/SUM('Statistics NZ'!M$30:M$110,'Statistics NZ'!M$130:M$210)</f>
        <v>21297.670975280715</v>
      </c>
      <c r="N185" s="44">
        <f>'Statistics NZ'!N$185*'Economic Forecasts'!P$9*1000000/SUM('Statistics NZ'!N$30:N$110,'Statistics NZ'!N$130:N$210)</f>
        <v>21262.662171799682</v>
      </c>
      <c r="O185" s="44">
        <f>'Statistics NZ'!O$185*'Economic Forecasts'!Q$9*1000000/SUM('Statistics NZ'!O$30:O$110,'Statistics NZ'!O$130:O$210)</f>
        <v>21424.388788912198</v>
      </c>
      <c r="P185" s="44">
        <f>'Statistics NZ'!P$185*'Economic Forecasts'!R$9*1000000/SUM('Statistics NZ'!P$30:P$110,'Statistics NZ'!P$130:P$210)</f>
        <v>21714.524053174515</v>
      </c>
      <c r="Q185" s="44">
        <f>'Statistics NZ'!Q$185*'Economic Forecasts'!S$9*1000000/SUM('Statistics NZ'!Q$30:Q$110,'Statistics NZ'!Q$130:Q$210)</f>
        <v>21988.713535117549</v>
      </c>
      <c r="R185" s="44">
        <f>'Statistics NZ'!R$185*'Economic Forecasts'!T$9*1000000/SUM('Statistics NZ'!R$30:R$110,'Statistics NZ'!R$130:R$210)</f>
        <v>22234.380570302932</v>
      </c>
      <c r="S185" s="45">
        <f>SUM('Statistics NZ'!S$185,$P$13/5*(S$8-S$9)*1000)*'Economic Forecasts'!U$9*1000000/SUM('Statistics NZ'!S$30:S$110,'Statistics NZ'!S$130:S$210,SUM($E$12:$T$13)*(S$8-S$9)*1000)</f>
        <v>22255.49872054622</v>
      </c>
      <c r="T185" s="45">
        <f>SUM('Statistics NZ'!T$185,$P$13/5*(T$8-T$9)*1000)*'Economic Forecasts'!V$9*1000000/SUM('Statistics NZ'!T$30:T$110,'Statistics NZ'!T$130:T$210,SUM($E$12:$T$13)*(T$8-T$9)*1000)</f>
        <v>23547.052624004496</v>
      </c>
      <c r="U185" s="45">
        <f>SUM('Statistics NZ'!U$185,$P$13/5*(U$8-U$9)*1000)*'Economic Forecasts'!W$9*1000000/SUM('Statistics NZ'!U$30:U$110,'Statistics NZ'!U$130:U$210,SUM($E$12:$T$13)*(U$8-U$9)*1000)</f>
        <v>24208.156045591622</v>
      </c>
      <c r="V185" s="45">
        <f>SUM('Statistics NZ'!V$185,$P$13/5*(V$8-V$9)*1000)*'Economic Forecasts'!X$9*1000000/SUM('Statistics NZ'!V$30:V$110,'Statistics NZ'!V$130:V$210,SUM($E$12:$T$13)*(V$8-V$9)*1000)</f>
        <v>25079.40177401539</v>
      </c>
      <c r="W185" s="45">
        <f>SUM('Statistics NZ'!W$185,$P$13/5*(W$8-W$9)*1000)*'Economic Forecasts'!Y$9*1000000/SUM('Statistics NZ'!W$30:W$110,'Statistics NZ'!W$130:W$210,SUM($E$12:$T$13)*(W$8-W$9)*1000)</f>
        <v>25704.687851241368</v>
      </c>
      <c r="X185" s="45">
        <f>SUM('Statistics NZ'!X$185,$P$13/5*(X$8-X$9)*1000)*'Economic Forecasts'!Z$9*1000000/SUM('Statistics NZ'!X$30:X$110,'Statistics NZ'!X$130:X$210,SUM($E$12:$T$13)*(X$8-X$9)*1000)</f>
        <v>26384.694123633355</v>
      </c>
      <c r="Y185" s="45">
        <f>SUM('Statistics NZ'!Y$185,$P$13/5*(Y$8-Y$9)*1000)*'Economic Forecasts'!AA$9*1000000/SUM('Statistics NZ'!Y$30:Y$110,'Statistics NZ'!Y$130:Y$210,SUM($E$12:$T$13)*(Y$8-Y$9)*1000)</f>
        <v>27641.505591239064</v>
      </c>
      <c r="Z185" s="46">
        <f>SUM(Y$185,'Statistics NZ'!Z$185-'Statistics NZ'!Y$185,$P$13/5*(Z$8-Z$9)*1000)</f>
        <v>28152.016739233142</v>
      </c>
      <c r="AA185" s="46">
        <f>SUM(Z$185,'Statistics NZ'!AA$185-'Statistics NZ'!Z$185,$P$13/5*(AA$8-AA$9)*1000)</f>
        <v>29031.359981894544</v>
      </c>
      <c r="AB185" s="46">
        <f>SUM(AA$185,'Statistics NZ'!AB$185-'Statistics NZ'!AA$185,$P$13/5*(AB$8-AB$9)*1000)</f>
        <v>29919.535319223272</v>
      </c>
      <c r="AC185" s="46">
        <f>SUM(AB$185,'Statistics NZ'!AC$185-'Statistics NZ'!AB$185,$P$13/5*(AC$8-AC$9)*1000)</f>
        <v>30236.542751219324</v>
      </c>
      <c r="AD185" s="46">
        <f>SUM(AC$185,'Statistics NZ'!AD$185-'Statistics NZ'!AC$185,$P$13/5*(AD$8-AD$9)*1000)</f>
        <v>29932.382277882702</v>
      </c>
      <c r="AE185" s="46">
        <f>SUM(AD$185,'Statistics NZ'!AE$185-'Statistics NZ'!AD$185,$P$13/5*(AE$8-AE$9)*1000)</f>
        <v>29357.053899213402</v>
      </c>
      <c r="AF185" s="46">
        <f>SUM(AE$185,'Statistics NZ'!AF$185-'Statistics NZ'!AE$185,$P$13/5*(AF$8-AF$9)*1000)</f>
        <v>28970.55761521143</v>
      </c>
      <c r="AG185" s="46">
        <f>SUM(AF$185,'Statistics NZ'!AG$185-'Statistics NZ'!AF$185,$P$13/5*(AG$8-AG$9)*1000)</f>
        <v>29122.89342587678</v>
      </c>
      <c r="AH185" s="46">
        <f>SUM(AG$185,'Statistics NZ'!AH$185-'Statistics NZ'!AG$185,$P$13/5*(AH$8-AH$9)*1000)</f>
        <v>29714.061331209457</v>
      </c>
      <c r="AI185" s="46">
        <f>SUM(AH$185,'Statistics NZ'!AI$185-'Statistics NZ'!AH$185,$P$13/5*(AI$8-AI$9)*1000)</f>
        <v>30434.061331209457</v>
      </c>
    </row>
    <row r="186" spans="1:35" x14ac:dyDescent="0.25">
      <c r="A186" s="11">
        <f>$A$86</f>
        <v>71</v>
      </c>
      <c r="B186" s="44">
        <f>'Statistics NZ'!B$186*'Economic Forecasts'!D$9*1000000/SUM('Statistics NZ'!B$30:B$110,'Statistics NZ'!B$130:B$210)</f>
        <v>11682.025410154352</v>
      </c>
      <c r="C186" s="44">
        <f>'Statistics NZ'!C$186*'Economic Forecasts'!E$9*1000000/SUM('Statistics NZ'!C$30:C$110,'Statistics NZ'!C$130:C$210)</f>
        <v>11862.654535852316</v>
      </c>
      <c r="D186" s="44">
        <f>'Statistics NZ'!D$186*'Economic Forecasts'!F$9*1000000/SUM('Statistics NZ'!D$30:D$110,'Statistics NZ'!D$130:D$210)</f>
        <v>12376.631869307777</v>
      </c>
      <c r="E186" s="44">
        <f>'Statistics NZ'!E$186*'Economic Forecasts'!G$9*1000000/SUM('Statistics NZ'!E$30:E$110,'Statistics NZ'!E$130:E$210)</f>
        <v>12915.849169763396</v>
      </c>
      <c r="F186" s="44">
        <f>'Statistics NZ'!F$186*'Economic Forecasts'!H$9*1000000/SUM('Statistics NZ'!F$30:F$110,'Statistics NZ'!F$130:F$210)</f>
        <v>13232.113486961549</v>
      </c>
      <c r="G186" s="44">
        <f>'Statistics NZ'!G$186*'Economic Forecasts'!I$9*1000000/SUM('Statistics NZ'!G$30:G$110,'Statistics NZ'!G$130:G$210)</f>
        <v>14763.175806015099</v>
      </c>
      <c r="H186" s="44">
        <f>'Statistics NZ'!H$186*'Economic Forecasts'!J$9*1000000/SUM('Statistics NZ'!H$30:H$110,'Statistics NZ'!H$130:H$210)</f>
        <v>15779.17025187455</v>
      </c>
      <c r="I186" s="44">
        <f>'Statistics NZ'!I$186*'Economic Forecasts'!K$9*1000000/SUM('Statistics NZ'!I$30:I$110,'Statistics NZ'!I$130:I$210)</f>
        <v>16087.634257962081</v>
      </c>
      <c r="J186" s="44">
        <f>'Statistics NZ'!J$186*'Economic Forecasts'!L$9*1000000/SUM('Statistics NZ'!J$30:J$110,'Statistics NZ'!J$130:J$210)</f>
        <v>14354.770663071402</v>
      </c>
      <c r="K186" s="44">
        <f>'Statistics NZ'!K$186*'Economic Forecasts'!M$9*1000000/SUM('Statistics NZ'!K$30:K$110,'Statistics NZ'!K$130:K$210)</f>
        <v>16142.651669816583</v>
      </c>
      <c r="L186" s="44">
        <f>'Statistics NZ'!L$186*'Economic Forecasts'!N$9*1000000/SUM('Statistics NZ'!L$30:L$110,'Statistics NZ'!L$130:L$210)</f>
        <v>16737.241226438247</v>
      </c>
      <c r="M186" s="44">
        <f>'Statistics NZ'!M$186*'Economic Forecasts'!O$9*1000000/SUM('Statistics NZ'!M$30:M$110,'Statistics NZ'!M$130:M$210)</f>
        <v>17800.163539890578</v>
      </c>
      <c r="N186" s="44">
        <f>'Statistics NZ'!N$186*'Economic Forecasts'!P$9*1000000/SUM('Statistics NZ'!N$30:N$110,'Statistics NZ'!N$130:N$210)</f>
        <v>20939.759340842764</v>
      </c>
      <c r="O186" s="44">
        <f>'Statistics NZ'!O$186*'Economic Forecasts'!Q$9*1000000/SUM('Statistics NZ'!O$30:O$110,'Statistics NZ'!O$130:O$210)</f>
        <v>21041.810417681623</v>
      </c>
      <c r="P186" s="44">
        <f>'Statistics NZ'!P$186*'Economic Forecasts'!R$9*1000000/SUM('Statistics NZ'!P$30:P$110,'Statistics NZ'!P$130:P$210)</f>
        <v>21205.895561838894</v>
      </c>
      <c r="Q186" s="44">
        <f>'Statistics NZ'!Q$186*'Economic Forecasts'!S$9*1000000/SUM('Statistics NZ'!Q$30:Q$110,'Statistics NZ'!Q$130:Q$210)</f>
        <v>21514.989006533327</v>
      </c>
      <c r="R186" s="44">
        <f>'Statistics NZ'!R$186*'Economic Forecasts'!T$9*1000000/SUM('Statistics NZ'!R$30:R$110,'Statistics NZ'!R$130:R$210)</f>
        <v>21544.789679775149</v>
      </c>
      <c r="S186" s="45">
        <f>SUM('Statistics NZ'!S$186,$P$13/5*(S$8-S$9)*1000)*'Economic Forecasts'!U$9*1000000/SUM('Statistics NZ'!S$30:S$110,'Statistics NZ'!S$130:S$210,SUM($E$12:$T$13)*(S$8-S$9)*1000)</f>
        <v>21644.280721642404</v>
      </c>
      <c r="T186" s="45">
        <f>SUM('Statistics NZ'!T$186,$P$13/5*(T$8-T$9)*1000)*'Economic Forecasts'!V$9*1000000/SUM('Statistics NZ'!T$30:T$110,'Statistics NZ'!T$130:T$210,SUM($E$12:$T$13)*(T$8-T$9)*1000)</f>
        <v>22528.446968227039</v>
      </c>
      <c r="U186" s="45">
        <f>SUM('Statistics NZ'!U$186,$P$13/5*(U$8-U$9)*1000)*'Economic Forecasts'!W$9*1000000/SUM('Statistics NZ'!U$30:U$110,'Statistics NZ'!U$130:U$210,SUM($E$12:$T$13)*(U$8-U$9)*1000)</f>
        <v>23430.608096171567</v>
      </c>
      <c r="V186" s="45">
        <f>SUM('Statistics NZ'!V$186,$P$13/5*(V$8-V$9)*1000)*'Economic Forecasts'!X$9*1000000/SUM('Statistics NZ'!V$30:V$110,'Statistics NZ'!V$130:V$210,SUM($E$12:$T$13)*(V$8-V$9)*1000)</f>
        <v>23896.233561626981</v>
      </c>
      <c r="W186" s="45">
        <f>SUM('Statistics NZ'!W$186,$P$13/5*(W$8-W$9)*1000)*'Economic Forecasts'!Y$9*1000000/SUM('Statistics NZ'!W$30:W$110,'Statistics NZ'!W$130:W$210,SUM($E$12:$T$13)*(W$8-W$9)*1000)</f>
        <v>24772.96558438144</v>
      </c>
      <c r="X186" s="45">
        <f>SUM('Statistics NZ'!X$186,$P$13/5*(X$8-X$9)*1000)*'Economic Forecasts'!Z$9*1000000/SUM('Statistics NZ'!X$30:X$110,'Statistics NZ'!X$130:X$210,SUM($E$12:$T$13)*(X$8-X$9)*1000)</f>
        <v>25410.550024940887</v>
      </c>
      <c r="Y186" s="45">
        <f>SUM('Statistics NZ'!Y$186,$P$13/5*(Y$8-Y$9)*1000)*'Economic Forecasts'!AA$9*1000000/SUM('Statistics NZ'!Y$30:Y$110,'Statistics NZ'!Y$130:Y$210,SUM($E$12:$T$13)*(Y$8-Y$9)*1000)</f>
        <v>26105.396123699153</v>
      </c>
      <c r="Z186" s="46">
        <f>SUM(Y$186,'Statistics NZ'!Z$186-'Statistics NZ'!Y$186,$P$13/5*(Z$8-Z$9)*1000)</f>
        <v>27265.907271693231</v>
      </c>
      <c r="AA186" s="46">
        <f>SUM(Z$186,'Statistics NZ'!AA$186-'Statistics NZ'!Z$186,$P$13/5*(AA$8-AA$9)*1000)</f>
        <v>27785.250514354633</v>
      </c>
      <c r="AB186" s="46">
        <f>SUM(AA$186,'Statistics NZ'!AB$186-'Statistics NZ'!AA$186,$P$13/5*(AB$8-AB$9)*1000)</f>
        <v>28653.425851683362</v>
      </c>
      <c r="AC186" s="46">
        <f>SUM(AB$186,'Statistics NZ'!AC$186-'Statistics NZ'!AB$186,$P$13/5*(AC$8-AC$9)*1000)</f>
        <v>29530.433283679413</v>
      </c>
      <c r="AD186" s="46">
        <f>SUM(AC$186,'Statistics NZ'!AD$186-'Statistics NZ'!AC$186,$P$13/5*(AD$8-AD$9)*1000)</f>
        <v>29856.272810342791</v>
      </c>
      <c r="AE186" s="46">
        <f>SUM(AD$186,'Statistics NZ'!AE$186-'Statistics NZ'!AD$186,$P$13/5*(AE$8-AE$9)*1000)</f>
        <v>29560.944431673492</v>
      </c>
      <c r="AF186" s="46">
        <f>SUM(AE$186,'Statistics NZ'!AF$186-'Statistics NZ'!AE$186,$P$13/5*(AF$8-AF$9)*1000)</f>
        <v>29004.448147671519</v>
      </c>
      <c r="AG186" s="46">
        <f>SUM(AF$186,'Statistics NZ'!AG$186-'Statistics NZ'!AF$186,$P$13/5*(AG$8-AG$9)*1000)</f>
        <v>28626.78395833687</v>
      </c>
      <c r="AH186" s="46">
        <f>SUM(AG$186,'Statistics NZ'!AH$186-'Statistics NZ'!AG$186,$P$13/5*(AH$8-AH$9)*1000)</f>
        <v>28777.951863669547</v>
      </c>
      <c r="AI186" s="46">
        <f>SUM(AH$186,'Statistics NZ'!AI$186-'Statistics NZ'!AH$186,$P$13/5*(AI$8-AI$9)*1000)</f>
        <v>29367.951863669547</v>
      </c>
    </row>
    <row r="187" spans="1:35" x14ac:dyDescent="0.25">
      <c r="A187" s="11">
        <f>$A$87</f>
        <v>72</v>
      </c>
      <c r="B187" s="44">
        <f>'Statistics NZ'!B$187*'Economic Forecasts'!D$9*1000000/SUM('Statistics NZ'!B$30:B$110,'Statistics NZ'!B$130:B$210)</f>
        <v>11124.340780021355</v>
      </c>
      <c r="C187" s="44">
        <f>'Statistics NZ'!C$187*'Economic Forecasts'!E$9*1000000/SUM('Statistics NZ'!C$30:C$110,'Statistics NZ'!C$130:C$210)</f>
        <v>11450.211249009768</v>
      </c>
      <c r="D187" s="44">
        <f>'Statistics NZ'!D$187*'Economic Forecasts'!F$9*1000000/SUM('Statistics NZ'!D$30:D$110,'Statistics NZ'!D$130:D$210)</f>
        <v>11590.813972843793</v>
      </c>
      <c r="E187" s="44">
        <f>'Statistics NZ'!E$187*'Economic Forecasts'!G$9*1000000/SUM('Statistics NZ'!E$30:E$110,'Statistics NZ'!E$130:E$210)</f>
        <v>12052.831153864247</v>
      </c>
      <c r="F187" s="44">
        <f>'Statistics NZ'!F$187*'Economic Forecasts'!H$9*1000000/SUM('Statistics NZ'!F$30:F$110,'Statistics NZ'!F$130:F$210)</f>
        <v>12633.774774800944</v>
      </c>
      <c r="G187" s="44">
        <f>'Statistics NZ'!G$187*'Economic Forecasts'!I$9*1000000/SUM('Statistics NZ'!G$30:G$110,'Statistics NZ'!G$130:G$210)</f>
        <v>12936.195965749757</v>
      </c>
      <c r="H187" s="44">
        <f>'Statistics NZ'!H$187*'Economic Forecasts'!J$9*1000000/SUM('Statistics NZ'!H$30:H$110,'Statistics NZ'!H$130:H$210)</f>
        <v>14452.776737551349</v>
      </c>
      <c r="I187" s="44">
        <f>'Statistics NZ'!I$187*'Economic Forecasts'!K$9*1000000/SUM('Statistics NZ'!I$30:I$110,'Statistics NZ'!I$130:I$210)</f>
        <v>15440.599607733258</v>
      </c>
      <c r="J187" s="44">
        <f>'Statistics NZ'!J$187*'Economic Forecasts'!L$9*1000000/SUM('Statistics NZ'!J$30:J$110,'Statistics NZ'!J$130:J$210)</f>
        <v>15671.274766002543</v>
      </c>
      <c r="K187" s="44">
        <f>'Statistics NZ'!K$187*'Economic Forecasts'!M$9*1000000/SUM('Statistics NZ'!K$30:K$110,'Statistics NZ'!K$130:K$210)</f>
        <v>14039.62829184289</v>
      </c>
      <c r="L187" s="44">
        <f>'Statistics NZ'!L$187*'Economic Forecasts'!N$9*1000000/SUM('Statistics NZ'!L$30:L$110,'Statistics NZ'!L$130:L$210)</f>
        <v>15831.736029196387</v>
      </c>
      <c r="M187" s="44">
        <f>'Statistics NZ'!M$187*'Economic Forecasts'!O$9*1000000/SUM('Statistics NZ'!M$30:M$110,'Statistics NZ'!M$130:M$210)</f>
        <v>16451.962349712259</v>
      </c>
      <c r="N187" s="44">
        <f>'Statistics NZ'!N$187*'Economic Forecasts'!P$9*1000000/SUM('Statistics NZ'!N$30:N$110,'Statistics NZ'!N$130:N$210)</f>
        <v>17485.677543030848</v>
      </c>
      <c r="O187" s="44">
        <f>'Statistics NZ'!O$187*'Economic Forecasts'!Q$9*1000000/SUM('Statistics NZ'!O$30:O$110,'Statistics NZ'!O$130:O$210)</f>
        <v>20619.993239145348</v>
      </c>
      <c r="P187" s="44">
        <f>'Statistics NZ'!P$187*'Economic Forecasts'!R$9*1000000/SUM('Statistics NZ'!P$30:P$110,'Statistics NZ'!P$130:P$210)</f>
        <v>20824.424193337181</v>
      </c>
      <c r="Q187" s="44">
        <f>'Statistics NZ'!Q$187*'Economic Forecasts'!S$9*1000000/SUM('Statistics NZ'!Q$30:Q$110,'Statistics NZ'!Q$130:Q$210)</f>
        <v>20952.441128839568</v>
      </c>
      <c r="R187" s="44">
        <f>'Statistics NZ'!R$187*'Economic Forecasts'!T$9*1000000/SUM('Statistics NZ'!R$30:R$110,'Statistics NZ'!R$130:R$210)</f>
        <v>20973.414370480699</v>
      </c>
      <c r="S187" s="45">
        <f>SUM('Statistics NZ'!S$187,$P$13/5*(S$8-S$9)*1000)*'Economic Forecasts'!U$9*1000000/SUM('Statistics NZ'!S$30:S$110,'Statistics NZ'!S$130:S$210,SUM($E$12:$T$13)*(S$8-S$9)*1000)</f>
        <v>20945.745865752324</v>
      </c>
      <c r="T187" s="45">
        <f>SUM('Statistics NZ'!T$187,$P$13/5*(T$8-T$9)*1000)*'Economic Forecasts'!V$9*1000000/SUM('Statistics NZ'!T$30:T$110,'Statistics NZ'!T$130:T$210,SUM($E$12:$T$13)*(T$8-T$9)*1000)</f>
        <v>21869.34919095927</v>
      </c>
      <c r="U187" s="45">
        <f>SUM('Statistics NZ'!U$187,$P$13/5*(U$8-U$9)*1000)*'Economic Forecasts'!W$9*1000000/SUM('Statistics NZ'!U$30:U$110,'Statistics NZ'!U$130:U$210,SUM($E$12:$T$13)*(U$8-U$9)*1000)</f>
        <v>22370.31543787149</v>
      </c>
      <c r="V187" s="45">
        <f>SUM('Statistics NZ'!V$187,$P$13/5*(V$8-V$9)*1000)*'Economic Forecasts'!X$9*1000000/SUM('Statistics NZ'!V$30:V$110,'Statistics NZ'!V$130:V$210,SUM($E$12:$T$13)*(V$8-V$9)*1000)</f>
        <v>23087.229655720377</v>
      </c>
      <c r="W187" s="45">
        <f>SUM('Statistics NZ'!W$187,$P$13/5*(W$8-W$9)*1000)*'Economic Forecasts'!Y$9*1000000/SUM('Statistics NZ'!W$30:W$110,'Statistics NZ'!W$130:W$210,SUM($E$12:$T$13)*(W$8-W$9)*1000)</f>
        <v>23557.675671085883</v>
      </c>
      <c r="X187" s="45">
        <f>SUM('Statistics NZ'!X$187,$P$13/5*(X$8-X$9)*1000)*'Economic Forecasts'!Z$9*1000000/SUM('Statistics NZ'!X$30:X$110,'Statistics NZ'!X$130:X$210,SUM($E$12:$T$13)*(X$8-X$9)*1000)</f>
        <v>24436.405926248415</v>
      </c>
      <c r="Y187" s="45">
        <f>SUM('Statistics NZ'!Y$187,$P$13/5*(Y$8-Y$9)*1000)*'Economic Forecasts'!AA$9*1000000/SUM('Statistics NZ'!Y$30:Y$110,'Statistics NZ'!Y$130:Y$210,SUM($E$12:$T$13)*(Y$8-Y$9)*1000)</f>
        <v>25088.105085593255</v>
      </c>
      <c r="Z187" s="46">
        <f>SUM(Y$187,'Statistics NZ'!Z$187-'Statistics NZ'!Y$187,$P$13/5*(Z$8-Z$9)*1000)</f>
        <v>25718.616233587334</v>
      </c>
      <c r="AA187" s="46">
        <f>SUM(Z$187,'Statistics NZ'!AA$187-'Statistics NZ'!Z$187,$P$13/5*(AA$8-AA$9)*1000)</f>
        <v>26867.959476248736</v>
      </c>
      <c r="AB187" s="46">
        <f>SUM(AA$187,'Statistics NZ'!AB$187-'Statistics NZ'!AA$187,$P$13/5*(AB$8-AB$9)*1000)</f>
        <v>27386.134813577464</v>
      </c>
      <c r="AC187" s="46">
        <f>SUM(AB$187,'Statistics NZ'!AC$187-'Statistics NZ'!AB$187,$P$13/5*(AC$8-AC$9)*1000)</f>
        <v>28243.142245573516</v>
      </c>
      <c r="AD187" s="46">
        <f>SUM(AC$187,'Statistics NZ'!AD$187-'Statistics NZ'!AC$187,$P$13/5*(AD$8-AD$9)*1000)</f>
        <v>29118.981772236893</v>
      </c>
      <c r="AE187" s="46">
        <f>SUM(AD$187,'Statistics NZ'!AE$187-'Statistics NZ'!AD$187,$P$13/5*(AE$8-AE$9)*1000)</f>
        <v>29443.653393567594</v>
      </c>
      <c r="AF187" s="46">
        <f>SUM(AE$187,'Statistics NZ'!AF$187-'Statistics NZ'!AE$187,$P$13/5*(AF$8-AF$9)*1000)</f>
        <v>29167.157109565622</v>
      </c>
      <c r="AG187" s="46">
        <f>SUM(AF$187,'Statistics NZ'!AG$187-'Statistics NZ'!AF$187,$P$13/5*(AG$8-AG$9)*1000)</f>
        <v>28619.492920230972</v>
      </c>
      <c r="AH187" s="46">
        <f>SUM(AG$187,'Statistics NZ'!AH$187-'Statistics NZ'!AG$187,$P$13/5*(AH$8-AH$9)*1000)</f>
        <v>28260.660825563649</v>
      </c>
      <c r="AI187" s="46">
        <f>SUM(AH$187,'Statistics NZ'!AI$187-'Statistics NZ'!AH$187,$P$13/5*(AI$8-AI$9)*1000)</f>
        <v>28410.660825563649</v>
      </c>
    </row>
    <row r="188" spans="1:35" x14ac:dyDescent="0.25">
      <c r="A188" s="11">
        <f>$A$88</f>
        <v>73</v>
      </c>
      <c r="B188" s="44">
        <f>'Statistics NZ'!B$188*'Economic Forecasts'!D$9*1000000/SUM('Statistics NZ'!B$30:B$110,'Statistics NZ'!B$130:B$210)</f>
        <v>10654.711617804096</v>
      </c>
      <c r="C188" s="44">
        <f>'Statistics NZ'!C$188*'Economic Forecasts'!E$9*1000000/SUM('Statistics NZ'!C$30:C$110,'Statistics NZ'!C$130:C$210)</f>
        <v>10831.546318745948</v>
      </c>
      <c r="D188" s="44">
        <f>'Statistics NZ'!D$188*'Economic Forecasts'!F$9*1000000/SUM('Statistics NZ'!D$30:D$110,'Statistics NZ'!D$130:D$210)</f>
        <v>11158.614129788597</v>
      </c>
      <c r="E188" s="44">
        <f>'Statistics NZ'!E$188*'Economic Forecasts'!G$9*1000000/SUM('Statistics NZ'!E$30:E$110,'Statistics NZ'!E$130:E$210)</f>
        <v>11238.848252504822</v>
      </c>
      <c r="F188" s="44">
        <f>'Statistics NZ'!F$188*'Economic Forecasts'!H$9*1000000/SUM('Statistics NZ'!F$30:F$110,'Statistics NZ'!F$130:F$210)</f>
        <v>11750.979953580381</v>
      </c>
      <c r="G188" s="44">
        <f>'Statistics NZ'!G$188*'Economic Forecasts'!I$9*1000000/SUM('Statistics NZ'!G$30:G$110,'Statistics NZ'!G$130:G$210)</f>
        <v>12317.380213401819</v>
      </c>
      <c r="H188" s="44">
        <f>'Statistics NZ'!H$188*'Economic Forecasts'!J$9*1000000/SUM('Statistics NZ'!H$30:H$110,'Statistics NZ'!H$130:H$210)</f>
        <v>12605.650954641998</v>
      </c>
      <c r="I188" s="44">
        <f>'Statistics NZ'!I$188*'Economic Forecasts'!K$9*1000000/SUM('Statistics NZ'!I$30:I$110,'Statistics NZ'!I$130:I$210)</f>
        <v>14077.905420130133</v>
      </c>
      <c r="J188" s="44">
        <f>'Statistics NZ'!J$188*'Economic Forecasts'!L$9*1000000/SUM('Statistics NZ'!J$30:J$110,'Statistics NZ'!J$130:J$210)</f>
        <v>14969.139244439266</v>
      </c>
      <c r="K188" s="44">
        <f>'Statistics NZ'!K$188*'Economic Forecasts'!M$9*1000000/SUM('Statistics NZ'!K$30:K$110,'Statistics NZ'!K$130:K$210)</f>
        <v>15256.655709651741</v>
      </c>
      <c r="L188" s="44">
        <f>'Statistics NZ'!L$188*'Economic Forecasts'!N$9*1000000/SUM('Statistics NZ'!L$30:L$110,'Statistics NZ'!L$130:L$210)</f>
        <v>13728.627183989487</v>
      </c>
      <c r="M188" s="44">
        <f>'Statistics NZ'!M$188*'Economic Forecasts'!O$9*1000000/SUM('Statistics NZ'!M$30:M$110,'Statistics NZ'!M$130:M$210)</f>
        <v>15533.622408576301</v>
      </c>
      <c r="N188" s="44">
        <f>'Statistics NZ'!N$188*'Economic Forecasts'!P$9*1000000/SUM('Statistics NZ'!N$30:N$110,'Statistics NZ'!N$130:N$210)</f>
        <v>16106.001810760368</v>
      </c>
      <c r="O188" s="44">
        <f>'Statistics NZ'!O$188*'Economic Forecasts'!Q$9*1000000/SUM('Statistics NZ'!O$30:O$110,'Statistics NZ'!O$130:O$210)</f>
        <v>17157.168494417325</v>
      </c>
      <c r="P188" s="44">
        <f>'Statistics NZ'!P$188*'Economic Forecasts'!R$9*1000000/SUM('Statistics NZ'!P$30:P$110,'Statistics NZ'!P$130:P$210)</f>
        <v>20325.577019142631</v>
      </c>
      <c r="Q188" s="44">
        <f>'Statistics NZ'!Q$188*'Economic Forecasts'!S$9*1000000/SUM('Statistics NZ'!Q$30:Q$110,'Statistics NZ'!Q$130:Q$210)</f>
        <v>20557.670688352719</v>
      </c>
      <c r="R188" s="44">
        <f>'Statistics NZ'!R$188*'Economic Forecasts'!T$9*1000000/SUM('Statistics NZ'!R$30:R$110,'Statistics NZ'!R$130:R$210)</f>
        <v>20480.849448675141</v>
      </c>
      <c r="S188" s="45">
        <f>SUM('Statistics NZ'!S$188,$P$13/5*(S$8-S$9)*1000)*'Economic Forecasts'!U$9*1000000/SUM('Statistics NZ'!S$30:S$110,'Statistics NZ'!S$130:S$210,SUM($E$12:$T$13)*(S$8-S$9)*1000)</f>
        <v>20344.229739846982</v>
      </c>
      <c r="T188" s="45">
        <f>SUM('Statistics NZ'!T$188,$P$13/5*(T$8-T$9)*1000)*'Economic Forecasts'!V$9*1000000/SUM('Statistics NZ'!T$30:T$110,'Statistics NZ'!T$130:T$210,SUM($E$12:$T$13)*(T$8-T$9)*1000)</f>
        <v>21110.388114105477</v>
      </c>
      <c r="U188" s="45">
        <f>SUM('Statistics NZ'!U$188,$P$13/5*(U$8-U$9)*1000)*'Economic Forecasts'!W$9*1000000/SUM('Statistics NZ'!U$30:U$110,'Statistics NZ'!U$130:U$210,SUM($E$12:$T$13)*(U$8-U$9)*1000)</f>
        <v>21673.551690988581</v>
      </c>
      <c r="V188" s="45">
        <f>SUM('Statistics NZ'!V$188,$P$13/5*(V$8-V$9)*1000)*'Economic Forecasts'!X$9*1000000/SUM('Statistics NZ'!V$30:V$110,'Statistics NZ'!V$130:V$210,SUM($E$12:$T$13)*(V$8-V$9)*1000)</f>
        <v>22005.18693157029</v>
      </c>
      <c r="W188" s="45">
        <f>SUM('Statistics NZ'!W$188,$P$13/5*(W$8-W$9)*1000)*'Economic Forecasts'!Y$9*1000000/SUM('Statistics NZ'!W$30:W$110,'Statistics NZ'!W$130:W$210,SUM($E$12:$T$13)*(W$8-W$9)*1000)</f>
        <v>22717.100147723122</v>
      </c>
      <c r="X188" s="45">
        <f>SUM('Statistics NZ'!X$188,$P$13/5*(X$8-X$9)*1000)*'Economic Forecasts'!Z$9*1000000/SUM('Statistics NZ'!X$30:X$110,'Statistics NZ'!X$130:X$210,SUM($E$12:$T$13)*(X$8-X$9)*1000)</f>
        <v>23198.43113416007</v>
      </c>
      <c r="Y188" s="45">
        <f>SUM('Statistics NZ'!Y$188,$P$13/5*(Y$8-Y$9)*1000)*'Economic Forecasts'!AA$9*1000000/SUM('Statistics NZ'!Y$30:Y$110,'Statistics NZ'!Y$130:Y$210,SUM($E$12:$T$13)*(Y$8-Y$9)*1000)</f>
        <v>24091.159868249477</v>
      </c>
      <c r="Z188" s="46">
        <f>SUM(Y$188,'Statistics NZ'!Z$188-'Statistics NZ'!Y$188,$P$13/5*(Z$8-Z$9)*1000)</f>
        <v>24671.671016243556</v>
      </c>
      <c r="AA188" s="46">
        <f>SUM(Z$188,'Statistics NZ'!AA$188-'Statistics NZ'!Z$188,$P$13/5*(AA$8-AA$9)*1000)</f>
        <v>25301.014258904957</v>
      </c>
      <c r="AB188" s="46">
        <f>SUM(AA$188,'Statistics NZ'!AB$188-'Statistics NZ'!AA$188,$P$13/5*(AB$8-AB$9)*1000)</f>
        <v>26439.189596233686</v>
      </c>
      <c r="AC188" s="46">
        <f>SUM(AB$188,'Statistics NZ'!AC$188-'Statistics NZ'!AB$188,$P$13/5*(AC$8-AC$9)*1000)</f>
        <v>26946.197028229737</v>
      </c>
      <c r="AD188" s="46">
        <f>SUM(AC$188,'Statistics NZ'!AD$188-'Statistics NZ'!AC$188,$P$13/5*(AD$8-AD$9)*1000)</f>
        <v>27802.036554893115</v>
      </c>
      <c r="AE188" s="46">
        <f>SUM(AD$188,'Statistics NZ'!AE$188-'Statistics NZ'!AD$188,$P$13/5*(AE$8-AE$9)*1000)</f>
        <v>28676.708176223816</v>
      </c>
      <c r="AF188" s="46">
        <f>SUM(AE$188,'Statistics NZ'!AF$188-'Statistics NZ'!AE$188,$P$13/5*(AF$8-AF$9)*1000)</f>
        <v>29000.211892221843</v>
      </c>
      <c r="AG188" s="46">
        <f>SUM(AF$188,'Statistics NZ'!AG$188-'Statistics NZ'!AF$188,$P$13/5*(AG$8-AG$9)*1000)</f>
        <v>28732.547702887194</v>
      </c>
      <c r="AH188" s="46">
        <f>SUM(AG$188,'Statistics NZ'!AH$188-'Statistics NZ'!AG$188,$P$13/5*(AH$8-AH$9)*1000)</f>
        <v>28203.715608219871</v>
      </c>
      <c r="AI188" s="46">
        <f>SUM(AH$188,'Statistics NZ'!AI$188-'Statistics NZ'!AH$188,$P$13/5*(AI$8-AI$9)*1000)</f>
        <v>27843.715608219871</v>
      </c>
    </row>
    <row r="189" spans="1:35" x14ac:dyDescent="0.25">
      <c r="A189" s="11">
        <f>$A$89</f>
        <v>74</v>
      </c>
      <c r="B189" s="44">
        <f>'Statistics NZ'!B$189*'Economic Forecasts'!D$9*1000000/SUM('Statistics NZ'!B$30:B$110,'Statistics NZ'!B$130:B$210)</f>
        <v>10556.872209008834</v>
      </c>
      <c r="C189" s="44">
        <f>'Statistics NZ'!C$189*'Economic Forecasts'!E$9*1000000/SUM('Statistics NZ'!C$30:C$110,'Statistics NZ'!C$130:C$210)</f>
        <v>10340.542405838152</v>
      </c>
      <c r="D189" s="44">
        <f>'Statistics NZ'!D$189*'Economic Forecasts'!F$9*1000000/SUM('Statistics NZ'!D$30:D$110,'Statistics NZ'!D$130:D$210)</f>
        <v>10510.31436520581</v>
      </c>
      <c r="E189" s="44">
        <f>'Statistics NZ'!E$189*'Economic Forecasts'!G$9*1000000/SUM('Statistics NZ'!E$30:E$110,'Statistics NZ'!E$130:E$210)</f>
        <v>10797.532221647301</v>
      </c>
      <c r="F189" s="44">
        <f>'Statistics NZ'!F$189*'Economic Forecasts'!H$9*1000000/SUM('Statistics NZ'!F$30:F$110,'Statistics NZ'!F$130:F$210)</f>
        <v>10917.229289094295</v>
      </c>
      <c r="G189" s="44">
        <f>'Statistics NZ'!G$189*'Economic Forecasts'!I$9*1000000/SUM('Statistics NZ'!G$30:G$110,'Statistics NZ'!G$130:G$210)</f>
        <v>11462.825126826094</v>
      </c>
      <c r="H189" s="44">
        <f>'Statistics NZ'!H$189*'Economic Forecasts'!J$9*1000000/SUM('Statistics NZ'!H$30:H$110,'Statistics NZ'!H$130:H$210)</f>
        <v>11976.842177481369</v>
      </c>
      <c r="I189" s="44">
        <f>'Statistics NZ'!I$189*'Economic Forecasts'!K$9*1000000/SUM('Statistics NZ'!I$30:I$110,'Statistics NZ'!I$130:I$210)</f>
        <v>12274.051243734631</v>
      </c>
      <c r="J189" s="44">
        <f>'Statistics NZ'!J$189*'Economic Forecasts'!L$9*1000000/SUM('Statistics NZ'!J$30:J$110,'Statistics NZ'!J$130:J$210)</f>
        <v>13623.379494776322</v>
      </c>
      <c r="K189" s="44">
        <f>'Statistics NZ'!K$189*'Economic Forecasts'!M$9*1000000/SUM('Statistics NZ'!K$30:K$110,'Statistics NZ'!K$130:K$210)</f>
        <v>14575.120355678786</v>
      </c>
      <c r="L189" s="44">
        <f>'Statistics NZ'!L$189*'Economic Forecasts'!N$9*1000000/SUM('Statistics NZ'!L$30:L$110,'Statistics NZ'!L$130:L$210)</f>
        <v>14809.391451665255</v>
      </c>
      <c r="M189" s="44">
        <f>'Statistics NZ'!M$189*'Economic Forecasts'!O$9*1000000/SUM('Statistics NZ'!M$30:M$110,'Statistics NZ'!M$130:M$210)</f>
        <v>13442.933606415714</v>
      </c>
      <c r="N189" s="44">
        <f>'Statistics NZ'!N$189*'Economic Forecasts'!P$9*1000000/SUM('Statistics NZ'!N$30:N$110,'Statistics NZ'!N$130:N$210)</f>
        <v>15186.217989246714</v>
      </c>
      <c r="O189" s="44">
        <f>'Statistics NZ'!O$189*'Economic Forecasts'!Q$9*1000000/SUM('Statistics NZ'!O$30:O$110,'Statistics NZ'!O$130:O$210)</f>
        <v>15803.429642370675</v>
      </c>
      <c r="P189" s="44">
        <f>'Statistics NZ'!P$189*'Economic Forecasts'!R$9*1000000/SUM('Statistics NZ'!P$30:P$110,'Statistics NZ'!P$130:P$210)</f>
        <v>16862.990751203994</v>
      </c>
      <c r="Q189" s="44">
        <f>'Statistics NZ'!Q$189*'Economic Forecasts'!S$9*1000000/SUM('Statistics NZ'!Q$30:Q$110,'Statistics NZ'!Q$130:Q$210)</f>
        <v>20004.992071671128</v>
      </c>
      <c r="R189" s="44">
        <f>'Statistics NZ'!R$189*'Economic Forecasts'!T$9*1000000/SUM('Statistics NZ'!R$30:R$110,'Statistics NZ'!R$130:R$210)</f>
        <v>20027.689720614027</v>
      </c>
      <c r="S189" s="45">
        <f>SUM('Statistics NZ'!S$189,$P$13/5*(S$8-S$9)*1000)*'Economic Forecasts'!U$9*1000000/SUM('Statistics NZ'!S$30:S$110,'Statistics NZ'!S$130:S$210,SUM($E$12:$T$13)*(S$8-S$9)*1000)</f>
        <v>19810.626724930949</v>
      </c>
      <c r="T189" s="45">
        <f>SUM('Statistics NZ'!T$189,$P$13/5*(T$8-T$9)*1000)*'Economic Forecasts'!V$9*1000000/SUM('Statistics NZ'!T$30:T$110,'Statistics NZ'!T$130:T$210,SUM($E$12:$T$13)*(T$8-T$9)*1000)</f>
        <v>20451.290336837712</v>
      </c>
      <c r="U189" s="45">
        <f>SUM('Statistics NZ'!U$189,$P$13/5*(U$8-U$9)*1000)*'Economic Forecasts'!W$9*1000000/SUM('Statistics NZ'!U$30:U$110,'Statistics NZ'!U$130:U$210,SUM($E$12:$T$13)*(U$8-U$9)*1000)</f>
        <v>20865.709665617094</v>
      </c>
      <c r="V189" s="45">
        <f>SUM('Statistics NZ'!V$189,$P$13/5*(V$8-V$9)*1000)*'Economic Forecasts'!X$9*1000000/SUM('Statistics NZ'!V$30:V$110,'Statistics NZ'!V$130:V$210,SUM($E$12:$T$13)*(V$8-V$9)*1000)</f>
        <v>21256.858318606686</v>
      </c>
      <c r="W189" s="45">
        <f>SUM('Statistics NZ'!W$189,$P$13/5*(W$8-W$9)*1000)*'Economic Forecasts'!Y$9*1000000/SUM('Statistics NZ'!W$30:W$110,'Statistics NZ'!W$130:W$210,SUM($E$12:$T$13)*(W$8-W$9)*1000)</f>
        <v>21592.956977924732</v>
      </c>
      <c r="X189" s="45">
        <f>SUM('Statistics NZ'!X$189,$P$13/5*(X$8-X$9)*1000)*'Economic Forecasts'!Z$9*1000000/SUM('Statistics NZ'!X$30:X$110,'Statistics NZ'!X$130:X$210,SUM($E$12:$T$13)*(X$8-X$9)*1000)</f>
        <v>22315.613044720019</v>
      </c>
      <c r="Y189" s="45">
        <f>SUM('Statistics NZ'!Y$189,$P$13/5*(Y$8-Y$9)*1000)*'Economic Forecasts'!AA$9*1000000/SUM('Statistics NZ'!Y$30:Y$110,'Statistics NZ'!Y$130:Y$210,SUM($E$12:$T$13)*(Y$8-Y$9)*1000)</f>
        <v>22809.373160236042</v>
      </c>
      <c r="Z189" s="46">
        <f>SUM(Y$189,'Statistics NZ'!Z$189-'Statistics NZ'!Y$189,$P$13/5*(Z$8-Z$9)*1000)</f>
        <v>23629.884308230121</v>
      </c>
      <c r="AA189" s="46">
        <f>SUM(Z$189,'Statistics NZ'!AA$189-'Statistics NZ'!Z$189,$P$13/5*(AA$8-AA$9)*1000)</f>
        <v>24209.227550891523</v>
      </c>
      <c r="AB189" s="46">
        <f>SUM(AA$189,'Statistics NZ'!AB$189-'Statistics NZ'!AA$189,$P$13/5*(AB$8-AB$9)*1000)</f>
        <v>24827.402888220251</v>
      </c>
      <c r="AC189" s="46">
        <f>SUM(AB$189,'Statistics NZ'!AC$189-'Statistics NZ'!AB$189,$P$13/5*(AC$8-AC$9)*1000)</f>
        <v>25954.410320216302</v>
      </c>
      <c r="AD189" s="46">
        <f>SUM(AC$189,'Statistics NZ'!AD$189-'Statistics NZ'!AC$189,$P$13/5*(AD$8-AD$9)*1000)</f>
        <v>26460.24984687968</v>
      </c>
      <c r="AE189" s="46">
        <f>SUM(AD$189,'Statistics NZ'!AE$189-'Statistics NZ'!AD$189,$P$13/5*(AE$8-AE$9)*1000)</f>
        <v>27314.921468210381</v>
      </c>
      <c r="AF189" s="46">
        <f>SUM(AE$189,'Statistics NZ'!AF$189-'Statistics NZ'!AE$189,$P$13/5*(AF$8-AF$9)*1000)</f>
        <v>28178.425184208409</v>
      </c>
      <c r="AG189" s="46">
        <f>SUM(AF$189,'Statistics NZ'!AG$189-'Statistics NZ'!AF$189,$P$13/5*(AG$8-AG$9)*1000)</f>
        <v>28500.760994873759</v>
      </c>
      <c r="AH189" s="46">
        <f>SUM(AG$189,'Statistics NZ'!AH$189-'Statistics NZ'!AG$189,$P$13/5*(AH$8-AH$9)*1000)</f>
        <v>28251.928900206436</v>
      </c>
      <c r="AI189" s="46">
        <f>SUM(AH$189,'Statistics NZ'!AI$189-'Statistics NZ'!AH$189,$P$13/5*(AI$8-AI$9)*1000)</f>
        <v>27731.928900206436</v>
      </c>
    </row>
    <row r="190" spans="1:35" x14ac:dyDescent="0.25">
      <c r="A190" s="11">
        <f>$A$90</f>
        <v>75</v>
      </c>
      <c r="B190" s="44">
        <f>'Statistics NZ'!B$190*'Economic Forecasts'!D$9*1000000/SUM('Statistics NZ'!B$30:B$110,'Statistics NZ'!B$130:B$210)</f>
        <v>10537.304327249782</v>
      </c>
      <c r="C190" s="44">
        <f>'Statistics NZ'!C$190*'Economic Forecasts'!E$9*1000000/SUM('Statistics NZ'!C$30:C$110,'Statistics NZ'!C$130:C$210)</f>
        <v>10261.981779772907</v>
      </c>
      <c r="D190" s="44">
        <f>'Statistics NZ'!D$190*'Economic Forecasts'!F$9*1000000/SUM('Statistics NZ'!D$30:D$110,'Statistics NZ'!D$130:D$210)</f>
        <v>10009.35545621002</v>
      </c>
      <c r="E190" s="44">
        <f>'Statistics NZ'!E$190*'Economic Forecasts'!G$9*1000000/SUM('Statistics NZ'!E$30:E$110,'Statistics NZ'!E$130:E$210)</f>
        <v>10150.268709722943</v>
      </c>
      <c r="F190" s="44">
        <f>'Statistics NZ'!F$190*'Economic Forecasts'!H$9*1000000/SUM('Statistics NZ'!F$30:F$110,'Statistics NZ'!F$130:F$210)</f>
        <v>10436.596553096433</v>
      </c>
      <c r="G190" s="44">
        <f>'Statistics NZ'!G$190*'Economic Forecasts'!I$9*1000000/SUM('Statistics NZ'!G$30:G$110,'Statistics NZ'!G$130:G$210)</f>
        <v>10598.447567990879</v>
      </c>
      <c r="H190" s="44">
        <f>'Statistics NZ'!H$190*'Economic Forecasts'!J$9*1000000/SUM('Statistics NZ'!H$30:H$110,'Statistics NZ'!H$130:H$210)</f>
        <v>11112.230108885504</v>
      </c>
      <c r="I190" s="44">
        <f>'Statistics NZ'!I$190*'Economic Forecasts'!K$9*1000000/SUM('Statistics NZ'!I$30:I$110,'Statistics NZ'!I$130:I$210)</f>
        <v>11587.802372279817</v>
      </c>
      <c r="J190" s="44">
        <f>'Statistics NZ'!J$190*'Economic Forecasts'!L$9*1000000/SUM('Statistics NZ'!J$30:J$110,'Statistics NZ'!J$130:J$210)</f>
        <v>11887.544455356006</v>
      </c>
      <c r="K190" s="44">
        <f>'Statistics NZ'!K$190*'Economic Forecasts'!M$9*1000000/SUM('Statistics NZ'!K$30:K$110,'Statistics NZ'!K$130:K$210)</f>
        <v>13202.313428390402</v>
      </c>
      <c r="L190" s="44">
        <f>'Statistics NZ'!L$190*'Economic Forecasts'!N$9*1000000/SUM('Statistics NZ'!L$30:L$110,'Statistics NZ'!L$130:L$210)</f>
        <v>14137.565015001937</v>
      </c>
      <c r="M190" s="44">
        <f>'Statistics NZ'!M$190*'Economic Forecasts'!O$9*1000000/SUM('Statistics NZ'!M$30:M$110,'Statistics NZ'!M$130:M$210)</f>
        <v>14458.969285970392</v>
      </c>
      <c r="N190" s="44">
        <f>'Statistics NZ'!N$190*'Economic Forecasts'!P$9*1000000/SUM('Statistics NZ'!N$30:N$110,'Statistics NZ'!N$130:N$210)</f>
        <v>13062.887252348171</v>
      </c>
      <c r="O190" s="44">
        <f>'Statistics NZ'!O$190*'Economic Forecasts'!Q$9*1000000/SUM('Statistics NZ'!O$30:O$110,'Statistics NZ'!O$130:O$210)</f>
        <v>14861.698267033877</v>
      </c>
      <c r="P190" s="44">
        <f>'Statistics NZ'!P$190*'Economic Forecasts'!R$9*1000000/SUM('Statistics NZ'!P$30:P$110,'Statistics NZ'!P$130:P$210)</f>
        <v>15474.043717172108</v>
      </c>
      <c r="Q190" s="44">
        <f>'Statistics NZ'!Q$190*'Economic Forecasts'!S$9*1000000/SUM('Statistics NZ'!Q$30:Q$110,'Statistics NZ'!Q$130:Q$210)</f>
        <v>16550.750717411192</v>
      </c>
      <c r="R190" s="44">
        <f>'Statistics NZ'!R$190*'Economic Forecasts'!T$9*1000000/SUM('Statistics NZ'!R$30:R$110,'Statistics NZ'!R$130:R$210)</f>
        <v>19466.165709755689</v>
      </c>
      <c r="S190" s="45">
        <f>SUM('Statistics NZ'!S$190,$Q$13/5*(S$8-S$9)*1000)*'Economic Forecasts'!U$9*1000000/SUM('Statistics NZ'!S$30:S$110,'Statistics NZ'!S$130:S$210,SUM($E$12:$T$13)*(S$8-S$9)*1000)</f>
        <v>19278.087677931751</v>
      </c>
      <c r="T190" s="45">
        <f>SUM('Statistics NZ'!T$190,$Q$13/5*(T$8-T$9)*1000)*'Economic Forecasts'!V$9*1000000/SUM('Statistics NZ'!T$30:T$110,'Statistics NZ'!T$130:T$210,SUM($E$12:$T$13)*(T$8-T$9)*1000)</f>
        <v>19835.168736887281</v>
      </c>
      <c r="U190" s="45">
        <f>SUM('Statistics NZ'!U$190,$Q$13/5*(U$8-U$9)*1000)*'Economic Forecasts'!W$9*1000000/SUM('Statistics NZ'!U$30:U$110,'Statistics NZ'!U$130:U$210,SUM($E$12:$T$13)*(U$8-U$9)*1000)</f>
        <v>20151.57813846174</v>
      </c>
      <c r="V190" s="45">
        <f>SUM('Statistics NZ'!V$190,$Q$13/5*(V$8-V$9)*1000)*'Economic Forecasts'!X$9*1000000/SUM('Statistics NZ'!V$30:V$110,'Statistics NZ'!V$130:V$210,SUM($E$12:$T$13)*(V$8-V$9)*1000)</f>
        <v>20401.717898991268</v>
      </c>
      <c r="W190" s="45">
        <f>SUM('Statistics NZ'!W$190,$Q$13/5*(W$8-W$9)*1000)*'Economic Forecasts'!Y$9*1000000/SUM('Statistics NZ'!W$30:W$110,'Statistics NZ'!W$130:W$210,SUM($E$12:$T$13)*(W$8-W$9)*1000)</f>
        <v>20796.76301651615</v>
      </c>
      <c r="X190" s="45">
        <f>SUM('Statistics NZ'!X$190,$Q$13/5*(X$8-X$9)*1000)*'Economic Forecasts'!Z$9*1000000/SUM('Statistics NZ'!X$30:X$110,'Statistics NZ'!X$130:X$210,SUM($E$12:$T$13)*(X$8-X$9)*1000)</f>
        <v>21152.376201110783</v>
      </c>
      <c r="Y190" s="45">
        <f>SUM('Statistics NZ'!Y$190,$Q$13/5*(Y$8-Y$9)*1000)*'Economic Forecasts'!AA$9*1000000/SUM('Statistics NZ'!Y$30:Y$110,'Statistics NZ'!Y$130:Y$210,SUM($E$12:$T$13)*(Y$8-Y$9)*1000)</f>
        <v>21877.138020208116</v>
      </c>
      <c r="Z190" s="46">
        <f>SUM(Y$190,'Statistics NZ'!Z$190-'Statistics NZ'!Y$190,$Q$13/5*(Z$8-Z$9)*1000)</f>
        <v>22311.898340172396</v>
      </c>
      <c r="AA190" s="46">
        <f>SUM(Z$190,'Statistics NZ'!AA$190-'Statistics NZ'!Z$190,$Q$13/5*(AA$8-AA$9)*1000)</f>
        <v>23116.129735696199</v>
      </c>
      <c r="AB190" s="46">
        <f>SUM(AA$190,'Statistics NZ'!AB$190-'Statistics NZ'!AA$190,$Q$13/5*(AB$8-AB$9)*1000)</f>
        <v>23689.832206779527</v>
      </c>
      <c r="AC190" s="46">
        <f>SUM(AB$190,'Statistics NZ'!AC$190-'Statistics NZ'!AB$190,$Q$13/5*(AC$8-AC$9)*1000)</f>
        <v>24303.005753422378</v>
      </c>
      <c r="AD190" s="46">
        <f>SUM(AC$190,'Statistics NZ'!AD$190-'Statistics NZ'!AC$190,$Q$13/5*(AD$8-AD$9)*1000)</f>
        <v>25405.650375624755</v>
      </c>
      <c r="AE190" s="46">
        <f>SUM(AD$190,'Statistics NZ'!AE$190-'Statistics NZ'!AD$190,$Q$13/5*(AE$8-AE$9)*1000)</f>
        <v>25907.766073386658</v>
      </c>
      <c r="AF190" s="46">
        <f>SUM(AE$190,'Statistics NZ'!AF$190-'Statistics NZ'!AE$190,$Q$13/5*(AF$8-AF$9)*1000)</f>
        <v>26749.352846708083</v>
      </c>
      <c r="AG190" s="46">
        <f>SUM(AF$190,'Statistics NZ'!AG$190-'Statistics NZ'!AF$190,$Q$13/5*(AG$8-AG$9)*1000)</f>
        <v>27600.410695589035</v>
      </c>
      <c r="AH190" s="46">
        <f>SUM(AG$190,'Statistics NZ'!AH$190-'Statistics NZ'!AG$190,$Q$13/5*(AH$8-AH$9)*1000)</f>
        <v>27930.939620029509</v>
      </c>
      <c r="AI190" s="46">
        <f>SUM(AH$190,'Statistics NZ'!AI$190-'Statistics NZ'!AH$190,$Q$13/5*(AI$8-AI$9)*1000)</f>
        <v>27690.939620029509</v>
      </c>
    </row>
    <row r="191" spans="1:35" x14ac:dyDescent="0.25">
      <c r="A191" s="11">
        <f>$A$91</f>
        <v>76</v>
      </c>
      <c r="B191" s="44">
        <f>'Statistics NZ'!B$191*'Economic Forecasts'!D$9*1000000/SUM('Statistics NZ'!B$30:B$110,'Statistics NZ'!B$130:B$210)</f>
        <v>9823.0766430443637</v>
      </c>
      <c r="C191" s="44">
        <f>'Statistics NZ'!C$191*'Economic Forecasts'!E$9*1000000/SUM('Statistics NZ'!C$30:C$110,'Statistics NZ'!C$130:C$210)</f>
        <v>10193.241231965814</v>
      </c>
      <c r="D191" s="44">
        <f>'Statistics NZ'!D$191*'Economic Forecasts'!F$9*1000000/SUM('Statistics NZ'!D$30:D$110,'Statistics NZ'!D$130:D$210)</f>
        <v>9891.4827717404223</v>
      </c>
      <c r="E191" s="44">
        <f>'Statistics NZ'!E$191*'Economic Forecasts'!G$9*1000000/SUM('Statistics NZ'!E$30:E$110,'Statistics NZ'!E$130:E$210)</f>
        <v>9640.3035185098088</v>
      </c>
      <c r="F191" s="44">
        <f>'Statistics NZ'!F$191*'Economic Forecasts'!H$9*1000000/SUM('Statistics NZ'!F$30:F$110,'Statistics NZ'!F$130:F$210)</f>
        <v>9789.2136842013533</v>
      </c>
      <c r="G191" s="44">
        <f>'Statistics NZ'!G$191*'Economic Forecasts'!I$9*1000000/SUM('Statistics NZ'!G$30:G$110,'Statistics NZ'!G$130:G$210)</f>
        <v>10107.323955016325</v>
      </c>
      <c r="H191" s="44">
        <f>'Statistics NZ'!H$191*'Economic Forecasts'!J$9*1000000/SUM('Statistics NZ'!H$30:H$110,'Statistics NZ'!H$130:H$210)</f>
        <v>10227.967766003367</v>
      </c>
      <c r="I191" s="44">
        <f>'Statistics NZ'!I$191*'Economic Forecasts'!K$9*1000000/SUM('Statistics NZ'!I$30:I$110,'Statistics NZ'!I$130:I$210)</f>
        <v>10695.678839388564</v>
      </c>
      <c r="J191" s="44">
        <f>'Statistics NZ'!J$191*'Economic Forecasts'!L$9*1000000/SUM('Statistics NZ'!J$30:J$110,'Statistics NZ'!J$130:J$210)</f>
        <v>11156.153287060928</v>
      </c>
      <c r="K191" s="44">
        <f>'Statistics NZ'!K$191*'Economic Forecasts'!M$9*1000000/SUM('Statistics NZ'!K$30:K$110,'Statistics NZ'!K$130:K$210)</f>
        <v>11459.530166088129</v>
      </c>
      <c r="L191" s="44">
        <f>'Statistics NZ'!L$191*'Economic Forecasts'!N$9*1000000/SUM('Statistics NZ'!L$30:L$110,'Statistics NZ'!L$130:L$210)</f>
        <v>12774.438911627094</v>
      </c>
      <c r="M191" s="44">
        <f>'Statistics NZ'!M$191*'Economic Forecasts'!O$9*1000000/SUM('Statistics NZ'!M$30:M$110,'Statistics NZ'!M$130:M$210)</f>
        <v>13726.251247830001</v>
      </c>
      <c r="N191" s="44">
        <f>'Statistics NZ'!N$191*'Economic Forecasts'!P$9*1000000/SUM('Statistics NZ'!N$30:N$110,'Statistics NZ'!N$130:N$210)</f>
        <v>13992.456008133247</v>
      </c>
      <c r="O191" s="44">
        <f>'Statistics NZ'!O$191*'Economic Forecasts'!Q$9*1000000/SUM('Statistics NZ'!O$30:O$110,'Statistics NZ'!O$130:O$210)</f>
        <v>12713.3735670468</v>
      </c>
      <c r="P191" s="44">
        <f>'Statistics NZ'!P$191*'Economic Forecasts'!R$9*1000000/SUM('Statistics NZ'!P$30:P$110,'Statistics NZ'!P$130:P$210)</f>
        <v>14495.912003065148</v>
      </c>
      <c r="Q191" s="44">
        <f>'Statistics NZ'!Q$191*'Economic Forecasts'!S$9*1000000/SUM('Statistics NZ'!Q$30:Q$110,'Statistics NZ'!Q$130:Q$210)</f>
        <v>15198.661958743727</v>
      </c>
      <c r="R191" s="44">
        <f>'Statistics NZ'!R$191*'Economic Forecasts'!T$9*1000000/SUM('Statistics NZ'!R$30:R$110,'Statistics NZ'!R$130:R$210)</f>
        <v>15998.508660244557</v>
      </c>
      <c r="S191" s="45">
        <f>SUM('Statistics NZ'!S$191,$Q$13/5*(S$8-S$9)*1000)*'Economic Forecasts'!U$9*1000000/SUM('Statistics NZ'!S$30:S$110,'Statistics NZ'!S$130:S$210,SUM($E$12:$T$13)*(S$8-S$9)*1000)</f>
        <v>18676.571552026402</v>
      </c>
      <c r="T191" s="45">
        <f>SUM('Statistics NZ'!T$191,$Q$13/5*(T$8-T$9)*1000)*'Economic Forecasts'!V$9*1000000/SUM('Statistics NZ'!T$30:T$110,'Statistics NZ'!T$130:T$210,SUM($E$12:$T$13)*(T$8-T$9)*1000)</f>
        <v>19285.920589164147</v>
      </c>
      <c r="U191" s="45">
        <f>SUM('Statistics NZ'!U$191,$Q$13/5*(U$8-U$9)*1000)*'Economic Forecasts'!W$9*1000000/SUM('Statistics NZ'!U$30:U$110,'Statistics NZ'!U$130:U$210,SUM($E$12:$T$13)*(U$8-U$9)*1000)</f>
        <v>19505.30451816455</v>
      </c>
      <c r="V191" s="45">
        <f>SUM('Statistics NZ'!V$191,$Q$13/5*(V$8-V$9)*1000)*'Economic Forecasts'!X$9*1000000/SUM('Statistics NZ'!V$30:V$110,'Statistics NZ'!V$130:V$210,SUM($E$12:$T$13)*(V$8-V$9)*1000)</f>
        <v>19653.389286027657</v>
      </c>
      <c r="W191" s="45">
        <f>SUM('Statistics NZ'!W$191,$Q$13/5*(W$8-W$9)*1000)*'Economic Forecasts'!Y$9*1000000/SUM('Statistics NZ'!W$30:W$110,'Statistics NZ'!W$130:W$210,SUM($E$12:$T$13)*(W$8-W$9)*1000)</f>
        <v>19915.677829376869</v>
      </c>
      <c r="X191" s="45">
        <f>SUM('Statistics NZ'!X$191,$Q$13/5*(X$8-X$9)*1000)*'Economic Forecasts'!Z$9*1000000/SUM('Statistics NZ'!X$30:X$110,'Statistics NZ'!X$130:X$210,SUM($E$12:$T$13)*(X$8-X$9)*1000)</f>
        <v>20320.294783477631</v>
      </c>
      <c r="Y191" s="45">
        <f>SUM('Statistics NZ'!Y$191,$Q$13/5*(Y$8-Y$9)*1000)*'Economic Forecasts'!AA$9*1000000/SUM('Statistics NZ'!Y$30:Y$110,'Statistics NZ'!Y$130:Y$210,SUM($E$12:$T$13)*(Y$8-Y$9)*1000)</f>
        <v>20676.734595243157</v>
      </c>
      <c r="Z191" s="46">
        <f>SUM(Y$191,'Statistics NZ'!Z$191-'Statistics NZ'!Y$191,$Q$13/5*(Z$8-Z$9)*1000)</f>
        <v>21341.494915207437</v>
      </c>
      <c r="AA191" s="46">
        <f>SUM(Z$191,'Statistics NZ'!AA$191-'Statistics NZ'!Z$191,$Q$13/5*(AA$8-AA$9)*1000)</f>
        <v>21775.726310731239</v>
      </c>
      <c r="AB191" s="46">
        <f>SUM(AA$191,'Statistics NZ'!AB$191-'Statistics NZ'!AA$191,$Q$13/5*(AB$8-AB$9)*1000)</f>
        <v>22569.428781814568</v>
      </c>
      <c r="AC191" s="46">
        <f>SUM(AB$191,'Statistics NZ'!AC$191-'Statistics NZ'!AB$191,$Q$13/5*(AC$8-AC$9)*1000)</f>
        <v>23132.602328457418</v>
      </c>
      <c r="AD191" s="46">
        <f>SUM(AC$191,'Statistics NZ'!AD$191-'Statistics NZ'!AC$191,$Q$13/5*(AD$8-AD$9)*1000)</f>
        <v>23735.246950659795</v>
      </c>
      <c r="AE191" s="46">
        <f>SUM(AD$191,'Statistics NZ'!AE$191-'Statistics NZ'!AD$191,$Q$13/5*(AE$8-AE$9)*1000)</f>
        <v>24827.362648421698</v>
      </c>
      <c r="AF191" s="46">
        <f>SUM(AE$191,'Statistics NZ'!AF$191-'Statistics NZ'!AE$191,$Q$13/5*(AF$8-AF$9)*1000)</f>
        <v>25338.949421743124</v>
      </c>
      <c r="AG191" s="46">
        <f>SUM(AF$191,'Statistics NZ'!AG$191-'Statistics NZ'!AF$191,$Q$13/5*(AG$8-AG$9)*1000)</f>
        <v>26170.007270624075</v>
      </c>
      <c r="AH191" s="46">
        <f>SUM(AG$191,'Statistics NZ'!AH$191-'Statistics NZ'!AG$191,$Q$13/5*(AH$8-AH$9)*1000)</f>
        <v>27010.536195064549</v>
      </c>
      <c r="AI191" s="46">
        <f>SUM(AH$191,'Statistics NZ'!AI$191-'Statistics NZ'!AH$191,$Q$13/5*(AI$8-AI$9)*1000)</f>
        <v>27340.536195064549</v>
      </c>
    </row>
    <row r="192" spans="1:35" x14ac:dyDescent="0.25">
      <c r="A192" s="11">
        <f>$A$92</f>
        <v>77</v>
      </c>
      <c r="B192" s="44">
        <f>'Statistics NZ'!B$192*'Economic Forecasts'!D$9*1000000/SUM('Statistics NZ'!B$30:B$110,'Statistics NZ'!B$130:B$210)</f>
        <v>9275.1759537908947</v>
      </c>
      <c r="C192" s="44">
        <f>'Statistics NZ'!C$192*'Economic Forecasts'!E$9*1000000/SUM('Statistics NZ'!C$30:C$110,'Statistics NZ'!C$130:C$210)</f>
        <v>9417.4550495714993</v>
      </c>
      <c r="D192" s="44">
        <f>'Statistics NZ'!D$192*'Economic Forecasts'!F$9*1000000/SUM('Statistics NZ'!D$30:D$110,'Statistics NZ'!D$130:D$210)</f>
        <v>9773.610087270823</v>
      </c>
      <c r="E192" s="44">
        <f>'Statistics NZ'!E$192*'Economic Forecasts'!G$9*1000000/SUM('Statistics NZ'!E$30:E$110,'Statistics NZ'!E$130:E$210)</f>
        <v>9483.3911519826888</v>
      </c>
      <c r="F192" s="44">
        <f>'Statistics NZ'!F$192*'Economic Forecasts'!H$9*1000000/SUM('Statistics NZ'!F$30:F$110,'Statistics NZ'!F$130:F$210)</f>
        <v>9279.1544541628064</v>
      </c>
      <c r="G192" s="44">
        <f>'Statistics NZ'!G$192*'Economic Forecasts'!I$9*1000000/SUM('Statistics NZ'!G$30:G$110,'Statistics NZ'!G$130:G$210)</f>
        <v>9439.3958413709315</v>
      </c>
      <c r="H192" s="44">
        <f>'Statistics NZ'!H$192*'Economic Forecasts'!J$9*1000000/SUM('Statistics NZ'!H$30:H$110,'Statistics NZ'!H$130:H$210)</f>
        <v>9707.2354974172194</v>
      </c>
      <c r="I192" s="44">
        <f>'Statistics NZ'!I$192*'Economic Forecasts'!K$9*1000000/SUM('Statistics NZ'!I$30:I$110,'Statistics NZ'!I$130:I$210)</f>
        <v>9823.1624171103012</v>
      </c>
      <c r="J192" s="44">
        <f>'Statistics NZ'!J$192*'Economic Forecasts'!L$9*1000000/SUM('Statistics NZ'!J$30:J$110,'Statistics NZ'!J$130:J$210)</f>
        <v>10278.483885106831</v>
      </c>
      <c r="K192" s="44">
        <f>'Statistics NZ'!K$192*'Economic Forecasts'!M$9*1000000/SUM('Statistics NZ'!K$30:K$110,'Statistics NZ'!K$130:K$210)</f>
        <v>10748.78615408776</v>
      </c>
      <c r="L192" s="44">
        <f>'Statistics NZ'!L$192*'Economic Forecasts'!N$9*1000000/SUM('Statistics NZ'!L$30:L$110,'Statistics NZ'!L$130:L$210)</f>
        <v>11070.531282408541</v>
      </c>
      <c r="M192" s="44">
        <f>'Statistics NZ'!M$192*'Economic Forecasts'!O$9*1000000/SUM('Statistics NZ'!M$30:M$110,'Statistics NZ'!M$130:M$210)</f>
        <v>12338.971762284193</v>
      </c>
      <c r="N192" s="44">
        <f>'Statistics NZ'!N$192*'Economic Forecasts'!P$9*1000000/SUM('Statistics NZ'!N$30:N$110,'Statistics NZ'!N$130:N$210)</f>
        <v>13258.585937776608</v>
      </c>
      <c r="O192" s="44">
        <f>'Statistics NZ'!O$192*'Economic Forecasts'!Q$9*1000000/SUM('Statistics NZ'!O$30:O$110,'Statistics NZ'!O$130:O$210)</f>
        <v>13606.056433251475</v>
      </c>
      <c r="P192" s="44">
        <f>'Statistics NZ'!P$192*'Economic Forecasts'!R$9*1000000/SUM('Statistics NZ'!P$30:P$110,'Statistics NZ'!P$130:P$210)</f>
        <v>12353.803549170905</v>
      </c>
      <c r="Q192" s="44">
        <f>'Statistics NZ'!Q$192*'Economic Forecasts'!S$9*1000000/SUM('Statistics NZ'!Q$30:Q$110,'Statistics NZ'!Q$130:Q$210)</f>
        <v>14172.258813477918</v>
      </c>
      <c r="R192" s="44">
        <f>'Statistics NZ'!R$192*'Economic Forecasts'!T$9*1000000/SUM('Statistics NZ'!R$30:R$110,'Statistics NZ'!R$130:R$210)</f>
        <v>14678.434669805656</v>
      </c>
      <c r="S192" s="45">
        <f>SUM('Statistics NZ'!S$192,$Q$13/5*(S$8-S$9)*1000)*'Economic Forecasts'!U$9*1000000/SUM('Statistics NZ'!S$30:S$110,'Statistics NZ'!S$130:S$210,SUM($E$12:$T$13)*(S$8-S$9)*1000)</f>
        <v>15300.319748557695</v>
      </c>
      <c r="T192" s="45">
        <f>SUM('Statistics NZ'!T$192,$Q$13/5*(T$8-T$9)*1000)*'Economic Forecasts'!V$9*1000000/SUM('Statistics NZ'!T$30:T$110,'Statistics NZ'!T$130:T$210,SUM($E$12:$T$13)*(T$8-T$9)*1000)</f>
        <v>18616.836481937775</v>
      </c>
      <c r="U192" s="45">
        <f>SUM('Statistics NZ'!U$192,$Q$13/5*(U$8-U$9)*1000)*'Economic Forecasts'!W$9*1000000/SUM('Statistics NZ'!U$30:U$110,'Statistics NZ'!U$130:U$210,SUM($E$12:$T$13)*(U$8-U$9)*1000)</f>
        <v>18899.422999135935</v>
      </c>
      <c r="V192" s="45">
        <f>SUM('Statistics NZ'!V$192,$Q$13/5*(V$8-V$9)*1000)*'Economic Forecasts'!X$9*1000000/SUM('Statistics NZ'!V$30:V$110,'Statistics NZ'!V$130:V$210,SUM($E$12:$T$13)*(V$8-V$9)*1000)</f>
        <v>18955.623417183207</v>
      </c>
      <c r="W192" s="45">
        <f>SUM('Statistics NZ'!W$192,$Q$13/5*(W$8-W$9)*1000)*'Economic Forecasts'!Y$9*1000000/SUM('Statistics NZ'!W$30:W$110,'Statistics NZ'!W$130:W$210,SUM($E$12:$T$13)*(W$8-W$9)*1000)</f>
        <v>19115.611969790632</v>
      </c>
      <c r="X192" s="45">
        <f>SUM('Statistics NZ'!X$192,$Q$13/5*(X$8-X$9)*1000)*'Economic Forecasts'!Z$9*1000000/SUM('Statistics NZ'!X$30:X$110,'Statistics NZ'!X$130:X$210,SUM($E$12:$T$13)*(X$8-X$9)*1000)</f>
        <v>19376.592687869303</v>
      </c>
      <c r="Y192" s="45">
        <f>SUM('Statistics NZ'!Y$192,$Q$13/5*(Y$8-Y$9)*1000)*'Economic Forecasts'!AA$9*1000000/SUM('Statistics NZ'!Y$30:Y$110,'Statistics NZ'!Y$130:Y$210,SUM($E$12:$T$13)*(Y$8-Y$9)*1000)</f>
        <v>19791.691392091027</v>
      </c>
      <c r="Z192" s="46">
        <f>SUM(Y$192,'Statistics NZ'!Z$192-'Statistics NZ'!Y$192,$Q$13/5*(Z$8-Z$9)*1000)</f>
        <v>20106.451712055306</v>
      </c>
      <c r="AA192" s="46">
        <f>SUM(Z$192,'Statistics NZ'!AA$192-'Statistics NZ'!Z$192,$Q$13/5*(AA$8-AA$9)*1000)</f>
        <v>20760.683107579109</v>
      </c>
      <c r="AB192" s="46">
        <f>SUM(AA$192,'Statistics NZ'!AB$192-'Statistics NZ'!AA$192,$Q$13/5*(AB$8-AB$9)*1000)</f>
        <v>21194.385578662437</v>
      </c>
      <c r="AC192" s="46">
        <f>SUM(AB$192,'Statistics NZ'!AC$192-'Statistics NZ'!AB$192,$Q$13/5*(AC$8-AC$9)*1000)</f>
        <v>21967.559125305288</v>
      </c>
      <c r="AD192" s="46">
        <f>SUM(AC$192,'Statistics NZ'!AD$192-'Statistics NZ'!AC$192,$Q$13/5*(AD$8-AD$9)*1000)</f>
        <v>22530.203747507665</v>
      </c>
      <c r="AE192" s="46">
        <f>SUM(AD$192,'Statistics NZ'!AE$192-'Statistics NZ'!AD$192,$Q$13/5*(AE$8-AE$9)*1000)</f>
        <v>23132.319445269568</v>
      </c>
      <c r="AF192" s="46">
        <f>SUM(AE$192,'Statistics NZ'!AF$192-'Statistics NZ'!AE$192,$Q$13/5*(AF$8-AF$9)*1000)</f>
        <v>24203.906218590993</v>
      </c>
      <c r="AG192" s="46">
        <f>SUM(AF$192,'Statistics NZ'!AG$192-'Statistics NZ'!AF$192,$Q$13/5*(AG$8-AG$9)*1000)</f>
        <v>24704.964067471945</v>
      </c>
      <c r="AH192" s="46">
        <f>SUM(AG$192,'Statistics NZ'!AH$192-'Statistics NZ'!AG$192,$Q$13/5*(AH$8-AH$9)*1000)</f>
        <v>25525.492991912419</v>
      </c>
      <c r="AI192" s="46">
        <f>SUM(AH$192,'Statistics NZ'!AI$192-'Statistics NZ'!AH$192,$Q$13/5*(AI$8-AI$9)*1000)</f>
        <v>26365.492991912419</v>
      </c>
    </row>
    <row r="193" spans="1:35" x14ac:dyDescent="0.25">
      <c r="A193" s="11">
        <f>$A$93</f>
        <v>78</v>
      </c>
      <c r="B193" s="44">
        <f>'Statistics NZ'!B$193*'Economic Forecasts'!D$9*1000000/SUM('Statistics NZ'!B$30:B$110,'Statistics NZ'!B$130:B$210)</f>
        <v>8864.2504368507907</v>
      </c>
      <c r="C193" s="44">
        <f>'Statistics NZ'!C$193*'Economic Forecasts'!E$9*1000000/SUM('Statistics NZ'!C$30:C$110,'Statistics NZ'!C$130:C$210)</f>
        <v>8877.3507453729253</v>
      </c>
      <c r="D193" s="44">
        <f>'Statistics NZ'!D$193*'Economic Forecasts'!F$9*1000000/SUM('Statistics NZ'!D$30:D$110,'Statistics NZ'!D$130:D$210)</f>
        <v>8958.3240196894385</v>
      </c>
      <c r="E193" s="44">
        <f>'Statistics NZ'!E$193*'Economic Forecasts'!G$9*1000000/SUM('Statistics NZ'!E$30:E$110,'Statistics NZ'!E$130:E$210)</f>
        <v>9297.0577167317369</v>
      </c>
      <c r="F193" s="44">
        <f>'Statistics NZ'!F$193*'Economic Forecasts'!H$9*1000000/SUM('Statistics NZ'!F$30:F$110,'Statistics NZ'!F$130:F$210)</f>
        <v>9112.4043212655888</v>
      </c>
      <c r="G193" s="44">
        <f>'Statistics NZ'!G$193*'Economic Forecasts'!I$9*1000000/SUM('Statistics NZ'!G$30:G$110,'Statistics NZ'!G$130:G$210)</f>
        <v>8830.4025612824844</v>
      </c>
      <c r="H193" s="44">
        <f>'Statistics NZ'!H$193*'Economic Forecasts'!J$9*1000000/SUM('Statistics NZ'!H$30:H$110,'Statistics NZ'!H$130:H$210)</f>
        <v>9039.1261716840509</v>
      </c>
      <c r="I193" s="44">
        <f>'Statistics NZ'!I$193*'Economic Forecasts'!K$9*1000000/SUM('Statistics NZ'!I$30:I$110,'Statistics NZ'!I$130:I$210)</f>
        <v>9293.7704305594489</v>
      </c>
      <c r="J193" s="44">
        <f>'Statistics NZ'!J$193*'Economic Forecasts'!L$9*1000000/SUM('Statistics NZ'!J$30:J$110,'Statistics NZ'!J$130:J$210)</f>
        <v>9361.8069541770019</v>
      </c>
      <c r="K193" s="44">
        <f>'Statistics NZ'!K$193*'Economic Forecasts'!M$9*1000000/SUM('Statistics NZ'!K$30:K$110,'Statistics NZ'!K$130:K$210)</f>
        <v>9833.581535895506</v>
      </c>
      <c r="L193" s="44">
        <f>'Statistics NZ'!L$193*'Economic Forecasts'!N$9*1000000/SUM('Statistics NZ'!L$30:L$110,'Statistics NZ'!L$130:L$210)</f>
        <v>10281.865465455956</v>
      </c>
      <c r="M193" s="44">
        <f>'Statistics NZ'!M$193*'Economic Forecasts'!O$9*1000000/SUM('Statistics NZ'!M$30:M$110,'Statistics NZ'!M$130:M$210)</f>
        <v>10717.22250453346</v>
      </c>
      <c r="N193" s="44">
        <f>'Statistics NZ'!N$193*'Economic Forecasts'!P$9*1000000/SUM('Statistics NZ'!N$30:N$110,'Statistics NZ'!N$130:N$210)</f>
        <v>11829.985534149018</v>
      </c>
      <c r="O193" s="44">
        <f>'Statistics NZ'!O$193*'Economic Forecasts'!Q$9*1000000/SUM('Statistics NZ'!O$30:O$110,'Statistics NZ'!O$130:O$210)</f>
        <v>12811.470585311052</v>
      </c>
      <c r="P193" s="44">
        <f>'Statistics NZ'!P$193*'Economic Forecasts'!R$9*1000000/SUM('Statistics NZ'!P$30:P$110,'Statistics NZ'!P$130:P$210)</f>
        <v>13165.652871879684</v>
      </c>
      <c r="Q193" s="44">
        <f>'Statistics NZ'!Q$193*'Economic Forecasts'!S$9*1000000/SUM('Statistics NZ'!Q$30:Q$110,'Statistics NZ'!Q$130:Q$210)</f>
        <v>11981.282868775899</v>
      </c>
      <c r="R193" s="44">
        <f>'Statistics NZ'!R$193*'Economic Forecasts'!T$9*1000000/SUM('Statistics NZ'!R$30:R$110,'Statistics NZ'!R$130:R$210)</f>
        <v>13624.345737141761</v>
      </c>
      <c r="S193" s="45">
        <f>SUM('Statistics NZ'!S$193,$Q$13/5*(S$8-S$9)*1000)*'Economic Forecasts'!U$9*1000000/SUM('Statistics NZ'!S$30:S$110,'Statistics NZ'!S$130:S$210,SUM($E$12:$T$13)*(S$8-S$9)*1000)</f>
        <v>13980.865020765328</v>
      </c>
      <c r="T193" s="45">
        <f>SUM('Statistics NZ'!T$193,$Q$13/5*(T$8-T$9)*1000)*'Economic Forecasts'!V$9*1000000/SUM('Statistics NZ'!T$30:T$110,'Statistics NZ'!T$130:T$210,SUM($E$12:$T$13)*(T$8-T$9)*1000)</f>
        <v>15181.538976178512</v>
      </c>
      <c r="U193" s="45">
        <f>SUM('Statistics NZ'!U$193,$Q$13/5*(U$8-U$9)*1000)*'Economic Forecasts'!W$9*1000000/SUM('Statistics NZ'!U$30:U$110,'Statistics NZ'!U$130:U$210,SUM($E$12:$T$13)*(U$8-U$9)*1000)</f>
        <v>18162.267150984451</v>
      </c>
      <c r="V193" s="45">
        <f>SUM('Statistics NZ'!V$193,$Q$13/5*(V$8-V$9)*1000)*'Economic Forecasts'!X$9*1000000/SUM('Statistics NZ'!V$30:V$110,'Statistics NZ'!V$130:V$210,SUM($E$12:$T$13)*(V$8-V$9)*1000)</f>
        <v>18288.195194810265</v>
      </c>
      <c r="W193" s="45">
        <f>SUM('Statistics NZ'!W$193,$Q$13/5*(W$8-W$9)*1000)*'Economic Forecasts'!Y$9*1000000/SUM('Statistics NZ'!W$30:W$110,'Statistics NZ'!W$130:W$210,SUM($E$12:$T$13)*(W$8-W$9)*1000)</f>
        <v>18356.055773980905</v>
      </c>
      <c r="X193" s="45">
        <f>SUM('Statistics NZ'!X$193,$Q$13/5*(X$8-X$9)*1000)*'Economic Forecasts'!Z$9*1000000/SUM('Statistics NZ'!X$30:X$110,'Statistics NZ'!X$130:X$210,SUM($E$12:$T$13)*(X$8-X$9)*1000)</f>
        <v>18524.216601513392</v>
      </c>
      <c r="Y193" s="45">
        <f>SUM('Statistics NZ'!Y$193,$Q$13/5*(Y$8-Y$9)*1000)*'Economic Forecasts'!AA$9*1000000/SUM('Statistics NZ'!Y$30:Y$110,'Statistics NZ'!Y$130:Y$210,SUM($E$12:$T$13)*(Y$8-Y$9)*1000)</f>
        <v>18804.919085128306</v>
      </c>
      <c r="Z193" s="46">
        <f>SUM(Y$193,'Statistics NZ'!Z$193-'Statistics NZ'!Y$193,$Q$13/5*(Z$8-Z$9)*1000)</f>
        <v>19169.679405092586</v>
      </c>
      <c r="AA193" s="46">
        <f>SUM(Z$193,'Statistics NZ'!AA$193-'Statistics NZ'!Z$193,$Q$13/5*(AA$8-AA$9)*1000)</f>
        <v>19483.910800616388</v>
      </c>
      <c r="AB193" s="46">
        <f>SUM(AA$193,'Statistics NZ'!AB$193-'Statistics NZ'!AA$193,$Q$13/5*(AB$8-AB$9)*1000)</f>
        <v>20127.613271699716</v>
      </c>
      <c r="AC193" s="46">
        <f>SUM(AB$193,'Statistics NZ'!AC$193-'Statistics NZ'!AB$193,$Q$13/5*(AC$8-AC$9)*1000)</f>
        <v>20550.786818342567</v>
      </c>
      <c r="AD193" s="46">
        <f>SUM(AC$193,'Statistics NZ'!AD$193-'Statistics NZ'!AC$193,$Q$13/5*(AD$8-AD$9)*1000)</f>
        <v>21313.431440544944</v>
      </c>
      <c r="AE193" s="46">
        <f>SUM(AD$193,'Statistics NZ'!AE$193-'Statistics NZ'!AD$193,$Q$13/5*(AE$8-AE$9)*1000)</f>
        <v>21875.547138306847</v>
      </c>
      <c r="AF193" s="46">
        <f>SUM(AE$193,'Statistics NZ'!AF$193-'Statistics NZ'!AE$193,$Q$13/5*(AF$8-AF$9)*1000)</f>
        <v>22467.133911628272</v>
      </c>
      <c r="AG193" s="46">
        <f>SUM(AF$193,'Statistics NZ'!AG$193-'Statistics NZ'!AF$193,$Q$13/5*(AG$8-AG$9)*1000)</f>
        <v>23518.191760509224</v>
      </c>
      <c r="AH193" s="46">
        <f>SUM(AG$193,'Statistics NZ'!AH$193-'Statistics NZ'!AG$193,$Q$13/5*(AH$8-AH$9)*1000)</f>
        <v>24018.720684949698</v>
      </c>
      <c r="AI193" s="46">
        <f>SUM(AH$193,'Statistics NZ'!AI$193-'Statistics NZ'!AH$193,$Q$13/5*(AI$8-AI$9)*1000)</f>
        <v>24828.720684949698</v>
      </c>
    </row>
    <row r="194" spans="1:35" x14ac:dyDescent="0.25">
      <c r="A194" s="11">
        <f>$A$94</f>
        <v>79</v>
      </c>
      <c r="B194" s="44">
        <f>'Statistics NZ'!B$194*'Economic Forecasts'!D$9*1000000/SUM('Statistics NZ'!B$30:B$110,'Statistics NZ'!B$130:B$210)</f>
        <v>8042.3994029705855</v>
      </c>
      <c r="C194" s="44">
        <f>'Statistics NZ'!C$194*'Economic Forecasts'!E$9*1000000/SUM('Statistics NZ'!C$30:C$110,'Statistics NZ'!C$130:C$210)</f>
        <v>8396.1669107232865</v>
      </c>
      <c r="D194" s="44">
        <f>'Statistics NZ'!D$194*'Economic Forecasts'!F$9*1000000/SUM('Statistics NZ'!D$30:D$110,'Statistics NZ'!D$130:D$210)</f>
        <v>8427.8969395762488</v>
      </c>
      <c r="E194" s="44">
        <f>'Statistics NZ'!E$194*'Economic Forecasts'!G$9*1000000/SUM('Statistics NZ'!E$30:E$110,'Statistics NZ'!E$130:E$210)</f>
        <v>8443.846723740533</v>
      </c>
      <c r="F194" s="44">
        <f>'Statistics NZ'!F$194*'Economic Forecasts'!H$9*1000000/SUM('Statistics NZ'!F$30:F$110,'Statistics NZ'!F$130:F$210)</f>
        <v>8857.3747062463153</v>
      </c>
      <c r="G194" s="44">
        <f>'Statistics NZ'!G$194*'Economic Forecasts'!I$9*1000000/SUM('Statistics NZ'!G$30:G$110,'Statistics NZ'!G$130:G$210)</f>
        <v>8692.8879496496083</v>
      </c>
      <c r="H194" s="44">
        <f>'Statistics NZ'!H$194*'Economic Forecasts'!J$9*1000000/SUM('Statistics NZ'!H$30:H$110,'Statistics NZ'!H$130:H$210)</f>
        <v>8400.4922573802869</v>
      </c>
      <c r="I194" s="44">
        <f>'Statistics NZ'!I$194*'Economic Forecasts'!K$9*1000000/SUM('Statistics NZ'!I$30:I$110,'Statistics NZ'!I$130:I$210)</f>
        <v>8607.5215591046363</v>
      </c>
      <c r="J194" s="44">
        <f>'Statistics NZ'!J$194*'Economic Forecasts'!L$9*1000000/SUM('Statistics NZ'!J$30:J$110,'Statistics NZ'!J$130:J$210)</f>
        <v>8796.1977840288073</v>
      </c>
      <c r="K194" s="44">
        <f>'Statistics NZ'!K$194*'Economic Forecasts'!M$9*1000000/SUM('Statistics NZ'!K$30:K$110,'Statistics NZ'!K$130:K$210)</f>
        <v>8937.849356388193</v>
      </c>
      <c r="L194" s="44">
        <f>'Statistics NZ'!L$194*'Economic Forecasts'!N$9*1000000/SUM('Statistics NZ'!L$30:L$110,'Statistics NZ'!L$130:L$210)</f>
        <v>9395.8334982623055</v>
      </c>
      <c r="M194" s="44">
        <f>'Statistics NZ'!M$194*'Economic Forecasts'!O$9*1000000/SUM('Statistics NZ'!M$30:M$110,'Statistics NZ'!M$130:M$210)</f>
        <v>9828.1912849231176</v>
      </c>
      <c r="N194" s="44">
        <f>'Statistics NZ'!N$194*'Economic Forecasts'!P$9*1000000/SUM('Statistics NZ'!N$30:N$110,'Statistics NZ'!N$130:N$210)</f>
        <v>10283.965919264367</v>
      </c>
      <c r="O194" s="44">
        <f>'Statistics NZ'!O$194*'Economic Forecasts'!Q$9*1000000/SUM('Statistics NZ'!O$30:O$110,'Statistics NZ'!O$130:O$210)</f>
        <v>11369.444416826576</v>
      </c>
      <c r="P194" s="44">
        <f>'Statistics NZ'!P$194*'Economic Forecasts'!R$9*1000000/SUM('Statistics NZ'!P$30:P$110,'Statistics NZ'!P$130:P$210)</f>
        <v>12314.678280606628</v>
      </c>
      <c r="Q194" s="44">
        <f>'Statistics NZ'!Q$194*'Economic Forecasts'!S$9*1000000/SUM('Statistics NZ'!Q$30:Q$110,'Statistics NZ'!Q$130:Q$210)</f>
        <v>12760.954488737429</v>
      </c>
      <c r="R194" s="44">
        <f>'Statistics NZ'!R$194*'Economic Forecasts'!T$9*1000000/SUM('Statistics NZ'!R$30:R$110,'Statistics NZ'!R$130:R$210)</f>
        <v>11447.208782761189</v>
      </c>
      <c r="S194" s="45">
        <f>SUM('Statistics NZ'!S$194,$Q$13/5*(S$8-S$9)*1000)*'Economic Forecasts'!U$9*1000000/SUM('Statistics NZ'!S$30:S$110,'Statistics NZ'!S$130:S$210,SUM($E$12:$T$13)*(S$8-S$9)*1000)</f>
        <v>12923.360863931735</v>
      </c>
      <c r="T194" s="45">
        <f>SUM('Statistics NZ'!T$194,$Q$13/5*(T$8-T$9)*1000)*'Economic Forecasts'!V$9*1000000/SUM('Statistics NZ'!T$30:T$110,'Statistics NZ'!T$130:T$210,SUM($E$12:$T$13)*(T$8-T$9)*1000)</f>
        <v>13803.425441891366</v>
      </c>
      <c r="U194" s="45">
        <f>SUM('Statistics NZ'!U$194,$Q$13/5*(U$8-U$9)*1000)*'Economic Forecasts'!W$9*1000000/SUM('Statistics NZ'!U$30:U$110,'Statistics NZ'!U$130:U$210,SUM($E$12:$T$13)*(U$8-U$9)*1000)</f>
        <v>14739.036568472773</v>
      </c>
      <c r="V194" s="45">
        <f>SUM('Statistics NZ'!V$194,$Q$13/5*(V$8-V$9)*1000)*'Economic Forecasts'!X$9*1000000/SUM('Statistics NZ'!V$30:V$110,'Statistics NZ'!V$130:V$210,SUM($E$12:$T$13)*(V$8-V$9)*1000)</f>
        <v>17499.416386551326</v>
      </c>
      <c r="W194" s="45">
        <f>SUM('Statistics NZ'!W$194,$Q$13/5*(W$8-W$9)*1000)*'Economic Forecasts'!Y$9*1000000/SUM('Statistics NZ'!W$30:W$110,'Statistics NZ'!W$130:W$210,SUM($E$12:$T$13)*(W$8-W$9)*1000)</f>
        <v>17616.754410059442</v>
      </c>
      <c r="X194" s="45">
        <f>SUM('Statistics NZ'!X$194,$Q$13/5*(X$8-X$9)*1000)*'Economic Forecasts'!Z$9*1000000/SUM('Statistics NZ'!X$30:X$110,'Statistics NZ'!X$130:X$210,SUM($E$12:$T$13)*(X$8-X$9)*1000)</f>
        <v>17712.429852603</v>
      </c>
      <c r="Y194" s="45">
        <f>SUM('Statistics NZ'!Y$194,$Q$13/5*(Y$8-Y$9)*1000)*'Economic Forecasts'!AA$9*1000000/SUM('Statistics NZ'!Y$30:Y$110,'Statistics NZ'!Y$130:Y$210,SUM($E$12:$T$13)*(Y$8-Y$9)*1000)</f>
        <v>17899.530061214056</v>
      </c>
      <c r="Z194" s="46">
        <f>SUM(Y$194,'Statistics NZ'!Z$194-'Statistics NZ'!Y$194,$Q$13/5*(Z$8-Z$9)*1000)</f>
        <v>18134.290381178336</v>
      </c>
      <c r="AA194" s="46">
        <f>SUM(Z$194,'Statistics NZ'!AA$194-'Statistics NZ'!Z$194,$Q$13/5*(AA$8-AA$9)*1000)</f>
        <v>18498.521776702139</v>
      </c>
      <c r="AB194" s="46">
        <f>SUM(AA$194,'Statistics NZ'!AB$194-'Statistics NZ'!AA$194,$Q$13/5*(AB$8-AB$9)*1000)</f>
        <v>18812.224247785467</v>
      </c>
      <c r="AC194" s="46">
        <f>SUM(AB$194,'Statistics NZ'!AC$194-'Statistics NZ'!AB$194,$Q$13/5*(AC$8-AC$9)*1000)</f>
        <v>19435.397794428318</v>
      </c>
      <c r="AD194" s="46">
        <f>SUM(AC$194,'Statistics NZ'!AD$194-'Statistics NZ'!AC$194,$Q$13/5*(AD$8-AD$9)*1000)</f>
        <v>19858.042416630695</v>
      </c>
      <c r="AE194" s="46">
        <f>SUM(AD$194,'Statistics NZ'!AE$194-'Statistics NZ'!AD$194,$Q$13/5*(AE$8-AE$9)*1000)</f>
        <v>20610.158114392598</v>
      </c>
      <c r="AF194" s="46">
        <f>SUM(AE$194,'Statistics NZ'!AF$194-'Statistics NZ'!AE$194,$Q$13/5*(AF$8-AF$9)*1000)</f>
        <v>21151.744887714023</v>
      </c>
      <c r="AG194" s="46">
        <f>SUM(AF$194,'Statistics NZ'!AG$194-'Statistics NZ'!AF$194,$Q$13/5*(AG$8-AG$9)*1000)</f>
        <v>21742.802736594975</v>
      </c>
      <c r="AH194" s="46">
        <f>SUM(AG$194,'Statistics NZ'!AH$194-'Statistics NZ'!AG$194,$Q$13/5*(AH$8-AH$9)*1000)</f>
        <v>22773.331661035449</v>
      </c>
      <c r="AI194" s="46">
        <f>SUM(AH$194,'Statistics NZ'!AI$194-'Statistics NZ'!AH$194,$Q$13/5*(AI$8-AI$9)*1000)</f>
        <v>23263.331661035449</v>
      </c>
    </row>
    <row r="195" spans="1:35" x14ac:dyDescent="0.25">
      <c r="A195" s="11">
        <f>$A$95</f>
        <v>80</v>
      </c>
      <c r="B195" s="44">
        <f>'Statistics NZ'!B$195*'Economic Forecasts'!D$9*1000000/SUM('Statistics NZ'!B$30:B$110,'Statistics NZ'!B$130:B$210)</f>
        <v>7357.523541403747</v>
      </c>
      <c r="C195" s="44">
        <f>'Statistics NZ'!C$195*'Economic Forecasts'!E$9*1000000/SUM('Statistics NZ'!C$30:C$110,'Statistics NZ'!C$130:C$210)</f>
        <v>7610.5606500708154</v>
      </c>
      <c r="D195" s="44">
        <f>'Statistics NZ'!D$195*'Economic Forecasts'!F$9*1000000/SUM('Statistics NZ'!D$30:D$110,'Statistics NZ'!D$130:D$210)</f>
        <v>7868.0016883456583</v>
      </c>
      <c r="E195" s="44">
        <f>'Statistics NZ'!E$195*'Economic Forecasts'!G$9*1000000/SUM('Statistics NZ'!E$30:E$110,'Statistics NZ'!E$130:E$210)</f>
        <v>7914.267486711512</v>
      </c>
      <c r="F195" s="44">
        <f>'Statistics NZ'!F$195*'Economic Forecasts'!H$9*1000000/SUM('Statistics NZ'!F$30:F$110,'Statistics NZ'!F$130:F$210)</f>
        <v>7964.7710536788563</v>
      </c>
      <c r="G195" s="44">
        <f>'Statistics NZ'!G$195*'Economic Forecasts'!I$9*1000000/SUM('Statistics NZ'!G$30:G$110,'Statistics NZ'!G$130:G$210)</f>
        <v>8408.0362541243667</v>
      </c>
      <c r="H195" s="44">
        <f>'Statistics NZ'!H$195*'Economic Forecasts'!J$9*1000000/SUM('Statistics NZ'!H$30:H$110,'Statistics NZ'!H$130:H$210)</f>
        <v>8243.2900630901295</v>
      </c>
      <c r="I195" s="44">
        <f>'Statistics NZ'!I$195*'Economic Forecasts'!K$9*1000000/SUM('Statistics NZ'!I$30:I$110,'Statistics NZ'!I$130:I$210)</f>
        <v>7940.8797982628184</v>
      </c>
      <c r="J195" s="44">
        <f>'Statistics NZ'!J$195*'Economic Forecasts'!L$9*1000000/SUM('Statistics NZ'!J$30:J$110,'Statistics NZ'!J$130:J$210)</f>
        <v>8133.0697914412704</v>
      </c>
      <c r="K195" s="44">
        <f>'Statistics NZ'!K$195*'Economic Forecasts'!M$9*1000000/SUM('Statistics NZ'!K$30:K$110,'Statistics NZ'!K$130:K$210)</f>
        <v>8324.4675378125321</v>
      </c>
      <c r="L195" s="44">
        <f>'Statistics NZ'!L$195*'Economic Forecasts'!N$9*1000000/SUM('Statistics NZ'!L$30:L$110,'Statistics NZ'!L$130:L$210)</f>
        <v>8500.0649160445537</v>
      </c>
      <c r="M195" s="44">
        <f>'Statistics NZ'!M$195*'Economic Forecasts'!O$9*1000000/SUM('Statistics NZ'!M$30:M$110,'Statistics NZ'!M$130:M$210)</f>
        <v>8948.9296391546468</v>
      </c>
      <c r="N195" s="44">
        <f>'Statistics NZ'!N$195*'Economic Forecasts'!P$9*1000000/SUM('Statistics NZ'!N$30:N$110,'Statistics NZ'!N$130:N$210)</f>
        <v>9364.1820977507123</v>
      </c>
      <c r="O195" s="44">
        <f>'Statistics NZ'!O$195*'Economic Forecasts'!Q$9*1000000/SUM('Statistics NZ'!O$30:O$110,'Statistics NZ'!O$130:O$210)</f>
        <v>9868.5600373835496</v>
      </c>
      <c r="P195" s="44">
        <f>'Statistics NZ'!P$195*'Economic Forecasts'!R$9*1000000/SUM('Statistics NZ'!P$30:P$110,'Statistics NZ'!P$130:P$210)</f>
        <v>10876.824660869397</v>
      </c>
      <c r="Q195" s="44">
        <f>'Statistics NZ'!Q$195*'Economic Forecasts'!S$9*1000000/SUM('Statistics NZ'!Q$30:Q$110,'Statistics NZ'!Q$130:Q$210)</f>
        <v>11872.720997642016</v>
      </c>
      <c r="R195" s="44">
        <f>'Statistics NZ'!R$195*'Economic Forecasts'!T$9*1000000/SUM('Statistics NZ'!R$30:R$110,'Statistics NZ'!R$130:R$210)</f>
        <v>12195.907463905638</v>
      </c>
      <c r="S195" s="45">
        <f>SUM('Statistics NZ'!S$195,$R$13/5*(S$8-S$9)*1000)*'Economic Forecasts'!U$9*1000000/SUM('Statistics NZ'!S$30:S$110,'Statistics NZ'!S$130:S$210,SUM($E$12:$T$13)*(S$8-S$9)*1000)</f>
        <v>10772.321925283344</v>
      </c>
      <c r="T195" s="45">
        <f>SUM('Statistics NZ'!T$195,$R$13/5*(T$8-T$9)*1000)*'Economic Forecasts'!V$9*1000000/SUM('Statistics NZ'!T$30:T$110,'Statistics NZ'!T$130:T$210,SUM($E$12:$T$13)*(T$8-T$9)*1000)</f>
        <v>12670.013327384293</v>
      </c>
      <c r="U195" s="45">
        <f>SUM('Statistics NZ'!U$195,$R$13/5*(U$8-U$9)*1000)*'Economic Forecasts'!W$9*1000000/SUM('Statistics NZ'!U$30:U$110,'Statistics NZ'!U$130:U$210,SUM($E$12:$T$13)*(U$8-U$9)*1000)</f>
        <v>13321.278837681759</v>
      </c>
      <c r="V195" s="45">
        <f>SUM('Statistics NZ'!V$195,$R$13/5*(V$8-V$9)*1000)*'Economic Forecasts'!X$9*1000000/SUM('Statistics NZ'!V$30:V$110,'Statistics NZ'!V$130:V$210,SUM($E$12:$T$13)*(V$8-V$9)*1000)</f>
        <v>14118.669585361662</v>
      </c>
      <c r="W195" s="45">
        <f>SUM('Statistics NZ'!W$195,$R$13/5*(W$8-W$9)*1000)*'Economic Forecasts'!Y$9*1000000/SUM('Statistics NZ'!W$30:W$110,'Statistics NZ'!W$130:W$210,SUM($E$12:$T$13)*(W$8-W$9)*1000)</f>
        <v>16762.580112392228</v>
      </c>
      <c r="X195" s="45">
        <f>SUM('Statistics NZ'!X$195,$R$13/5*(X$8-X$9)*1000)*'Economic Forecasts'!Z$9*1000000/SUM('Statistics NZ'!X$30:X$110,'Statistics NZ'!X$130:X$210,SUM($E$12:$T$13)*(X$8-X$9)*1000)</f>
        <v>16907.216302337125</v>
      </c>
      <c r="Y195" s="45">
        <f>SUM('Statistics NZ'!Y$195,$R$13/5*(Y$8-Y$9)*1000)*'Economic Forecasts'!AA$9*1000000/SUM('Statistics NZ'!Y$30:Y$110,'Statistics NZ'!Y$130:Y$210,SUM($E$12:$T$13)*(Y$8-Y$9)*1000)</f>
        <v>17010.879665906847</v>
      </c>
      <c r="Z195" s="46">
        <f>SUM(Y$195,'Statistics NZ'!Z$195-'Statistics NZ'!Y$195,$R$13/5*(Z$8-Z$9)*1000)</f>
        <v>17162.448693686325</v>
      </c>
      <c r="AA195" s="46">
        <f>SUM(Z$195,'Statistics NZ'!AA$195-'Statistics NZ'!Z$195,$R$13/5*(AA$8-AA$9)*1000)</f>
        <v>17393.84338504586</v>
      </c>
      <c r="AB195" s="46">
        <f>SUM(AA$195,'Statistics NZ'!AB$195-'Statistics NZ'!AA$195,$R$13/5*(AB$8-AB$9)*1000)</f>
        <v>17755.063739985453</v>
      </c>
      <c r="AC195" s="46">
        <f>SUM(AB$195,'Statistics NZ'!AC$195-'Statistics NZ'!AB$195,$R$13/5*(AC$8-AC$9)*1000)</f>
        <v>18056.109758505107</v>
      </c>
      <c r="AD195" s="46">
        <f>SUM(AC$195,'Statistics NZ'!AD$195-'Statistics NZ'!AC$195,$R$13/5*(AD$8-AD$9)*1000)</f>
        <v>18666.981440604817</v>
      </c>
      <c r="AE195" s="46">
        <f>SUM(AD$195,'Statistics NZ'!AE$195-'Statistics NZ'!AD$195,$R$13/5*(AE$8-AE$9)*1000)</f>
        <v>19087.678786284585</v>
      </c>
      <c r="AF195" s="46">
        <f>SUM(AE$195,'Statistics NZ'!AF$195-'Statistics NZ'!AE$195,$R$13/5*(AF$8-AF$9)*1000)</f>
        <v>19818.20179554441</v>
      </c>
      <c r="AG195" s="46">
        <f>SUM(AF$195,'Statistics NZ'!AG$195-'Statistics NZ'!AF$195,$R$13/5*(AG$8-AG$9)*1000)</f>
        <v>20358.550468384296</v>
      </c>
      <c r="AH195" s="46">
        <f>SUM(AG$195,'Statistics NZ'!AH$195-'Statistics NZ'!AG$195,$R$13/5*(AH$8-AH$9)*1000)</f>
        <v>20928.724804804238</v>
      </c>
      <c r="AI195" s="46">
        <f>SUM(AH$195,'Statistics NZ'!AI$195-'Statistics NZ'!AH$195,$R$13/5*(AI$8-AI$9)*1000)</f>
        <v>21938.724804804238</v>
      </c>
    </row>
    <row r="196" spans="1:35" x14ac:dyDescent="0.25">
      <c r="A196" s="11">
        <f>$A$96</f>
        <v>81</v>
      </c>
      <c r="B196" s="44">
        <f>'Statistics NZ'!B$196*'Economic Forecasts'!D$9*1000000/SUM('Statistics NZ'!B$30:B$110,'Statistics NZ'!B$130:B$210)</f>
        <v>6750.919206873119</v>
      </c>
      <c r="C196" s="44">
        <f>'Statistics NZ'!C$196*'Economic Forecasts'!E$9*1000000/SUM('Statistics NZ'!C$30:C$110,'Statistics NZ'!C$130:C$210)</f>
        <v>6864.2347024509691</v>
      </c>
      <c r="D196" s="44">
        <f>'Statistics NZ'!D$196*'Economic Forecasts'!F$9*1000000/SUM('Statistics NZ'!D$30:D$110,'Statistics NZ'!D$130:D$210)</f>
        <v>7082.1837918816718</v>
      </c>
      <c r="E196" s="44">
        <f>'Statistics NZ'!E$196*'Economic Forecasts'!G$9*1000000/SUM('Statistics NZ'!E$30:E$110,'Statistics NZ'!E$130:E$210)</f>
        <v>7355.2671809586536</v>
      </c>
      <c r="F196" s="44">
        <f>'Statistics NZ'!F$196*'Economic Forecasts'!H$9*1000000/SUM('Statistics NZ'!F$30:F$110,'Statistics NZ'!F$130:F$210)</f>
        <v>7415.4764982527286</v>
      </c>
      <c r="G196" s="44">
        <f>'Statistics NZ'!G$196*'Economic Forecasts'!I$9*1000000/SUM('Statistics NZ'!G$30:G$110,'Statistics NZ'!G$130:G$210)</f>
        <v>7514.1912785106779</v>
      </c>
      <c r="H196" s="44">
        <f>'Statistics NZ'!H$196*'Economic Forecasts'!J$9*1000000/SUM('Statistics NZ'!H$30:H$110,'Statistics NZ'!H$130:H$210)</f>
        <v>7899.4102630804109</v>
      </c>
      <c r="I196" s="44">
        <f>'Statistics NZ'!I$196*'Economic Forecasts'!K$9*1000000/SUM('Statistics NZ'!I$30:I$110,'Statistics NZ'!I$130:I$210)</f>
        <v>7744.8086921328722</v>
      </c>
      <c r="J196" s="44">
        <f>'Statistics NZ'!J$196*'Economic Forecasts'!L$9*1000000/SUM('Statistics NZ'!J$30:J$110,'Statistics NZ'!J$130:J$210)</f>
        <v>7450.438034365864</v>
      </c>
      <c r="K196" s="44">
        <f>'Statistics NZ'!K$196*'Economic Forecasts'!M$9*1000000/SUM('Statistics NZ'!K$30:K$110,'Statistics NZ'!K$130:K$210)</f>
        <v>7662.4046225245183</v>
      </c>
      <c r="L196" s="44">
        <f>'Statistics NZ'!L$196*'Economic Forecasts'!N$9*1000000/SUM('Statistics NZ'!L$30:L$110,'Statistics NZ'!L$130:L$210)</f>
        <v>7867.1849394776627</v>
      </c>
      <c r="M196" s="44">
        <f>'Statistics NZ'!M$196*'Economic Forecasts'!O$9*1000000/SUM('Statistics NZ'!M$30:M$110,'Statistics NZ'!M$130:M$210)</f>
        <v>7991.5114026512038</v>
      </c>
      <c r="N196" s="44">
        <f>'Statistics NZ'!N$196*'Economic Forecasts'!P$9*1000000/SUM('Statistics NZ'!N$30:N$110,'Statistics NZ'!N$130:N$210)</f>
        <v>8424.8284076942145</v>
      </c>
      <c r="O196" s="44">
        <f>'Statistics NZ'!O$196*'Economic Forecasts'!Q$9*1000000/SUM('Statistics NZ'!O$30:O$110,'Statistics NZ'!O$130:O$210)</f>
        <v>8887.5898547410488</v>
      </c>
      <c r="P196" s="44">
        <f>'Statistics NZ'!P$196*'Economic Forecasts'!R$9*1000000/SUM('Statistics NZ'!P$30:P$110,'Statistics NZ'!P$130:P$210)</f>
        <v>9370.5018211446786</v>
      </c>
      <c r="Q196" s="44">
        <f>'Statistics NZ'!Q$196*'Economic Forecasts'!S$9*1000000/SUM('Statistics NZ'!Q$30:Q$110,'Statistics NZ'!Q$130:Q$210)</f>
        <v>10421.939628852842</v>
      </c>
      <c r="R196" s="44">
        <f>'Statistics NZ'!R$196*'Economic Forecasts'!T$9*1000000/SUM('Statistics NZ'!R$30:R$110,'Statistics NZ'!R$130:R$210)</f>
        <v>11250.182814038966</v>
      </c>
      <c r="S196" s="45">
        <f>SUM('Statistics NZ'!S$196,$R$13/5*(S$8-S$9)*1000)*'Economic Forecasts'!U$9*1000000/SUM('Statistics NZ'!S$30:S$110,'Statistics NZ'!S$130:S$210,SUM($E$12:$T$13)*(S$8-S$9)*1000)</f>
        <v>11402.943670184106</v>
      </c>
      <c r="T196" s="45">
        <f>SUM('Statistics NZ'!T$196,$R$13/5*(T$8-T$9)*1000)*'Economic Forecasts'!V$9*1000000/SUM('Statistics NZ'!T$30:T$110,'Statistics NZ'!T$130:T$210,SUM($E$12:$T$13)*(T$8-T$9)*1000)</f>
        <v>10512.966056326148</v>
      </c>
      <c r="U196" s="45">
        <f>SUM('Statistics NZ'!U$196,$R$13/5*(U$8-U$9)*1000)*'Economic Forecasts'!W$9*1000000/SUM('Statistics NZ'!U$30:U$110,'Statistics NZ'!U$130:U$210,SUM($E$12:$T$13)*(U$8-U$9)*1000)</f>
        <v>12160.005926210246</v>
      </c>
      <c r="V196" s="45">
        <f>SUM('Statistics NZ'!V$196,$R$13/5*(V$8-V$9)*1000)*'Economic Forecasts'!X$9*1000000/SUM('Statistics NZ'!V$30:V$110,'Statistics NZ'!V$130:V$210,SUM($E$12:$T$13)*(V$8-V$9)*1000)</f>
        <v>12682.687652377441</v>
      </c>
      <c r="W196" s="45">
        <f>SUM('Statistics NZ'!W$196,$R$13/5*(W$8-W$9)*1000)*'Economic Forecasts'!Y$9*1000000/SUM('Statistics NZ'!W$30:W$110,'Statistics NZ'!W$130:W$210,SUM($E$12:$T$13)*(W$8-W$9)*1000)</f>
        <v>13440.787682717704</v>
      </c>
      <c r="X196" s="45">
        <f>SUM('Statistics NZ'!X$196,$R$13/5*(X$8-X$9)*1000)*'Economic Forecasts'!Z$9*1000000/SUM('Statistics NZ'!X$30:X$110,'Statistics NZ'!X$130:X$210,SUM($E$12:$T$13)*(X$8-X$9)*1000)</f>
        <v>15983.808875451557</v>
      </c>
      <c r="Y196" s="45">
        <f>SUM('Statistics NZ'!Y$196,$R$13/5*(Y$8-Y$9)*1000)*'Economic Forecasts'!AA$9*1000000/SUM('Statistics NZ'!Y$30:Y$110,'Statistics NZ'!Y$130:Y$210,SUM($E$12:$T$13)*(Y$8-Y$9)*1000)</f>
        <v>16146.182283516828</v>
      </c>
      <c r="Z196" s="46">
        <f>SUM(Y$196,'Statistics NZ'!Z$196-'Statistics NZ'!Y$196,$R$13/5*(Z$8-Z$9)*1000)</f>
        <v>16217.751311296306</v>
      </c>
      <c r="AA196" s="46">
        <f>SUM(Z$196,'Statistics NZ'!AA$196-'Statistics NZ'!Z$196,$R$13/5*(AA$8-AA$9)*1000)</f>
        <v>16369.146002655842</v>
      </c>
      <c r="AB196" s="46">
        <f>SUM(AA$196,'Statistics NZ'!AB$196-'Statistics NZ'!AA$196,$R$13/5*(AB$8-AB$9)*1000)</f>
        <v>16610.366357595434</v>
      </c>
      <c r="AC196" s="46">
        <f>SUM(AB$196,'Statistics NZ'!AC$196-'Statistics NZ'!AB$196,$R$13/5*(AC$8-AC$9)*1000)</f>
        <v>16951.412376115088</v>
      </c>
      <c r="AD196" s="46">
        <f>SUM(AC$196,'Statistics NZ'!AD$196-'Statistics NZ'!AC$196,$R$13/5*(AD$8-AD$9)*1000)</f>
        <v>17252.284058214798</v>
      </c>
      <c r="AE196" s="46">
        <f>SUM(AD$196,'Statistics NZ'!AE$196-'Statistics NZ'!AD$196,$R$13/5*(AE$8-AE$9)*1000)</f>
        <v>17852.981403894566</v>
      </c>
      <c r="AF196" s="46">
        <f>SUM(AE$196,'Statistics NZ'!AF$196-'Statistics NZ'!AE$196,$R$13/5*(AF$8-AF$9)*1000)</f>
        <v>18263.504413154391</v>
      </c>
      <c r="AG196" s="46">
        <f>SUM(AF$196,'Statistics NZ'!AG$196-'Statistics NZ'!AF$196,$R$13/5*(AG$8-AG$9)*1000)</f>
        <v>18973.853085994277</v>
      </c>
      <c r="AH196" s="46">
        <f>SUM(AG$196,'Statistics NZ'!AH$196-'Statistics NZ'!AG$196,$R$13/5*(AH$8-AH$9)*1000)</f>
        <v>19504.027422414219</v>
      </c>
      <c r="AI196" s="46">
        <f>SUM(AH$196,'Statistics NZ'!AI$196-'Statistics NZ'!AH$196,$R$13/5*(AI$8-AI$9)*1000)</f>
        <v>20064.027422414219</v>
      </c>
    </row>
    <row r="197" spans="1:35" x14ac:dyDescent="0.25">
      <c r="A197" s="11">
        <f>$A$97</f>
        <v>82</v>
      </c>
      <c r="B197" s="44">
        <f>'Statistics NZ'!B$197*'Economic Forecasts'!D$9*1000000/SUM('Statistics NZ'!B$30:B$110,'Statistics NZ'!B$130:B$210)</f>
        <v>5772.5251189204928</v>
      </c>
      <c r="C197" s="44">
        <f>'Statistics NZ'!C$197*'Economic Forecasts'!E$9*1000000/SUM('Statistics NZ'!C$30:C$110,'Statistics NZ'!C$130:C$210)</f>
        <v>6284.8500852197712</v>
      </c>
      <c r="D197" s="44">
        <f>'Statistics NZ'!D$197*'Economic Forecasts'!F$9*1000000/SUM('Statistics NZ'!D$30:D$110,'Statistics NZ'!D$130:D$210)</f>
        <v>6345.4795139466851</v>
      </c>
      <c r="E197" s="44">
        <f>'Statistics NZ'!E$197*'Economic Forecasts'!G$9*1000000/SUM('Statistics NZ'!E$30:E$110,'Statistics NZ'!E$130:E$210)</f>
        <v>6590.3193941389527</v>
      </c>
      <c r="F197" s="44">
        <f>'Statistics NZ'!F$197*'Economic Forecasts'!H$9*1000000/SUM('Statistics NZ'!F$30:F$110,'Statistics NZ'!F$130:F$210)</f>
        <v>6826.94661743902</v>
      </c>
      <c r="G197" s="44">
        <f>'Statistics NZ'!G$197*'Economic Forecasts'!I$9*1000000/SUM('Statistics NZ'!G$30:G$110,'Statistics NZ'!G$130:G$210)</f>
        <v>6915.0204706817231</v>
      </c>
      <c r="H197" s="44">
        <f>'Statistics NZ'!H$197*'Economic Forecasts'!J$9*1000000/SUM('Statistics NZ'!H$30:H$110,'Statistics NZ'!H$130:H$210)</f>
        <v>7005.3227830551396</v>
      </c>
      <c r="I197" s="44">
        <f>'Statistics NZ'!I$197*'Economic Forecasts'!K$9*1000000/SUM('Statistics NZ'!I$30:I$110,'Statistics NZ'!I$130:I$210)</f>
        <v>7391.8807010989694</v>
      </c>
      <c r="J197" s="44">
        <f>'Statistics NZ'!J$197*'Economic Forecasts'!L$9*1000000/SUM('Statistics NZ'!J$30:J$110,'Statistics NZ'!J$130:J$210)</f>
        <v>7177.385331535701</v>
      </c>
      <c r="K197" s="44">
        <f>'Statistics NZ'!K$197*'Economic Forecasts'!M$9*1000000/SUM('Statistics NZ'!K$30:K$110,'Statistics NZ'!K$130:K$210)</f>
        <v>6912.7157331542667</v>
      </c>
      <c r="L197" s="44">
        <f>'Statistics NZ'!L$197*'Economic Forecasts'!N$9*1000000/SUM('Statistics NZ'!L$30:L$110,'Statistics NZ'!L$130:L$210)</f>
        <v>7175.885272766136</v>
      </c>
      <c r="M197" s="44">
        <f>'Statistics NZ'!M$197*'Economic Forecasts'!O$9*1000000/SUM('Statistics NZ'!M$30:M$110,'Statistics NZ'!M$130:M$210)</f>
        <v>7385.7978244551468</v>
      </c>
      <c r="N197" s="44">
        <f>'Statistics NZ'!N$197*'Economic Forecasts'!P$9*1000000/SUM('Statistics NZ'!N$30:N$110,'Statistics NZ'!N$130:N$210)</f>
        <v>7465.9048490948726</v>
      </c>
      <c r="O197" s="44">
        <f>'Statistics NZ'!O$197*'Economic Forecasts'!Q$9*1000000/SUM('Statistics NZ'!O$30:O$110,'Statistics NZ'!O$130:O$210)</f>
        <v>7936.0487775778256</v>
      </c>
      <c r="P197" s="44">
        <f>'Statistics NZ'!P$197*'Economic Forecasts'!R$9*1000000/SUM('Statistics NZ'!P$30:P$110,'Statistics NZ'!P$130:P$210)</f>
        <v>8363.0261556145088</v>
      </c>
      <c r="Q197" s="44">
        <f>'Statistics NZ'!Q$197*'Economic Forecasts'!S$9*1000000/SUM('Statistics NZ'!Q$30:Q$110,'Statistics NZ'!Q$130:Q$210)</f>
        <v>8971.1582600636684</v>
      </c>
      <c r="R197" s="44">
        <f>'Statistics NZ'!R$197*'Economic Forecasts'!T$9*1000000/SUM('Statistics NZ'!R$30:R$110,'Statistics NZ'!R$130:R$210)</f>
        <v>9851.2984361111794</v>
      </c>
      <c r="S197" s="45">
        <f>SUM('Statistics NZ'!S$197,$R$13/5*(S$8-S$9)*1000)*'Economic Forecasts'!U$9*1000000/SUM('Statistics NZ'!S$30:S$110,'Statistics NZ'!S$130:S$210,SUM($E$12:$T$13)*(S$8-S$9)*1000)</f>
        <v>10442.45824333525</v>
      </c>
      <c r="T197" s="45">
        <f>SUM('Statistics NZ'!T$197,$R$13/5*(T$8-T$9)*1000)*'Economic Forecasts'!V$9*1000000/SUM('Statistics NZ'!T$30:T$110,'Statistics NZ'!T$130:T$210,SUM($E$12:$T$13)*(T$8-T$9)*1000)</f>
        <v>11052.227874090686</v>
      </c>
      <c r="U197" s="45">
        <f>SUM('Statistics NZ'!U$197,$R$13/5*(U$8-U$9)*1000)*'Economic Forecasts'!W$9*1000000/SUM('Statistics NZ'!U$30:U$110,'Statistics NZ'!U$130:U$210,SUM($E$12:$T$13)*(U$8-U$9)*1000)</f>
        <v>10019.224558975804</v>
      </c>
      <c r="V197" s="45">
        <f>SUM('Statistics NZ'!V$197,$R$13/5*(V$8-V$9)*1000)*'Economic Forecasts'!X$9*1000000/SUM('Statistics NZ'!V$30:V$110,'Statistics NZ'!V$130:V$210,SUM($E$12:$T$13)*(V$8-V$9)*1000)</f>
        <v>11489.406891165199</v>
      </c>
      <c r="W197" s="45">
        <f>SUM('Statistics NZ'!W$197,$R$13/5*(W$8-W$9)*1000)*'Economic Forecasts'!Y$9*1000000/SUM('Statistics NZ'!W$30:W$110,'Statistics NZ'!W$130:W$210,SUM($E$12:$T$13)*(W$8-W$9)*1000)</f>
        <v>11992.567202707165</v>
      </c>
      <c r="X197" s="45">
        <f>SUM('Statistics NZ'!X$197,$R$13/5*(X$8-X$9)*1000)*'Economic Forecasts'!Z$9*1000000/SUM('Statistics NZ'!X$30:X$110,'Statistics NZ'!X$130:X$210,SUM($E$12:$T$13)*(X$8-X$9)*1000)</f>
        <v>12726.51454544861</v>
      </c>
      <c r="Y197" s="45">
        <f>SUM('Statistics NZ'!Y$197,$R$13/5*(Y$8-Y$9)*1000)*'Economic Forecasts'!AA$9*1000000/SUM('Statistics NZ'!Y$30:Y$110,'Statistics NZ'!Y$130:Y$210,SUM($E$12:$T$13)*(Y$8-Y$9)*1000)</f>
        <v>15159.409976554105</v>
      </c>
      <c r="Z197" s="46">
        <f>SUM(Y$197,'Statistics NZ'!Z$197-'Statistics NZ'!Y$197,$R$13/5*(Z$8-Z$9)*1000)</f>
        <v>15290.979004333583</v>
      </c>
      <c r="AA197" s="46">
        <f>SUM(Z$197,'Statistics NZ'!AA$197-'Statistics NZ'!Z$197,$R$13/5*(AA$8-AA$9)*1000)</f>
        <v>15372.373695693119</v>
      </c>
      <c r="AB197" s="46">
        <f>SUM(AA$197,'Statistics NZ'!AB$197-'Statistics NZ'!AA$197,$R$13/5*(AB$8-AB$9)*1000)</f>
        <v>15523.594050632713</v>
      </c>
      <c r="AC197" s="46">
        <f>SUM(AB$197,'Statistics NZ'!AC$197-'Statistics NZ'!AB$197,$R$13/5*(AC$8-AC$9)*1000)</f>
        <v>15754.640069152365</v>
      </c>
      <c r="AD197" s="46">
        <f>SUM(AC$197,'Statistics NZ'!AD$197-'Statistics NZ'!AC$197,$R$13/5*(AD$8-AD$9)*1000)</f>
        <v>16095.511751252076</v>
      </c>
      <c r="AE197" s="46">
        <f>SUM(AD$197,'Statistics NZ'!AE$197-'Statistics NZ'!AD$197,$R$13/5*(AE$8-AE$9)*1000)</f>
        <v>16396.209096931841</v>
      </c>
      <c r="AF197" s="46">
        <f>SUM(AE$197,'Statistics NZ'!AF$197-'Statistics NZ'!AE$197,$R$13/5*(AF$8-AF$9)*1000)</f>
        <v>16976.732106191666</v>
      </c>
      <c r="AG197" s="46">
        <f>SUM(AF$197,'Statistics NZ'!AG$197-'Statistics NZ'!AF$197,$R$13/5*(AG$8-AG$9)*1000)</f>
        <v>17377.080779031552</v>
      </c>
      <c r="AH197" s="46">
        <f>SUM(AG$197,'Statistics NZ'!AH$197-'Statistics NZ'!AG$197,$R$13/5*(AH$8-AH$9)*1000)</f>
        <v>18067.255115451495</v>
      </c>
      <c r="AI197" s="46">
        <f>SUM(AH$197,'Statistics NZ'!AI$197-'Statistics NZ'!AH$197,$R$13/5*(AI$8-AI$9)*1000)</f>
        <v>18577.255115451495</v>
      </c>
    </row>
    <row r="198" spans="1:35" x14ac:dyDescent="0.25">
      <c r="A198" s="11">
        <f>$A$98</f>
        <v>83</v>
      </c>
      <c r="B198" s="44">
        <f>'Statistics NZ'!B$198*'Economic Forecasts'!D$9*1000000/SUM('Statistics NZ'!B$30:B$110,'Statistics NZ'!B$130:B$210)</f>
        <v>5097.4331982331814</v>
      </c>
      <c r="C198" s="44">
        <f>'Statistics NZ'!C$198*'Economic Forecasts'!E$9*1000000/SUM('Statistics NZ'!C$30:C$110,'Statistics NZ'!C$130:C$210)</f>
        <v>5342.1225724368051</v>
      </c>
      <c r="D198" s="44">
        <f>'Statistics NZ'!D$198*'Economic Forecasts'!F$9*1000000/SUM('Statistics NZ'!D$30:D$110,'Statistics NZ'!D$130:D$210)</f>
        <v>5726.6479204812977</v>
      </c>
      <c r="E198" s="44">
        <f>'Statistics NZ'!E$198*'Economic Forecasts'!G$9*1000000/SUM('Statistics NZ'!E$30:E$110,'Statistics NZ'!E$130:E$210)</f>
        <v>5825.3716073192527</v>
      </c>
      <c r="F198" s="44">
        <f>'Statistics NZ'!F$198*'Economic Forecasts'!H$9*1000000/SUM('Statistics NZ'!F$30:F$110,'Statistics NZ'!F$130:F$210)</f>
        <v>6091.2842664218842</v>
      </c>
      <c r="G198" s="44">
        <f>'Statistics NZ'!G$198*'Economic Forecasts'!I$9*1000000/SUM('Statistics NZ'!G$30:G$110,'Statistics NZ'!G$130:G$210)</f>
        <v>6286.3822460742922</v>
      </c>
      <c r="H198" s="44">
        <f>'Statistics NZ'!H$198*'Economic Forecasts'!J$9*1000000/SUM('Statistics NZ'!H$30:H$110,'Statistics NZ'!H$130:H$210)</f>
        <v>6425.6396916101849</v>
      </c>
      <c r="I198" s="44">
        <f>'Statistics NZ'!I$198*'Economic Forecasts'!K$9*1000000/SUM('Statistics NZ'!I$30:I$110,'Statistics NZ'!I$130:I$210)</f>
        <v>6440.9358363687306</v>
      </c>
      <c r="J198" s="44">
        <f>'Statistics NZ'!J$198*'Economic Forecasts'!L$9*1000000/SUM('Statistics NZ'!J$30:J$110,'Statistics NZ'!J$130:J$210)</f>
        <v>6826.317570754064</v>
      </c>
      <c r="K198" s="44">
        <f>'Statistics NZ'!K$198*'Economic Forecasts'!M$9*1000000/SUM('Statistics NZ'!K$30:K$110,'Statistics NZ'!K$130:K$210)</f>
        <v>6640.1015915650842</v>
      </c>
      <c r="L198" s="44">
        <f>'Statistics NZ'!L$198*'Economic Forecasts'!N$9*1000000/SUM('Statistics NZ'!L$30:L$110,'Statistics NZ'!L$130:L$210)</f>
        <v>6435.9025309340777</v>
      </c>
      <c r="M198" s="44">
        <f>'Statistics NZ'!M$198*'Economic Forecasts'!O$9*1000000/SUM('Statistics NZ'!M$30:M$110,'Statistics NZ'!M$130:M$210)</f>
        <v>6701.927655524114</v>
      </c>
      <c r="N198" s="44">
        <f>'Statistics NZ'!N$198*'Economic Forecasts'!P$9*1000000/SUM('Statistics NZ'!N$30:N$110,'Statistics NZ'!N$130:N$210)</f>
        <v>6859.2389242667177</v>
      </c>
      <c r="O198" s="44">
        <f>'Statistics NZ'!O$198*'Economic Forecasts'!Q$9*1000000/SUM('Statistics NZ'!O$30:O$110,'Statistics NZ'!O$130:O$210)</f>
        <v>6935.4591912824744</v>
      </c>
      <c r="P198" s="44">
        <f>'Statistics NZ'!P$198*'Economic Forecasts'!R$9*1000000/SUM('Statistics NZ'!P$30:P$110,'Statistics NZ'!P$130:P$210)</f>
        <v>7433.8010272128968</v>
      </c>
      <c r="Q198" s="44">
        <f>'Statistics NZ'!Q$198*'Economic Forecasts'!S$9*1000000/SUM('Statistics NZ'!Q$30:Q$110,'Statistics NZ'!Q$130:Q$210)</f>
        <v>7895.4088097370013</v>
      </c>
      <c r="R198" s="44">
        <f>'Statistics NZ'!R$198*'Economic Forecasts'!T$9*1000000/SUM('Statistics NZ'!R$30:R$110,'Statistics NZ'!R$130:R$210)</f>
        <v>8383.4549691306147</v>
      </c>
      <c r="S198" s="45">
        <f>SUM('Statistics NZ'!S$198,$R$13/5*(S$8-S$9)*1000)*'Economic Forecasts'!U$9*1000000/SUM('Statistics NZ'!S$30:S$110,'Statistics NZ'!S$130:S$210,SUM($E$12:$T$13)*(S$8-S$9)*1000)</f>
        <v>9064.7922775520437</v>
      </c>
      <c r="T198" s="45">
        <f>SUM('Statistics NZ'!T$198,$R$13/5*(T$8-T$9)*1000)*'Economic Forecasts'!V$9*1000000/SUM('Statistics NZ'!T$30:T$110,'Statistics NZ'!T$130:T$210,SUM($E$12:$T$13)*(T$8-T$9)*1000)</f>
        <v>10033.622218313227</v>
      </c>
      <c r="U198" s="45">
        <f>SUM('Statistics NZ'!U$198,$R$13/5*(U$8-U$9)*1000)*'Economic Forecasts'!W$9*1000000/SUM('Statistics NZ'!U$30:U$110,'Statistics NZ'!U$130:U$210,SUM($E$12:$T$13)*(U$8-U$9)*1000)</f>
        <v>10443.341622295837</v>
      </c>
      <c r="V198" s="45">
        <f>SUM('Statistics NZ'!V$198,$R$13/5*(V$8-V$9)*1000)*'Economic Forecasts'!X$9*1000000/SUM('Statistics NZ'!V$30:V$110,'Statistics NZ'!V$130:V$210,SUM($E$12:$T$13)*(V$8-V$9)*1000)</f>
        <v>9396.1092846318625</v>
      </c>
      <c r="W198" s="45">
        <f>SUM('Statistics NZ'!W$198,$R$13/5*(W$8-W$9)*1000)*'Economic Forecasts'!Y$9*1000000/SUM('Statistics NZ'!W$30:W$110,'Statistics NZ'!W$130:W$210,SUM($E$12:$T$13)*(W$8-W$9)*1000)</f>
        <v>10777.277289411608</v>
      </c>
      <c r="X198" s="45">
        <f>SUM('Statistics NZ'!X$198,$R$13/5*(X$8-X$9)*1000)*'Economic Forecasts'!Z$9*1000000/SUM('Statistics NZ'!X$30:X$110,'Statistics NZ'!X$130:X$210,SUM($E$12:$T$13)*(X$8-X$9)*1000)</f>
        <v>11265.298397409904</v>
      </c>
      <c r="Y198" s="45">
        <f>SUM('Statistics NZ'!Y$198,$R$13/5*(Y$8-Y$9)*1000)*'Economic Forecasts'!AA$9*1000000/SUM('Statistics NZ'!Y$30:Y$110,'Statistics NZ'!Y$130:Y$210,SUM($E$12:$T$13)*(Y$8-Y$9)*1000)</f>
        <v>11975.289027282646</v>
      </c>
      <c r="Z198" s="46">
        <f>SUM(Y$198,'Statistics NZ'!Z$198-'Statistics NZ'!Y$198,$R$13/5*(Z$8-Z$9)*1000)</f>
        <v>14206.858055062125</v>
      </c>
      <c r="AA198" s="46">
        <f>SUM(Z$198,'Statistics NZ'!AA$198-'Statistics NZ'!Z$198,$R$13/5*(AA$8-AA$9)*1000)</f>
        <v>14338.25274642166</v>
      </c>
      <c r="AB198" s="46">
        <f>SUM(AA$198,'Statistics NZ'!AB$198-'Statistics NZ'!AA$198,$R$13/5*(AB$8-AB$9)*1000)</f>
        <v>14419.473101361255</v>
      </c>
      <c r="AC198" s="46">
        <f>SUM(AB$198,'Statistics NZ'!AC$198-'Statistics NZ'!AB$198,$R$13/5*(AC$8-AC$9)*1000)</f>
        <v>14570.519119880906</v>
      </c>
      <c r="AD198" s="46">
        <f>SUM(AC$198,'Statistics NZ'!AD$198-'Statistics NZ'!AC$198,$R$13/5*(AD$8-AD$9)*1000)</f>
        <v>14801.390801980617</v>
      </c>
      <c r="AE198" s="46">
        <f>SUM(AD$198,'Statistics NZ'!AE$198-'Statistics NZ'!AD$198,$R$13/5*(AE$8-AE$9)*1000)</f>
        <v>15132.088147660384</v>
      </c>
      <c r="AF198" s="46">
        <f>SUM(AE$198,'Statistics NZ'!AF$198-'Statistics NZ'!AE$198,$R$13/5*(AF$8-AF$9)*1000)</f>
        <v>15432.611156920211</v>
      </c>
      <c r="AG198" s="46">
        <f>SUM(AF$198,'Statistics NZ'!AG$198-'Statistics NZ'!AF$198,$R$13/5*(AG$8-AG$9)*1000)</f>
        <v>15992.959829760095</v>
      </c>
      <c r="AH198" s="46">
        <f>SUM(AG$198,'Statistics NZ'!AH$198-'Statistics NZ'!AG$198,$R$13/5*(AH$8-AH$9)*1000)</f>
        <v>16383.134166180038</v>
      </c>
      <c r="AI198" s="46">
        <f>SUM(AH$198,'Statistics NZ'!AI$198-'Statistics NZ'!AH$198,$R$13/5*(AI$8-AI$9)*1000)</f>
        <v>17043.13416618004</v>
      </c>
    </row>
    <row r="199" spans="1:35" x14ac:dyDescent="0.25">
      <c r="A199" s="11">
        <f>$A$99</f>
        <v>84</v>
      </c>
      <c r="B199" s="44">
        <f>'Statistics NZ'!B$199*'Economic Forecasts'!D$9*1000000/SUM('Statistics NZ'!B$30:B$110,'Statistics NZ'!B$130:B$210)</f>
        <v>4549.5325089797107</v>
      </c>
      <c r="C199" s="44">
        <f>'Statistics NZ'!C$199*'Economic Forecasts'!E$9*1000000/SUM('Statistics NZ'!C$30:C$110,'Statistics NZ'!C$130:C$210)</f>
        <v>4644.8970161077368</v>
      </c>
      <c r="D199" s="44">
        <f>'Statistics NZ'!D$199*'Economic Forecasts'!F$9*1000000/SUM('Statistics NZ'!D$30:D$110,'Statistics NZ'!D$130:D$210)</f>
        <v>4862.2482343709125</v>
      </c>
      <c r="E199" s="44">
        <f>'Statistics NZ'!E$199*'Economic Forecasts'!G$9*1000000/SUM('Statistics NZ'!E$30:E$110,'Statistics NZ'!E$130:E$210)</f>
        <v>5187.9151183028362</v>
      </c>
      <c r="F199" s="44">
        <f>'Statistics NZ'!F$199*'Economic Forecasts'!H$9*1000000/SUM('Statistics NZ'!F$30:F$110,'Statistics NZ'!F$130:F$210)</f>
        <v>5277.1512646295869</v>
      </c>
      <c r="G199" s="44">
        <f>'Statistics NZ'!G$199*'Economic Forecasts'!I$9*1000000/SUM('Statistics NZ'!G$30:G$110,'Statistics NZ'!G$130:G$210)</f>
        <v>5598.8091879099175</v>
      </c>
      <c r="H199" s="44">
        <f>'Statistics NZ'!H$199*'Economic Forecasts'!J$9*1000000/SUM('Statistics NZ'!H$30:H$110,'Statistics NZ'!H$130:H$210)</f>
        <v>5757.5303658770154</v>
      </c>
      <c r="I199" s="44">
        <f>'Statistics NZ'!I$199*'Economic Forecasts'!K$9*1000000/SUM('Statistics NZ'!I$30:I$110,'Statistics NZ'!I$130:I$210)</f>
        <v>5882.1331838983842</v>
      </c>
      <c r="J199" s="44">
        <f>'Statistics NZ'!J$199*'Economic Forecasts'!L$9*1000000/SUM('Statistics NZ'!J$30:J$110,'Statistics NZ'!J$130:J$210)</f>
        <v>5841.377464116691</v>
      </c>
      <c r="K199" s="44">
        <f>'Statistics NZ'!K$199*'Economic Forecasts'!M$9*1000000/SUM('Statistics NZ'!K$30:K$110,'Statistics NZ'!K$130:K$210)</f>
        <v>6309.0701339210773</v>
      </c>
      <c r="L199" s="44">
        <f>'Statistics NZ'!L$199*'Economic Forecasts'!N$9*1000000/SUM('Statistics NZ'!L$30:L$110,'Statistics NZ'!L$130:L$210)</f>
        <v>6085.3843900662623</v>
      </c>
      <c r="M199" s="44">
        <f>'Statistics NZ'!M$199*'Economic Forecasts'!O$9*1000000/SUM('Statistics NZ'!M$30:M$110,'Statistics NZ'!M$130:M$210)</f>
        <v>5900.8226004906201</v>
      </c>
      <c r="N199" s="44">
        <f>'Statistics NZ'!N$199*'Economic Forecasts'!P$9*1000000/SUM('Statistics NZ'!N$30:N$110,'Statistics NZ'!N$130:N$210)</f>
        <v>6164.5085909957661</v>
      </c>
      <c r="O199" s="44">
        <f>'Statistics NZ'!O$199*'Economic Forecasts'!Q$9*1000000/SUM('Statistics NZ'!O$30:O$110,'Statistics NZ'!O$130:O$210)</f>
        <v>6356.6867835233998</v>
      </c>
      <c r="P199" s="44">
        <f>'Statistics NZ'!P$199*'Economic Forecasts'!R$9*1000000/SUM('Statistics NZ'!P$30:P$110,'Statistics NZ'!P$130:P$210)</f>
        <v>6455.6693131059365</v>
      </c>
      <c r="Q199" s="44">
        <f>'Statistics NZ'!Q$199*'Economic Forecasts'!S$9*1000000/SUM('Statistics NZ'!Q$30:Q$110,'Statistics NZ'!Q$130:Q$210)</f>
        <v>6938.0904915563897</v>
      </c>
      <c r="R199" s="44">
        <f>'Statistics NZ'!R$199*'Economic Forecasts'!T$9*1000000/SUM('Statistics NZ'!R$30:R$110,'Statistics NZ'!R$130:R$210)</f>
        <v>7339.217334902828</v>
      </c>
      <c r="S199" s="45">
        <f>SUM('Statistics NZ'!S$199,$R$13/5*(S$8-S$9)*1000)*'Economic Forecasts'!U$9*1000000/SUM('Statistics NZ'!S$30:S$110,'Statistics NZ'!S$130:S$210,SUM($E$12:$T$13)*(S$8-S$9)*1000)</f>
        <v>7648.3188197749414</v>
      </c>
      <c r="T199" s="45">
        <f>SUM('Statistics NZ'!T$199,$R$13/5*(T$8-T$9)*1000)*'Economic Forecasts'!V$9*1000000/SUM('Statistics NZ'!T$30:T$110,'Statistics NZ'!T$130:T$210,SUM($E$12:$T$13)*(T$8-T$9)*1000)</f>
        <v>8635.5360241088747</v>
      </c>
      <c r="U199" s="45">
        <f>SUM('Statistics NZ'!U$199,$R$13/5*(U$8-U$9)*1000)*'Economic Forecasts'!W$9*1000000/SUM('Statistics NZ'!U$30:U$110,'Statistics NZ'!U$130:U$210,SUM($E$12:$T$13)*(U$8-U$9)*1000)</f>
        <v>9393.1469893129015</v>
      </c>
      <c r="V199" s="45">
        <f>SUM('Statistics NZ'!V$199,$R$13/5*(V$8-V$9)*1000)*'Economic Forecasts'!X$9*1000000/SUM('Statistics NZ'!V$30:V$110,'Statistics NZ'!V$130:V$210,SUM($E$12:$T$13)*(V$8-V$9)*1000)</f>
        <v>9699.4857493468389</v>
      </c>
      <c r="W199" s="45">
        <f>SUM('Statistics NZ'!W$199,$R$13/5*(W$8-W$9)*1000)*'Economic Forecasts'!Y$9*1000000/SUM('Statistics NZ'!W$30:W$110,'Statistics NZ'!W$130:W$210,SUM($E$12:$T$13)*(W$8-W$9)*1000)</f>
        <v>8731.5392686974192</v>
      </c>
      <c r="X199" s="45">
        <f>SUM('Statistics NZ'!X$199,$R$13/5*(X$8-X$9)*1000)*'Economic Forecasts'!Z$9*1000000/SUM('Statistics NZ'!X$30:X$110,'Statistics NZ'!X$130:X$210,SUM($E$12:$T$13)*(X$8-X$9)*1000)</f>
        <v>10037.470939682937</v>
      </c>
      <c r="Y199" s="45">
        <f>SUM('Statistics NZ'!Y$199,$R$13/5*(Y$8-Y$9)*1000)*'Economic Forecasts'!AA$9*1000000/SUM('Statistics NZ'!Y$30:Y$110,'Statistics NZ'!Y$130:Y$210,SUM($E$12:$T$13)*(Y$8-Y$9)*1000)</f>
        <v>10500.217022029092</v>
      </c>
      <c r="Z199" s="46">
        <f>SUM(Y$199,'Statistics NZ'!Z$199-'Statistics NZ'!Y$199,$R$13/5*(Z$8-Z$9)*1000)</f>
        <v>11141.78604980857</v>
      </c>
      <c r="AA199" s="46">
        <f>SUM(Z$199,'Statistics NZ'!AA$199-'Statistics NZ'!Z$199,$R$13/5*(AA$8-AA$9)*1000)</f>
        <v>13223.180741168106</v>
      </c>
      <c r="AB199" s="46">
        <f>SUM(AA$199,'Statistics NZ'!AB$199-'Statistics NZ'!AA$199,$R$13/5*(AB$8-AB$9)*1000)</f>
        <v>13354.4010961077</v>
      </c>
      <c r="AC199" s="46">
        <f>SUM(AB$199,'Statistics NZ'!AC$199-'Statistics NZ'!AB$199,$R$13/5*(AC$8-AC$9)*1000)</f>
        <v>13445.447114627352</v>
      </c>
      <c r="AD199" s="46">
        <f>SUM(AC$199,'Statistics NZ'!AD$199-'Statistics NZ'!AC$199,$R$13/5*(AD$8-AD$9)*1000)</f>
        <v>13596.318796727062</v>
      </c>
      <c r="AE199" s="46">
        <f>SUM(AD$199,'Statistics NZ'!AE$199-'Statistics NZ'!AD$199,$R$13/5*(AE$8-AE$9)*1000)</f>
        <v>13817.01614240683</v>
      </c>
      <c r="AF199" s="46">
        <f>SUM(AE$199,'Statistics NZ'!AF$199-'Statistics NZ'!AE$199,$R$13/5*(AF$8-AF$9)*1000)</f>
        <v>14147.539151666657</v>
      </c>
      <c r="AG199" s="46">
        <f>SUM(AF$199,'Statistics NZ'!AG$199-'Statistics NZ'!AF$199,$R$13/5*(AG$8-AG$9)*1000)</f>
        <v>14437.887824506541</v>
      </c>
      <c r="AH199" s="46">
        <f>SUM(AG$199,'Statistics NZ'!AH$199-'Statistics NZ'!AG$199,$R$13/5*(AH$8-AH$9)*1000)</f>
        <v>14968.062160926484</v>
      </c>
      <c r="AI199" s="46">
        <f>SUM(AH$199,'Statistics NZ'!AI$199-'Statistics NZ'!AH$199,$R$13/5*(AI$8-AI$9)*1000)</f>
        <v>15348.062160926484</v>
      </c>
    </row>
    <row r="200" spans="1:35" x14ac:dyDescent="0.25">
      <c r="A200" s="11">
        <f>$A$100</f>
        <v>85</v>
      </c>
      <c r="B200" s="44">
        <f>'Statistics NZ'!B$200*'Economic Forecasts'!D$9*1000000/SUM('Statistics NZ'!B$30:B$110,'Statistics NZ'!B$130:B$210)</f>
        <v>3766.8172386176097</v>
      </c>
      <c r="C200" s="44">
        <f>'Statistics NZ'!C$200*'Economic Forecasts'!E$9*1000000/SUM('Statistics NZ'!C$30:C$110,'Statistics NZ'!C$130:C$210)</f>
        <v>4065.512398876539</v>
      </c>
      <c r="D200" s="44">
        <f>'Statistics NZ'!D$200*'Economic Forecasts'!F$9*1000000/SUM('Statistics NZ'!D$30:D$110,'Statistics NZ'!D$130:D$210)</f>
        <v>4174.6575749649255</v>
      </c>
      <c r="E200" s="44">
        <f>'Statistics NZ'!E$200*'Economic Forecasts'!G$9*1000000/SUM('Statistics NZ'!E$30:E$110,'Statistics NZ'!E$130:E$210)</f>
        <v>4354.3181711275229</v>
      </c>
      <c r="F200" s="44">
        <f>'Statistics NZ'!F$200*'Economic Forecasts'!H$9*1000000/SUM('Statistics NZ'!F$30:F$110,'Statistics NZ'!F$130:F$210)</f>
        <v>4669.0037211220879</v>
      </c>
      <c r="G200" s="44">
        <f>'Statistics NZ'!G$200*'Economic Forecasts'!I$9*1000000/SUM('Statistics NZ'!G$30:G$110,'Statistics NZ'!G$130:G$210)</f>
        <v>4744.2541013341925</v>
      </c>
      <c r="H200" s="44">
        <f>'Statistics NZ'!H$200*'Economic Forecasts'!J$9*1000000/SUM('Statistics NZ'!H$30:H$110,'Statistics NZ'!H$130:H$210)</f>
        <v>5069.7707658575773</v>
      </c>
      <c r="I200" s="44">
        <f>'Statistics NZ'!I$200*'Economic Forecasts'!K$9*1000000/SUM('Statistics NZ'!I$30:I$110,'Statistics NZ'!I$130:I$210)</f>
        <v>5176.2772018305777</v>
      </c>
      <c r="J200" s="44">
        <f>'Statistics NZ'!J$200*'Economic Forecasts'!L$9*1000000/SUM('Statistics NZ'!J$30:J$110,'Statistics NZ'!J$130:J$210)</f>
        <v>5305.0239407003</v>
      </c>
      <c r="K200" s="44">
        <f>'Statistics NZ'!K$200*'Economic Forecasts'!M$9*1000000/SUM('Statistics NZ'!K$30:K$110,'Statistics NZ'!K$130:K$210)</f>
        <v>5306.2395416465852</v>
      </c>
      <c r="L200" s="44">
        <f>'Statistics NZ'!L$200*'Economic Forecasts'!N$9*1000000/SUM('Statistics NZ'!L$30:L$110,'Statistics NZ'!L$130:L$210)</f>
        <v>5754.3394792466561</v>
      </c>
      <c r="M200" s="44">
        <f>'Statistics NZ'!M$200*'Economic Forecasts'!O$9*1000000/SUM('Statistics NZ'!M$30:M$110,'Statistics NZ'!M$130:M$210)</f>
        <v>5490.5004991320002</v>
      </c>
      <c r="N200" s="44">
        <f>'Statistics NZ'!N$200*'Economic Forecasts'!P$9*1000000/SUM('Statistics NZ'!N$30:N$110,'Statistics NZ'!N$130:N$210)</f>
        <v>5362.1439807391744</v>
      </c>
      <c r="O200" s="44">
        <f>'Statistics NZ'!O$200*'Economic Forecasts'!Q$9*1000000/SUM('Statistics NZ'!O$30:O$110,'Statistics NZ'!O$130:O$210)</f>
        <v>5660.1979538472242</v>
      </c>
      <c r="P200" s="44">
        <f>'Statistics NZ'!P$200*'Economic Forecasts'!R$9*1000000/SUM('Statistics NZ'!P$30:P$110,'Statistics NZ'!P$130:P$210)</f>
        <v>5829.6650160774816</v>
      </c>
      <c r="Q200" s="44">
        <f>'Statistics NZ'!Q$200*'Economic Forecasts'!S$9*1000000/SUM('Statistics NZ'!Q$30:Q$110,'Statistics NZ'!Q$130:Q$210)</f>
        <v>5970.9029123636074</v>
      </c>
      <c r="R200" s="44">
        <f>'Statistics NZ'!R$200*'Economic Forecasts'!T$9*1000000/SUM('Statistics NZ'!R$30:R$110,'Statistics NZ'!R$130:R$210)</f>
        <v>6314.682297547266</v>
      </c>
      <c r="S200" s="45">
        <f>SUM('Statistics NZ'!S$200,$S$13/5*(S$8-S$9)*1000)*'Economic Forecasts'!U$9*1000000/SUM('Statistics NZ'!S$30:S$110,'Statistics NZ'!S$130:S$210,SUM($E$12:$T$13)*(S$8-S$9)*1000)</f>
        <v>6616.7369143132983</v>
      </c>
      <c r="T200" s="45">
        <f>SUM('Statistics NZ'!T$200,$S$13/5*(T$8-T$9)*1000)*'Economic Forecasts'!V$9*1000000/SUM('Statistics NZ'!T$30:T$110,'Statistics NZ'!T$130:T$210,SUM($E$12:$T$13)*(T$8-T$9)*1000)</f>
        <v>7195.6977564100362</v>
      </c>
      <c r="U200" s="45">
        <f>SUM('Statistics NZ'!U$200,$S$13/5*(U$8-U$9)*1000)*'Economic Forecasts'!W$9*1000000/SUM('Statistics NZ'!U$30:U$110,'Statistics NZ'!U$130:U$210,SUM($E$12:$T$13)*(U$8-U$9)*1000)</f>
        <v>7999.1317284720535</v>
      </c>
      <c r="V200" s="45">
        <f>SUM('Statistics NZ'!V$200,$S$13/5*(V$8-V$9)*1000)*'Economic Forecasts'!X$9*1000000/SUM('Statistics NZ'!V$30:V$110,'Statistics NZ'!V$130:V$210,SUM($E$12:$T$13)*(V$8-V$9)*1000)</f>
        <v>8627.1740482446421</v>
      </c>
      <c r="W200" s="45">
        <f>SUM('Statistics NZ'!W$200,$S$13/5*(W$8-W$9)*1000)*'Economic Forecasts'!Y$9*1000000/SUM('Statistics NZ'!W$30:W$110,'Statistics NZ'!W$130:W$210,SUM($E$12:$T$13)*(W$8-W$9)*1000)</f>
        <v>8913.4130392607967</v>
      </c>
      <c r="X200" s="45">
        <f>SUM('Statistics NZ'!X$200,$S$13/5*(X$8-X$9)*1000)*'Economic Forecasts'!Z$9*1000000/SUM('Statistics NZ'!X$30:X$110,'Statistics NZ'!X$130:X$210,SUM($E$12:$T$13)*(X$8-X$9)*1000)</f>
        <v>8038.0139274130515</v>
      </c>
      <c r="Y200" s="45">
        <f>SUM('Statistics NZ'!Y$200,$S$13/5*(Y$8-Y$9)*1000)*'Economic Forecasts'!AA$9*1000000/SUM('Statistics NZ'!Y$30:Y$110,'Statistics NZ'!Y$130:Y$210,SUM($E$12:$T$13)*(Y$8-Y$9)*1000)</f>
        <v>9258.6858156603594</v>
      </c>
      <c r="Z200" s="46">
        <f>SUM(Y$200,'Statistics NZ'!Z$200-'Statistics NZ'!Y$200,$S$13/5*(Z$8-Z$9)*1000)</f>
        <v>9669.868989365752</v>
      </c>
      <c r="AA200" s="46">
        <f>SUM(Z$200,'Statistics NZ'!AA$200-'Statistics NZ'!Z$200,$S$13/5*(AA$8-AA$9)*1000)</f>
        <v>10260.920699326101</v>
      </c>
      <c r="AB200" s="46">
        <f>SUM(AA$200,'Statistics NZ'!AB$200-'Statistics NZ'!AA$200,$S$13/5*(AB$8-AB$9)*1000)</f>
        <v>12191.840945541406</v>
      </c>
      <c r="AC200" s="46">
        <f>SUM(AB$200,'Statistics NZ'!AC$200-'Statistics NZ'!AB$200,$S$13/5*(AC$8-AC$9)*1000)</f>
        <v>12322.629728011667</v>
      </c>
      <c r="AD200" s="46">
        <f>SUM(AC$200,'Statistics NZ'!AD$200-'Statistics NZ'!AC$200,$S$13/5*(AD$8-AD$9)*1000)</f>
        <v>12413.287046736885</v>
      </c>
      <c r="AE200" s="46">
        <f>SUM(AD$200,'Statistics NZ'!AE$200-'Statistics NZ'!AD$200,$S$13/5*(AE$8-AE$9)*1000)</f>
        <v>12563.81290171706</v>
      </c>
      <c r="AF200" s="46">
        <f>SUM(AE$200,'Statistics NZ'!AF$200-'Statistics NZ'!AE$200,$S$13/5*(AF$8-AF$9)*1000)</f>
        <v>12794.207292952191</v>
      </c>
      <c r="AG200" s="46">
        <f>SUM(AF$200,'Statistics NZ'!AG$200-'Statistics NZ'!AF$200,$S$13/5*(AG$8-AG$9)*1000)</f>
        <v>13104.470220442277</v>
      </c>
      <c r="AH200" s="46">
        <f>SUM(AG$200,'Statistics NZ'!AH$200-'Statistics NZ'!AG$200,$S$13/5*(AH$8-AH$9)*1000)</f>
        <v>13384.601684187321</v>
      </c>
      <c r="AI200" s="46">
        <f>SUM(AH$200,'Statistics NZ'!AI$200-'Statistics NZ'!AH$200,$S$13/5*(AI$8-AI$9)*1000)</f>
        <v>13884.601684187321</v>
      </c>
    </row>
    <row r="201" spans="1:35" x14ac:dyDescent="0.25">
      <c r="A201" s="11">
        <f>$A$101</f>
        <v>86</v>
      </c>
      <c r="B201" s="44">
        <f>'Statistics NZ'!B$201*'Economic Forecasts'!D$9*1000000/SUM('Statistics NZ'!B$30:B$110,'Statistics NZ'!B$130:B$210)</f>
        <v>3218.9165493641394</v>
      </c>
      <c r="C201" s="44">
        <f>'Statistics NZ'!C$201*'Economic Forecasts'!E$9*1000000/SUM('Statistics NZ'!C$30:C$110,'Statistics NZ'!C$130:C$210)</f>
        <v>3358.4667642893151</v>
      </c>
      <c r="D201" s="44">
        <f>'Statistics NZ'!D$201*'Economic Forecasts'!F$9*1000000/SUM('Statistics NZ'!D$30:D$110,'Statistics NZ'!D$130:D$210)</f>
        <v>3575.4714289111353</v>
      </c>
      <c r="E201" s="44">
        <f>'Statistics NZ'!E$201*'Economic Forecasts'!G$9*1000000/SUM('Statistics NZ'!E$30:E$110,'Statistics NZ'!E$130:E$210)</f>
        <v>3716.8616821111059</v>
      </c>
      <c r="F201" s="44">
        <f>'Statistics NZ'!F$201*'Economic Forecasts'!H$9*1000000/SUM('Statistics NZ'!F$30:F$110,'Statistics NZ'!F$130:F$210)</f>
        <v>3894.1060447173718</v>
      </c>
      <c r="G201" s="44">
        <f>'Statistics NZ'!G$201*'Economic Forecasts'!I$9*1000000/SUM('Statistics NZ'!G$30:G$110,'Statistics NZ'!G$130:G$210)</f>
        <v>4174.55071028371</v>
      </c>
      <c r="H201" s="44">
        <f>'Statistics NZ'!H$201*'Economic Forecasts'!J$9*1000000/SUM('Statistics NZ'!H$30:H$110,'Statistics NZ'!H$130:H$210)</f>
        <v>4234.6341086911152</v>
      </c>
      <c r="I201" s="44">
        <f>'Statistics NZ'!I$201*'Economic Forecasts'!K$9*1000000/SUM('Statistics NZ'!I$30:I$110,'Statistics NZ'!I$130:I$210)</f>
        <v>4519.4389962952591</v>
      </c>
      <c r="J201" s="44">
        <f>'Statistics NZ'!J$201*'Economic Forecasts'!L$9*1000000/SUM('Statistics NZ'!J$30:J$110,'Statistics NZ'!J$130:J$210)</f>
        <v>4612.6403013809604</v>
      </c>
      <c r="K201" s="44">
        <f>'Statistics NZ'!K$201*'Economic Forecasts'!M$9*1000000/SUM('Statistics NZ'!K$30:K$110,'Statistics NZ'!K$130:K$210)</f>
        <v>4731.8026004408075</v>
      </c>
      <c r="L201" s="44">
        <f>'Statistics NZ'!L$201*'Economic Forecasts'!N$9*1000000/SUM('Statistics NZ'!L$30:L$110,'Statistics NZ'!L$130:L$210)</f>
        <v>4761.2047467878419</v>
      </c>
      <c r="M201" s="44">
        <f>'Statistics NZ'!M$201*'Economic Forecasts'!O$9*1000000/SUM('Statistics NZ'!M$30:M$110,'Statistics NZ'!M$130:M$210)</f>
        <v>5168.1045623502268</v>
      </c>
      <c r="N201" s="44">
        <f>'Statistics NZ'!N$201*'Economic Forecasts'!P$9*1000000/SUM('Statistics NZ'!N$30:N$110,'Statistics NZ'!N$130:N$210)</f>
        <v>4912.0370042537697</v>
      </c>
      <c r="O201" s="44">
        <f>'Statistics NZ'!O$201*'Economic Forecasts'!Q$9*1000000/SUM('Statistics NZ'!O$30:O$110,'Statistics NZ'!O$130:O$210)</f>
        <v>4885.2315095596496</v>
      </c>
      <c r="P201" s="44">
        <f>'Statistics NZ'!P$201*'Economic Forecasts'!R$9*1000000/SUM('Statistics NZ'!P$30:P$110,'Statistics NZ'!P$130:P$210)</f>
        <v>5115.6288647794017</v>
      </c>
      <c r="Q201" s="44">
        <f>'Statistics NZ'!Q$201*'Economic Forecasts'!S$9*1000000/SUM('Statistics NZ'!Q$30:Q$110,'Statistics NZ'!Q$130:Q$210)</f>
        <v>5359.0087296089896</v>
      </c>
      <c r="R201" s="44">
        <f>'Statistics NZ'!R$201*'Economic Forecasts'!T$9*1000000/SUM('Statistics NZ'!R$30:R$110,'Statistics NZ'!R$130:R$210)</f>
        <v>5418.2141398611475</v>
      </c>
      <c r="S201" s="45">
        <f>SUM('Statistics NZ'!S$201,$S$13/5*(S$8-S$9)*1000)*'Economic Forecasts'!U$9*1000000/SUM('Statistics NZ'!S$30:S$110,'Statistics NZ'!S$130:S$210,SUM($E$12:$T$13)*(S$8-S$9)*1000)</f>
        <v>5627.1458684690224</v>
      </c>
      <c r="T201" s="45">
        <f>SUM('Statistics NZ'!T$201,$S$13/5*(T$8-T$9)*1000)*'Economic Forecasts'!V$9*1000000/SUM('Statistics NZ'!T$30:T$110,'Statistics NZ'!T$130:T$210,SUM($E$12:$T$13)*(T$8-T$9)*1000)</f>
        <v>6157.1194407153753</v>
      </c>
      <c r="U201" s="45">
        <f>SUM('Statistics NZ'!U$201,$S$13/5*(U$8-U$9)*1000)*'Economic Forecasts'!W$9*1000000/SUM('Statistics NZ'!U$30:U$110,'Statistics NZ'!U$130:U$210,SUM($E$12:$T$13)*(U$8-U$9)*1000)</f>
        <v>6585.40818407195</v>
      </c>
      <c r="V201" s="45">
        <f>SUM('Statistics NZ'!V$201,$S$13/5*(V$8-V$9)*1000)*'Economic Forecasts'!X$9*1000000/SUM('Statistics NZ'!V$30:V$110,'Statistics NZ'!V$130:V$210,SUM($E$12:$T$13)*(V$8-V$9)*1000)</f>
        <v>7261.9799570272489</v>
      </c>
      <c r="W201" s="45">
        <f>SUM('Statistics NZ'!W$201,$S$13/5*(W$8-W$9)*1000)*'Economic Forecasts'!Y$9*1000000/SUM('Statistics NZ'!W$30:W$110,'Statistics NZ'!W$130:W$210,SUM($E$12:$T$13)*(W$8-W$9)*1000)</f>
        <v>7839.9069491830551</v>
      </c>
      <c r="X201" s="45">
        <f>SUM('Statistics NZ'!X$201,$S$13/5*(X$8-X$9)*1000)*'Economic Forecasts'!Z$9*1000000/SUM('Statistics NZ'!X$30:X$110,'Statistics NZ'!X$130:X$210,SUM($E$12:$T$13)*(X$8-X$9)*1000)</f>
        <v>8119.1926023040887</v>
      </c>
      <c r="Y201" s="45">
        <f>SUM('Statistics NZ'!Y$201,$S$13/5*(Y$8-Y$9)*1000)*'Economic Forecasts'!AA$9*1000000/SUM('Statistics NZ'!Y$30:Y$110,'Statistics NZ'!Y$130:Y$210,SUM($E$12:$T$13)*(Y$8-Y$9)*1000)</f>
        <v>7336.0057536402128</v>
      </c>
      <c r="Z201" s="46">
        <f>SUM(Y$201,'Statistics NZ'!Z$201-'Statistics NZ'!Y$201,$S$13/5*(Z$8-Z$9)*1000)</f>
        <v>8407.1889273456054</v>
      </c>
      <c r="AA201" s="46">
        <f>SUM(Z$201,'Statistics NZ'!AA$201-'Statistics NZ'!Z$201,$S$13/5*(AA$8-AA$9)*1000)</f>
        <v>8798.2406373059548</v>
      </c>
      <c r="AB201" s="46">
        <f>SUM(AA$201,'Statistics NZ'!AB$201-'Statistics NZ'!AA$201,$S$13/5*(AB$8-AB$9)*1000)</f>
        <v>9339.1608835212592</v>
      </c>
      <c r="AC201" s="46">
        <f>SUM(AB$201,'Statistics NZ'!AC$201-'Statistics NZ'!AB$201,$S$13/5*(AC$8-AC$9)*1000)</f>
        <v>11109.94966599152</v>
      </c>
      <c r="AD201" s="46">
        <f>SUM(AC$201,'Statistics NZ'!AD$201-'Statistics NZ'!AC$201,$S$13/5*(AD$8-AD$9)*1000)</f>
        <v>11240.606984716738</v>
      </c>
      <c r="AE201" s="46">
        <f>SUM(AD$201,'Statistics NZ'!AE$201-'Statistics NZ'!AD$201,$S$13/5*(AE$8-AE$9)*1000)</f>
        <v>11331.132839696913</v>
      </c>
      <c r="AF201" s="46">
        <f>SUM(AE$201,'Statistics NZ'!AF$201-'Statistics NZ'!AE$201,$S$13/5*(AF$8-AF$9)*1000)</f>
        <v>11491.527230932044</v>
      </c>
      <c r="AG201" s="46">
        <f>SUM(AF$201,'Statistics NZ'!AG$201-'Statistics NZ'!AF$201,$S$13/5*(AG$8-AG$9)*1000)</f>
        <v>11701.790158422131</v>
      </c>
      <c r="AH201" s="46">
        <f>SUM(AG$201,'Statistics NZ'!AH$201-'Statistics NZ'!AG$201,$S$13/5*(AH$8-AH$9)*1000)</f>
        <v>12001.921622167174</v>
      </c>
      <c r="AI201" s="46">
        <f>SUM(AH$201,'Statistics NZ'!AI$201-'Statistics NZ'!AH$201,$S$13/5*(AI$8-AI$9)*1000)</f>
        <v>12261.921622167174</v>
      </c>
    </row>
    <row r="202" spans="1:35" x14ac:dyDescent="0.25">
      <c r="A202" s="11">
        <f>$A$102</f>
        <v>87</v>
      </c>
      <c r="B202" s="44">
        <f>'Statistics NZ'!B$202*'Economic Forecasts'!D$9*1000000/SUM('Statistics NZ'!B$30:B$110,'Statistics NZ'!B$130:B$210)</f>
        <v>2328.5779293272494</v>
      </c>
      <c r="C202" s="44">
        <f>'Statistics NZ'!C$202*'Economic Forecasts'!E$9*1000000/SUM('Statistics NZ'!C$30:C$110,'Statistics NZ'!C$130:C$210)</f>
        <v>2798.7223035744291</v>
      </c>
      <c r="D202" s="44">
        <f>'Statistics NZ'!D$202*'Economic Forecasts'!F$9*1000000/SUM('Statistics NZ'!D$30:D$110,'Statistics NZ'!D$130:D$210)</f>
        <v>2927.1716643283471</v>
      </c>
      <c r="E202" s="44">
        <f>'Statistics NZ'!E$202*'Economic Forecasts'!G$9*1000000/SUM('Statistics NZ'!E$30:E$110,'Statistics NZ'!E$130:E$210)</f>
        <v>3138.2473305423591</v>
      </c>
      <c r="F202" s="44">
        <f>'Statistics NZ'!F$202*'Economic Forecasts'!H$9*1000000/SUM('Statistics NZ'!F$30:F$110,'Statistics NZ'!F$130:F$210)</f>
        <v>3266.3408385160828</v>
      </c>
      <c r="G202" s="44">
        <f>'Statistics NZ'!G$202*'Economic Forecasts'!I$9*1000000/SUM('Statistics NZ'!G$30:G$110,'Statistics NZ'!G$130:G$210)</f>
        <v>3418.2203463028968</v>
      </c>
      <c r="H202" s="44">
        <f>'Statistics NZ'!H$202*'Economic Forecasts'!J$9*1000000/SUM('Statistics NZ'!H$30:H$110,'Statistics NZ'!H$130:H$210)</f>
        <v>3694.251565818699</v>
      </c>
      <c r="I202" s="44">
        <f>'Statistics NZ'!I$202*'Economic Forecasts'!K$9*1000000/SUM('Statistics NZ'!I$30:I$110,'Statistics NZ'!I$130:I$210)</f>
        <v>3686.1367952429878</v>
      </c>
      <c r="J202" s="44">
        <f>'Statistics NZ'!J$202*'Economic Forecasts'!L$9*1000000/SUM('Statistics NZ'!J$30:J$110,'Statistics NZ'!J$130:J$210)</f>
        <v>3959.2641910373563</v>
      </c>
      <c r="K202" s="44">
        <f>'Statistics NZ'!K$202*'Economic Forecasts'!M$9*1000000/SUM('Statistics NZ'!K$30:K$110,'Statistics NZ'!K$130:K$210)</f>
        <v>4011.3223690979689</v>
      </c>
      <c r="L202" s="44">
        <f>'Statistics NZ'!L$202*'Economic Forecasts'!N$9*1000000/SUM('Statistics NZ'!L$30:L$110,'Statistics NZ'!L$130:L$210)</f>
        <v>4206.2176904137996</v>
      </c>
      <c r="M202" s="44">
        <f>'Statistics NZ'!M$202*'Economic Forecasts'!O$9*1000000/SUM('Statistics NZ'!M$30:M$110,'Statistics NZ'!M$130:M$210)</f>
        <v>4249.7646212142699</v>
      </c>
      <c r="N202" s="44">
        <f>'Statistics NZ'!N$202*'Economic Forecasts'!P$9*1000000/SUM('Statistics NZ'!N$30:N$110,'Statistics NZ'!N$130:N$210)</f>
        <v>4540.2095019397393</v>
      </c>
      <c r="O202" s="44">
        <f>'Statistics NZ'!O$202*'Economic Forecasts'!Q$9*1000000/SUM('Statistics NZ'!O$30:O$110,'Statistics NZ'!O$130:O$210)</f>
        <v>4404.5561200648244</v>
      </c>
      <c r="P202" s="44">
        <f>'Statistics NZ'!P$202*'Economic Forecasts'!R$9*1000000/SUM('Statistics NZ'!P$30:P$110,'Statistics NZ'!P$130:P$210)</f>
        <v>4342.9048106349028</v>
      </c>
      <c r="Q202" s="44">
        <f>'Statistics NZ'!Q$202*'Economic Forecasts'!S$9*1000000/SUM('Statistics NZ'!Q$30:Q$110,'Statistics NZ'!Q$130:Q$210)</f>
        <v>4648.4219367326596</v>
      </c>
      <c r="R202" s="44">
        <f>'Statistics NZ'!R$202*'Economic Forecasts'!T$9*1000000/SUM('Statistics NZ'!R$30:R$110,'Statistics NZ'!R$130:R$210)</f>
        <v>4807.4336368222557</v>
      </c>
      <c r="S202" s="45">
        <f>SUM('Statistics NZ'!S$202,$S$13/5*(S$8-S$9)*1000)*'Economic Forecasts'!U$9*1000000/SUM('Statistics NZ'!S$30:S$110,'Statistics NZ'!S$130:S$210,SUM($E$12:$T$13)*(S$8-S$9)*1000)</f>
        <v>4763.6791716048983</v>
      </c>
      <c r="T202" s="45">
        <f>SUM('Statistics NZ'!T$202,$S$13/5*(T$8-T$9)*1000)*'Economic Forecasts'!V$9*1000000/SUM('Statistics NZ'!T$30:T$110,'Statistics NZ'!T$130:T$210,SUM($E$12:$T$13)*(T$8-T$9)*1000)</f>
        <v>5168.4727748137257</v>
      </c>
      <c r="U202" s="45">
        <f>SUM('Statistics NZ'!U$202,$S$13/5*(U$8-U$9)*1000)*'Economic Forecasts'!W$9*1000000/SUM('Statistics NZ'!U$30:U$110,'Statistics NZ'!U$130:U$210,SUM($E$12:$T$13)*(U$8-U$9)*1000)</f>
        <v>5555.4096017233051</v>
      </c>
      <c r="V202" s="45">
        <f>SUM('Statistics NZ'!V$202,$S$13/5*(V$8-V$9)*1000)*'Economic Forecasts'!X$9*1000000/SUM('Statistics NZ'!V$30:V$110,'Statistics NZ'!V$130:V$210,SUM($E$12:$T$13)*(V$8-V$9)*1000)</f>
        <v>5896.7858658098548</v>
      </c>
      <c r="W202" s="45">
        <f>SUM('Statistics NZ'!W$202,$S$13/5*(W$8-W$9)*1000)*'Economic Forecasts'!Y$9*1000000/SUM('Statistics NZ'!W$30:W$110,'Statistics NZ'!W$130:W$210,SUM($E$12:$T$13)*(W$8-W$9)*1000)</f>
        <v>6503.0880445579414</v>
      </c>
      <c r="X202" s="45">
        <f>SUM('Statistics NZ'!X$202,$S$13/5*(X$8-X$9)*1000)*'Economic Forecasts'!Z$9*1000000/SUM('Statistics NZ'!X$30:X$110,'Statistics NZ'!X$130:X$210,SUM($E$12:$T$13)*(X$8-X$9)*1000)</f>
        <v>7043.5751599978212</v>
      </c>
      <c r="Y202" s="45">
        <f>SUM('Statistics NZ'!Y$202,$S$13/5*(Y$8-Y$9)*1000)*'Economic Forecasts'!AA$9*1000000/SUM('Statistics NZ'!Y$30:Y$110,'Statistics NZ'!Y$130:Y$210,SUM($E$12:$T$13)*(Y$8-Y$9)*1000)</f>
        <v>7305.4870224970364</v>
      </c>
      <c r="Z202" s="46">
        <f>SUM(Y$202,'Statistics NZ'!Z$202-'Statistics NZ'!Y$202,$S$13/5*(Z$8-Z$9)*1000)</f>
        <v>6596.6701962024281</v>
      </c>
      <c r="AA202" s="46">
        <f>SUM(Z$202,'Statistics NZ'!AA$202-'Statistics NZ'!Z$202,$S$13/5*(AA$8-AA$9)*1000)</f>
        <v>7577.7219061627766</v>
      </c>
      <c r="AB202" s="46">
        <f>SUM(AA$202,'Statistics NZ'!AB$202-'Statistics NZ'!AA$202,$S$13/5*(AB$8-AB$9)*1000)</f>
        <v>7928.6421523780818</v>
      </c>
      <c r="AC202" s="46">
        <f>SUM(AB$202,'Statistics NZ'!AC$202-'Statistics NZ'!AB$202,$S$13/5*(AC$8-AC$9)*1000)</f>
        <v>8429.4309348483421</v>
      </c>
      <c r="AD202" s="46">
        <f>SUM(AC$202,'Statistics NZ'!AD$202-'Statistics NZ'!AC$202,$S$13/5*(AD$8-AD$9)*1000)</f>
        <v>10030.08825357356</v>
      </c>
      <c r="AE202" s="46">
        <f>SUM(AD$202,'Statistics NZ'!AE$202-'Statistics NZ'!AD$202,$S$13/5*(AE$8-AE$9)*1000)</f>
        <v>10160.614108553735</v>
      </c>
      <c r="AF202" s="46">
        <f>SUM(AE$202,'Statistics NZ'!AF$202-'Statistics NZ'!AE$202,$S$13/5*(AF$8-AF$9)*1000)</f>
        <v>10251.008499788866</v>
      </c>
      <c r="AG202" s="46">
        <f>SUM(AF$202,'Statistics NZ'!AG$202-'Statistics NZ'!AF$202,$S$13/5*(AG$8-AG$9)*1000)</f>
        <v>10401.271427278953</v>
      </c>
      <c r="AH202" s="46">
        <f>SUM(AG$202,'Statistics NZ'!AH$202-'Statistics NZ'!AG$202,$S$13/5*(AH$8-AH$9)*1000)</f>
        <v>10611.402891023996</v>
      </c>
      <c r="AI202" s="46">
        <f>SUM(AH$202,'Statistics NZ'!AI$202-'Statistics NZ'!AH$202,$S$13/5*(AI$8-AI$9)*1000)</f>
        <v>10881.402891023996</v>
      </c>
    </row>
    <row r="203" spans="1:35" x14ac:dyDescent="0.25">
      <c r="A203" s="11">
        <f>$A$103</f>
        <v>88</v>
      </c>
      <c r="B203" s="44">
        <f>'Statistics NZ'!B$203*'Economic Forecasts'!D$9*1000000/SUM('Statistics NZ'!B$30:B$110,'Statistics NZ'!B$130:B$210)</f>
        <v>1888.3005897485677</v>
      </c>
      <c r="C203" s="44">
        <f>'Statistics NZ'!C$203*'Economic Forecasts'!E$9*1000000/SUM('Statistics NZ'!C$30:C$110,'Statistics NZ'!C$130:C$210)</f>
        <v>1983.65580814749</v>
      </c>
      <c r="D203" s="44">
        <f>'Statistics NZ'!D$203*'Economic Forecasts'!F$9*1000000/SUM('Statistics NZ'!D$30:D$110,'Statistics NZ'!D$130:D$210)</f>
        <v>2436.0354790383562</v>
      </c>
      <c r="E203" s="44">
        <f>'Statistics NZ'!E$203*'Economic Forecasts'!G$9*1000000/SUM('Statistics NZ'!E$30:E$110,'Statistics NZ'!E$130:E$210)</f>
        <v>2540.0189331577221</v>
      </c>
      <c r="F203" s="44">
        <f>'Statistics NZ'!F$203*'Economic Forecasts'!H$9*1000000/SUM('Statistics NZ'!F$30:F$110,'Statistics NZ'!F$130:F$210)</f>
        <v>2736.663945783745</v>
      </c>
      <c r="G203" s="44">
        <f>'Statistics NZ'!G$203*'Economic Forecasts'!I$9*1000000/SUM('Statistics NZ'!G$30:G$110,'Statistics NZ'!G$130:G$210)</f>
        <v>2868.1618997713963</v>
      </c>
      <c r="H203" s="44">
        <f>'Statistics NZ'!H$203*'Economic Forecasts'!J$9*1000000/SUM('Statistics NZ'!H$30:H$110,'Statistics NZ'!H$130:H$210)</f>
        <v>2937.7160057973169</v>
      </c>
      <c r="I203" s="44">
        <f>'Statistics NZ'!I$203*'Economic Forecasts'!K$9*1000000/SUM('Statistics NZ'!I$30:I$110,'Statistics NZ'!I$130:I$210)</f>
        <v>3146.9412533856357</v>
      </c>
      <c r="J203" s="44">
        <f>'Statistics NZ'!J$203*'Economic Forecasts'!L$9*1000000/SUM('Statistics NZ'!J$30:J$110,'Statistics NZ'!J$130:J$210)</f>
        <v>3218.1211404983442</v>
      </c>
      <c r="K203" s="44">
        <f>'Statistics NZ'!K$203*'Economic Forecasts'!M$9*1000000/SUM('Statistics NZ'!K$30:K$110,'Statistics NZ'!K$130:K$210)</f>
        <v>3407.6767698647795</v>
      </c>
      <c r="L203" s="44">
        <f>'Statistics NZ'!L$203*'Economic Forecasts'!N$9*1000000/SUM('Statistics NZ'!L$30:L$110,'Statistics NZ'!L$130:L$210)</f>
        <v>3514.9180237022729</v>
      </c>
      <c r="M203" s="44">
        <f>'Statistics NZ'!M$203*'Economic Forecasts'!O$9*1000000/SUM('Statistics NZ'!M$30:M$110,'Statistics NZ'!M$130:M$210)</f>
        <v>3683.1293383857014</v>
      </c>
      <c r="N203" s="44">
        <f>'Statistics NZ'!N$203*'Economic Forecasts'!P$9*1000000/SUM('Statistics NZ'!N$30:N$110,'Statistics NZ'!N$130:N$210)</f>
        <v>3698.70515459746</v>
      </c>
      <c r="O203" s="44">
        <f>'Statistics NZ'!O$203*'Economic Forecasts'!Q$9*1000000/SUM('Statistics NZ'!O$30:O$110,'Statistics NZ'!O$130:O$210)</f>
        <v>3972.9292397021245</v>
      </c>
      <c r="P203" s="44">
        <f>'Statistics NZ'!P$203*'Economic Forecasts'!R$9*1000000/SUM('Statistics NZ'!P$30:P$110,'Statistics NZ'!P$130:P$210)</f>
        <v>3853.8389535814231</v>
      </c>
      <c r="Q203" s="44">
        <f>'Statistics NZ'!Q$203*'Economic Forecasts'!S$9*1000000/SUM('Statistics NZ'!Q$30:Q$110,'Statistics NZ'!Q$130:Q$210)</f>
        <v>3878.6195777833018</v>
      </c>
      <c r="R203" s="44">
        <f>'Statistics NZ'!R$203*'Economic Forecasts'!T$9*1000000/SUM('Statistics NZ'!R$30:R$110,'Statistics NZ'!R$130:R$210)</f>
        <v>4107.9914478583623</v>
      </c>
      <c r="S203" s="45">
        <f>SUM('Statistics NZ'!S$203,$S$13/5*(S$8-S$9)*1000)*'Economic Forecasts'!U$9*1000000/SUM('Statistics NZ'!S$30:S$110,'Statistics NZ'!S$130:S$210,SUM($E$12:$T$13)*(S$8-S$9)*1000)</f>
        <v>4162.1630456995535</v>
      </c>
      <c r="T203" s="45">
        <f>SUM('Statistics NZ'!T$203,$S$13/5*(T$8-T$9)*1000)*'Economic Forecasts'!V$9*1000000/SUM('Statistics NZ'!T$30:T$110,'Statistics NZ'!T$130:T$210,SUM($E$12:$T$13)*(T$8-T$9)*1000)</f>
        <v>4299.6620684153077</v>
      </c>
      <c r="U203" s="45">
        <f>SUM('Statistics NZ'!U$203,$S$13/5*(U$8-U$9)*1000)*'Economic Forecasts'!W$9*1000000/SUM('Statistics NZ'!U$30:U$110,'Statistics NZ'!U$130:U$210,SUM($E$12:$T$13)*(U$8-U$9)*1000)</f>
        <v>4596.0971965946637</v>
      </c>
      <c r="V203" s="45">
        <f>SUM('Statistics NZ'!V$203,$S$13/5*(V$8-V$9)*1000)*'Economic Forecasts'!X$9*1000000/SUM('Statistics NZ'!V$30:V$110,'Statistics NZ'!V$130:V$210,SUM($E$12:$T$13)*(V$8-V$9)*1000)</f>
        <v>4905.7560810742652</v>
      </c>
      <c r="W203" s="45">
        <f>SUM('Statistics NZ'!W$203,$S$13/5*(W$8-W$9)*1000)*'Economic Forecasts'!Y$9*1000000/SUM('Statistics NZ'!W$30:W$110,'Statistics NZ'!W$130:W$210,SUM($E$12:$T$13)*(W$8-W$9)*1000)</f>
        <v>5206.778803709346</v>
      </c>
      <c r="X203" s="45">
        <f>SUM('Statistics NZ'!X$203,$S$13/5*(X$8-X$9)*1000)*'Economic Forecasts'!Z$9*1000000/SUM('Statistics NZ'!X$30:X$110,'Statistics NZ'!X$130:X$210,SUM($E$12:$T$13)*(X$8-X$9)*1000)</f>
        <v>5754.863696102575</v>
      </c>
      <c r="Y203" s="45">
        <f>SUM('Statistics NZ'!Y$203,$S$13/5*(Y$8-Y$9)*1000)*'Economic Forecasts'!AA$9*1000000/SUM('Statistics NZ'!Y$30:Y$110,'Statistics NZ'!Y$130:Y$210,SUM($E$12:$T$13)*(Y$8-Y$9)*1000)</f>
        <v>6237.3314324858429</v>
      </c>
      <c r="Z203" s="46">
        <f>SUM(Y$203,'Statistics NZ'!Z$203-'Statistics NZ'!Y$203,$S$13/5*(Z$8-Z$9)*1000)</f>
        <v>6458.5146061912346</v>
      </c>
      <c r="AA203" s="46">
        <f>SUM(Z$203,'Statistics NZ'!AA$203-'Statistics NZ'!Z$203,$S$13/5*(AA$8-AA$9)*1000)</f>
        <v>5839.5663161515831</v>
      </c>
      <c r="AB203" s="46">
        <f>SUM(AA$203,'Statistics NZ'!AB$203-'Statistics NZ'!AA$203,$S$13/5*(AB$8-AB$9)*1000)</f>
        <v>6710.4865623668884</v>
      </c>
      <c r="AC203" s="46">
        <f>SUM(AB$203,'Statistics NZ'!AC$203-'Statistics NZ'!AB$203,$S$13/5*(AC$8-AC$9)*1000)</f>
        <v>7031.2753448371495</v>
      </c>
      <c r="AD203" s="46">
        <f>SUM(AC$203,'Statistics NZ'!AD$203-'Statistics NZ'!AC$203,$S$13/5*(AD$8-AD$9)*1000)</f>
        <v>7481.9326635623675</v>
      </c>
      <c r="AE203" s="46">
        <f>SUM(AD$203,'Statistics NZ'!AE$203-'Statistics NZ'!AD$203,$S$13/5*(AE$8-AE$9)*1000)</f>
        <v>8922.4585185425422</v>
      </c>
      <c r="AF203" s="46">
        <f>SUM(AE$203,'Statistics NZ'!AF$203-'Statistics NZ'!AE$203,$S$13/5*(AF$8-AF$9)*1000)</f>
        <v>9042.8529097776736</v>
      </c>
      <c r="AG203" s="46">
        <f>SUM(AF$203,'Statistics NZ'!AG$203-'Statistics NZ'!AF$203,$S$13/5*(AG$8-AG$9)*1000)</f>
        <v>9133.1158372677601</v>
      </c>
      <c r="AH203" s="46">
        <f>SUM(AG$203,'Statistics NZ'!AH$203-'Statistics NZ'!AG$203,$S$13/5*(AH$8-AH$9)*1000)</f>
        <v>9273.2473010128033</v>
      </c>
      <c r="AI203" s="46">
        <f>SUM(AH$203,'Statistics NZ'!AI$203-'Statistics NZ'!AH$203,$S$13/5*(AI$8-AI$9)*1000)</f>
        <v>9463.2473010128033</v>
      </c>
    </row>
    <row r="204" spans="1:35" x14ac:dyDescent="0.25">
      <c r="A204" s="11">
        <f>$A$104</f>
        <v>89</v>
      </c>
      <c r="B204" s="44">
        <f>'Statistics NZ'!B$204*'Economic Forecasts'!D$9*1000000/SUM('Statistics NZ'!B$30:B$110,'Statistics NZ'!B$130:B$210)</f>
        <v>1682.8378312785167</v>
      </c>
      <c r="C204" s="44">
        <f>'Statistics NZ'!C$204*'Economic Forecasts'!E$9*1000000/SUM('Statistics NZ'!C$30:C$110,'Statistics NZ'!C$130:C$210)</f>
        <v>1590.8526778212542</v>
      </c>
      <c r="D204" s="44">
        <f>'Statistics NZ'!D$204*'Economic Forecasts'!F$9*1000000/SUM('Statistics NZ'!D$30:D$110,'Statistics NZ'!D$130:D$210)</f>
        <v>1689.5084773975695</v>
      </c>
      <c r="E204" s="44">
        <f>'Statistics NZ'!E$204*'Economic Forecasts'!G$9*1000000/SUM('Statistics NZ'!E$30:E$110,'Statistics NZ'!E$130:E$210)</f>
        <v>2088.8958793922575</v>
      </c>
      <c r="F204" s="44">
        <f>'Statistics NZ'!F$204*'Economic Forecasts'!H$9*1000000/SUM('Statistics NZ'!F$30:F$110,'Statistics NZ'!F$130:F$210)</f>
        <v>2148.1340649700364</v>
      </c>
      <c r="G204" s="44">
        <f>'Statistics NZ'!G$204*'Economic Forecasts'!I$9*1000000/SUM('Statistics NZ'!G$30:G$110,'Statistics NZ'!G$130:G$210)</f>
        <v>2318.1034532398958</v>
      </c>
      <c r="H204" s="44">
        <f>'Statistics NZ'!H$204*'Economic Forecasts'!J$9*1000000/SUM('Statistics NZ'!H$30:H$110,'Statistics NZ'!H$130:H$210)</f>
        <v>2416.9837372111706</v>
      </c>
      <c r="I204" s="44">
        <f>'Statistics NZ'!I$204*'Economic Forecasts'!K$9*1000000/SUM('Statistics NZ'!I$30:I$110,'Statistics NZ'!I$130:I$210)</f>
        <v>2421.4781607048353</v>
      </c>
      <c r="J204" s="44">
        <f>'Statistics NZ'!J$204*'Economic Forecasts'!L$9*1000000/SUM('Statistics NZ'!J$30:J$110,'Statistics NZ'!J$130:J$210)</f>
        <v>2691.5194993258883</v>
      </c>
      <c r="K204" s="44">
        <f>'Statistics NZ'!K$204*'Economic Forecasts'!M$9*1000000/SUM('Statistics NZ'!K$30:K$110,'Statistics NZ'!K$130:K$210)</f>
        <v>2735.8776352342943</v>
      </c>
      <c r="L204" s="44">
        <f>'Statistics NZ'!L$204*'Economic Forecasts'!N$9*1000000/SUM('Statistics NZ'!L$30:L$110,'Statistics NZ'!L$130:L$210)</f>
        <v>2930.7211222559117</v>
      </c>
      <c r="M204" s="44">
        <f>'Statistics NZ'!M$204*'Economic Forecasts'!O$9*1000000/SUM('Statistics NZ'!M$30:M$110,'Statistics NZ'!M$130:M$210)</f>
        <v>3028.567890980285</v>
      </c>
      <c r="N204" s="44">
        <f>'Statistics NZ'!N$204*'Economic Forecasts'!P$9*1000000/SUM('Statistics NZ'!N$30:N$110,'Statistics NZ'!N$130:N$210)</f>
        <v>3189.8885724835236</v>
      </c>
      <c r="O204" s="44">
        <f>'Statistics NZ'!O$204*'Economic Forecasts'!Q$9*1000000/SUM('Statistics NZ'!O$30:O$110,'Statistics NZ'!O$130:O$210)</f>
        <v>3188.1530935881246</v>
      </c>
      <c r="P204" s="44">
        <f>'Statistics NZ'!P$204*'Economic Forecasts'!R$9*1000000/SUM('Statistics NZ'!P$30:P$110,'Statistics NZ'!P$130:P$210)</f>
        <v>3403.8983650922214</v>
      </c>
      <c r="Q204" s="44">
        <f>'Statistics NZ'!Q$204*'Economic Forecasts'!S$9*1000000/SUM('Statistics NZ'!Q$30:Q$110,'Statistics NZ'!Q$130:Q$210)</f>
        <v>3355.5487441382256</v>
      </c>
      <c r="R204" s="44">
        <f>'Statistics NZ'!R$204*'Economic Forecasts'!T$9*1000000/SUM('Statistics NZ'!R$30:R$110,'Statistics NZ'!R$130:R$210)</f>
        <v>3339.5901698416897</v>
      </c>
      <c r="S204" s="45">
        <f>SUM('Statistics NZ'!S$204,$S$13/5*(S$8-S$9)*1000)*'Economic Forecasts'!U$9*1000000/SUM('Statistics NZ'!S$30:S$110,'Statistics NZ'!S$130:S$210,SUM($E$12:$T$13)*(S$8-S$9)*1000)</f>
        <v>3502.4356818033689</v>
      </c>
      <c r="T204" s="45">
        <f>SUM('Statistics NZ'!T$204,$S$13/5*(T$8-T$9)*1000)*'Economic Forecasts'!V$9*1000000/SUM('Statistics NZ'!T$30:T$110,'Statistics NZ'!T$130:T$210,SUM($E$12:$T$13)*(T$8-T$9)*1000)</f>
        <v>3700.4822708991564</v>
      </c>
      <c r="U204" s="45">
        <f>SUM('Statistics NZ'!U$204,$S$13/5*(U$8-U$9)*1000)*'Economic Forecasts'!W$9*1000000/SUM('Statistics NZ'!U$30:U$110,'Statistics NZ'!U$130:U$210,SUM($E$12:$T$13)*(U$8-U$9)*1000)</f>
        <v>3757.9610952717453</v>
      </c>
      <c r="V204" s="45">
        <f>SUM('Statistics NZ'!V$204,$S$13/5*(V$8-V$9)*1000)*'Economic Forecasts'!X$9*1000000/SUM('Statistics NZ'!V$30:V$110,'Statistics NZ'!V$130:V$210,SUM($E$12:$T$13)*(V$8-V$9)*1000)</f>
        <v>3985.5141381055028</v>
      </c>
      <c r="W204" s="45">
        <f>SUM('Statistics NZ'!W$204,$S$13/5*(W$8-W$9)*1000)*'Economic Forecasts'!Y$9*1000000/SUM('Statistics NZ'!W$30:W$110,'Statistics NZ'!W$130:W$210,SUM($E$12:$T$13)*(W$8-W$9)*1000)</f>
        <v>4254.8017049611608</v>
      </c>
      <c r="X204" s="45">
        <f>SUM('Statistics NZ'!X$204,$S$13/5*(X$8-X$9)*1000)*'Economic Forecasts'!Z$9*1000000/SUM('Statistics NZ'!X$30:X$110,'Statistics NZ'!X$130:X$210,SUM($E$12:$T$13)*(X$8-X$9)*1000)</f>
        <v>4537.183572736988</v>
      </c>
      <c r="Y204" s="45">
        <f>SUM('Statistics NZ'!Y$204,$S$13/5*(Y$8-Y$9)*1000)*'Economic Forecasts'!AA$9*1000000/SUM('Statistics NZ'!Y$30:Y$110,'Statistics NZ'!Y$130:Y$210,SUM($E$12:$T$13)*(Y$8-Y$9)*1000)</f>
        <v>5016.5821867587647</v>
      </c>
      <c r="Z204" s="46">
        <f>SUM(Y$204,'Statistics NZ'!Z$204-'Statistics NZ'!Y$204,$S$13/5*(Z$8-Z$9)*1000)</f>
        <v>5427.7653604641564</v>
      </c>
      <c r="AA204" s="46">
        <f>SUM(Z$204,'Statistics NZ'!AA$204-'Statistics NZ'!Z$204,$S$13/5*(AA$8-AA$9)*1000)</f>
        <v>5618.8170704245049</v>
      </c>
      <c r="AB204" s="46">
        <f>SUM(AA$204,'Statistics NZ'!AB$204-'Statistics NZ'!AA$204,$S$13/5*(AB$8-AB$9)*1000)</f>
        <v>5089.7373166398102</v>
      </c>
      <c r="AC204" s="46">
        <f>SUM(AB$204,'Statistics NZ'!AC$204-'Statistics NZ'!AB$204,$S$13/5*(AC$8-AC$9)*1000)</f>
        <v>5850.5260991100713</v>
      </c>
      <c r="AD204" s="46">
        <f>SUM(AC$204,'Statistics NZ'!AD$204-'Statistics NZ'!AC$204,$S$13/5*(AD$8-AD$9)*1000)</f>
        <v>6141.1834178352892</v>
      </c>
      <c r="AE204" s="46">
        <f>SUM(AD$204,'Statistics NZ'!AE$204-'Statistics NZ'!AD$204,$S$13/5*(AE$8-AE$9)*1000)</f>
        <v>6541.7092728154639</v>
      </c>
      <c r="AF204" s="46">
        <f>SUM(AE$204,'Statistics NZ'!AF$204-'Statistics NZ'!AE$204,$S$13/5*(AF$8-AF$9)*1000)</f>
        <v>7802.1036640505945</v>
      </c>
      <c r="AG204" s="46">
        <f>SUM(AF$204,'Statistics NZ'!AG$204-'Statistics NZ'!AF$204,$S$13/5*(AG$8-AG$9)*1000)</f>
        <v>7922.3665915406818</v>
      </c>
      <c r="AH204" s="46">
        <f>SUM(AG$204,'Statistics NZ'!AH$204-'Statistics NZ'!AG$204,$S$13/5*(AH$8-AH$9)*1000)</f>
        <v>8012.4980552857251</v>
      </c>
      <c r="AI204" s="46">
        <f>SUM(AH$204,'Statistics NZ'!AI$204-'Statistics NZ'!AH$204,$S$13/5*(AI$8-AI$9)*1000)</f>
        <v>8142.4980552857251</v>
      </c>
    </row>
    <row r="205" spans="1:35" x14ac:dyDescent="0.25">
      <c r="A205" s="11">
        <f>$A$105</f>
        <v>90</v>
      </c>
      <c r="B205" s="44">
        <f>'Statistics NZ'!B$205*'Economic Forecasts'!D$9*1000000/SUM('Statistics NZ'!B$30:B$110,'Statistics NZ'!B$130:B$210)</f>
        <v>1350.1838413746239</v>
      </c>
      <c r="C205" s="44">
        <f>'Statistics NZ'!C$205*'Economic Forecasts'!E$9*1000000/SUM('Statistics NZ'!C$30:C$110,'Statistics NZ'!C$130:C$210)</f>
        <v>1374.8109561418246</v>
      </c>
      <c r="D205" s="44">
        <f>'Statistics NZ'!D$205*'Economic Forecasts'!F$9*1000000/SUM('Statistics NZ'!D$30:D$110,'Statistics NZ'!D$130:D$210)</f>
        <v>1296.5995291655768</v>
      </c>
      <c r="E205" s="44">
        <f>'Statistics NZ'!E$205*'Economic Forecasts'!G$9*1000000/SUM('Statistics NZ'!E$30:E$110,'Statistics NZ'!E$130:E$210)</f>
        <v>1402.4042758361165</v>
      </c>
      <c r="F205" s="44">
        <f>'Statistics NZ'!F$205*'Economic Forecasts'!H$9*1000000/SUM('Statistics NZ'!F$30:F$110,'Statistics NZ'!F$130:F$210)</f>
        <v>1736.1631484004404</v>
      </c>
      <c r="G205" s="44">
        <f>'Statistics NZ'!G$205*'Economic Forecasts'!I$9*1000000/SUM('Statistics NZ'!G$30:G$110,'Statistics NZ'!G$130:G$210)</f>
        <v>1797.5124234868683</v>
      </c>
      <c r="H205" s="44">
        <f>'Statistics NZ'!H$205*'Economic Forecasts'!J$9*1000000/SUM('Statistics NZ'!H$30:H$110,'Statistics NZ'!H$130:H$210)</f>
        <v>1925.7268800544284</v>
      </c>
      <c r="I205" s="44">
        <f>'Statistics NZ'!I$205*'Economic Forecasts'!K$9*1000000/SUM('Statistics NZ'!I$30:I$110,'Statistics NZ'!I$130:I$210)</f>
        <v>2019.5323931384453</v>
      </c>
      <c r="J205" s="44">
        <f>'Statistics NZ'!J$205*'Economic Forecasts'!L$9*1000000/SUM('Statistics NZ'!J$30:J$110,'Statistics NZ'!J$130:J$210)</f>
        <v>2057.6471534701532</v>
      </c>
      <c r="K205" s="44">
        <f>'Statistics NZ'!K$205*'Economic Forecasts'!M$9*1000000/SUM('Statistics NZ'!K$30:K$110,'Statistics NZ'!K$130:K$210)</f>
        <v>2268.5391067956957</v>
      </c>
      <c r="L205" s="44">
        <f>'Statistics NZ'!L$205*'Economic Forecasts'!N$9*1000000/SUM('Statistics NZ'!L$30:L$110,'Statistics NZ'!L$130:L$210)</f>
        <v>2278.3679156408084</v>
      </c>
      <c r="M205" s="44">
        <f>'Statistics NZ'!M$205*'Economic Forecasts'!O$9*1000000/SUM('Statistics NZ'!M$30:M$110,'Statistics NZ'!M$130:M$210)</f>
        <v>2481.4717558354591</v>
      </c>
      <c r="N205" s="44">
        <f>'Statistics NZ'!N$205*'Economic Forecasts'!P$9*1000000/SUM('Statistics NZ'!N$30:N$110,'Statistics NZ'!N$130:N$210)</f>
        <v>2504.9431734839941</v>
      </c>
      <c r="O205" s="44">
        <f>'Statistics NZ'!O$205*'Economic Forecasts'!Q$9*1000000/SUM('Statistics NZ'!O$30:O$110,'Statistics NZ'!O$130:O$210)</f>
        <v>2707.4777040933</v>
      </c>
      <c r="P205" s="44">
        <f>'Statistics NZ'!P$205*'Economic Forecasts'!R$9*1000000/SUM('Statistics NZ'!P$30:P$110,'Statistics NZ'!P$130:P$210)</f>
        <v>2738.7687994994885</v>
      </c>
      <c r="Q205" s="44">
        <f>'Statistics NZ'!Q$205*'Economic Forecasts'!S$9*1000000/SUM('Statistics NZ'!Q$30:Q$110,'Statistics NZ'!Q$130:Q$210)</f>
        <v>2970.6475646635467</v>
      </c>
      <c r="R205" s="44">
        <f>'Statistics NZ'!R$205*'Economic Forecasts'!T$9*1000000/SUM('Statistics NZ'!R$30:R$110,'Statistics NZ'!R$130:R$210)</f>
        <v>2827.3226511639086</v>
      </c>
      <c r="S205" s="45">
        <f>SUM('Statistics NZ'!S$205,$T$13/6*(S$8-S$9)*1000)*'Economic Forecasts'!U$9*1000000/SUM('Statistics NZ'!S$30:S$110,'Statistics NZ'!S$130:S$210,SUM($E$12:$T$13)*(S$8-S$9)*1000)</f>
        <v>2790.4367536875166</v>
      </c>
      <c r="T205" s="45">
        <f>SUM('Statistics NZ'!T$205,$T$13/6*(T$8-T$9)*1000)*'Economic Forecasts'!V$9*1000000/SUM('Statistics NZ'!T$30:T$110,'Statistics NZ'!T$130:T$210,SUM($E$12:$T$13)*(T$8-T$9)*1000)</f>
        <v>3049.2355479863368</v>
      </c>
      <c r="U205" s="45">
        <f>SUM('Statistics NZ'!U$205,$T$13/6*(U$8-U$9)*1000)*'Economic Forecasts'!W$9*1000000/SUM('Statistics NZ'!U$30:U$110,'Statistics NZ'!U$130:U$210,SUM($E$12:$T$13)*(U$8-U$9)*1000)</f>
        <v>3171.6991691352259</v>
      </c>
      <c r="V205" s="45">
        <f>SUM('Statistics NZ'!V$205,$T$13/6*(V$8-V$9)*1000)*'Economic Forecasts'!X$9*1000000/SUM('Statistics NZ'!V$30:V$110,'Statistics NZ'!V$130:V$210,SUM($E$12:$T$13)*(V$8-V$9)*1000)</f>
        <v>3206.3969800783302</v>
      </c>
      <c r="W205" s="45">
        <f>SUM('Statistics NZ'!W$205,$T$13/6*(W$8-W$9)*1000)*'Economic Forecasts'!Y$9*1000000/SUM('Statistics NZ'!W$30:W$110,'Statistics NZ'!W$130:W$210,SUM($E$12:$T$13)*(W$8-W$9)*1000)</f>
        <v>3393.4753162578345</v>
      </c>
      <c r="X205" s="45">
        <f>SUM('Statistics NZ'!X$205,$T$13/6*(X$8-X$9)*1000)*'Economic Forecasts'!Z$9*1000000/SUM('Statistics NZ'!X$30:X$110,'Statistics NZ'!X$130:X$210,SUM($E$12:$T$13)*(X$8-X$9)*1000)</f>
        <v>3633.5600949380523</v>
      </c>
      <c r="Y205" s="45">
        <f>SUM('Statistics NZ'!Y$205,$T$13/6*(Y$8-Y$9)*1000)*'Economic Forecasts'!AA$9*1000000/SUM('Statistics NZ'!Y$30:Y$110,'Statistics NZ'!Y$130:Y$210,SUM($E$12:$T$13)*(Y$8-Y$9)*1000)</f>
        <v>3876.7007809042921</v>
      </c>
      <c r="Z205" s="46">
        <f>SUM(Y$205,'Statistics NZ'!Z$205-'Statistics NZ'!Y$205,$T$13/6*(Z$8-Z$9)*1000)</f>
        <v>4277.4279407052027</v>
      </c>
      <c r="AA205" s="46">
        <f>SUM(Z$205,'Statistics NZ'!AA$205-'Statistics NZ'!Z$205,$T$13/6*(AA$8-AA$9)*1000)</f>
        <v>4638.0743049726798</v>
      </c>
      <c r="AB205" s="46">
        <f>SUM(AA$205,'Statistics NZ'!AB$205-'Statistics NZ'!AA$205,$T$13/6*(AB$8-AB$9)*1000)</f>
        <v>4808.639873706722</v>
      </c>
      <c r="AC205" s="46">
        <f>SUM(AB$205,'Statistics NZ'!AC$205-'Statistics NZ'!AB$205,$T$13/6*(AC$8-AC$9)*1000)</f>
        <v>4349.1246469073294</v>
      </c>
      <c r="AD205" s="46">
        <f>SUM(AC$205,'Statistics NZ'!AD$205-'Statistics NZ'!AC$205,$T$13/6*(AD$8-AD$9)*1000)</f>
        <v>5009.5286245745028</v>
      </c>
      <c r="AE205" s="46">
        <f>SUM(AD$205,'Statistics NZ'!AE$205-'Statistics NZ'!AD$205,$T$13/6*(AE$8-AE$9)*1000)</f>
        <v>5259.8518067082414</v>
      </c>
      <c r="AF205" s="46">
        <f>SUM(AE$205,'Statistics NZ'!AF$205-'Statistics NZ'!AE$205,$T$13/6*(AF$8-AF$9)*1000)</f>
        <v>5610.0941933085451</v>
      </c>
      <c r="AG205" s="46">
        <f>SUM(AF$205,'Statistics NZ'!AG$205-'Statistics NZ'!AF$205,$T$13/6*(AG$8-AG$9)*1000)</f>
        <v>6710.2557843754139</v>
      </c>
      <c r="AH205" s="46">
        <f>SUM(AG$205,'Statistics NZ'!AH$205-'Statistics NZ'!AG$205,$T$13/6*(AH$8-AH$9)*1000)</f>
        <v>6810.3365799088488</v>
      </c>
      <c r="AI205" s="46">
        <f>SUM(AH$205,'Statistics NZ'!AI$205-'Statistics NZ'!AH$205,$T$13/6*(AI$8-AI$9)*1000)</f>
        <v>6900.3365799088488</v>
      </c>
    </row>
    <row r="206" spans="1:35" x14ac:dyDescent="0.25">
      <c r="A206" s="11">
        <f>$A$106</f>
        <v>91</v>
      </c>
      <c r="B206" s="44">
        <f>'Statistics NZ'!B$206*'Economic Forecasts'!D$9*1000000/SUM('Statistics NZ'!B$30:B$110,'Statistics NZ'!B$130:B$210)</f>
        <v>997.96196971167853</v>
      </c>
      <c r="C206" s="44">
        <f>'Statistics NZ'!C$206*'Economic Forecasts'!E$9*1000000/SUM('Statistics NZ'!C$30:C$110,'Statistics NZ'!C$130:C$210)</f>
        <v>1109.6688431716157</v>
      </c>
      <c r="D206" s="44">
        <f>'Statistics NZ'!D$206*'Economic Forecasts'!F$9*1000000/SUM('Statistics NZ'!D$30:D$110,'Statistics NZ'!D$130:D$210)</f>
        <v>1129.6132261669795</v>
      </c>
      <c r="E206" s="44">
        <f>'Statistics NZ'!E$206*'Economic Forecasts'!G$9*1000000/SUM('Statistics NZ'!E$30:E$110,'Statistics NZ'!E$130:E$210)</f>
        <v>1059.1584740580461</v>
      </c>
      <c r="F206" s="44">
        <f>'Statistics NZ'!F$206*'Economic Forecasts'!H$9*1000000/SUM('Statistics NZ'!F$30:F$110,'Statistics NZ'!F$130:F$210)</f>
        <v>1128.0156048929414</v>
      </c>
      <c r="G206" s="44">
        <f>'Statistics NZ'!G$206*'Economic Forecasts'!I$9*1000000/SUM('Statistics NZ'!G$30:G$110,'Statistics NZ'!G$130:G$210)</f>
        <v>1414.436005366716</v>
      </c>
      <c r="H206" s="44">
        <f>'Statistics NZ'!H$206*'Economic Forecasts'!J$9*1000000/SUM('Statistics NZ'!H$30:H$110,'Statistics NZ'!H$130:H$210)</f>
        <v>1454.1202971839559</v>
      </c>
      <c r="I206" s="44">
        <f>'Statistics NZ'!I$206*'Economic Forecasts'!K$9*1000000/SUM('Statistics NZ'!I$30:I$110,'Statistics NZ'!I$130:I$210)</f>
        <v>1558.765293733072</v>
      </c>
      <c r="J206" s="44">
        <f>'Statistics NZ'!J$206*'Economic Forecasts'!L$9*1000000/SUM('Statistics NZ'!J$30:J$110,'Statistics NZ'!J$130:J$210)</f>
        <v>1667.5718637127782</v>
      </c>
      <c r="K206" s="44">
        <f>'Statistics NZ'!K$206*'Economic Forecasts'!M$9*1000000/SUM('Statistics NZ'!K$30:K$110,'Statistics NZ'!K$130:K$210)</f>
        <v>1674.6297269049771</v>
      </c>
      <c r="L206" s="44">
        <f>'Statistics NZ'!L$206*'Economic Forecasts'!N$9*1000000/SUM('Statistics NZ'!L$30:L$110,'Statistics NZ'!L$130:L$210)</f>
        <v>1869.4300846283554</v>
      </c>
      <c r="M206" s="44">
        <f>'Statistics NZ'!M$206*'Economic Forecasts'!O$9*1000000/SUM('Statistics NZ'!M$30:M$110,'Statistics NZ'!M$130:M$210)</f>
        <v>1875.7581776394022</v>
      </c>
      <c r="N206" s="44">
        <f>'Statistics NZ'!N$206*'Economic Forecasts'!P$9*1000000/SUM('Statistics NZ'!N$30:N$110,'Statistics NZ'!N$130:N$210)</f>
        <v>2025.4813941843233</v>
      </c>
      <c r="O206" s="44">
        <f>'Statistics NZ'!O$206*'Economic Forecasts'!Q$9*1000000/SUM('Statistics NZ'!O$30:O$110,'Statistics NZ'!O$130:O$210)</f>
        <v>2069.8470853756753</v>
      </c>
      <c r="P206" s="44">
        <f>'Statistics NZ'!P$206*'Economic Forecasts'!R$9*1000000/SUM('Statistics NZ'!P$30:P$110,'Statistics NZ'!P$130:P$210)</f>
        <v>2239.9216253049385</v>
      </c>
      <c r="Q206" s="44">
        <f>'Statistics NZ'!Q$206*'Economic Forecasts'!S$9*1000000/SUM('Statistics NZ'!Q$30:Q$110,'Statistics NZ'!Q$130:Q$210)</f>
        <v>2348.8841208967578</v>
      </c>
      <c r="R206" s="44">
        <f>'Statistics NZ'!R$206*'Economic Forecasts'!T$9*1000000/SUM('Statistics NZ'!R$30:R$110,'Statistics NZ'!R$130:R$210)</f>
        <v>2482.5272059000172</v>
      </c>
      <c r="S206" s="45">
        <f>SUM('Statistics NZ'!S$206,$T$13/6*(S$8-S$9)*1000)*'Economic Forecasts'!U$9*1000000/SUM('Statistics NZ'!S$30:S$110,'Statistics NZ'!S$130:S$210,SUM($E$12:$T$13)*(S$8-S$9)*1000)</f>
        <v>2315.0449767623249</v>
      </c>
      <c r="T206" s="45">
        <f>SUM('Statistics NZ'!T$206,$T$13/6*(T$8-T$9)*1000)*'Economic Forecasts'!V$9*1000000/SUM('Statistics NZ'!T$30:T$110,'Statistics NZ'!T$130:T$210,SUM($E$12:$T$13)*(T$8-T$9)*1000)</f>
        <v>2390.1377707185702</v>
      </c>
      <c r="U206" s="45">
        <f>SUM('Statistics NZ'!U$206,$T$13/6*(U$8-U$9)*1000)*'Economic Forecasts'!W$9*1000000/SUM('Statistics NZ'!U$30:U$110,'Statistics NZ'!U$130:U$210,SUM($E$12:$T$13)*(U$8-U$9)*1000)</f>
        <v>2565.8176501066105</v>
      </c>
      <c r="V206" s="45">
        <f>SUM('Statistics NZ'!V$206,$T$13/6*(V$8-V$9)*1000)*'Economic Forecasts'!X$9*1000000/SUM('Statistics NZ'!V$30:V$110,'Statistics NZ'!V$130:V$210,SUM($E$12:$T$13)*(V$8-V$9)*1000)</f>
        <v>2650.20679476754</v>
      </c>
      <c r="W206" s="45">
        <f>SUM('Statistics NZ'!W$206,$T$13/6*(W$8-W$9)*1000)*'Economic Forecasts'!Y$9*1000000/SUM('Statistics NZ'!W$30:W$110,'Statistics NZ'!W$130:W$210,SUM($E$12:$T$13)*(W$8-W$9)*1000)</f>
        <v>2674.4287842246295</v>
      </c>
      <c r="X206" s="45">
        <f>SUM('Statistics NZ'!X$206,$T$13/6*(X$8-X$9)*1000)*'Economic Forecasts'!Z$9*1000000/SUM('Statistics NZ'!X$30:X$110,'Statistics NZ'!X$130:X$210,SUM($E$12:$T$13)*(X$8-X$9)*1000)</f>
        <v>2842.0680147504204</v>
      </c>
      <c r="Y206" s="45">
        <f>SUM('Statistics NZ'!Y$206,$T$13/6*(Y$8-Y$9)*1000)*'Economic Forecasts'!AA$9*1000000/SUM('Statistics NZ'!Y$30:Y$110,'Statistics NZ'!Y$130:Y$210,SUM($E$12:$T$13)*(Y$8-Y$9)*1000)</f>
        <v>3052.6950400385144</v>
      </c>
      <c r="Z206" s="46">
        <f>SUM(Y$206,'Statistics NZ'!Z$206-'Statistics NZ'!Y$206,$T$13/6*(Z$8-Z$9)*1000)</f>
        <v>3243.422199839426</v>
      </c>
      <c r="AA206" s="46">
        <f>SUM(Z$206,'Statistics NZ'!AA$206-'Statistics NZ'!Z$206,$T$13/6*(AA$8-AA$9)*1000)</f>
        <v>3584.0685641069026</v>
      </c>
      <c r="AB206" s="46">
        <f>SUM(AA$206,'Statistics NZ'!AB$206-'Statistics NZ'!AA$206,$T$13/6*(AB$8-AB$9)*1000)</f>
        <v>3884.6341328409449</v>
      </c>
      <c r="AC206" s="46">
        <f>SUM(AB$206,'Statistics NZ'!AC$206-'Statistics NZ'!AB$206,$T$13/6*(AC$8-AC$9)*1000)</f>
        <v>4035.1189060415522</v>
      </c>
      <c r="AD206" s="46">
        <f>SUM(AC$206,'Statistics NZ'!AD$206-'Statistics NZ'!AC$206,$T$13/6*(AD$8-AD$9)*1000)</f>
        <v>3655.5228837087252</v>
      </c>
      <c r="AE206" s="46">
        <f>SUM(AD$206,'Statistics NZ'!AE$206-'Statistics NZ'!AD$206,$T$13/6*(AE$8-AE$9)*1000)</f>
        <v>4215.8460658424638</v>
      </c>
      <c r="AF206" s="46">
        <f>SUM(AE$206,'Statistics NZ'!AF$206-'Statistics NZ'!AE$206,$T$13/6*(AF$8-AF$9)*1000)</f>
        <v>4426.0884524427674</v>
      </c>
      <c r="AG206" s="46">
        <f>SUM(AF$206,'Statistics NZ'!AG$206-'Statistics NZ'!AF$206,$T$13/6*(AG$8-AG$9)*1000)</f>
        <v>4736.2500435096363</v>
      </c>
      <c r="AH206" s="46">
        <f>SUM(AG$206,'Statistics NZ'!AH$206-'Statistics NZ'!AG$206,$T$13/6*(AH$8-AH$9)*1000)</f>
        <v>5666.3308390430711</v>
      </c>
      <c r="AI206" s="46">
        <f>SUM(AH$206,'Statistics NZ'!AI$206-'Statistics NZ'!AH$206,$T$13/6*(AI$8-AI$9)*1000)</f>
        <v>5756.3308390430711</v>
      </c>
    </row>
    <row r="207" spans="1:35" x14ac:dyDescent="0.25">
      <c r="A207" s="11">
        <f>$A$107</f>
        <v>92</v>
      </c>
      <c r="B207" s="44">
        <f>'Statistics NZ'!B$207*'Economic Forecasts'!D$9*1000000/SUM('Statistics NZ'!B$30:B$110,'Statistics NZ'!B$130:B$210)</f>
        <v>772.93132948257437</v>
      </c>
      <c r="C207" s="44">
        <f>'Statistics NZ'!C$207*'Economic Forecasts'!E$9*1000000/SUM('Statistics NZ'!C$30:C$110,'Statistics NZ'!C$130:C$210)</f>
        <v>795.42633891062712</v>
      </c>
      <c r="D207" s="44">
        <f>'Statistics NZ'!D$207*'Economic Forecasts'!F$9*1000000/SUM('Statistics NZ'!D$30:D$110,'Statistics NZ'!D$130:D$210)</f>
        <v>874.22240981618415</v>
      </c>
      <c r="E207" s="44">
        <f>'Statistics NZ'!E$207*'Economic Forecasts'!G$9*1000000/SUM('Statistics NZ'!E$30:E$110,'Statistics NZ'!E$130:E$210)</f>
        <v>902.24610753092804</v>
      </c>
      <c r="F207" s="44">
        <f>'Statistics NZ'!F$207*'Economic Forecasts'!H$9*1000000/SUM('Statistics NZ'!F$30:F$110,'Statistics NZ'!F$130:F$210)</f>
        <v>843.55949583298229</v>
      </c>
      <c r="G207" s="44">
        <f>'Statistics NZ'!G$207*'Economic Forecasts'!I$9*1000000/SUM('Statistics NZ'!G$30:G$110,'Statistics NZ'!G$130:G$210)</f>
        <v>913.4899201326707</v>
      </c>
      <c r="H207" s="44">
        <f>'Statistics NZ'!H$207*'Economic Forecasts'!J$9*1000000/SUM('Statistics NZ'!H$30:H$110,'Statistics NZ'!H$130:H$210)</f>
        <v>1120.0656343173716</v>
      </c>
      <c r="I207" s="44">
        <f>'Statistics NZ'!I$207*'Economic Forecasts'!K$9*1000000/SUM('Statistics NZ'!I$30:I$110,'Statistics NZ'!I$130:I$210)</f>
        <v>1156.8195261666822</v>
      </c>
      <c r="J207" s="44">
        <f>'Statistics NZ'!J$207*'Economic Forecasts'!L$9*1000000/SUM('Statistics NZ'!J$30:J$110,'Statistics NZ'!J$130:J$210)</f>
        <v>1257.9928094675345</v>
      </c>
      <c r="K207" s="44">
        <f>'Statistics NZ'!K$207*'Economic Forecasts'!M$9*1000000/SUM('Statistics NZ'!K$30:K$110,'Statistics NZ'!K$130:K$210)</f>
        <v>1314.3896112335576</v>
      </c>
      <c r="L207" s="44">
        <f>'Statistics NZ'!L$207*'Economic Forecasts'!N$9*1000000/SUM('Statistics NZ'!L$30:L$110,'Statistics NZ'!L$130:L$210)</f>
        <v>1363.1261033748426</v>
      </c>
      <c r="M207" s="44">
        <f>'Statistics NZ'!M$207*'Economic Forecasts'!O$9*1000000/SUM('Statistics NZ'!M$30:M$110,'Statistics NZ'!M$130:M$210)</f>
        <v>1514.2839454901425</v>
      </c>
      <c r="N207" s="44">
        <f>'Statistics NZ'!N$207*'Economic Forecasts'!P$9*1000000/SUM('Statistics NZ'!N$30:N$110,'Statistics NZ'!N$130:N$210)</f>
        <v>1516.6648120703869</v>
      </c>
      <c r="O207" s="44">
        <f>'Statistics NZ'!O$207*'Economic Forecasts'!Q$9*1000000/SUM('Statistics NZ'!O$30:O$110,'Statistics NZ'!O$130:O$210)</f>
        <v>1648.0299068393999</v>
      </c>
      <c r="P207" s="44">
        <f>'Statistics NZ'!P$207*'Economic Forecasts'!R$9*1000000/SUM('Statistics NZ'!P$30:P$110,'Statistics NZ'!P$130:P$210)</f>
        <v>1672.6052311229018</v>
      </c>
      <c r="Q207" s="44">
        <f>'Statistics NZ'!Q$207*'Economic Forecasts'!S$9*1000000/SUM('Statistics NZ'!Q$30:Q$110,'Statistics NZ'!Q$130:Q$210)</f>
        <v>1865.2903313003667</v>
      </c>
      <c r="R207" s="44">
        <f>'Statistics NZ'!R$207*'Economic Forecasts'!T$9*1000000/SUM('Statistics NZ'!R$30:R$110,'Statistics NZ'!R$130:R$210)</f>
        <v>1901.3005981694575</v>
      </c>
      <c r="S207" s="45">
        <f>SUM('Statistics NZ'!S$207,$T$13/6*(S$8-S$9)*1000)*'Economic Forecasts'!U$9*1000000/SUM('Statistics NZ'!S$30:S$110,'Statistics NZ'!S$130:S$210,SUM($E$12:$T$13)*(S$8-S$9)*1000)</f>
        <v>1985.1812948142319</v>
      </c>
      <c r="T207" s="45">
        <f>SUM('Statistics NZ'!T$207,$T$13/6*(T$8-T$9)*1000)*'Economic Forecasts'!V$9*1000000/SUM('Statistics NZ'!T$30:T$110,'Statistics NZ'!T$130:T$210,SUM($E$12:$T$13)*(T$8-T$9)*1000)</f>
        <v>1940.7529225814576</v>
      </c>
      <c r="U207" s="45">
        <f>SUM('Statistics NZ'!U$207,$T$13/6*(U$8-U$9)*1000)*'Economic Forecasts'!W$9*1000000/SUM('Statistics NZ'!U$30:U$110,'Statistics NZ'!U$130:U$210,SUM($E$12:$T$13)*(U$8-U$9)*1000)</f>
        <v>1970.0341563951386</v>
      </c>
      <c r="V207" s="45">
        <f>SUM('Statistics NZ'!V$207,$T$13/6*(V$8-V$9)*1000)*'Economic Forecasts'!X$9*1000000/SUM('Statistics NZ'!V$30:V$110,'Statistics NZ'!V$130:V$210,SUM($E$12:$T$13)*(V$8-V$9)*1000)</f>
        <v>2094.0166094567498</v>
      </c>
      <c r="W207" s="45">
        <f>SUM('Statistics NZ'!W$207,$T$13/6*(W$8-W$9)*1000)*'Economic Forecasts'!Y$9*1000000/SUM('Statistics NZ'!W$30:W$110,'Statistics NZ'!W$130:W$210,SUM($E$12:$T$13)*(W$8-W$9)*1000)</f>
        <v>2168.0579870181468</v>
      </c>
      <c r="X207" s="45">
        <f>SUM('Statistics NZ'!X$207,$T$13/6*(X$8-X$9)*1000)*'Economic Forecasts'!Z$9*1000000/SUM('Statistics NZ'!X$30:X$110,'Statistics NZ'!X$130:X$210,SUM($E$12:$T$13)*(X$8-X$9)*1000)</f>
        <v>2192.638615622107</v>
      </c>
      <c r="Y207" s="45">
        <f>SUM('Statistics NZ'!Y$207,$T$13/6*(Y$8-Y$9)*1000)*'Economic Forecasts'!AA$9*1000000/SUM('Statistics NZ'!Y$30:Y$110,'Statistics NZ'!Y$130:Y$210,SUM($E$12:$T$13)*(Y$8-Y$9)*1000)</f>
        <v>2330.4184029833273</v>
      </c>
      <c r="Z207" s="46">
        <f>SUM(Y$207,'Statistics NZ'!Z$207-'Statistics NZ'!Y$207,$T$13/6*(Z$8-Z$9)*1000)</f>
        <v>2501.1455627842388</v>
      </c>
      <c r="AA207" s="46">
        <f>SUM(Z$207,'Statistics NZ'!AA$207-'Statistics NZ'!Z$207,$T$13/6*(AA$8-AA$9)*1000)</f>
        <v>2661.7919270517154</v>
      </c>
      <c r="AB207" s="46">
        <f>SUM(AA$207,'Statistics NZ'!AB$207-'Statistics NZ'!AA$207,$T$13/6*(AB$8-AB$9)*1000)</f>
        <v>2942.3574957857577</v>
      </c>
      <c r="AC207" s="46">
        <f>SUM(AB$207,'Statistics NZ'!AC$207-'Statistics NZ'!AB$207,$T$13/6*(AC$8-AC$9)*1000)</f>
        <v>3192.8422689863651</v>
      </c>
      <c r="AD207" s="46">
        <f>SUM(AC$207,'Statistics NZ'!AD$207-'Statistics NZ'!AC$207,$T$13/6*(AD$8-AD$9)*1000)</f>
        <v>3313.246246653538</v>
      </c>
      <c r="AE207" s="46">
        <f>SUM(AD$207,'Statistics NZ'!AE$207-'Statistics NZ'!AD$207,$T$13/6*(AE$8-AE$9)*1000)</f>
        <v>3013.5694287872766</v>
      </c>
      <c r="AF207" s="46">
        <f>SUM(AE$207,'Statistics NZ'!AF$207-'Statistics NZ'!AE$207,$T$13/6*(AF$8-AF$9)*1000)</f>
        <v>3473.8118153875803</v>
      </c>
      <c r="AG207" s="46">
        <f>SUM(AF$207,'Statistics NZ'!AG$207-'Statistics NZ'!AF$207,$T$13/6*(AG$8-AG$9)*1000)</f>
        <v>3653.9734064544496</v>
      </c>
      <c r="AH207" s="46">
        <f>SUM(AG$207,'Statistics NZ'!AH$207-'Statistics NZ'!AG$207,$T$13/6*(AH$8-AH$9)*1000)</f>
        <v>3914.054201987884</v>
      </c>
      <c r="AI207" s="46">
        <f>SUM(AH$207,'Statistics NZ'!AI$207-'Statistics NZ'!AH$207,$T$13/6*(AI$8-AI$9)*1000)</f>
        <v>4684.054201987884</v>
      </c>
    </row>
    <row r="208" spans="1:35" x14ac:dyDescent="0.25">
      <c r="A208" s="11">
        <f>$A$108</f>
        <v>93</v>
      </c>
      <c r="B208" s="44">
        <f>'Statistics NZ'!B$208*'Economic Forecasts'!D$9*1000000/SUM('Statistics NZ'!B$30:B$110,'Statistics NZ'!B$130:B$210)</f>
        <v>567.46857101252306</v>
      </c>
      <c r="C208" s="44">
        <f>'Statistics NZ'!C$208*'Economic Forecasts'!E$9*1000000/SUM('Statistics NZ'!C$30:C$110,'Statistics NZ'!C$130:C$210)</f>
        <v>589.20469548935353</v>
      </c>
      <c r="D208" s="44">
        <f>'Statistics NZ'!D$208*'Economic Forecasts'!F$9*1000000/SUM('Statistics NZ'!D$30:D$110,'Statistics NZ'!D$130:D$210)</f>
        <v>658.12248828858822</v>
      </c>
      <c r="E208" s="44">
        <f>'Statistics NZ'!E$208*'Economic Forecasts'!G$9*1000000/SUM('Statistics NZ'!E$30:E$110,'Statistics NZ'!E$130:E$210)</f>
        <v>676.68458064819606</v>
      </c>
      <c r="F208" s="44">
        <f>'Statistics NZ'!F$208*'Economic Forecasts'!H$9*1000000/SUM('Statistics NZ'!F$30:F$110,'Statistics NZ'!F$130:F$210)</f>
        <v>706.23585697645035</v>
      </c>
      <c r="G208" s="44">
        <f>'Statistics NZ'!G$208*'Economic Forecasts'!I$9*1000000/SUM('Statistics NZ'!G$30:G$110,'Statistics NZ'!G$130:G$210)</f>
        <v>658.10564138590257</v>
      </c>
      <c r="H208" s="44">
        <f>'Statistics NZ'!H$208*'Economic Forecasts'!J$9*1000000/SUM('Statistics NZ'!H$30:H$110,'Statistics NZ'!H$130:H$210)</f>
        <v>717.23501144884324</v>
      </c>
      <c r="I208" s="44">
        <f>'Statistics NZ'!I$208*'Economic Forecasts'!K$9*1000000/SUM('Statistics NZ'!I$30:I$110,'Statistics NZ'!I$130:I$210)</f>
        <v>892.12353289125508</v>
      </c>
      <c r="J208" s="44">
        <f>'Statistics NZ'!J$208*'Economic Forecasts'!L$9*1000000/SUM('Statistics NZ'!J$30:J$110,'Statistics NZ'!J$130:J$210)</f>
        <v>945.93257766163458</v>
      </c>
      <c r="K208" s="44">
        <f>'Statistics NZ'!K$208*'Economic Forecasts'!M$9*1000000/SUM('Statistics NZ'!K$30:K$110,'Statistics NZ'!K$130:K$210)</f>
        <v>1012.5668116169629</v>
      </c>
      <c r="L208" s="44">
        <f>'Statistics NZ'!L$208*'Economic Forecasts'!N$9*1000000/SUM('Statistics NZ'!L$30:L$110,'Statistics NZ'!L$130:L$210)</f>
        <v>1051.5544226034499</v>
      </c>
      <c r="M208" s="44">
        <f>'Statistics NZ'!M$208*'Economic Forecasts'!O$9*1000000/SUM('Statistics NZ'!M$30:M$110,'Statistics NZ'!M$130:M$210)</f>
        <v>1074.6531226059074</v>
      </c>
      <c r="N208" s="44">
        <f>'Statistics NZ'!N$208*'Economic Forecasts'!P$9*1000000/SUM('Statistics NZ'!N$30:N$110,'Statistics NZ'!N$130:N$210)</f>
        <v>1183.977046842044</v>
      </c>
      <c r="O208" s="44">
        <f>'Statistics NZ'!O$208*'Economic Forecasts'!Q$9*1000000/SUM('Statistics NZ'!O$30:O$110,'Statistics NZ'!O$130:O$210)</f>
        <v>1177.164219171</v>
      </c>
      <c r="P208" s="44">
        <f>'Statistics NZ'!P$208*'Economic Forecasts'!R$9*1000000/SUM('Statistics NZ'!P$30:P$110,'Statistics NZ'!P$130:P$210)</f>
        <v>1320.4778140443962</v>
      </c>
      <c r="Q208" s="44">
        <f>'Statistics NZ'!Q$208*'Economic Forecasts'!S$9*1000000/SUM('Statistics NZ'!Q$30:Q$110,'Statistics NZ'!Q$130:Q$210)</f>
        <v>1352.0887586674614</v>
      </c>
      <c r="R208" s="44">
        <f>'Statistics NZ'!R$208*'Economic Forecasts'!T$9*1000000/SUM('Statistics NZ'!R$30:R$110,'Statistics NZ'!R$130:R$210)</f>
        <v>1497.3973622888991</v>
      </c>
      <c r="S208" s="45">
        <f>SUM('Statistics NZ'!S$208,$T$13/6*(S$8-S$9)*1000)*'Economic Forecasts'!U$9*1000000/SUM('Statistics NZ'!S$30:S$110,'Statistics NZ'!S$130:S$210,SUM($E$12:$T$13)*(S$8-S$9)*1000)</f>
        <v>1490.3857718920938</v>
      </c>
      <c r="T208" s="45">
        <f>SUM('Statistics NZ'!T$208,$T$13/6*(T$8-T$9)*1000)*'Economic Forecasts'!V$9*1000000/SUM('Statistics NZ'!T$30:T$110,'Statistics NZ'!T$130:T$210,SUM($E$12:$T$13)*(T$8-T$9)*1000)</f>
        <v>1631.1766938647795</v>
      </c>
      <c r="U208" s="45">
        <f>SUM('Statistics NZ'!U$208,$T$13/6*(U$8-U$9)*1000)*'Economic Forecasts'!W$9*1000000/SUM('Statistics NZ'!U$30:U$110,'Statistics NZ'!U$130:U$210,SUM($E$12:$T$13)*(U$8-U$9)*1000)</f>
        <v>1556.0151183922515</v>
      </c>
      <c r="V208" s="45">
        <f>SUM('Statistics NZ'!V$208,$T$13/6*(V$8-V$9)*1000)*'Economic Forecasts'!X$9*1000000/SUM('Statistics NZ'!V$30:V$110,'Statistics NZ'!V$130:V$210,SUM($E$12:$T$13)*(V$8-V$9)*1000)</f>
        <v>1568.1640706174574</v>
      </c>
      <c r="W208" s="45">
        <f>SUM('Statistics NZ'!W$208,$T$13/6*(W$8-W$9)*1000)*'Economic Forecasts'!Y$9*1000000/SUM('Statistics NZ'!W$30:W$110,'Statistics NZ'!W$130:W$210,SUM($E$12:$T$13)*(W$8-W$9)*1000)</f>
        <v>1681.9420216999238</v>
      </c>
      <c r="X208" s="45">
        <f>SUM('Statistics NZ'!X$208,$T$13/6*(X$8-X$9)*1000)*'Economic Forecasts'!Z$9*1000000/SUM('Statistics NZ'!X$30:X$110,'Statistics NZ'!X$130:X$210,SUM($E$12:$T$13)*(X$8-X$9)*1000)</f>
        <v>1736.0085693600113</v>
      </c>
      <c r="Y208" s="45">
        <f>SUM('Statistics NZ'!Y$208,$T$13/6*(Y$8-Y$9)*1000)*'Economic Forecasts'!AA$9*1000000/SUM('Statistics NZ'!Y$30:Y$110,'Statistics NZ'!Y$130:Y$210,SUM($E$12:$T$13)*(Y$8-Y$9)*1000)</f>
        <v>1760.7354216440237</v>
      </c>
      <c r="Z208" s="46">
        <f>SUM(Y$208,'Statistics NZ'!Z$208-'Statistics NZ'!Y$208,$T$13/6*(Z$8-Z$9)*1000)</f>
        <v>1871.462581444935</v>
      </c>
      <c r="AA208" s="46">
        <f>SUM(Z$208,'Statistics NZ'!AA$208-'Statistics NZ'!Z$208,$T$13/6*(AA$8-AA$9)*1000)</f>
        <v>2002.1089457124117</v>
      </c>
      <c r="AB208" s="46">
        <f>SUM(AA$208,'Statistics NZ'!AB$208-'Statistics NZ'!AA$208,$T$13/6*(AB$8-AB$9)*1000)</f>
        <v>2132.6745144464539</v>
      </c>
      <c r="AC208" s="46">
        <f>SUM(AB$208,'Statistics NZ'!AC$208-'Statistics NZ'!AB$208,$T$13/6*(AC$8-AC$9)*1000)</f>
        <v>2363.1592876470613</v>
      </c>
      <c r="AD208" s="46">
        <f>SUM(AC$208,'Statistics NZ'!AD$208-'Statistics NZ'!AC$208,$T$13/6*(AD$8-AD$9)*1000)</f>
        <v>2563.5632653142343</v>
      </c>
      <c r="AE208" s="46">
        <f>SUM(AD$208,'Statistics NZ'!AE$208-'Statistics NZ'!AD$208,$T$13/6*(AE$8-AE$9)*1000)</f>
        <v>2663.8864474479728</v>
      </c>
      <c r="AF208" s="46">
        <f>SUM(AE$208,'Statistics NZ'!AF$208-'Statistics NZ'!AE$208,$T$13/6*(AF$8-AF$9)*1000)</f>
        <v>2424.1288340482765</v>
      </c>
      <c r="AG208" s="46">
        <f>SUM(AF$208,'Statistics NZ'!AG$208-'Statistics NZ'!AF$208,$T$13/6*(AG$8-AG$9)*1000)</f>
        <v>2804.2904251151458</v>
      </c>
      <c r="AH208" s="46">
        <f>SUM(AG$208,'Statistics NZ'!AH$208-'Statistics NZ'!AG$208,$T$13/6*(AH$8-AH$9)*1000)</f>
        <v>2954.3712206485802</v>
      </c>
      <c r="AI208" s="46">
        <f>SUM(AH$208,'Statistics NZ'!AI$208-'Statistics NZ'!AH$208,$T$13/6*(AI$8-AI$9)*1000)</f>
        <v>3164.3712206485802</v>
      </c>
    </row>
    <row r="209" spans="1:35" x14ac:dyDescent="0.25">
      <c r="A209" s="11">
        <f>$A$109</f>
        <v>94</v>
      </c>
      <c r="B209" s="44">
        <f>'Statistics NZ'!B$209*'Economic Forecasts'!D$9*1000000/SUM('Statistics NZ'!B$30:B$110,'Statistics NZ'!B$130:B$210)</f>
        <v>391.3576351810504</v>
      </c>
      <c r="C209" s="44">
        <f>'Statistics NZ'!C$209*'Economic Forecasts'!E$9*1000000/SUM('Statistics NZ'!C$30:C$110,'Statistics NZ'!C$130:C$210)</f>
        <v>451.72359987517103</v>
      </c>
      <c r="D209" s="44">
        <f>'Statistics NZ'!D$209*'Economic Forecasts'!F$9*1000000/SUM('Statistics NZ'!D$30:D$110,'Statistics NZ'!D$130:D$210)</f>
        <v>442.02256676099211</v>
      </c>
      <c r="E209" s="44">
        <f>'Statistics NZ'!E$209*'Economic Forecasts'!G$9*1000000/SUM('Statistics NZ'!E$30:E$110,'Statistics NZ'!E$130:E$210)</f>
        <v>500.15816830518844</v>
      </c>
      <c r="F209" s="44">
        <f>'Statistics NZ'!F$209*'Economic Forecasts'!H$9*1000000/SUM('Statistics NZ'!F$30:F$110,'Statistics NZ'!F$130:F$210)</f>
        <v>519.86806138544262</v>
      </c>
      <c r="G209" s="44">
        <f>'Statistics NZ'!G$209*'Economic Forecasts'!I$9*1000000/SUM('Statistics NZ'!G$30:G$110,'Statistics NZ'!G$130:G$210)</f>
        <v>540.23597427200957</v>
      </c>
      <c r="H209" s="44">
        <f>'Statistics NZ'!H$209*'Economic Forecasts'!J$9*1000000/SUM('Statistics NZ'!H$30:H$110,'Statistics NZ'!H$130:H$210)</f>
        <v>510.90713144301162</v>
      </c>
      <c r="I209" s="44">
        <f>'Statistics NZ'!I$209*'Economic Forecasts'!K$9*1000000/SUM('Statistics NZ'!I$30:I$110,'Statistics NZ'!I$130:I$210)</f>
        <v>548.99909716384923</v>
      </c>
      <c r="J209" s="44">
        <f>'Statistics NZ'!J$209*'Economic Forecasts'!L$9*1000000/SUM('Statistics NZ'!J$30:J$110,'Statistics NZ'!J$130:J$210)</f>
        <v>711.88740380720958</v>
      </c>
      <c r="K209" s="44">
        <f>'Statistics NZ'!K$209*'Economic Forecasts'!M$9*1000000/SUM('Statistics NZ'!K$30:K$110,'Statistics NZ'!K$130:K$210)</f>
        <v>730.21645068530984</v>
      </c>
      <c r="L209" s="44">
        <f>'Statistics NZ'!L$209*'Economic Forecasts'!N$9*1000000/SUM('Statistics NZ'!L$30:L$110,'Statistics NZ'!L$130:L$210)</f>
        <v>778.92920192848158</v>
      </c>
      <c r="M209" s="44">
        <f>'Statistics NZ'!M$209*'Economic Forecasts'!O$9*1000000/SUM('Statistics NZ'!M$30:M$110,'Statistics NZ'!M$130:M$210)</f>
        <v>801.10505503349475</v>
      </c>
      <c r="N209" s="44">
        <f>'Statistics NZ'!N$209*'Economic Forecasts'!P$9*1000000/SUM('Statistics NZ'!N$30:N$110,'Statistics NZ'!N$130:N$210)</f>
        <v>821.93447879943551</v>
      </c>
      <c r="O209" s="44">
        <f>'Statistics NZ'!O$209*'Economic Forecasts'!Q$9*1000000/SUM('Statistics NZ'!O$30:O$110,'Statistics NZ'!O$130:O$210)</f>
        <v>912.30226985752495</v>
      </c>
      <c r="P209" s="44">
        <f>'Statistics NZ'!P$209*'Economic Forecasts'!R$9*1000000/SUM('Statistics NZ'!P$30:P$110,'Statistics NZ'!P$130:P$210)</f>
        <v>909.66249411947297</v>
      </c>
      <c r="Q209" s="44">
        <f>'Statistics NZ'!Q$209*'Economic Forecasts'!S$9*1000000/SUM('Statistics NZ'!Q$30:Q$110,'Statistics NZ'!Q$130:Q$210)</f>
        <v>1016.5338842536389</v>
      </c>
      <c r="R209" s="44">
        <f>'Statistics NZ'!R$209*'Economic Forecasts'!T$9*1000000/SUM('Statistics NZ'!R$30:R$110,'Statistics NZ'!R$130:R$210)</f>
        <v>1054.0889326638962</v>
      </c>
      <c r="S209" s="45">
        <f>SUM('Statistics NZ'!S$209,$T$13/6*(S$8-S$9)*1000)*'Economic Forecasts'!U$9*1000000/SUM('Statistics NZ'!S$30:S$110,'Statistics NZ'!S$130:S$210,SUM($E$12:$T$13)*(S$8-S$9)*1000)</f>
        <v>1150.8202169455283</v>
      </c>
      <c r="T209" s="45">
        <f>SUM('Statistics NZ'!T$209,$T$13/6*(T$8-T$9)*1000)*'Economic Forecasts'!V$9*1000000/SUM('Statistics NZ'!T$30:T$110,'Statistics NZ'!T$130:T$210,SUM($E$12:$T$13)*(T$8-T$9)*1000)</f>
        <v>1191.7781756862689</v>
      </c>
      <c r="U209" s="45">
        <f>SUM('Statistics NZ'!U$209,$T$13/6*(U$8-U$9)*1000)*'Economic Forecasts'!W$9*1000000/SUM('Statistics NZ'!U$30:U$110,'Statistics NZ'!U$130:U$210,SUM($E$12:$T$13)*(U$8-U$9)*1000)</f>
        <v>1283.3684348293746</v>
      </c>
      <c r="V209" s="45">
        <f>SUM('Statistics NZ'!V$209,$T$13/6*(V$8-V$9)*1000)*'Economic Forecasts'!X$9*1000000/SUM('Statistics NZ'!V$30:V$110,'Statistics NZ'!V$130:V$210,SUM($E$12:$T$13)*(V$8-V$9)*1000)</f>
        <v>1214.2248617833181</v>
      </c>
      <c r="W209" s="45">
        <f>SUM('Statistics NZ'!W$209,$T$13/6*(W$8-W$9)*1000)*'Economic Forecasts'!Y$9*1000000/SUM('Statistics NZ'!W$30:W$110,'Statistics NZ'!W$130:W$210,SUM($E$12:$T$13)*(W$8-W$9)*1000)</f>
        <v>1226.2083042140898</v>
      </c>
      <c r="X209" s="45">
        <f>SUM('Statistics NZ'!X$209,$T$13/6*(X$8-X$9)*1000)*'Economic Forecasts'!Z$9*1000000/SUM('Statistics NZ'!X$30:X$110,'Statistics NZ'!X$130:X$210,SUM($E$12:$T$13)*(X$8-X$9)*1000)</f>
        <v>1309.8205261820558</v>
      </c>
      <c r="Y209" s="45">
        <f>SUM('Statistics NZ'!Y$209,$T$13/6*(Y$8-Y$9)*1000)*'Economic Forecasts'!AA$9*1000000/SUM('Statistics NZ'!Y$30:Y$110,'Statistics NZ'!Y$130:Y$210,SUM($E$12:$T$13)*(Y$8-Y$9)*1000)</f>
        <v>1363.9919167827236</v>
      </c>
      <c r="Z209" s="46">
        <f>SUM(Y$209,'Statistics NZ'!Z$209-'Statistics NZ'!Y$209,$T$13/6*(Z$8-Z$9)*1000)</f>
        <v>1374.7190765836349</v>
      </c>
      <c r="AA209" s="46">
        <f>SUM(Z$209,'Statistics NZ'!AA$209-'Statistics NZ'!Z$209,$T$13/6*(AA$8-AA$9)*1000)</f>
        <v>1465.3654408511115</v>
      </c>
      <c r="AB209" s="46">
        <f>SUM(AA$209,'Statistics NZ'!AB$209-'Statistics NZ'!AA$209,$T$13/6*(AB$8-AB$9)*1000)</f>
        <v>1565.9310095851538</v>
      </c>
      <c r="AC209" s="46">
        <f>SUM(AB$209,'Statistics NZ'!AC$209-'Statistics NZ'!AB$209,$T$13/6*(AC$8-AC$9)*1000)</f>
        <v>1676.4157827857614</v>
      </c>
      <c r="AD209" s="46">
        <f>SUM(AC$209,'Statistics NZ'!AD$209-'Statistics NZ'!AC$209,$T$13/6*(AD$8-AD$9)*1000)</f>
        <v>1856.8197604529344</v>
      </c>
      <c r="AE209" s="46">
        <f>SUM(AD$209,'Statistics NZ'!AE$209-'Statistics NZ'!AD$209,$T$13/6*(AE$8-AE$9)*1000)</f>
        <v>2017.1429425866727</v>
      </c>
      <c r="AF209" s="46">
        <f>SUM(AE$209,'Statistics NZ'!AF$209-'Statistics NZ'!AE$209,$T$13/6*(AF$8-AF$9)*1000)</f>
        <v>2097.3853291869764</v>
      </c>
      <c r="AG209" s="46">
        <f>SUM(AF$209,'Statistics NZ'!AG$209-'Statistics NZ'!AF$209,$T$13/6*(AG$8-AG$9)*1000)</f>
        <v>1917.5469202538457</v>
      </c>
      <c r="AH209" s="46">
        <f>SUM(AG$209,'Statistics NZ'!AH$209-'Statistics NZ'!AG$209,$T$13/6*(AH$8-AH$9)*1000)</f>
        <v>2217.6277157872801</v>
      </c>
      <c r="AI209" s="46">
        <f>SUM(AH$209,'Statistics NZ'!AI$209-'Statistics NZ'!AH$209,$T$13/6*(AI$8-AI$9)*1000)</f>
        <v>2327.6277157872801</v>
      </c>
    </row>
    <row r="210" spans="1:35" x14ac:dyDescent="0.25">
      <c r="A210" s="11" t="str">
        <f>$A$110</f>
        <v>95 &amp; over</v>
      </c>
      <c r="B210" s="44">
        <f>'Statistics NZ'!B$210*'Economic Forecasts'!D$9*1000000/SUM('Statistics NZ'!B$30:B$110,'Statistics NZ'!B$130:B$210)</f>
        <v>831.63497475973202</v>
      </c>
      <c r="C210" s="44">
        <f>'Statistics NZ'!C$210*'Economic Forecasts'!E$9*1000000/SUM('Statistics NZ'!C$30:C$110,'Statistics NZ'!C$130:C$210)</f>
        <v>864.16688671771851</v>
      </c>
      <c r="D210" s="44">
        <f>'Statistics NZ'!D$210*'Economic Forecasts'!F$9*1000000/SUM('Statistics NZ'!D$30:D$110,'Statistics NZ'!D$130:D$210)</f>
        <v>962.62692316838275</v>
      </c>
      <c r="E210" s="44">
        <f>'Statistics NZ'!E$210*'Economic Forecasts'!G$9*1000000/SUM('Statistics NZ'!E$30:E$110,'Statistics NZ'!E$130:E$210)</f>
        <v>1000.3163366103769</v>
      </c>
      <c r="F210" s="44">
        <f>'Statistics NZ'!F$210*'Economic Forecasts'!H$9*1000000/SUM('Statistics NZ'!F$30:F$110,'Statistics NZ'!F$130:F$210)</f>
        <v>1039.7361227708852</v>
      </c>
      <c r="G210" s="44">
        <f>'Statistics NZ'!G$210*'Economic Forecasts'!I$9*1000000/SUM('Statistics NZ'!G$30:G$110,'Statistics NZ'!G$130:G$210)</f>
        <v>1100.1168930630013</v>
      </c>
      <c r="H210" s="44">
        <f>'Statistics NZ'!H$210*'Economic Forecasts'!J$9*1000000/SUM('Statistics NZ'!H$30:H$110,'Statistics NZ'!H$130:H$210)</f>
        <v>1169.1913200330457</v>
      </c>
      <c r="I210" s="44">
        <f>'Statistics NZ'!I$210*'Economic Forecasts'!K$9*1000000/SUM('Statistics NZ'!I$30:I$110,'Statistics NZ'!I$130:I$210)</f>
        <v>1176.426636779677</v>
      </c>
      <c r="J210" s="44">
        <f>'Statistics NZ'!J$210*'Economic Forecasts'!L$9*1000000/SUM('Statistics NZ'!J$30:J$110,'Statistics NZ'!J$130:J$210)</f>
        <v>1218.9852804917969</v>
      </c>
      <c r="K210" s="44">
        <f>'Statistics NZ'!K$210*'Economic Forecasts'!M$9*1000000/SUM('Statistics NZ'!K$30:K$110,'Statistics NZ'!K$130:K$210)</f>
        <v>1333.8620499184992</v>
      </c>
      <c r="L210" s="44">
        <f>'Statistics NZ'!L$210*'Economic Forecasts'!N$9*1000000/SUM('Statistics NZ'!L$30:L$110,'Statistics NZ'!L$130:L$210)</f>
        <v>1470.2288686400086</v>
      </c>
      <c r="M210" s="44">
        <f>'Statistics NZ'!M$210*'Economic Forecasts'!O$9*1000000/SUM('Statistics NZ'!M$30:M$110,'Statistics NZ'!M$130:M$210)</f>
        <v>1651.057979276349</v>
      </c>
      <c r="N210" s="44">
        <f>'Statistics NZ'!N$210*'Economic Forecasts'!P$9*1000000/SUM('Statistics NZ'!N$30:N$110,'Statistics NZ'!N$130:N$210)</f>
        <v>1741.7183003130897</v>
      </c>
      <c r="O210" s="44">
        <f>'Statistics NZ'!O$210*'Economic Forecasts'!Q$9*1000000/SUM('Statistics NZ'!O$30:O$110,'Statistics NZ'!O$130:O$210)</f>
        <v>1912.8918561528749</v>
      </c>
      <c r="P210" s="44">
        <f>'Statistics NZ'!P$210*'Economic Forecasts'!R$9*1000000/SUM('Statistics NZ'!P$30:P$110,'Statistics NZ'!P$130:P$210)</f>
        <v>2112.7645024710337</v>
      </c>
      <c r="Q210" s="44">
        <f>'Statistics NZ'!Q$210*'Economic Forecasts'!S$9*1000000/SUM('Statistics NZ'!Q$30:Q$110,'Statistics NZ'!Q$130:Q$210)</f>
        <v>2309.4070768480728</v>
      </c>
      <c r="R210" s="44">
        <f>'Statistics NZ'!R$210*'Economic Forecasts'!T$9*1000000/SUM('Statistics NZ'!R$30:R$110,'Statistics NZ'!R$130:R$210)</f>
        <v>2452.9733105916839</v>
      </c>
      <c r="S210" s="45">
        <f>SUM('Statistics NZ'!S$210,$T$13/6*(S$8-S$9)*1000)*'Economic Forecasts'!U$9*1000000/SUM('Statistics NZ'!S$30:S$110,'Statistics NZ'!S$130:S$210,SUM($E$12:$T$13)*(S$8-S$9)*1000)</f>
        <v>2489.6786907348442</v>
      </c>
      <c r="T210" s="45">
        <f>SUM('Statistics NZ'!T$210,$T$13/6*(T$8-T$9)*1000)*'Economic Forecasts'!V$9*1000000/SUM('Statistics NZ'!T$30:T$110,'Statistics NZ'!T$130:T$210,SUM($E$12:$T$13)*(T$8-T$9)*1000)</f>
        <v>2709.7003293938515</v>
      </c>
      <c r="U210" s="45">
        <f>SUM('Statistics NZ'!U$210,$T$13/6*(U$8-U$9)*1000)*'Economic Forecasts'!W$9*1000000/SUM('Statistics NZ'!U$30:U$110,'Statistics NZ'!U$130:U$210,SUM($E$12:$T$13)*(U$8-U$9)*1000)</f>
        <v>2838.4643336694871</v>
      </c>
      <c r="V210" s="45">
        <f>SUM('Statistics NZ'!V$210,$T$13/6*(V$8-V$9)*1000)*'Economic Forecasts'!X$9*1000000/SUM('Statistics NZ'!V$30:V$110,'Statistics NZ'!V$130:V$210,SUM($E$12:$T$13)*(V$8-V$9)*1000)</f>
        <v>2983.920905954014</v>
      </c>
      <c r="W210" s="45">
        <f>SUM('Statistics NZ'!W$210,$T$13/6*(W$8-W$9)*1000)*'Economic Forecasts'!Y$9*1000000/SUM('Statistics NZ'!W$30:W$110,'Statistics NZ'!W$130:W$210,SUM($E$12:$T$13)*(W$8-W$9)*1000)</f>
        <v>3039.0157582132965</v>
      </c>
      <c r="X210" s="45">
        <f>SUM('Statistics NZ'!X$210,$T$13/6*(X$8-X$9)*1000)*'Economic Forecasts'!Z$9*1000000/SUM('Statistics NZ'!X$30:X$110,'Statistics NZ'!X$130:X$210,SUM($E$12:$T$13)*(X$8-X$9)*1000)</f>
        <v>3085.6040394235379</v>
      </c>
      <c r="Y210" s="45">
        <f>SUM('Statistics NZ'!Y$210,$T$13/6*(Y$8-Y$9)*1000)*'Economic Forecasts'!AA$9*1000000/SUM('Statistics NZ'!Y$30:Y$110,'Statistics NZ'!Y$130:Y$210,SUM($E$12:$T$13)*(Y$8-Y$9)*1000)</f>
        <v>3184.9428749922813</v>
      </c>
      <c r="Z210" s="46">
        <f>SUM(Y$210,'Statistics NZ'!Z$210-'Statistics NZ'!Y$210,$T$13/6*(Z$8-Z$9)*1000)</f>
        <v>3295.6700347931928</v>
      </c>
      <c r="AA210" s="46">
        <f>SUM(Z$210,'Statistics NZ'!AA$210-'Statistics NZ'!Z$210,$T$13/6*(AA$8-AA$9)*1000)</f>
        <v>3386.3163990606695</v>
      </c>
      <c r="AB210" s="46">
        <f>SUM(AA$210,'Statistics NZ'!AB$210-'Statistics NZ'!AA$210,$T$13/6*(AB$8-AB$9)*1000)</f>
        <v>3506.8819677947117</v>
      </c>
      <c r="AC210" s="46">
        <f>SUM(AB$210,'Statistics NZ'!AC$210-'Statistics NZ'!AB$210,$T$13/6*(AC$8-AC$9)*1000)</f>
        <v>3687.3667409953191</v>
      </c>
      <c r="AD210" s="46">
        <f>SUM(AC$210,'Statistics NZ'!AD$210-'Statistics NZ'!AC$210,$T$13/6*(AD$8-AD$9)*1000)</f>
        <v>3887.7707186624921</v>
      </c>
      <c r="AE210" s="46">
        <f>SUM(AD$210,'Statistics NZ'!AE$210-'Statistics NZ'!AD$210,$T$13/6*(AE$8-AE$9)*1000)</f>
        <v>4188.0939007962306</v>
      </c>
      <c r="AF210" s="46">
        <f>SUM(AE$210,'Statistics NZ'!AF$210-'Statistics NZ'!AE$210,$T$13/6*(AF$8-AF$9)*1000)</f>
        <v>4528.3362873965343</v>
      </c>
      <c r="AG210" s="46">
        <f>SUM(AF$210,'Statistics NZ'!AG$210-'Statistics NZ'!AF$210,$T$13/6*(AG$8-AG$9)*1000)</f>
        <v>4848.4978784634031</v>
      </c>
      <c r="AH210" s="46">
        <f>SUM(AG$210,'Statistics NZ'!AH$210-'Statistics NZ'!AG$210,$T$13/6*(AH$8-AH$9)*1000)</f>
        <v>4938.578673996838</v>
      </c>
      <c r="AI210" s="46">
        <f>SUM(AH$210,'Statistics NZ'!AI$210-'Statistics NZ'!AH$210,$T$13/6*(AI$8-AI$9)*1000)</f>
        <v>5218.578673996838</v>
      </c>
    </row>
    <row r="211" spans="1:35" x14ac:dyDescent="0.25">
      <c r="A211" s="9" t="s">
        <v>13</v>
      </c>
      <c r="B211" s="80">
        <f>SUM(B$115:B$210)</f>
        <v>2041347.5175145019</v>
      </c>
      <c r="C211" s="80">
        <f t="shared" ref="C211:R211" si="7">SUM(C$115:C$210)</f>
        <v>2062144.8938604787</v>
      </c>
      <c r="D211" s="80">
        <f t="shared" si="7"/>
        <v>2079616.102546884</v>
      </c>
      <c r="E211" s="80">
        <f t="shared" si="7"/>
        <v>2098364.9078065469</v>
      </c>
      <c r="F211" s="80">
        <f t="shared" si="7"/>
        <v>2122463.1437124098</v>
      </c>
      <c r="G211" s="80">
        <f t="shared" si="7"/>
        <v>2141194.8971482366</v>
      </c>
      <c r="H211" s="80">
        <f t="shared" si="7"/>
        <v>2153506.5737652774</v>
      </c>
      <c r="I211" s="80">
        <f t="shared" si="7"/>
        <v>2167973.1665009554</v>
      </c>
      <c r="J211" s="80">
        <f t="shared" si="7"/>
        <v>2203729.8711572946</v>
      </c>
      <c r="K211" s="80">
        <f t="shared" si="7"/>
        <v>2255706.7716331822</v>
      </c>
      <c r="L211" s="80">
        <f t="shared" si="7"/>
        <v>2311998.068229863</v>
      </c>
      <c r="M211" s="80">
        <f t="shared" si="7"/>
        <v>2367277.9516496491</v>
      </c>
      <c r="N211" s="80">
        <f t="shared" si="7"/>
        <v>2416599.3931199699</v>
      </c>
      <c r="O211" s="80">
        <f t="shared" si="7"/>
        <v>2458633.4914337778</v>
      </c>
      <c r="P211" s="80">
        <f t="shared" si="7"/>
        <v>2511033.8338335422</v>
      </c>
      <c r="Q211" s="80">
        <f t="shared" si="7"/>
        <v>2535119.2575562652</v>
      </c>
      <c r="R211" s="80">
        <f t="shared" si="7"/>
        <v>2540051.3288014107</v>
      </c>
      <c r="S211" s="81">
        <f t="shared" ref="S211:AI211" si="8">SUM(S$115:S$210)</f>
        <v>2573241.0565456604</v>
      </c>
      <c r="T211" s="81">
        <f t="shared" si="8"/>
        <v>2635958.3338827076</v>
      </c>
      <c r="U211" s="81">
        <f t="shared" si="8"/>
        <v>2662389.8824060964</v>
      </c>
      <c r="V211" s="81">
        <f t="shared" si="8"/>
        <v>2692654.6758203912</v>
      </c>
      <c r="W211" s="81">
        <f t="shared" si="8"/>
        <v>2725226.4412739659</v>
      </c>
      <c r="X211" s="81">
        <f t="shared" si="8"/>
        <v>2758236.6753122797</v>
      </c>
      <c r="Y211" s="81">
        <f t="shared" si="8"/>
        <v>2791321.4740823205</v>
      </c>
      <c r="Z211" s="82">
        <f t="shared" si="8"/>
        <v>2819458.5077856905</v>
      </c>
      <c r="AA211" s="82">
        <f t="shared" si="8"/>
        <v>2846384.7599664633</v>
      </c>
      <c r="AB211" s="82">
        <f t="shared" si="8"/>
        <v>2872030.2306246352</v>
      </c>
      <c r="AC211" s="82">
        <f t="shared" si="8"/>
        <v>2896534.9197602137</v>
      </c>
      <c r="AD211" s="82">
        <f t="shared" si="8"/>
        <v>2919868.8273731968</v>
      </c>
      <c r="AE211" s="82">
        <f t="shared" si="8"/>
        <v>2942091.9534635837</v>
      </c>
      <c r="AF211" s="82">
        <f t="shared" si="8"/>
        <v>2963234.2980313734</v>
      </c>
      <c r="AG211" s="82">
        <f t="shared" si="8"/>
        <v>2983375.8610765664</v>
      </c>
      <c r="AH211" s="82">
        <f t="shared" si="8"/>
        <v>3002486.6425991631</v>
      </c>
      <c r="AI211" s="82">
        <f t="shared" si="8"/>
        <v>3020456.6425991631</v>
      </c>
    </row>
    <row r="212" spans="1:35" x14ac:dyDescent="0.25">
      <c r="A212" s="9"/>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row>
    <row r="213" spans="1:35" x14ac:dyDescent="0.25">
      <c r="A213" s="9" t="s">
        <v>116</v>
      </c>
      <c r="B213" s="11"/>
      <c r="C213" s="46"/>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row>
    <row r="214" spans="1:35" x14ac:dyDescent="0.25">
      <c r="A214" s="11" t="s">
        <v>1289</v>
      </c>
      <c r="B214" s="11"/>
      <c r="C214" s="18">
        <f>C$15/B$15-1</f>
        <v>3.9495395299945724E-2</v>
      </c>
      <c r="D214" s="18">
        <f t="shared" ref="D214:AI214" si="9">D$15/C$15-1</f>
        <v>3.7888756625414466E-2</v>
      </c>
      <c r="E214" s="18">
        <f t="shared" si="9"/>
        <v>-1.6443056907667675E-2</v>
      </c>
      <c r="F214" s="18">
        <f t="shared" si="9"/>
        <v>2.3908695919859779E-2</v>
      </c>
      <c r="G214" s="18">
        <f t="shared" si="9"/>
        <v>-2.4955461422689784E-2</v>
      </c>
      <c r="H214" s="18">
        <f t="shared" si="9"/>
        <v>-2.4490908290421554E-2</v>
      </c>
      <c r="I214" s="18">
        <f t="shared" si="9"/>
        <v>-1.443467759534911E-2</v>
      </c>
      <c r="J214" s="18">
        <f t="shared" si="9"/>
        <v>-2.9580881253180369E-2</v>
      </c>
      <c r="K214" s="18">
        <f t="shared" si="9"/>
        <v>7.725464395630155E-3</v>
      </c>
      <c r="L214" s="18">
        <f t="shared" si="9"/>
        <v>7.1551444780761919E-3</v>
      </c>
      <c r="M214" s="18">
        <f t="shared" si="9"/>
        <v>1.4499914729749985E-2</v>
      </c>
      <c r="N214" s="18">
        <f t="shared" si="9"/>
        <v>-1.6272985462368217E-2</v>
      </c>
      <c r="O214" s="18">
        <f t="shared" si="9"/>
        <v>-9.8463746440722311E-3</v>
      </c>
      <c r="P214" s="18">
        <f t="shared" si="9"/>
        <v>1.2674762237631088E-2</v>
      </c>
      <c r="Q214" s="18">
        <f t="shared" si="9"/>
        <v>1.1012932581376145E-2</v>
      </c>
      <c r="R214" s="18">
        <f t="shared" si="9"/>
        <v>1.8277399473782152E-2</v>
      </c>
      <c r="S214" s="18">
        <f t="shared" si="9"/>
        <v>-2.3680775722743408E-2</v>
      </c>
      <c r="T214" s="18">
        <f t="shared" si="9"/>
        <v>1.5045202720478379E-2</v>
      </c>
      <c r="U214" s="18">
        <f t="shared" si="9"/>
        <v>4.1194219112143937E-3</v>
      </c>
      <c r="V214" s="18">
        <f t="shared" si="9"/>
        <v>1.0602408564291288E-2</v>
      </c>
      <c r="W214" s="18">
        <f t="shared" si="9"/>
        <v>1.111724531687952E-2</v>
      </c>
      <c r="X214" s="18">
        <f t="shared" si="9"/>
        <v>1.0498126347230796E-2</v>
      </c>
      <c r="Y214" s="18">
        <f t="shared" si="9"/>
        <v>8.7240419561445126E-3</v>
      </c>
      <c r="Z214" s="18">
        <f t="shared" si="9"/>
        <v>1.2384860668459563E-3</v>
      </c>
      <c r="AA214" s="18">
        <f t="shared" si="9"/>
        <v>9.9811162977947454E-4</v>
      </c>
      <c r="AB214" s="18">
        <f t="shared" si="9"/>
        <v>1.3663242411992016E-3</v>
      </c>
      <c r="AC214" s="18">
        <f t="shared" si="9"/>
        <v>1.4296726008791172E-3</v>
      </c>
      <c r="AD214" s="18">
        <f t="shared" si="9"/>
        <v>2.0988674044273292E-3</v>
      </c>
      <c r="AE214" s="18">
        <f t="shared" si="9"/>
        <v>2.7643013516911452E-3</v>
      </c>
      <c r="AF214" s="18">
        <f t="shared" si="9"/>
        <v>3.4246645119384578E-3</v>
      </c>
      <c r="AG214" s="18">
        <f t="shared" si="9"/>
        <v>3.778119461920193E-3</v>
      </c>
      <c r="AH214" s="18">
        <f t="shared" si="9"/>
        <v>4.1276678880399764E-3</v>
      </c>
      <c r="AI214" s="18">
        <f t="shared" si="9"/>
        <v>4.1747755688938959E-3</v>
      </c>
    </row>
    <row r="215" spans="1:35" x14ac:dyDescent="0.25">
      <c r="A215" s="11" t="s">
        <v>1290</v>
      </c>
      <c r="B215" s="11"/>
      <c r="C215" s="18">
        <f>C$16/B$16-1</f>
        <v>2.4649738079042249E-2</v>
      </c>
      <c r="D215" s="18">
        <f t="shared" ref="D215:AI215" si="10">D$16/C$16-1</f>
        <v>4.4185933649147247E-2</v>
      </c>
      <c r="E215" s="18">
        <f t="shared" si="10"/>
        <v>3.8676380666111454E-2</v>
      </c>
      <c r="F215" s="18">
        <f t="shared" si="10"/>
        <v>-1.2288719812160842E-2</v>
      </c>
      <c r="G215" s="18">
        <f t="shared" si="10"/>
        <v>2.2551441235048486E-2</v>
      </c>
      <c r="H215" s="18">
        <f t="shared" si="10"/>
        <v>-2.479808177259557E-2</v>
      </c>
      <c r="I215" s="18">
        <f t="shared" si="10"/>
        <v>-1.99005925881095E-2</v>
      </c>
      <c r="J215" s="18">
        <f t="shared" si="10"/>
        <v>-1.0831492825953526E-2</v>
      </c>
      <c r="K215" s="18">
        <f t="shared" si="10"/>
        <v>-2.5422035208448213E-2</v>
      </c>
      <c r="L215" s="18">
        <f t="shared" si="10"/>
        <v>5.7137355041623206E-3</v>
      </c>
      <c r="M215" s="18">
        <f t="shared" si="10"/>
        <v>-3.4315132576844265E-3</v>
      </c>
      <c r="N215" s="18">
        <f t="shared" si="10"/>
        <v>1.8944058521310536E-2</v>
      </c>
      <c r="O215" s="18">
        <f t="shared" si="10"/>
        <v>-2.2186020393690886E-2</v>
      </c>
      <c r="P215" s="18">
        <f t="shared" si="10"/>
        <v>2.6101494424537464E-3</v>
      </c>
      <c r="Q215" s="18">
        <f t="shared" si="10"/>
        <v>-9.2152682295232324E-4</v>
      </c>
      <c r="R215" s="18">
        <f t="shared" si="10"/>
        <v>1.3702191984703127E-2</v>
      </c>
      <c r="S215" s="18">
        <f t="shared" si="10"/>
        <v>3.1950807276529991E-2</v>
      </c>
      <c r="T215" s="18">
        <f t="shared" si="10"/>
        <v>-2.2810214062972678E-2</v>
      </c>
      <c r="U215" s="18">
        <f t="shared" si="10"/>
        <v>5.1622840366829514E-3</v>
      </c>
      <c r="V215" s="18">
        <f t="shared" si="10"/>
        <v>1.0602636748380467E-2</v>
      </c>
      <c r="W215" s="18">
        <f t="shared" si="10"/>
        <v>1.1819344343238614E-2</v>
      </c>
      <c r="X215" s="18">
        <f t="shared" si="10"/>
        <v>1.0849769541905196E-2</v>
      </c>
      <c r="Y215" s="18">
        <f t="shared" si="10"/>
        <v>9.0762288559855797E-3</v>
      </c>
      <c r="Z215" s="18">
        <f t="shared" si="10"/>
        <v>1.235905754270572E-3</v>
      </c>
      <c r="AA215" s="18">
        <f t="shared" si="10"/>
        <v>9.9603469004905243E-4</v>
      </c>
      <c r="AB215" s="18">
        <f t="shared" si="10"/>
        <v>7.569352696039644E-4</v>
      </c>
      <c r="AC215" s="18">
        <f t="shared" si="10"/>
        <v>1.12452441354427E-3</v>
      </c>
      <c r="AD215" s="18">
        <f t="shared" si="10"/>
        <v>1.4910093986588713E-3</v>
      </c>
      <c r="AE215" s="18">
        <f t="shared" si="10"/>
        <v>1.855990219642667E-3</v>
      </c>
      <c r="AF215" s="18">
        <f t="shared" si="10"/>
        <v>2.5207662043740253E-3</v>
      </c>
      <c r="AG215" s="18">
        <f t="shared" si="10"/>
        <v>2.8800266924817741E-3</v>
      </c>
      <c r="AH215" s="18">
        <f t="shared" si="10"/>
        <v>3.5363759615600898E-3</v>
      </c>
      <c r="AI215" s="18">
        <f t="shared" si="10"/>
        <v>3.887178300236549E-3</v>
      </c>
    </row>
    <row r="216" spans="1:35" x14ac:dyDescent="0.25">
      <c r="A216" s="11" t="s">
        <v>1291</v>
      </c>
      <c r="B216" s="11"/>
      <c r="C216" s="18">
        <f>C$17/B$17-1</f>
        <v>-8.7165727820656125E-3</v>
      </c>
      <c r="D216" s="18">
        <f t="shared" ref="D216:AI216" si="11">D$17/C$17-1</f>
        <v>2.7905913245038549E-2</v>
      </c>
      <c r="E216" s="18">
        <f t="shared" si="11"/>
        <v>4.7248420220396881E-2</v>
      </c>
      <c r="F216" s="18">
        <f t="shared" si="11"/>
        <v>3.8940999562773415E-2</v>
      </c>
      <c r="G216" s="18">
        <f t="shared" si="11"/>
        <v>-1.6470059083290689E-2</v>
      </c>
      <c r="H216" s="18">
        <f t="shared" si="11"/>
        <v>1.8873051425682519E-2</v>
      </c>
      <c r="I216" s="18">
        <f t="shared" si="11"/>
        <v>-2.0698376905181726E-2</v>
      </c>
      <c r="J216" s="18">
        <f t="shared" si="11"/>
        <v>-1.0199352433368336E-2</v>
      </c>
      <c r="K216" s="18">
        <f t="shared" si="11"/>
        <v>-5.5185128902042191E-3</v>
      </c>
      <c r="L216" s="18">
        <f t="shared" si="11"/>
        <v>-2.9995103293344427E-2</v>
      </c>
      <c r="M216" s="18">
        <f t="shared" si="11"/>
        <v>5.7566354760403282E-3</v>
      </c>
      <c r="N216" s="18">
        <f t="shared" si="11"/>
        <v>-1.0082559264394941E-3</v>
      </c>
      <c r="O216" s="18">
        <f t="shared" si="11"/>
        <v>1.2460138001717747E-2</v>
      </c>
      <c r="P216" s="18">
        <f t="shared" si="11"/>
        <v>-8.3570104221526442E-3</v>
      </c>
      <c r="Q216" s="18">
        <f t="shared" si="11"/>
        <v>-1.9137612625563571E-2</v>
      </c>
      <c r="R216" s="18">
        <f t="shared" si="11"/>
        <v>5.4789189799702154E-3</v>
      </c>
      <c r="S216" s="18">
        <f t="shared" si="11"/>
        <v>2.4725692327965509E-2</v>
      </c>
      <c r="T216" s="18">
        <f t="shared" si="11"/>
        <v>3.3054621102460047E-2</v>
      </c>
      <c r="U216" s="18">
        <f t="shared" si="11"/>
        <v>-3.2310490129098257E-2</v>
      </c>
      <c r="V216" s="18">
        <f t="shared" si="11"/>
        <v>1.2002833753762099E-2</v>
      </c>
      <c r="W216" s="18">
        <f t="shared" si="11"/>
        <v>1.1816897590300579E-2</v>
      </c>
      <c r="X216" s="18">
        <f t="shared" si="11"/>
        <v>1.1549551717941586E-2</v>
      </c>
      <c r="Y216" s="18">
        <f t="shared" si="11"/>
        <v>9.4282259775344546E-3</v>
      </c>
      <c r="Z216" s="18">
        <f t="shared" si="11"/>
        <v>1.5318784017206433E-3</v>
      </c>
      <c r="AA216" s="18">
        <f t="shared" si="11"/>
        <v>9.9058080044511776E-4</v>
      </c>
      <c r="AB216" s="18">
        <f t="shared" si="11"/>
        <v>7.5279469485378669E-4</v>
      </c>
      <c r="AC216" s="18">
        <f t="shared" si="11"/>
        <v>5.1560072704703863E-4</v>
      </c>
      <c r="AD216" s="18">
        <f t="shared" si="11"/>
        <v>8.8129559509186883E-4</v>
      </c>
      <c r="AE216" s="18">
        <f t="shared" si="11"/>
        <v>1.2461579367470943E-3</v>
      </c>
      <c r="AF216" s="18">
        <f t="shared" si="11"/>
        <v>1.6097902235809869E-3</v>
      </c>
      <c r="AG216" s="18">
        <f t="shared" si="11"/>
        <v>2.271909524470761E-3</v>
      </c>
      <c r="AH216" s="18">
        <f t="shared" si="11"/>
        <v>2.6305295394071226E-3</v>
      </c>
      <c r="AI216" s="18">
        <f t="shared" si="11"/>
        <v>3.5837321992115978E-3</v>
      </c>
    </row>
    <row r="217" spans="1:35" x14ac:dyDescent="0.25">
      <c r="A217" s="11" t="s">
        <v>1292</v>
      </c>
      <c r="B217" s="11"/>
      <c r="C217" s="18">
        <f>C$18/B$18-1</f>
        <v>2.8686337342805013E-2</v>
      </c>
      <c r="D217" s="18">
        <f t="shared" ref="D217:AI217" si="12">D$18/C$18-1</f>
        <v>-5.5281777872485671E-3</v>
      </c>
      <c r="E217" s="18">
        <f t="shared" si="12"/>
        <v>2.9670784121455407E-2</v>
      </c>
      <c r="F217" s="18">
        <f t="shared" si="12"/>
        <v>4.9286613104806198E-2</v>
      </c>
      <c r="G217" s="18">
        <f t="shared" si="12"/>
        <v>3.516307875411262E-2</v>
      </c>
      <c r="H217" s="18">
        <f t="shared" si="12"/>
        <v>-1.8539745370515504E-2</v>
      </c>
      <c r="I217" s="18">
        <f t="shared" si="12"/>
        <v>2.3929459441316636E-2</v>
      </c>
      <c r="J217" s="18">
        <f t="shared" si="12"/>
        <v>-1.499438752012916E-2</v>
      </c>
      <c r="K217" s="18">
        <f t="shared" si="12"/>
        <v>-6.660978169063636E-3</v>
      </c>
      <c r="L217" s="18">
        <f t="shared" si="12"/>
        <v>-1.3066032840634012E-3</v>
      </c>
      <c r="M217" s="18">
        <f t="shared" si="12"/>
        <v>-3.5911529875794601E-2</v>
      </c>
      <c r="N217" s="18">
        <f t="shared" si="12"/>
        <v>1.3161839734178393E-2</v>
      </c>
      <c r="O217" s="18">
        <f t="shared" si="12"/>
        <v>-8.4054118826989432E-3</v>
      </c>
      <c r="P217" s="18">
        <f t="shared" si="12"/>
        <v>2.6167741348287477E-2</v>
      </c>
      <c r="Q217" s="18">
        <f t="shared" si="12"/>
        <v>-3.2057043302505583E-2</v>
      </c>
      <c r="R217" s="18">
        <f t="shared" si="12"/>
        <v>-1.0049327073697323E-2</v>
      </c>
      <c r="S217" s="18">
        <f t="shared" si="12"/>
        <v>1.378823819213415E-2</v>
      </c>
      <c r="T217" s="18">
        <f t="shared" si="12"/>
        <v>2.5882859127779989E-2</v>
      </c>
      <c r="U217" s="18">
        <f t="shared" si="12"/>
        <v>2.3404836944922458E-2</v>
      </c>
      <c r="V217" s="18">
        <f t="shared" si="12"/>
        <v>-2.595697110329942E-2</v>
      </c>
      <c r="W217" s="18">
        <f t="shared" si="12"/>
        <v>1.2859925224867341E-2</v>
      </c>
      <c r="X217" s="18">
        <f t="shared" si="12"/>
        <v>1.1895417328161795E-2</v>
      </c>
      <c r="Y217" s="18">
        <f t="shared" si="12"/>
        <v>9.7768359511367642E-3</v>
      </c>
      <c r="Z217" s="18">
        <f t="shared" si="12"/>
        <v>2.1256175399226862E-3</v>
      </c>
      <c r="AA217" s="18">
        <f t="shared" si="12"/>
        <v>1.285070422762935E-3</v>
      </c>
      <c r="AB217" s="18">
        <f t="shared" si="12"/>
        <v>7.4825026114444526E-4</v>
      </c>
      <c r="AC217" s="18">
        <f t="shared" si="12"/>
        <v>5.1249050135560026E-4</v>
      </c>
      <c r="AD217" s="18">
        <f t="shared" si="12"/>
        <v>2.7714816560187039E-4</v>
      </c>
      <c r="AE217" s="18">
        <f t="shared" si="12"/>
        <v>6.4072473498999472E-4</v>
      </c>
      <c r="AF217" s="18">
        <f t="shared" si="12"/>
        <v>7.0459261973399023E-4</v>
      </c>
      <c r="AG217" s="18">
        <f t="shared" si="12"/>
        <v>1.3661928736627971E-3</v>
      </c>
      <c r="AH217" s="18">
        <f t="shared" si="12"/>
        <v>2.0255219751141862E-3</v>
      </c>
      <c r="AI217" s="18">
        <f t="shared" si="12"/>
        <v>2.6812840133465521E-3</v>
      </c>
    </row>
    <row r="218" spans="1:35" x14ac:dyDescent="0.25">
      <c r="A218" s="11" t="s">
        <v>1293</v>
      </c>
      <c r="B218" s="11"/>
      <c r="C218" s="18">
        <f>C$19/B$19-1</f>
        <v>-3.717540011717535E-3</v>
      </c>
      <c r="D218" s="18">
        <f t="shared" ref="D218:AI218" si="13">D$19/C$19-1</f>
        <v>3.145963477370084E-2</v>
      </c>
      <c r="E218" s="18">
        <f t="shared" si="13"/>
        <v>-3.7754398641740572E-3</v>
      </c>
      <c r="F218" s="18">
        <f t="shared" si="13"/>
        <v>3.1664087577647493E-2</v>
      </c>
      <c r="G218" s="18">
        <f t="shared" si="13"/>
        <v>4.3848386909569603E-2</v>
      </c>
      <c r="H218" s="18">
        <f t="shared" si="13"/>
        <v>3.0760419156182106E-2</v>
      </c>
      <c r="I218" s="18">
        <f t="shared" si="13"/>
        <v>-1.6318129759495204E-2</v>
      </c>
      <c r="J218" s="18">
        <f t="shared" si="13"/>
        <v>3.3821124198327279E-2</v>
      </c>
      <c r="K218" s="18">
        <f t="shared" si="13"/>
        <v>-1.0260054400969332E-2</v>
      </c>
      <c r="L218" s="18">
        <f t="shared" si="13"/>
        <v>-7.4330485851431538E-3</v>
      </c>
      <c r="M218" s="18">
        <f t="shared" si="13"/>
        <v>-5.0242355025057472E-3</v>
      </c>
      <c r="N218" s="18">
        <f t="shared" si="13"/>
        <v>-2.9385038843958267E-2</v>
      </c>
      <c r="O218" s="18">
        <f t="shared" si="13"/>
        <v>7.4436661302288432E-3</v>
      </c>
      <c r="P218" s="18">
        <f t="shared" si="13"/>
        <v>5.0398972270033759E-3</v>
      </c>
      <c r="Q218" s="18">
        <f t="shared" si="13"/>
        <v>1.7343208024582779E-3</v>
      </c>
      <c r="R218" s="18">
        <f t="shared" si="13"/>
        <v>-2.4332057954022157E-2</v>
      </c>
      <c r="S218" s="18">
        <f t="shared" si="13"/>
        <v>5.35946389407016E-4</v>
      </c>
      <c r="T218" s="18">
        <f t="shared" si="13"/>
        <v>1.4938666244929344E-2</v>
      </c>
      <c r="U218" s="18">
        <f t="shared" si="13"/>
        <v>1.6284633294522788E-2</v>
      </c>
      <c r="V218" s="18">
        <f t="shared" si="13"/>
        <v>2.9662077711737789E-2</v>
      </c>
      <c r="W218" s="18">
        <f t="shared" si="13"/>
        <v>-2.4623815783158309E-2</v>
      </c>
      <c r="X218" s="18">
        <f t="shared" si="13"/>
        <v>1.2931234675500614E-2</v>
      </c>
      <c r="Y218" s="18">
        <f t="shared" si="13"/>
        <v>1.0121983172885596E-2</v>
      </c>
      <c r="Z218" s="18">
        <f t="shared" si="13"/>
        <v>2.4131665033668703E-3</v>
      </c>
      <c r="AA218" s="18">
        <f t="shared" si="13"/>
        <v>1.874581756029059E-3</v>
      </c>
      <c r="AB218" s="18">
        <f t="shared" si="13"/>
        <v>1.0414014958823881E-3</v>
      </c>
      <c r="AC218" s="18">
        <f t="shared" si="13"/>
        <v>5.0909279451527567E-4</v>
      </c>
      <c r="AD218" s="18">
        <f t="shared" si="13"/>
        <v>-2.2121256246676602E-5</v>
      </c>
      <c r="AE218" s="18">
        <f t="shared" si="13"/>
        <v>3.3923000480662324E-4</v>
      </c>
      <c r="AF218" s="18">
        <f t="shared" si="13"/>
        <v>4.030055425716661E-4</v>
      </c>
      <c r="AG218" s="18">
        <f t="shared" si="13"/>
        <v>4.6670803238413328E-4</v>
      </c>
      <c r="AH218" s="18">
        <f t="shared" si="13"/>
        <v>1.1244857717855883E-3</v>
      </c>
      <c r="AI218" s="18">
        <f t="shared" si="13"/>
        <v>1.7804791025473055E-3</v>
      </c>
    </row>
    <row r="219" spans="1:35" x14ac:dyDescent="0.25">
      <c r="A219" s="11" t="s">
        <v>1294</v>
      </c>
      <c r="B219" s="11"/>
      <c r="C219" s="18">
        <f>C$20/B$20-1</f>
        <v>-3.1123741096129809E-2</v>
      </c>
      <c r="D219" s="18">
        <f t="shared" ref="D219:AI219" si="14">D$20/C$20-1</f>
        <v>-9.5702235945260838E-4</v>
      </c>
      <c r="E219" s="18">
        <f t="shared" si="14"/>
        <v>2.9453809028350486E-2</v>
      </c>
      <c r="F219" s="18">
        <f t="shared" si="14"/>
        <v>-1.3613549250364176E-3</v>
      </c>
      <c r="G219" s="18">
        <f t="shared" si="14"/>
        <v>2.7571307163887004E-2</v>
      </c>
      <c r="H219" s="18">
        <f t="shared" si="14"/>
        <v>3.8181617972879556E-2</v>
      </c>
      <c r="I219" s="18">
        <f t="shared" si="14"/>
        <v>3.4970128680591017E-2</v>
      </c>
      <c r="J219" s="18">
        <f t="shared" si="14"/>
        <v>-8.6761573931145586E-3</v>
      </c>
      <c r="K219" s="18">
        <f t="shared" si="14"/>
        <v>3.6460862521264348E-2</v>
      </c>
      <c r="L219" s="18">
        <f t="shared" si="14"/>
        <v>-1.2355382714238416E-2</v>
      </c>
      <c r="M219" s="18">
        <f t="shared" si="14"/>
        <v>-8.5517552261396013E-3</v>
      </c>
      <c r="N219" s="18">
        <f t="shared" si="14"/>
        <v>1.5377568013679177E-3</v>
      </c>
      <c r="O219" s="18">
        <f t="shared" si="14"/>
        <v>-3.4519569867557776E-2</v>
      </c>
      <c r="P219" s="18">
        <f t="shared" si="14"/>
        <v>1.9506289032647617E-2</v>
      </c>
      <c r="Q219" s="18">
        <f t="shared" si="14"/>
        <v>-1.8901762500915353E-2</v>
      </c>
      <c r="R219" s="18">
        <f t="shared" si="14"/>
        <v>1.0541774358667322E-2</v>
      </c>
      <c r="S219" s="18">
        <f t="shared" si="14"/>
        <v>-2.4357126963830966E-3</v>
      </c>
      <c r="T219" s="18">
        <f t="shared" si="14"/>
        <v>-2.6308540549911941E-3</v>
      </c>
      <c r="U219" s="18">
        <f t="shared" si="14"/>
        <v>5.8312450297171026E-4</v>
      </c>
      <c r="V219" s="18">
        <f t="shared" si="14"/>
        <v>2.2218431963972884E-2</v>
      </c>
      <c r="W219" s="18">
        <f t="shared" si="14"/>
        <v>3.1210383046859524E-2</v>
      </c>
      <c r="X219" s="18">
        <f t="shared" si="14"/>
        <v>-2.4595573003741711E-2</v>
      </c>
      <c r="Y219" s="18">
        <f t="shared" si="14"/>
        <v>1.1160296083224663E-2</v>
      </c>
      <c r="Z219" s="18">
        <f t="shared" si="14"/>
        <v>3.8480127553275345E-3</v>
      </c>
      <c r="AA219" s="18">
        <f t="shared" si="14"/>
        <v>2.8808146636276621E-3</v>
      </c>
      <c r="AB219" s="18">
        <f t="shared" si="14"/>
        <v>2.5134719837269781E-3</v>
      </c>
      <c r="AC219" s="18">
        <f t="shared" si="14"/>
        <v>1.5598396644156409E-3</v>
      </c>
      <c r="AD219" s="18">
        <f t="shared" si="14"/>
        <v>9.0567805180863381E-4</v>
      </c>
      <c r="AE219" s="18">
        <f t="shared" si="14"/>
        <v>5.4757275739358846E-4</v>
      </c>
      <c r="AF219" s="18">
        <f t="shared" si="14"/>
        <v>1.9018283455984886E-4</v>
      </c>
      <c r="AG219" s="18">
        <f t="shared" si="14"/>
        <v>4.2040457545389209E-4</v>
      </c>
      <c r="AH219" s="18">
        <f t="shared" si="14"/>
        <v>3.5687232072190156E-4</v>
      </c>
      <c r="AI219" s="18">
        <f t="shared" si="14"/>
        <v>1.1736480843873576E-3</v>
      </c>
    </row>
    <row r="220" spans="1:35" x14ac:dyDescent="0.25">
      <c r="A220" s="11" t="s">
        <v>1295</v>
      </c>
      <c r="B220" s="11"/>
      <c r="C220" s="18">
        <f>C$21/B$21-1</f>
        <v>-1.5866417020031554E-2</v>
      </c>
      <c r="D220" s="18">
        <f t="shared" ref="D220:AI220" si="15">D$21/C$21-1</f>
        <v>-2.6077536087952158E-2</v>
      </c>
      <c r="E220" s="18">
        <f t="shared" si="15"/>
        <v>-2.7666236849197556E-3</v>
      </c>
      <c r="F220" s="18">
        <f t="shared" si="15"/>
        <v>2.9951052650061039E-2</v>
      </c>
      <c r="G220" s="18">
        <f t="shared" si="15"/>
        <v>-7.3733838208158708E-3</v>
      </c>
      <c r="H220" s="18">
        <f t="shared" si="15"/>
        <v>2.2891099043253815E-2</v>
      </c>
      <c r="I220" s="18">
        <f t="shared" si="15"/>
        <v>4.2578331342508102E-2</v>
      </c>
      <c r="J220" s="18">
        <f t="shared" si="15"/>
        <v>4.1668503367445986E-2</v>
      </c>
      <c r="K220" s="18">
        <f t="shared" si="15"/>
        <v>-6.8413649508923813E-3</v>
      </c>
      <c r="L220" s="18">
        <f t="shared" si="15"/>
        <v>3.3907872810714945E-2</v>
      </c>
      <c r="M220" s="18">
        <f t="shared" si="15"/>
        <v>-1.5676462661605717E-2</v>
      </c>
      <c r="N220" s="18">
        <f t="shared" si="15"/>
        <v>1.5088886255569811E-3</v>
      </c>
      <c r="O220" s="18">
        <f t="shared" si="15"/>
        <v>-4.5473256330228473E-3</v>
      </c>
      <c r="P220" s="18">
        <f t="shared" si="15"/>
        <v>-2.0482142450662044E-2</v>
      </c>
      <c r="Q220" s="18">
        <f t="shared" si="15"/>
        <v>-5.1316837858393916E-3</v>
      </c>
      <c r="R220" s="18">
        <f t="shared" si="15"/>
        <v>-1.0519901639599483E-2</v>
      </c>
      <c r="S220" s="18">
        <f t="shared" si="15"/>
        <v>3.2975205037287791E-2</v>
      </c>
      <c r="T220" s="18">
        <f t="shared" si="15"/>
        <v>-1.5974599948734403E-2</v>
      </c>
      <c r="U220" s="18">
        <f t="shared" si="15"/>
        <v>-1.2185782294814596E-2</v>
      </c>
      <c r="V220" s="18">
        <f t="shared" si="15"/>
        <v>1.1272386716070448E-2</v>
      </c>
      <c r="W220" s="18">
        <f t="shared" si="15"/>
        <v>2.3859632036705491E-2</v>
      </c>
      <c r="X220" s="18">
        <f t="shared" si="15"/>
        <v>3.0760273174596398E-2</v>
      </c>
      <c r="Y220" s="18">
        <f t="shared" si="15"/>
        <v>-2.6158723498340919E-2</v>
      </c>
      <c r="Z220" s="18">
        <f t="shared" si="15"/>
        <v>4.7255051118244573E-3</v>
      </c>
      <c r="AA220" s="18">
        <f t="shared" si="15"/>
        <v>3.4595516367688095E-3</v>
      </c>
      <c r="AB220" s="18">
        <f t="shared" si="15"/>
        <v>2.5021795323250107E-3</v>
      </c>
      <c r="AC220" s="18">
        <f t="shared" si="15"/>
        <v>2.1393722200402365E-3</v>
      </c>
      <c r="AD220" s="18">
        <f t="shared" si="15"/>
        <v>1.1937332786637889E-3</v>
      </c>
      <c r="AE220" s="18">
        <f t="shared" si="15"/>
        <v>5.4464679319887743E-4</v>
      </c>
      <c r="AF220" s="18">
        <f t="shared" si="15"/>
        <v>1.8916714259331613E-4</v>
      </c>
      <c r="AG220" s="18">
        <f t="shared" si="15"/>
        <v>-1.6598463052053258E-4</v>
      </c>
      <c r="AH220" s="18">
        <f t="shared" si="15"/>
        <v>6.3054254421546219E-5</v>
      </c>
      <c r="AI220" s="18">
        <f t="shared" si="15"/>
        <v>0</v>
      </c>
    </row>
    <row r="221" spans="1:35" x14ac:dyDescent="0.25">
      <c r="A221" s="11" t="s">
        <v>1296</v>
      </c>
      <c r="B221" s="11"/>
      <c r="C221" s="18">
        <f>C$22/B$22-1</f>
        <v>3.6029982152580464E-2</v>
      </c>
      <c r="D221" s="18">
        <f t="shared" ref="D221:AI221" si="16">D$22/C$22-1</f>
        <v>-1.3233805740437421E-2</v>
      </c>
      <c r="E221" s="18">
        <f t="shared" si="16"/>
        <v>-2.6320436927480428E-2</v>
      </c>
      <c r="F221" s="18">
        <f t="shared" si="16"/>
        <v>-3.1985661769776685E-3</v>
      </c>
      <c r="G221" s="18">
        <f t="shared" si="16"/>
        <v>2.8726470339944576E-2</v>
      </c>
      <c r="H221" s="18">
        <f t="shared" si="16"/>
        <v>-1.2703541011289676E-2</v>
      </c>
      <c r="I221" s="18">
        <f t="shared" si="16"/>
        <v>2.3657369638355075E-2</v>
      </c>
      <c r="J221" s="18">
        <f t="shared" si="16"/>
        <v>5.1340875393803387E-2</v>
      </c>
      <c r="K221" s="18">
        <f t="shared" si="16"/>
        <v>4.1726843807551095E-2</v>
      </c>
      <c r="L221" s="18">
        <f t="shared" si="16"/>
        <v>-9.6192868416110633E-3</v>
      </c>
      <c r="M221" s="18">
        <f t="shared" si="16"/>
        <v>2.9737042726031504E-2</v>
      </c>
      <c r="N221" s="18">
        <f t="shared" si="16"/>
        <v>-7.8188596976259683E-3</v>
      </c>
      <c r="O221" s="18">
        <f t="shared" si="16"/>
        <v>-2.3901168107152149E-3</v>
      </c>
      <c r="P221" s="18">
        <f t="shared" si="16"/>
        <v>1.0992880291918583E-2</v>
      </c>
      <c r="Q221" s="18">
        <f t="shared" si="16"/>
        <v>-4.233559409869625E-2</v>
      </c>
      <c r="R221" s="18">
        <f t="shared" si="16"/>
        <v>2.03285916313245E-3</v>
      </c>
      <c r="S221" s="18">
        <f t="shared" si="16"/>
        <v>1.2298730577140482E-2</v>
      </c>
      <c r="T221" s="18">
        <f t="shared" si="16"/>
        <v>1.9205937254209271E-2</v>
      </c>
      <c r="U221" s="18">
        <f t="shared" si="16"/>
        <v>-2.52979978616511E-2</v>
      </c>
      <c r="V221" s="18">
        <f t="shared" si="16"/>
        <v>-2.142185816201958E-3</v>
      </c>
      <c r="W221" s="18">
        <f t="shared" si="16"/>
        <v>1.260660671465863E-2</v>
      </c>
      <c r="X221" s="18">
        <f t="shared" si="16"/>
        <v>2.3448955649930658E-2</v>
      </c>
      <c r="Y221" s="18">
        <f t="shared" si="16"/>
        <v>2.9197301860592662E-2</v>
      </c>
      <c r="Z221" s="18">
        <f t="shared" si="16"/>
        <v>-2.7627106644314448E-2</v>
      </c>
      <c r="AA221" s="18">
        <f t="shared" si="16"/>
        <v>4.0183100134560945E-3</v>
      </c>
      <c r="AB221" s="18">
        <f t="shared" si="16"/>
        <v>3.0646047547717714E-3</v>
      </c>
      <c r="AC221" s="18">
        <f t="shared" si="16"/>
        <v>2.1204832451826583E-3</v>
      </c>
      <c r="AD221" s="18">
        <f t="shared" si="16"/>
        <v>1.7633302587161115E-3</v>
      </c>
      <c r="AE221" s="18">
        <f t="shared" si="16"/>
        <v>8.2908784684576631E-4</v>
      </c>
      <c r="AF221" s="18">
        <f t="shared" si="16"/>
        <v>1.8734060949854303E-4</v>
      </c>
      <c r="AG221" s="18">
        <f t="shared" si="16"/>
        <v>-1.6438224000958623E-4</v>
      </c>
      <c r="AH221" s="18">
        <f t="shared" si="16"/>
        <v>-5.1615484627731689E-4</v>
      </c>
      <c r="AI221" s="18">
        <f t="shared" si="16"/>
        <v>-2.8944954297815961E-4</v>
      </c>
    </row>
    <row r="222" spans="1:35" x14ac:dyDescent="0.25">
      <c r="A222" s="11" t="s">
        <v>1297</v>
      </c>
      <c r="B222" s="11"/>
      <c r="C222" s="18">
        <f>C$23/B$23-1</f>
        <v>-1.9440925742880477E-2</v>
      </c>
      <c r="D222" s="18">
        <f t="shared" ref="D222:AI222" si="17">D$23/C$23-1</f>
        <v>3.9829494252239916E-2</v>
      </c>
      <c r="E222" s="18">
        <f t="shared" si="17"/>
        <v>-1.2833301340572811E-2</v>
      </c>
      <c r="F222" s="18">
        <f t="shared" si="17"/>
        <v>-2.6909794486620231E-2</v>
      </c>
      <c r="G222" s="18">
        <f t="shared" si="17"/>
        <v>-5.7316810656854456E-3</v>
      </c>
      <c r="H222" s="18">
        <f t="shared" si="17"/>
        <v>2.2108775337174258E-2</v>
      </c>
      <c r="I222" s="18">
        <f t="shared" si="17"/>
        <v>-9.6386008682505242E-3</v>
      </c>
      <c r="J222" s="18">
        <f t="shared" si="17"/>
        <v>3.1387578728965249E-2</v>
      </c>
      <c r="K222" s="18">
        <f t="shared" si="17"/>
        <v>5.2056852849292845E-2</v>
      </c>
      <c r="L222" s="18">
        <f t="shared" si="17"/>
        <v>3.8513219853626879E-2</v>
      </c>
      <c r="M222" s="18">
        <f t="shared" si="17"/>
        <v>-1.3892355989635674E-2</v>
      </c>
      <c r="N222" s="18">
        <f t="shared" si="17"/>
        <v>3.4647281146931608E-2</v>
      </c>
      <c r="O222" s="18">
        <f t="shared" si="17"/>
        <v>-7.6431049320742073E-3</v>
      </c>
      <c r="P222" s="18">
        <f t="shared" si="17"/>
        <v>1.0944371371967243E-2</v>
      </c>
      <c r="Q222" s="18">
        <f t="shared" si="17"/>
        <v>-1.0990471336097318E-2</v>
      </c>
      <c r="R222" s="18">
        <f t="shared" si="17"/>
        <v>-3.5274484071329493E-2</v>
      </c>
      <c r="S222" s="18">
        <f t="shared" si="17"/>
        <v>2.4386525385549751E-2</v>
      </c>
      <c r="T222" s="18">
        <f t="shared" si="17"/>
        <v>-8.3689344237314334E-4</v>
      </c>
      <c r="U222" s="18">
        <f t="shared" si="17"/>
        <v>9.5844144272405618E-3</v>
      </c>
      <c r="V222" s="18">
        <f t="shared" si="17"/>
        <v>-1.6068317978807034E-2</v>
      </c>
      <c r="W222" s="18">
        <f t="shared" si="17"/>
        <v>-4.5388142932012432E-4</v>
      </c>
      <c r="X222" s="18">
        <f t="shared" si="17"/>
        <v>1.2251345485846166E-2</v>
      </c>
      <c r="Y222" s="18">
        <f t="shared" si="17"/>
        <v>2.1931147177338239E-2</v>
      </c>
      <c r="Z222" s="18">
        <f t="shared" si="17"/>
        <v>1.9922344929044655E-2</v>
      </c>
      <c r="AA222" s="18">
        <f t="shared" si="17"/>
        <v>-2.7843285006282747E-2</v>
      </c>
      <c r="AB222" s="18">
        <f t="shared" si="17"/>
        <v>3.6461907537748139E-3</v>
      </c>
      <c r="AC222" s="18">
        <f t="shared" si="17"/>
        <v>2.6991220500374169E-3</v>
      </c>
      <c r="AD222" s="18">
        <f t="shared" si="17"/>
        <v>1.7605478209385961E-3</v>
      </c>
      <c r="AE222" s="18">
        <f t="shared" si="17"/>
        <v>1.4059629916698402E-3</v>
      </c>
      <c r="AF222" s="18">
        <f t="shared" si="17"/>
        <v>4.7562243574272856E-4</v>
      </c>
      <c r="AG222" s="18">
        <f t="shared" si="17"/>
        <v>-1.6398150000895839E-4</v>
      </c>
      <c r="AH222" s="18">
        <f t="shared" si="17"/>
        <v>-5.1489632943535479E-4</v>
      </c>
      <c r="AI222" s="18">
        <f t="shared" si="17"/>
        <v>-8.6623028331267449E-4</v>
      </c>
    </row>
    <row r="223" spans="1:35" x14ac:dyDescent="0.25">
      <c r="A223" s="11" t="s">
        <v>1298</v>
      </c>
      <c r="B223" s="11"/>
      <c r="C223" s="18">
        <f>C$24/B$24-1</f>
        <v>-1.0569167876653962E-3</v>
      </c>
      <c r="D223" s="18">
        <f t="shared" ref="D223:AI223" si="18">D$24/C$24-1</f>
        <v>-1.7505333856300043E-2</v>
      </c>
      <c r="E223" s="18">
        <f t="shared" si="18"/>
        <v>4.1343787569788626E-2</v>
      </c>
      <c r="F223" s="18">
        <f t="shared" si="18"/>
        <v>-1.174862595619941E-2</v>
      </c>
      <c r="G223" s="18">
        <f t="shared" si="18"/>
        <v>-3.055403287448355E-2</v>
      </c>
      <c r="H223" s="18">
        <f t="shared" si="18"/>
        <v>-1.147736637189456E-2</v>
      </c>
      <c r="I223" s="18">
        <f t="shared" si="18"/>
        <v>2.3560979033688367E-2</v>
      </c>
      <c r="J223" s="18">
        <f t="shared" si="18"/>
        <v>-1.0264580775298793E-3</v>
      </c>
      <c r="K223" s="18">
        <f t="shared" si="18"/>
        <v>3.2562925465499326E-2</v>
      </c>
      <c r="L223" s="18">
        <f t="shared" si="18"/>
        <v>4.8074942794050557E-2</v>
      </c>
      <c r="M223" s="18">
        <f t="shared" si="18"/>
        <v>3.4235847448085055E-2</v>
      </c>
      <c r="N223" s="18">
        <f t="shared" si="18"/>
        <v>-9.1505083859731995E-3</v>
      </c>
      <c r="O223" s="18">
        <f t="shared" si="18"/>
        <v>3.0320859878993245E-2</v>
      </c>
      <c r="P223" s="18">
        <f t="shared" si="18"/>
        <v>8.4335266250890051E-3</v>
      </c>
      <c r="Q223" s="18">
        <f t="shared" si="18"/>
        <v>-1.1559146613780658E-2</v>
      </c>
      <c r="R223" s="18">
        <f t="shared" si="18"/>
        <v>-3.4879276725385822E-3</v>
      </c>
      <c r="S223" s="18">
        <f t="shared" si="18"/>
        <v>-1.3100249948422293E-2</v>
      </c>
      <c r="T223" s="18">
        <f t="shared" si="18"/>
        <v>1.1367907772637853E-2</v>
      </c>
      <c r="U223" s="18">
        <f t="shared" si="18"/>
        <v>-1.082826659074132E-2</v>
      </c>
      <c r="V223" s="18">
        <f t="shared" si="18"/>
        <v>1.9108706075707138E-2</v>
      </c>
      <c r="W223" s="18">
        <f t="shared" si="18"/>
        <v>-1.4393258755702631E-2</v>
      </c>
      <c r="X223" s="18">
        <f t="shared" si="18"/>
        <v>-7.5161972637427521E-4</v>
      </c>
      <c r="Y223" s="18">
        <f t="shared" si="18"/>
        <v>1.0795341248989621E-2</v>
      </c>
      <c r="Z223" s="18">
        <f t="shared" si="18"/>
        <v>1.3677894233566024E-2</v>
      </c>
      <c r="AA223" s="18">
        <f t="shared" si="18"/>
        <v>1.9467591237019022E-2</v>
      </c>
      <c r="AB223" s="18">
        <f t="shared" si="18"/>
        <v>-2.8051334147667251E-2</v>
      </c>
      <c r="AC223" s="18">
        <f t="shared" si="18"/>
        <v>3.2766118088281004E-3</v>
      </c>
      <c r="AD223" s="18">
        <f t="shared" si="18"/>
        <v>2.3360668732217427E-3</v>
      </c>
      <c r="AE223" s="18">
        <f t="shared" si="18"/>
        <v>1.4029456842026278E-3</v>
      </c>
      <c r="AF223" s="18">
        <f t="shared" si="18"/>
        <v>1.0507351388238106E-3</v>
      </c>
      <c r="AG223" s="18">
        <f t="shared" si="18"/>
        <v>1.2422756595342754E-4</v>
      </c>
      <c r="AH223" s="18">
        <f t="shared" si="18"/>
        <v>-5.1334971443905975E-4</v>
      </c>
      <c r="AI223" s="18">
        <f t="shared" si="18"/>
        <v>-8.6362701587738844E-4</v>
      </c>
    </row>
    <row r="224" spans="1:35" x14ac:dyDescent="0.25">
      <c r="A224" s="11" t="s">
        <v>1299</v>
      </c>
      <c r="B224" s="11"/>
      <c r="C224" s="18">
        <f>C$25/B$25-1</f>
        <v>-1.4730907660369885E-2</v>
      </c>
      <c r="D224" s="18">
        <f t="shared" ref="D224:AI224" si="19">D$25/C$25-1</f>
        <v>3.9414983559522554E-3</v>
      </c>
      <c r="E224" s="18">
        <f t="shared" si="19"/>
        <v>-1.8106400422534974E-2</v>
      </c>
      <c r="F224" s="18">
        <f t="shared" si="19"/>
        <v>4.4621776518149137E-2</v>
      </c>
      <c r="G224" s="18">
        <f t="shared" si="19"/>
        <v>-1.3729450552445233E-2</v>
      </c>
      <c r="H224" s="18">
        <f t="shared" si="19"/>
        <v>-3.6278002943776033E-2</v>
      </c>
      <c r="I224" s="18">
        <f t="shared" si="19"/>
        <v>-8.3391271610085971E-3</v>
      </c>
      <c r="J224" s="18">
        <f t="shared" si="19"/>
        <v>2.6946132569946268E-2</v>
      </c>
      <c r="K224" s="18">
        <f t="shared" si="19"/>
        <v>2.7805625313845894E-3</v>
      </c>
      <c r="L224" s="18">
        <f t="shared" si="19"/>
        <v>2.9183280166320991E-2</v>
      </c>
      <c r="M224" s="18">
        <f t="shared" si="19"/>
        <v>4.298670352994538E-2</v>
      </c>
      <c r="N224" s="18">
        <f t="shared" si="19"/>
        <v>3.7079312991389113E-2</v>
      </c>
      <c r="O224" s="18">
        <f t="shared" si="19"/>
        <v>-1.229574811004408E-2</v>
      </c>
      <c r="P224" s="18">
        <f t="shared" si="19"/>
        <v>4.534485916466191E-2</v>
      </c>
      <c r="Q224" s="18">
        <f t="shared" si="19"/>
        <v>-1.2711874343113827E-2</v>
      </c>
      <c r="R224" s="18">
        <f t="shared" si="19"/>
        <v>-4.6608008416822999E-3</v>
      </c>
      <c r="S224" s="18">
        <f t="shared" si="19"/>
        <v>1.912237767818481E-2</v>
      </c>
      <c r="T224" s="18">
        <f t="shared" si="19"/>
        <v>-2.4523786796282754E-2</v>
      </c>
      <c r="U224" s="18">
        <f t="shared" si="19"/>
        <v>1.684997325835047E-3</v>
      </c>
      <c r="V224" s="18">
        <f t="shared" si="19"/>
        <v>-1.6058701501540096E-3</v>
      </c>
      <c r="W224" s="18">
        <f t="shared" si="19"/>
        <v>2.0699637719800767E-2</v>
      </c>
      <c r="X224" s="18">
        <f t="shared" si="19"/>
        <v>-1.4627227278884547E-2</v>
      </c>
      <c r="Y224" s="18">
        <f t="shared" si="19"/>
        <v>-2.1385009709313785E-3</v>
      </c>
      <c r="Z224" s="18">
        <f t="shared" si="19"/>
        <v>3.9671220138657315E-3</v>
      </c>
      <c r="AA224" s="18">
        <f t="shared" si="19"/>
        <v>1.3158632968986117E-2</v>
      </c>
      <c r="AB224" s="18">
        <f t="shared" si="19"/>
        <v>1.893342380776053E-2</v>
      </c>
      <c r="AC224" s="18">
        <f t="shared" si="19"/>
        <v>-2.8283558599172975E-2</v>
      </c>
      <c r="AD224" s="18">
        <f t="shared" si="19"/>
        <v>2.8614909913784459E-3</v>
      </c>
      <c r="AE224" s="18">
        <f t="shared" si="19"/>
        <v>1.9374722258620469E-3</v>
      </c>
      <c r="AF224" s="18">
        <f t="shared" si="19"/>
        <v>1.0196426982229667E-3</v>
      </c>
      <c r="AG224" s="18">
        <f t="shared" si="19"/>
        <v>6.7906939066952887E-4</v>
      </c>
      <c r="AH224" s="18">
        <f t="shared" si="19"/>
        <v>-2.3392365809782323E-4</v>
      </c>
      <c r="AI224" s="18">
        <f t="shared" si="19"/>
        <v>-8.6004309784626365E-4</v>
      </c>
    </row>
    <row r="225" spans="1:35" x14ac:dyDescent="0.25">
      <c r="A225" s="11" t="s">
        <v>1300</v>
      </c>
      <c r="B225" s="11"/>
      <c r="C225" s="18">
        <f>C$26/B$26-1</f>
        <v>-2.3806225926981672E-2</v>
      </c>
      <c r="D225" s="18">
        <f t="shared" ref="D225:AI225" si="20">D$26/C$26-1</f>
        <v>-8.008556979827941E-3</v>
      </c>
      <c r="E225" s="18">
        <f t="shared" si="20"/>
        <v>3.5510568963297295E-3</v>
      </c>
      <c r="F225" s="18">
        <f t="shared" si="20"/>
        <v>-1.7696871376230883E-2</v>
      </c>
      <c r="G225" s="18">
        <f t="shared" si="20"/>
        <v>4.2936285793654605E-2</v>
      </c>
      <c r="H225" s="18">
        <f t="shared" si="20"/>
        <v>-1.5454701784056279E-2</v>
      </c>
      <c r="I225" s="18">
        <f t="shared" si="20"/>
        <v>-3.4861423858373874E-2</v>
      </c>
      <c r="J225" s="18">
        <f t="shared" si="20"/>
        <v>-4.60259918634498E-3</v>
      </c>
      <c r="K225" s="18">
        <f t="shared" si="20"/>
        <v>2.8174571475577004E-2</v>
      </c>
      <c r="L225" s="18">
        <f t="shared" si="20"/>
        <v>8.3413750623284599E-4</v>
      </c>
      <c r="M225" s="18">
        <f t="shared" si="20"/>
        <v>2.341247912011335E-2</v>
      </c>
      <c r="N225" s="18">
        <f t="shared" si="20"/>
        <v>5.0368462340200537E-2</v>
      </c>
      <c r="O225" s="18">
        <f t="shared" si="20"/>
        <v>3.1378992561773122E-2</v>
      </c>
      <c r="P225" s="18">
        <f t="shared" si="20"/>
        <v>3.2018989902666828E-3</v>
      </c>
      <c r="Q225" s="18">
        <f t="shared" si="20"/>
        <v>2.2086966438521705E-2</v>
      </c>
      <c r="R225" s="18">
        <f t="shared" si="20"/>
        <v>-6.7008988717656148E-3</v>
      </c>
      <c r="S225" s="18">
        <f t="shared" si="20"/>
        <v>1.7754350195198665E-2</v>
      </c>
      <c r="T225" s="18">
        <f t="shared" si="20"/>
        <v>8.7484550194860677E-3</v>
      </c>
      <c r="U225" s="18">
        <f t="shared" si="20"/>
        <v>-3.4614056113736247E-2</v>
      </c>
      <c r="V225" s="18">
        <f t="shared" si="20"/>
        <v>1.0635749948558093E-2</v>
      </c>
      <c r="W225" s="18">
        <f t="shared" si="20"/>
        <v>-7.2589460353711388E-6</v>
      </c>
      <c r="X225" s="18">
        <f t="shared" si="20"/>
        <v>2.0325904726012478E-2</v>
      </c>
      <c r="Y225" s="18">
        <f t="shared" si="20"/>
        <v>-1.5936068831042816E-2</v>
      </c>
      <c r="Z225" s="18">
        <f t="shared" si="20"/>
        <v>-7.2482697589811851E-3</v>
      </c>
      <c r="AA225" s="18">
        <f t="shared" si="20"/>
        <v>3.592395812919813E-3</v>
      </c>
      <c r="AB225" s="18">
        <f t="shared" si="20"/>
        <v>1.2711914473066299E-2</v>
      </c>
      <c r="AC225" s="18">
        <f t="shared" si="20"/>
        <v>1.845233394330581E-2</v>
      </c>
      <c r="AD225" s="18">
        <f t="shared" si="20"/>
        <v>-2.8408844219109941E-2</v>
      </c>
      <c r="AE225" s="18">
        <f t="shared" si="20"/>
        <v>2.5021085174254942E-3</v>
      </c>
      <c r="AF225" s="18">
        <f t="shared" si="20"/>
        <v>1.5861777284547074E-3</v>
      </c>
      <c r="AG225" s="18">
        <f t="shared" si="20"/>
        <v>6.7542052405289432E-4</v>
      </c>
      <c r="AH225" s="18">
        <f t="shared" si="20"/>
        <v>3.3748231954144892E-4</v>
      </c>
      <c r="AI225" s="18">
        <f t="shared" si="20"/>
        <v>-5.6995752551258771E-4</v>
      </c>
    </row>
    <row r="226" spans="1:35" x14ac:dyDescent="0.25">
      <c r="A226" s="11" t="s">
        <v>1301</v>
      </c>
      <c r="B226" s="11"/>
      <c r="C226" s="18">
        <f>C$27/B$27-1</f>
        <v>-2.5796233404586921E-3</v>
      </c>
      <c r="D226" s="18">
        <f t="shared" ref="D226:AI226" si="21">D$27/C$27-1</f>
        <v>-1.8794616789170049E-2</v>
      </c>
      <c r="E226" s="18">
        <f t="shared" si="21"/>
        <v>-4.2810446636839528E-3</v>
      </c>
      <c r="F226" s="18">
        <f t="shared" si="21"/>
        <v>6.9287929310160035E-3</v>
      </c>
      <c r="G226" s="18">
        <f t="shared" si="21"/>
        <v>-2.0308112096350084E-2</v>
      </c>
      <c r="H226" s="18">
        <f t="shared" si="21"/>
        <v>3.7371072485459012E-2</v>
      </c>
      <c r="I226" s="18">
        <f t="shared" si="21"/>
        <v>-1.1735654984321497E-2</v>
      </c>
      <c r="J226" s="18">
        <f t="shared" si="21"/>
        <v>-2.9455888385135909E-2</v>
      </c>
      <c r="K226" s="18">
        <f t="shared" si="21"/>
        <v>-2.8515492782442697E-3</v>
      </c>
      <c r="L226" s="18">
        <f t="shared" si="21"/>
        <v>2.4122857686873722E-2</v>
      </c>
      <c r="M226" s="18">
        <f t="shared" si="21"/>
        <v>-4.1433451937169519E-3</v>
      </c>
      <c r="N226" s="18">
        <f t="shared" si="21"/>
        <v>2.9098344579886914E-2</v>
      </c>
      <c r="O226" s="18">
        <f t="shared" si="21"/>
        <v>4.3126625622867065E-2</v>
      </c>
      <c r="P226" s="18">
        <f t="shared" si="21"/>
        <v>4.6437277902126706E-2</v>
      </c>
      <c r="Q226" s="18">
        <f t="shared" si="21"/>
        <v>-1.791083007028349E-2</v>
      </c>
      <c r="R226" s="18">
        <f t="shared" si="21"/>
        <v>2.8835070980799182E-2</v>
      </c>
      <c r="S226" s="18">
        <f t="shared" si="21"/>
        <v>1.5777628892914786E-2</v>
      </c>
      <c r="T226" s="18">
        <f t="shared" si="21"/>
        <v>7.982269549060339E-3</v>
      </c>
      <c r="U226" s="18">
        <f t="shared" si="21"/>
        <v>-1.3883414864953592E-3</v>
      </c>
      <c r="V226" s="18">
        <f t="shared" si="21"/>
        <v>-2.6653475790926473E-2</v>
      </c>
      <c r="W226" s="18">
        <f t="shared" si="21"/>
        <v>1.2198629226189528E-2</v>
      </c>
      <c r="X226" s="18">
        <f t="shared" si="21"/>
        <v>-2.8945247865819201E-4</v>
      </c>
      <c r="Y226" s="18">
        <f t="shared" si="21"/>
        <v>1.8832310145010078E-2</v>
      </c>
      <c r="Z226" s="18">
        <f t="shared" si="21"/>
        <v>-1.9252664286083521E-2</v>
      </c>
      <c r="AA226" s="18">
        <f t="shared" si="21"/>
        <v>-7.5100264122524019E-3</v>
      </c>
      <c r="AB226" s="18">
        <f t="shared" si="21"/>
        <v>3.5045352625466819E-3</v>
      </c>
      <c r="AC226" s="18">
        <f t="shared" si="21"/>
        <v>1.2251179436802095E-2</v>
      </c>
      <c r="AD226" s="18">
        <f t="shared" si="21"/>
        <v>1.7667088001004361E-2</v>
      </c>
      <c r="AE226" s="18">
        <f t="shared" si="21"/>
        <v>-2.8492321054913172E-2</v>
      </c>
      <c r="AF226" s="18">
        <f t="shared" si="21"/>
        <v>2.4286940019797587E-3</v>
      </c>
      <c r="AG226" s="18">
        <f t="shared" si="21"/>
        <v>9.5412773034331266E-4</v>
      </c>
      <c r="AH226" s="18">
        <f t="shared" si="21"/>
        <v>6.1813382126385541E-4</v>
      </c>
      <c r="AI226" s="18">
        <f t="shared" si="21"/>
        <v>0</v>
      </c>
    </row>
    <row r="227" spans="1:35" x14ac:dyDescent="0.25">
      <c r="A227" s="11" t="s">
        <v>1302</v>
      </c>
      <c r="B227" s="11"/>
      <c r="C227" s="18">
        <f>C$28/B$28-1</f>
        <v>-2.723131395058076E-2</v>
      </c>
      <c r="D227" s="18">
        <f t="shared" ref="D227:AI227" si="22">D$28/C$28-1</f>
        <v>1.4878394547677143E-3</v>
      </c>
      <c r="E227" s="18">
        <f t="shared" si="22"/>
        <v>-1.5810512798866805E-2</v>
      </c>
      <c r="F227" s="18">
        <f t="shared" si="22"/>
        <v>4.5985515769553231E-4</v>
      </c>
      <c r="G227" s="18">
        <f t="shared" si="22"/>
        <v>3.103550452224324E-3</v>
      </c>
      <c r="H227" s="18">
        <f t="shared" si="22"/>
        <v>-2.3030637915138374E-2</v>
      </c>
      <c r="I227" s="18">
        <f t="shared" si="22"/>
        <v>3.8055768127315259E-2</v>
      </c>
      <c r="J227" s="18">
        <f t="shared" si="22"/>
        <v>-6.1454442115398411E-3</v>
      </c>
      <c r="K227" s="18">
        <f t="shared" si="22"/>
        <v>-2.4967839794198921E-2</v>
      </c>
      <c r="L227" s="18">
        <f t="shared" si="22"/>
        <v>-7.8330467808773729E-3</v>
      </c>
      <c r="M227" s="18">
        <f t="shared" si="22"/>
        <v>1.8081855461206331E-2</v>
      </c>
      <c r="N227" s="18">
        <f t="shared" si="22"/>
        <v>5.4478131679132069E-3</v>
      </c>
      <c r="O227" s="18">
        <f t="shared" si="22"/>
        <v>2.1785473872854899E-2</v>
      </c>
      <c r="P227" s="18">
        <f t="shared" si="22"/>
        <v>5.6248992990429514E-2</v>
      </c>
      <c r="Q227" s="18">
        <f t="shared" si="22"/>
        <v>2.4649376188398797E-2</v>
      </c>
      <c r="R227" s="18">
        <f t="shared" si="22"/>
        <v>-1.1652459162620032E-2</v>
      </c>
      <c r="S227" s="18">
        <f t="shared" si="22"/>
        <v>5.3049775688268186E-2</v>
      </c>
      <c r="T227" s="18">
        <f t="shared" si="22"/>
        <v>6.387767395336974E-3</v>
      </c>
      <c r="U227" s="18">
        <f t="shared" si="22"/>
        <v>-2.4552245364186653E-3</v>
      </c>
      <c r="V227" s="18">
        <f t="shared" si="22"/>
        <v>6.9796069169292263E-3</v>
      </c>
      <c r="W227" s="18">
        <f t="shared" si="22"/>
        <v>-2.4697773707081483E-2</v>
      </c>
      <c r="X227" s="18">
        <f t="shared" si="22"/>
        <v>1.1546043233623404E-2</v>
      </c>
      <c r="Y227" s="18">
        <f t="shared" si="22"/>
        <v>-1.659132542980446E-3</v>
      </c>
      <c r="Z227" s="18">
        <f t="shared" si="22"/>
        <v>1.0772818529991568E-2</v>
      </c>
      <c r="AA227" s="18">
        <f t="shared" si="22"/>
        <v>-1.9446655709279392E-2</v>
      </c>
      <c r="AB227" s="18">
        <f t="shared" si="22"/>
        <v>-7.7927337936875007E-3</v>
      </c>
      <c r="AC227" s="18">
        <f t="shared" si="22"/>
        <v>3.1466102934061269E-3</v>
      </c>
      <c r="AD227" s="18">
        <f t="shared" si="22"/>
        <v>1.1842683985700875E-2</v>
      </c>
      <c r="AE227" s="18">
        <f t="shared" si="22"/>
        <v>1.7236862205973758E-2</v>
      </c>
      <c r="AF227" s="18">
        <f t="shared" si="22"/>
        <v>-2.8393985923051313E-2</v>
      </c>
      <c r="AG227" s="18">
        <f t="shared" si="22"/>
        <v>1.7988413794671754E-3</v>
      </c>
      <c r="AH227" s="18">
        <f t="shared" si="22"/>
        <v>8.9780567972619352E-4</v>
      </c>
      <c r="AI227" s="18">
        <f t="shared" si="22"/>
        <v>0</v>
      </c>
    </row>
    <row r="228" spans="1:35" x14ac:dyDescent="0.25">
      <c r="A228" s="11" t="s">
        <v>1303</v>
      </c>
      <c r="B228" s="11"/>
      <c r="C228" s="18">
        <f>C$29/B$29-1</f>
        <v>-1.1674097200770062E-2</v>
      </c>
      <c r="D228" s="18">
        <f t="shared" ref="D228:AI228" si="23">D$29/C$29-1</f>
        <v>-2.1287713262576502E-2</v>
      </c>
      <c r="E228" s="18">
        <f t="shared" si="23"/>
        <v>2.45893809010167E-3</v>
      </c>
      <c r="F228" s="18">
        <f t="shared" si="23"/>
        <v>-9.4776116445685066E-3</v>
      </c>
      <c r="G228" s="18">
        <f t="shared" si="23"/>
        <v>4.0609984227701901E-4</v>
      </c>
      <c r="H228" s="18">
        <f t="shared" si="23"/>
        <v>-1.7244134542383494E-3</v>
      </c>
      <c r="I228" s="18">
        <f t="shared" si="23"/>
        <v>-2.0952845708156254E-2</v>
      </c>
      <c r="J228" s="18">
        <f t="shared" si="23"/>
        <v>3.957357716212706E-2</v>
      </c>
      <c r="K228" s="18">
        <f t="shared" si="23"/>
        <v>-5.4243097829864695E-4</v>
      </c>
      <c r="L228" s="18">
        <f t="shared" si="23"/>
        <v>-2.6299273645978061E-2</v>
      </c>
      <c r="M228" s="18">
        <f t="shared" si="23"/>
        <v>-1.1632359162822348E-2</v>
      </c>
      <c r="N228" s="18">
        <f t="shared" si="23"/>
        <v>2.1305992652523198E-2</v>
      </c>
      <c r="O228" s="18">
        <f t="shared" si="23"/>
        <v>-4.0866249869475624E-4</v>
      </c>
      <c r="P228" s="18">
        <f t="shared" si="23"/>
        <v>3.4257302716614202E-2</v>
      </c>
      <c r="Q228" s="18">
        <f t="shared" si="23"/>
        <v>3.3594247222621387E-2</v>
      </c>
      <c r="R228" s="18">
        <f t="shared" si="23"/>
        <v>3.1725634324405894E-2</v>
      </c>
      <c r="S228" s="18">
        <f t="shared" si="23"/>
        <v>1.3551236076853712E-2</v>
      </c>
      <c r="T228" s="18">
        <f t="shared" si="23"/>
        <v>4.2382403950772307E-2</v>
      </c>
      <c r="U228" s="18">
        <f t="shared" si="23"/>
        <v>-3.7650027316163959E-3</v>
      </c>
      <c r="V228" s="18">
        <f t="shared" si="23"/>
        <v>6.1087503881027683E-3</v>
      </c>
      <c r="W228" s="18">
        <f t="shared" si="23"/>
        <v>8.4972904177789133E-3</v>
      </c>
      <c r="X228" s="18">
        <f t="shared" si="23"/>
        <v>-2.479616477065838E-2</v>
      </c>
      <c r="Y228" s="18">
        <f t="shared" si="23"/>
        <v>1.0099684343423121E-2</v>
      </c>
      <c r="Z228" s="18">
        <f t="shared" si="23"/>
        <v>-6.9420851828141394E-3</v>
      </c>
      <c r="AA228" s="18">
        <f t="shared" si="23"/>
        <v>1.0334914202585699E-2</v>
      </c>
      <c r="AB228" s="18">
        <f t="shared" si="23"/>
        <v>-1.9577105027589914E-2</v>
      </c>
      <c r="AC228" s="18">
        <f t="shared" si="23"/>
        <v>-8.0461606370666461E-3</v>
      </c>
      <c r="AD228" s="18">
        <f t="shared" si="23"/>
        <v>2.784331009197949E-3</v>
      </c>
      <c r="AE228" s="18">
        <f t="shared" si="23"/>
        <v>1.1402727041456728E-2</v>
      </c>
      <c r="AF228" s="18">
        <f t="shared" si="23"/>
        <v>1.703538257940207E-2</v>
      </c>
      <c r="AG228" s="18">
        <f t="shared" si="23"/>
        <v>-2.8745770052488351E-2</v>
      </c>
      <c r="AH228" s="18">
        <f t="shared" si="23"/>
        <v>1.4524310931229856E-3</v>
      </c>
      <c r="AI228" s="18">
        <f t="shared" si="23"/>
        <v>5.5955638172866529E-4</v>
      </c>
    </row>
    <row r="229" spans="1:35" x14ac:dyDescent="0.25">
      <c r="A229" s="11" t="s">
        <v>1304</v>
      </c>
      <c r="B229" s="11"/>
      <c r="C229" s="18">
        <f>C$30/B$30-1</f>
        <v>-2.5448982229401618E-2</v>
      </c>
      <c r="D229" s="18">
        <f t="shared" ref="D229:AI229" si="24">D$30/C$30-1</f>
        <v>-7.1280989713105036E-3</v>
      </c>
      <c r="E229" s="18">
        <f t="shared" si="24"/>
        <v>-2.2297379752893365E-2</v>
      </c>
      <c r="F229" s="18">
        <f t="shared" si="24"/>
        <v>6.1398504198089121E-3</v>
      </c>
      <c r="G229" s="18">
        <f t="shared" si="24"/>
        <v>-1.4086259173670235E-2</v>
      </c>
      <c r="H229" s="18">
        <f t="shared" si="24"/>
        <v>2.944040394082359E-3</v>
      </c>
      <c r="I229" s="18">
        <f t="shared" si="24"/>
        <v>-5.1880098737069336E-3</v>
      </c>
      <c r="J229" s="18">
        <f t="shared" si="24"/>
        <v>-2.5876665312333347E-2</v>
      </c>
      <c r="K229" s="18">
        <f t="shared" si="24"/>
        <v>3.518216867629187E-2</v>
      </c>
      <c r="L229" s="18">
        <f t="shared" si="24"/>
        <v>3.3313300054185202E-3</v>
      </c>
      <c r="M229" s="18">
        <f t="shared" si="24"/>
        <v>-1.7676503691611001E-2</v>
      </c>
      <c r="N229" s="18">
        <f t="shared" si="24"/>
        <v>-6.1450350704267409E-3</v>
      </c>
      <c r="O229" s="18">
        <f t="shared" si="24"/>
        <v>2.2500585211121749E-2</v>
      </c>
      <c r="P229" s="18">
        <f t="shared" si="24"/>
        <v>4.0376947702498445E-3</v>
      </c>
      <c r="Q229" s="18">
        <f t="shared" si="24"/>
        <v>2.458028085977304E-2</v>
      </c>
      <c r="R229" s="18">
        <f t="shared" si="24"/>
        <v>3.8572466923453508E-2</v>
      </c>
      <c r="S229" s="18">
        <f t="shared" si="24"/>
        <v>5.4502683652745576E-2</v>
      </c>
      <c r="T229" s="18">
        <f t="shared" si="24"/>
        <v>7.2929984575464957E-4</v>
      </c>
      <c r="U229" s="18">
        <f t="shared" si="24"/>
        <v>2.4517553356594668E-2</v>
      </c>
      <c r="V229" s="18">
        <f t="shared" si="24"/>
        <v>-5.6923751733010119E-3</v>
      </c>
      <c r="W229" s="18">
        <f t="shared" si="24"/>
        <v>-1.9654029676083873E-3</v>
      </c>
      <c r="X229" s="18">
        <f t="shared" si="24"/>
        <v>-1.1855126492672508E-3</v>
      </c>
      <c r="Y229" s="18">
        <f t="shared" si="24"/>
        <v>-3.2825610346020051E-2</v>
      </c>
      <c r="Z229" s="18">
        <f t="shared" si="24"/>
        <v>5.2096883291981033E-3</v>
      </c>
      <c r="AA229" s="18">
        <f t="shared" si="24"/>
        <v>-6.8456765780238182E-3</v>
      </c>
      <c r="AB229" s="18">
        <f t="shared" si="24"/>
        <v>1.2130780398865282E-2</v>
      </c>
      <c r="AC229" s="18">
        <f t="shared" si="24"/>
        <v>-2.1091735476976736E-2</v>
      </c>
      <c r="AD229" s="18">
        <f t="shared" si="24"/>
        <v>-8.5072469742867307E-3</v>
      </c>
      <c r="AE229" s="18">
        <f t="shared" si="24"/>
        <v>3.327661759038314E-3</v>
      </c>
      <c r="AF229" s="18">
        <f t="shared" si="24"/>
        <v>1.270746036828041E-2</v>
      </c>
      <c r="AG229" s="18">
        <f t="shared" si="24"/>
        <v>1.8457089022273943E-2</v>
      </c>
      <c r="AH229" s="18">
        <f t="shared" si="24"/>
        <v>-3.1625089534621287E-2</v>
      </c>
      <c r="AI229" s="18">
        <f t="shared" si="24"/>
        <v>1.2402987688502343E-3</v>
      </c>
    </row>
    <row r="230" spans="1:35" x14ac:dyDescent="0.25">
      <c r="A230" s="11" t="s">
        <v>1305</v>
      </c>
      <c r="B230" s="11"/>
      <c r="C230" s="18">
        <f>C$31/B$31-1</f>
        <v>9.3410811869616417E-3</v>
      </c>
      <c r="D230" s="18">
        <f t="shared" ref="D230:AI230" si="25">D$31/C$31-1</f>
        <v>-3.1445708682928841E-2</v>
      </c>
      <c r="E230" s="18">
        <f t="shared" si="25"/>
        <v>-3.8420149757840694E-3</v>
      </c>
      <c r="F230" s="18">
        <f t="shared" si="25"/>
        <v>-1.6871509184929856E-2</v>
      </c>
      <c r="G230" s="18">
        <f t="shared" si="25"/>
        <v>7.290850837065932E-3</v>
      </c>
      <c r="H230" s="18">
        <f t="shared" si="25"/>
        <v>-1.8282377088591484E-2</v>
      </c>
      <c r="I230" s="18">
        <f t="shared" si="25"/>
        <v>4.0893028560855527E-3</v>
      </c>
      <c r="J230" s="18">
        <f t="shared" si="25"/>
        <v>-9.2038805320704409E-3</v>
      </c>
      <c r="K230" s="18">
        <f t="shared" si="25"/>
        <v>-1.5807575676223595E-2</v>
      </c>
      <c r="L230" s="18">
        <f t="shared" si="25"/>
        <v>3.8297228420885343E-2</v>
      </c>
      <c r="M230" s="18">
        <f t="shared" si="25"/>
        <v>8.898143215533505E-3</v>
      </c>
      <c r="N230" s="18">
        <f t="shared" si="25"/>
        <v>-1.9998072440761128E-2</v>
      </c>
      <c r="O230" s="18">
        <f t="shared" si="25"/>
        <v>-8.3372465612618907E-3</v>
      </c>
      <c r="P230" s="18">
        <f t="shared" si="25"/>
        <v>1.7969207200099868E-2</v>
      </c>
      <c r="Q230" s="18">
        <f t="shared" si="25"/>
        <v>-5.2777808834691964E-4</v>
      </c>
      <c r="R230" s="18">
        <f t="shared" si="25"/>
        <v>1.4242613025151174E-2</v>
      </c>
      <c r="S230" s="18">
        <f t="shared" si="25"/>
        <v>7.0573605923085703E-2</v>
      </c>
      <c r="T230" s="18">
        <f t="shared" si="25"/>
        <v>4.3523676922681886E-2</v>
      </c>
      <c r="U230" s="18">
        <f t="shared" si="25"/>
        <v>-1.3988165501696237E-2</v>
      </c>
      <c r="V230" s="18">
        <f t="shared" si="25"/>
        <v>3.0311468459691238E-2</v>
      </c>
      <c r="W230" s="18">
        <f t="shared" si="25"/>
        <v>-3.6667395314650131E-3</v>
      </c>
      <c r="X230" s="18">
        <f t="shared" si="25"/>
        <v>-1.7289610192108285E-3</v>
      </c>
      <c r="Y230" s="18">
        <f t="shared" si="25"/>
        <v>-6.988526565235853E-4</v>
      </c>
      <c r="Z230" s="18">
        <f t="shared" si="25"/>
        <v>-2.9929544164208677E-2</v>
      </c>
      <c r="AA230" s="18">
        <f t="shared" si="25"/>
        <v>4.6228212370187372E-3</v>
      </c>
      <c r="AB230" s="18">
        <f t="shared" si="25"/>
        <v>-7.2398551526026145E-3</v>
      </c>
      <c r="AC230" s="18">
        <f t="shared" si="25"/>
        <v>1.144273620558911E-2</v>
      </c>
      <c r="AD230" s="18">
        <f t="shared" si="25"/>
        <v>-2.128480417867884E-2</v>
      </c>
      <c r="AE230" s="18">
        <f t="shared" si="25"/>
        <v>-8.8950658425807072E-3</v>
      </c>
      <c r="AF230" s="18">
        <f t="shared" si="25"/>
        <v>2.7674570322258063E-3</v>
      </c>
      <c r="AG230" s="18">
        <f t="shared" si="25"/>
        <v>1.2025273268240655E-2</v>
      </c>
      <c r="AH230" s="18">
        <f t="shared" si="25"/>
        <v>1.7716501492567094E-2</v>
      </c>
      <c r="AI230" s="18">
        <f t="shared" si="25"/>
        <v>-3.174422132761856E-2</v>
      </c>
    </row>
    <row r="231" spans="1:35" x14ac:dyDescent="0.25">
      <c r="A231" s="11" t="s">
        <v>1306</v>
      </c>
      <c r="B231" s="11"/>
      <c r="C231" s="18">
        <f>C$32/B$32-1</f>
        <v>4.2697175147535127E-2</v>
      </c>
      <c r="D231" s="18">
        <f t="shared" ref="D231:AI231" si="26">D$32/C$32-1</f>
        <v>8.0645085375414816E-3</v>
      </c>
      <c r="E231" s="18">
        <f t="shared" si="26"/>
        <v>-2.9391840769078859E-2</v>
      </c>
      <c r="F231" s="18">
        <f t="shared" si="26"/>
        <v>-1.3382358718083687E-4</v>
      </c>
      <c r="G231" s="18">
        <f t="shared" si="26"/>
        <v>-1.7413285781791132E-2</v>
      </c>
      <c r="H231" s="18">
        <f t="shared" si="26"/>
        <v>2.2179891195144297E-3</v>
      </c>
      <c r="I231" s="18">
        <f t="shared" si="26"/>
        <v>-1.6732415646306453E-2</v>
      </c>
      <c r="J231" s="18">
        <f t="shared" si="26"/>
        <v>2.5719560995234314E-3</v>
      </c>
      <c r="K231" s="18">
        <f t="shared" si="26"/>
        <v>-1.6061413655112933E-3</v>
      </c>
      <c r="L231" s="18">
        <f t="shared" si="26"/>
        <v>-1.1041948408123448E-2</v>
      </c>
      <c r="M231" s="18">
        <f t="shared" si="26"/>
        <v>4.0424960929509979E-2</v>
      </c>
      <c r="N231" s="18">
        <f t="shared" si="26"/>
        <v>3.8008182799558199E-3</v>
      </c>
      <c r="O231" s="18">
        <f t="shared" si="26"/>
        <v>-1.9408119714358518E-2</v>
      </c>
      <c r="P231" s="18">
        <f t="shared" si="26"/>
        <v>-1.485622300864875E-2</v>
      </c>
      <c r="Q231" s="18">
        <f t="shared" si="26"/>
        <v>1.6276138587423938E-2</v>
      </c>
      <c r="R231" s="18">
        <f t="shared" si="26"/>
        <v>-8.3249726173918459E-3</v>
      </c>
      <c r="S231" s="18">
        <f t="shared" si="26"/>
        <v>4.5029928821938903E-2</v>
      </c>
      <c r="T231" s="18">
        <f t="shared" si="26"/>
        <v>5.7447747037691066E-2</v>
      </c>
      <c r="U231" s="18">
        <f t="shared" si="26"/>
        <v>2.8560754623127238E-2</v>
      </c>
      <c r="V231" s="18">
        <f t="shared" si="26"/>
        <v>-7.7847908237955732E-3</v>
      </c>
      <c r="W231" s="18">
        <f t="shared" si="26"/>
        <v>3.1801537480222297E-2</v>
      </c>
      <c r="X231" s="18">
        <f t="shared" si="26"/>
        <v>-3.7098209975620078E-3</v>
      </c>
      <c r="Y231" s="18">
        <f t="shared" si="26"/>
        <v>-1.244666664373395E-3</v>
      </c>
      <c r="Z231" s="18">
        <f t="shared" si="26"/>
        <v>1.4652152301797283E-3</v>
      </c>
      <c r="AA231" s="18">
        <f t="shared" si="26"/>
        <v>-3.0026405170596848E-2</v>
      </c>
      <c r="AB231" s="18">
        <f t="shared" si="26"/>
        <v>3.7713748962810989E-3</v>
      </c>
      <c r="AC231" s="18">
        <f t="shared" si="26"/>
        <v>-7.3533019132147048E-3</v>
      </c>
      <c r="AD231" s="18">
        <f t="shared" si="26"/>
        <v>1.0512302764511094E-2</v>
      </c>
      <c r="AE231" s="18">
        <f t="shared" si="26"/>
        <v>-2.1252020216470435E-2</v>
      </c>
      <c r="AF231" s="18">
        <f t="shared" si="26"/>
        <v>-9.3016622081032452E-3</v>
      </c>
      <c r="AG231" s="18">
        <f t="shared" si="26"/>
        <v>1.9266189836055769E-3</v>
      </c>
      <c r="AH231" s="18">
        <f t="shared" si="26"/>
        <v>1.1401167889053321E-2</v>
      </c>
      <c r="AI231" s="18">
        <f t="shared" si="26"/>
        <v>1.735297391825763E-2</v>
      </c>
    </row>
    <row r="232" spans="1:35" x14ac:dyDescent="0.25">
      <c r="A232" s="11" t="s">
        <v>1307</v>
      </c>
      <c r="B232" s="11"/>
      <c r="C232" s="18">
        <f>C$33/B$33-1</f>
        <v>1.6663735020006065E-2</v>
      </c>
      <c r="D232" s="18">
        <f t="shared" ref="D232:AI232" si="27">D$33/C$33-1</f>
        <v>3.8552518573020889E-2</v>
      </c>
      <c r="E232" s="18">
        <f t="shared" si="27"/>
        <v>1.2242059735440458E-2</v>
      </c>
      <c r="F232" s="18">
        <f t="shared" si="27"/>
        <v>-2.4369534102494983E-2</v>
      </c>
      <c r="G232" s="18">
        <f t="shared" si="27"/>
        <v>-3.0755449211883334E-3</v>
      </c>
      <c r="H232" s="18">
        <f t="shared" si="27"/>
        <v>-2.0854425180108938E-2</v>
      </c>
      <c r="I232" s="18">
        <f t="shared" si="27"/>
        <v>3.674756609603369E-3</v>
      </c>
      <c r="J232" s="18">
        <f t="shared" si="27"/>
        <v>-9.4734748897872256E-3</v>
      </c>
      <c r="K232" s="18">
        <f t="shared" si="27"/>
        <v>8.4951019822918639E-3</v>
      </c>
      <c r="L232" s="18">
        <f t="shared" si="27"/>
        <v>3.6375508064057094E-4</v>
      </c>
      <c r="M232" s="18">
        <f t="shared" si="27"/>
        <v>-4.7172307608047692E-3</v>
      </c>
      <c r="N232" s="18">
        <f t="shared" si="27"/>
        <v>3.2555458758579237E-2</v>
      </c>
      <c r="O232" s="18">
        <f t="shared" si="27"/>
        <v>4.4311255544757788E-3</v>
      </c>
      <c r="P232" s="18">
        <f t="shared" si="27"/>
        <v>-2.206865630564947E-2</v>
      </c>
      <c r="Q232" s="18">
        <f t="shared" si="27"/>
        <v>-1.8252725147275162E-2</v>
      </c>
      <c r="R232" s="18">
        <f t="shared" si="27"/>
        <v>9.3917470775424228E-3</v>
      </c>
      <c r="S232" s="18">
        <f t="shared" si="27"/>
        <v>2.1950725457539288E-2</v>
      </c>
      <c r="T232" s="18">
        <f t="shared" si="27"/>
        <v>3.1073622878063256E-2</v>
      </c>
      <c r="U232" s="18">
        <f t="shared" si="27"/>
        <v>4.2366209872295668E-2</v>
      </c>
      <c r="V232" s="18">
        <f t="shared" si="27"/>
        <v>3.4982172038976689E-2</v>
      </c>
      <c r="W232" s="18">
        <f t="shared" si="27"/>
        <v>-6.3726757893854957E-3</v>
      </c>
      <c r="X232" s="18">
        <f t="shared" si="27"/>
        <v>3.1891978490011574E-2</v>
      </c>
      <c r="Y232" s="18">
        <f t="shared" si="27"/>
        <v>-2.9465185299487606E-3</v>
      </c>
      <c r="Z232" s="18">
        <f t="shared" si="27"/>
        <v>3.1271350079653537E-4</v>
      </c>
      <c r="AA232" s="18">
        <f t="shared" si="27"/>
        <v>9.7521095595509699E-4</v>
      </c>
      <c r="AB232" s="18">
        <f t="shared" si="27"/>
        <v>-3.028306777293488E-2</v>
      </c>
      <c r="AC232" s="18">
        <f t="shared" si="27"/>
        <v>3.5455031299136408E-3</v>
      </c>
      <c r="AD232" s="18">
        <f t="shared" si="27"/>
        <v>-8.0867330782482538E-3</v>
      </c>
      <c r="AE232" s="18">
        <f t="shared" si="27"/>
        <v>1.0247661011038911E-2</v>
      </c>
      <c r="AF232" s="18">
        <f t="shared" si="27"/>
        <v>-2.1909256895139118E-2</v>
      </c>
      <c r="AG232" s="18">
        <f t="shared" si="27"/>
        <v>-9.7542488665941507E-3</v>
      </c>
      <c r="AH232" s="18">
        <f t="shared" si="27"/>
        <v>1.7130595156800155E-3</v>
      </c>
      <c r="AI232" s="18">
        <f t="shared" si="27"/>
        <v>1.0843974021760516E-2</v>
      </c>
    </row>
    <row r="233" spans="1:35" x14ac:dyDescent="0.25">
      <c r="A233" s="11" t="s">
        <v>1308</v>
      </c>
      <c r="B233" s="11"/>
      <c r="C233" s="18">
        <f>C$34/B$34-1</f>
        <v>3.7529786103094764E-2</v>
      </c>
      <c r="D233" s="18">
        <f t="shared" ref="D233:AI233" si="28">D$34/C$34-1</f>
        <v>1.3251257356348578E-2</v>
      </c>
      <c r="E233" s="18">
        <f t="shared" si="28"/>
        <v>4.3008225165861891E-2</v>
      </c>
      <c r="F233" s="18">
        <f t="shared" si="28"/>
        <v>2.1886516832244185E-2</v>
      </c>
      <c r="G233" s="18">
        <f t="shared" si="28"/>
        <v>-3.0047257809043826E-2</v>
      </c>
      <c r="H233" s="18">
        <f t="shared" si="28"/>
        <v>-3.8607342960222946E-3</v>
      </c>
      <c r="I233" s="18">
        <f t="shared" si="28"/>
        <v>-1.8115601687541005E-2</v>
      </c>
      <c r="J233" s="18">
        <f t="shared" si="28"/>
        <v>5.6956847932119192E-3</v>
      </c>
      <c r="K233" s="18">
        <f t="shared" si="28"/>
        <v>-1.2859380753781346E-3</v>
      </c>
      <c r="L233" s="18">
        <f t="shared" si="28"/>
        <v>1.094201297352515E-2</v>
      </c>
      <c r="M233" s="18">
        <f t="shared" si="28"/>
        <v>-1.0702073612818275E-3</v>
      </c>
      <c r="N233" s="18">
        <f t="shared" si="28"/>
        <v>-1.0871601184741508E-2</v>
      </c>
      <c r="O233" s="18">
        <f t="shared" si="28"/>
        <v>3.4224114360583924E-2</v>
      </c>
      <c r="P233" s="18">
        <f t="shared" si="28"/>
        <v>-1.9581599982094744E-3</v>
      </c>
      <c r="Q233" s="18">
        <f t="shared" si="28"/>
        <v>-2.7258281361918768E-2</v>
      </c>
      <c r="R233" s="18">
        <f t="shared" si="28"/>
        <v>-2.3168036108816348E-2</v>
      </c>
      <c r="S233" s="18">
        <f t="shared" si="28"/>
        <v>4.0716440129052511E-2</v>
      </c>
      <c r="T233" s="18">
        <f t="shared" si="28"/>
        <v>8.4881256664592897E-3</v>
      </c>
      <c r="U233" s="18">
        <f t="shared" si="28"/>
        <v>1.6719722608128151E-2</v>
      </c>
      <c r="V233" s="18">
        <f t="shared" si="28"/>
        <v>4.981165539824528E-2</v>
      </c>
      <c r="W233" s="18">
        <f t="shared" si="28"/>
        <v>3.6552634207897672E-2</v>
      </c>
      <c r="X233" s="18">
        <f t="shared" si="28"/>
        <v>-6.1262036135912856E-3</v>
      </c>
      <c r="Y233" s="18">
        <f t="shared" si="28"/>
        <v>3.2181871829296993E-2</v>
      </c>
      <c r="Z233" s="18">
        <f t="shared" si="28"/>
        <v>-1.1016179972155316E-3</v>
      </c>
      <c r="AA233" s="18">
        <f t="shared" si="28"/>
        <v>1.1822704582820087E-4</v>
      </c>
      <c r="AB233" s="18">
        <f t="shared" si="28"/>
        <v>2.0935291315238302E-4</v>
      </c>
      <c r="AC233" s="18">
        <f t="shared" si="28"/>
        <v>-3.0197130772899872E-2</v>
      </c>
      <c r="AD233" s="18">
        <f t="shared" si="28"/>
        <v>2.7331628695392851E-3</v>
      </c>
      <c r="AE233" s="18">
        <f t="shared" si="28"/>
        <v>-8.2151724879241383E-3</v>
      </c>
      <c r="AF233" s="18">
        <f t="shared" si="28"/>
        <v>9.3786091738836674E-3</v>
      </c>
      <c r="AG233" s="18">
        <f t="shared" si="28"/>
        <v>-2.1942356954929854E-2</v>
      </c>
      <c r="AH233" s="18">
        <f t="shared" si="28"/>
        <v>-1.0179295579195724E-2</v>
      </c>
      <c r="AI233" s="18">
        <f t="shared" si="28"/>
        <v>8.9887896514651011E-4</v>
      </c>
    </row>
    <row r="234" spans="1:35" x14ac:dyDescent="0.25">
      <c r="A234" s="11" t="s">
        <v>1352</v>
      </c>
      <c r="B234" s="11"/>
      <c r="C234" s="18">
        <f>SUM(C$33:C$34)/SUM(B$33:B$34)-1</f>
        <v>2.6901306412164594E-2</v>
      </c>
      <c r="D234" s="18">
        <f t="shared" ref="D234:AI234" si="29">SUM(D$33:D$34)/SUM(C$33:C$34)-1</f>
        <v>2.6010405416290405E-2</v>
      </c>
      <c r="E234" s="18">
        <f t="shared" si="29"/>
        <v>2.7303527662459137E-2</v>
      </c>
      <c r="F234" s="18">
        <f t="shared" si="29"/>
        <v>-1.3788742130809162E-3</v>
      </c>
      <c r="G234" s="18">
        <f t="shared" si="29"/>
        <v>-1.6793624941952801E-2</v>
      </c>
      <c r="H234" s="18">
        <f t="shared" si="29"/>
        <v>-1.2327775752139947E-2</v>
      </c>
      <c r="I234" s="18">
        <f t="shared" si="29"/>
        <v>-7.3523680316450735E-3</v>
      </c>
      <c r="J234" s="18">
        <f t="shared" si="29"/>
        <v>-1.8802776064941185E-3</v>
      </c>
      <c r="K234" s="18">
        <f t="shared" si="29"/>
        <v>3.5618630790543726E-3</v>
      </c>
      <c r="L234" s="18">
        <f t="shared" si="29"/>
        <v>5.6733119470562254E-3</v>
      </c>
      <c r="M234" s="18">
        <f t="shared" si="29"/>
        <v>-2.8770859730474774E-3</v>
      </c>
      <c r="N234" s="18">
        <f t="shared" si="29"/>
        <v>1.0604163885457707E-2</v>
      </c>
      <c r="O234" s="18">
        <f t="shared" si="29"/>
        <v>1.9170714654210164E-2</v>
      </c>
      <c r="P234" s="18">
        <f t="shared" si="29"/>
        <v>-1.1972366322730577E-2</v>
      </c>
      <c r="Q234" s="18">
        <f t="shared" si="29"/>
        <v>-2.2819706364492154E-2</v>
      </c>
      <c r="R234" s="18">
        <f t="shared" si="29"/>
        <v>-7.0452709026805893E-3</v>
      </c>
      <c r="S234" s="18">
        <f t="shared" si="29"/>
        <v>3.1270320640563343E-2</v>
      </c>
      <c r="T234" s="18">
        <f t="shared" si="29"/>
        <v>1.9754272810249329E-2</v>
      </c>
      <c r="U234" s="18">
        <f t="shared" si="29"/>
        <v>2.9654763192017208E-2</v>
      </c>
      <c r="V234" s="18">
        <f t="shared" si="29"/>
        <v>4.2239934116522049E-2</v>
      </c>
      <c r="W234" s="18">
        <f t="shared" si="29"/>
        <v>1.4788209214630754E-2</v>
      </c>
      <c r="X234" s="18">
        <f t="shared" si="29"/>
        <v>1.2748199114262171E-2</v>
      </c>
      <c r="Y234" s="18">
        <f t="shared" si="29"/>
        <v>1.4412467157410624E-2</v>
      </c>
      <c r="Z234" s="18">
        <f t="shared" si="29"/>
        <v>-3.9843280384899149E-4</v>
      </c>
      <c r="AA234" s="18">
        <f t="shared" si="29"/>
        <v>5.4461019437890279E-4</v>
      </c>
      <c r="AB234" s="18">
        <f t="shared" si="29"/>
        <v>-1.4968352962298592E-2</v>
      </c>
      <c r="AC234" s="18">
        <f t="shared" si="29"/>
        <v>-1.3662747335388414E-2</v>
      </c>
      <c r="AD234" s="18">
        <f t="shared" si="29"/>
        <v>-2.6612445272384821E-3</v>
      </c>
      <c r="AE234" s="18">
        <f t="shared" si="29"/>
        <v>9.39651828815391E-4</v>
      </c>
      <c r="AF234" s="18">
        <f t="shared" si="29"/>
        <v>-6.2797973795833961E-3</v>
      </c>
      <c r="AG234" s="18">
        <f t="shared" si="29"/>
        <v>-1.5938602147472003E-2</v>
      </c>
      <c r="AH234" s="18">
        <f t="shared" si="29"/>
        <v>-4.2844109408173292E-3</v>
      </c>
      <c r="AI234" s="18">
        <f t="shared" si="29"/>
        <v>5.8582249762857419E-3</v>
      </c>
    </row>
    <row r="235" spans="1:35" x14ac:dyDescent="0.25">
      <c r="A235" s="11" t="s">
        <v>927</v>
      </c>
      <c r="B235" s="11"/>
      <c r="C235" s="18">
        <f>SUM(C$35:C$39)/SUM(B$35:B$39)-1</f>
        <v>-1.8997984469797391E-3</v>
      </c>
      <c r="D235" s="18">
        <f t="shared" ref="D235:AI235" si="30">SUM(D$35:D$39)/SUM(C$35:C$39)-1</f>
        <v>-9.7627378712339397E-4</v>
      </c>
      <c r="E235" s="18">
        <f t="shared" si="30"/>
        <v>7.8765783414751489E-3</v>
      </c>
      <c r="F235" s="18">
        <f t="shared" si="30"/>
        <v>2.4823543349302035E-2</v>
      </c>
      <c r="G235" s="18">
        <f t="shared" si="30"/>
        <v>2.4259295759812893E-2</v>
      </c>
      <c r="H235" s="18">
        <f t="shared" si="30"/>
        <v>1.0553672016346827E-2</v>
      </c>
      <c r="I235" s="18">
        <f t="shared" si="30"/>
        <v>7.1153756377564381E-3</v>
      </c>
      <c r="J235" s="18">
        <f t="shared" si="30"/>
        <v>1.3698879598035063E-2</v>
      </c>
      <c r="K235" s="18">
        <f t="shared" si="30"/>
        <v>1.4560906814758745E-2</v>
      </c>
      <c r="L235" s="18">
        <f t="shared" si="30"/>
        <v>1.206989886522214E-2</v>
      </c>
      <c r="M235" s="18">
        <f t="shared" si="30"/>
        <v>7.1349765660801978E-3</v>
      </c>
      <c r="N235" s="18">
        <f t="shared" si="30"/>
        <v>-1.7901446131111109E-3</v>
      </c>
      <c r="O235" s="18">
        <f t="shared" si="30"/>
        <v>-3.8543562163089184E-3</v>
      </c>
      <c r="P235" s="18">
        <f t="shared" si="30"/>
        <v>7.6159112537002027E-3</v>
      </c>
      <c r="Q235" s="18">
        <f t="shared" si="30"/>
        <v>-1.3779758782306195E-2</v>
      </c>
      <c r="R235" s="18">
        <f t="shared" si="30"/>
        <v>-1.9260950465514681E-2</v>
      </c>
      <c r="S235" s="18">
        <f t="shared" si="30"/>
        <v>-4.0223599058935577E-2</v>
      </c>
      <c r="T235" s="18">
        <f t="shared" si="30"/>
        <v>2.6362392911052801E-2</v>
      </c>
      <c r="U235" s="18">
        <f t="shared" si="30"/>
        <v>7.1710517679304253E-3</v>
      </c>
      <c r="V235" s="18">
        <f t="shared" si="30"/>
        <v>5.4710803770225969E-3</v>
      </c>
      <c r="W235" s="18">
        <f t="shared" si="30"/>
        <v>2.0111755518585461E-2</v>
      </c>
      <c r="X235" s="18">
        <f t="shared" si="30"/>
        <v>2.9522562984688472E-2</v>
      </c>
      <c r="Y235" s="18">
        <f t="shared" si="30"/>
        <v>2.3110520300416049E-2</v>
      </c>
      <c r="Z235" s="18">
        <f t="shared" si="30"/>
        <v>2.4522083968868236E-2</v>
      </c>
      <c r="AA235" s="18">
        <f t="shared" si="30"/>
        <v>1.8262038028030059E-2</v>
      </c>
      <c r="AB235" s="18">
        <f t="shared" si="30"/>
        <v>8.3849949447718508E-3</v>
      </c>
      <c r="AC235" s="18">
        <f t="shared" si="30"/>
        <v>1.1893345431406299E-3</v>
      </c>
      <c r="AD235" s="18">
        <f t="shared" si="30"/>
        <v>-3.816585007238249E-3</v>
      </c>
      <c r="AE235" s="18">
        <f t="shared" si="30"/>
        <v>-9.4281466996375407E-3</v>
      </c>
      <c r="AF235" s="18">
        <f t="shared" si="30"/>
        <v>-1.0422623992160651E-2</v>
      </c>
      <c r="AG235" s="18">
        <f t="shared" si="30"/>
        <v>-7.937803435273616E-3</v>
      </c>
      <c r="AH235" s="18">
        <f t="shared" si="30"/>
        <v>-1.2047200606958408E-2</v>
      </c>
      <c r="AI235" s="18">
        <f t="shared" si="30"/>
        <v>-7.3391467334670279E-3</v>
      </c>
    </row>
    <row r="236" spans="1:35" x14ac:dyDescent="0.25">
      <c r="A236" s="11" t="s">
        <v>1353</v>
      </c>
      <c r="B236" s="18"/>
      <c r="C236" s="18">
        <f>SUM(C$40:C$54)/SUM(B$40:B$54)-1</f>
        <v>2.6599858957785383E-3</v>
      </c>
      <c r="D236" s="18">
        <f t="shared" ref="D236:AI236" si="31">SUM(D$40:D$54)/SUM(C$40:C$54)-1</f>
        <v>-4.1015333660975317E-3</v>
      </c>
      <c r="E236" s="18">
        <f t="shared" si="31"/>
        <v>-5.4859575275083561E-3</v>
      </c>
      <c r="F236" s="18">
        <f t="shared" si="31"/>
        <v>-3.6575061491200822E-3</v>
      </c>
      <c r="G236" s="18">
        <f t="shared" si="31"/>
        <v>-1.0784009838669339E-2</v>
      </c>
      <c r="H236" s="18">
        <f t="shared" si="31"/>
        <v>-1.2406929023521363E-2</v>
      </c>
      <c r="I236" s="18">
        <f t="shared" si="31"/>
        <v>-5.4685370071840822E-3</v>
      </c>
      <c r="J236" s="18">
        <f t="shared" si="31"/>
        <v>1.2809649292340186E-2</v>
      </c>
      <c r="K236" s="18">
        <f t="shared" si="31"/>
        <v>3.0905664512977493E-2</v>
      </c>
      <c r="L236" s="18">
        <f t="shared" si="31"/>
        <v>4.6205239834419043E-2</v>
      </c>
      <c r="M236" s="18">
        <f t="shared" si="31"/>
        <v>4.6233994497261177E-2</v>
      </c>
      <c r="N236" s="18">
        <f t="shared" si="31"/>
        <v>3.9270563273938297E-2</v>
      </c>
      <c r="O236" s="18">
        <f t="shared" si="31"/>
        <v>3.0326316536626763E-2</v>
      </c>
      <c r="P236" s="18">
        <f t="shared" si="31"/>
        <v>3.4049724038013984E-2</v>
      </c>
      <c r="Q236" s="18">
        <f t="shared" si="31"/>
        <v>1.0364615264439214E-2</v>
      </c>
      <c r="R236" s="18">
        <f t="shared" si="31"/>
        <v>-7.4499556744065387E-3</v>
      </c>
      <c r="S236" s="18">
        <f t="shared" si="31"/>
        <v>4.1572748217409305E-2</v>
      </c>
      <c r="T236" s="18">
        <f t="shared" si="31"/>
        <v>4.8260699667539431E-3</v>
      </c>
      <c r="U236" s="18">
        <f t="shared" si="31"/>
        <v>-8.3344153133414478E-3</v>
      </c>
      <c r="V236" s="18">
        <f t="shared" si="31"/>
        <v>4.2756334278790664E-3</v>
      </c>
      <c r="W236" s="18">
        <f t="shared" si="31"/>
        <v>3.5847546296721156E-3</v>
      </c>
      <c r="X236" s="18">
        <f t="shared" si="31"/>
        <v>-1.3847914470132006E-3</v>
      </c>
      <c r="Y236" s="18">
        <f t="shared" si="31"/>
        <v>-3.8917292224305289E-4</v>
      </c>
      <c r="Z236" s="18">
        <f t="shared" si="31"/>
        <v>9.6777571167327991E-4</v>
      </c>
      <c r="AA236" s="18">
        <f t="shared" si="31"/>
        <v>5.1050591860812844E-4</v>
      </c>
      <c r="AB236" s="18">
        <f t="shared" si="31"/>
        <v>3.3541207632481473E-3</v>
      </c>
      <c r="AC236" s="18">
        <f t="shared" si="31"/>
        <v>6.2845249679441828E-3</v>
      </c>
      <c r="AD236" s="18">
        <f t="shared" si="31"/>
        <v>7.0902428075492185E-3</v>
      </c>
      <c r="AE236" s="18">
        <f t="shared" si="31"/>
        <v>8.6377772732253444E-3</v>
      </c>
      <c r="AF236" s="18">
        <f t="shared" si="31"/>
        <v>8.2939587913191115E-3</v>
      </c>
      <c r="AG236" s="18">
        <f t="shared" si="31"/>
        <v>7.8193633701419962E-3</v>
      </c>
      <c r="AH236" s="18">
        <f t="shared" si="31"/>
        <v>7.1489739939039065E-3</v>
      </c>
      <c r="AI236" s="18">
        <f t="shared" si="31"/>
        <v>5.3993053629188825E-3</v>
      </c>
    </row>
    <row r="237" spans="1:35" x14ac:dyDescent="0.25">
      <c r="A237" s="11" t="s">
        <v>1354</v>
      </c>
      <c r="B237" s="11"/>
      <c r="C237" s="18">
        <f>SUM(C$55:C$69)/SUM(B$55:B$69)-1</f>
        <v>1.8782376259049993E-2</v>
      </c>
      <c r="D237" s="18">
        <f t="shared" ref="D237:AI237" si="32">SUM(D$55:D$69)/SUM(C$55:C$69)-1</f>
        <v>1.355074400838352E-2</v>
      </c>
      <c r="E237" s="18">
        <f t="shared" si="32"/>
        <v>1.078241893798948E-2</v>
      </c>
      <c r="F237" s="18">
        <f t="shared" si="32"/>
        <v>1.2077576960960901E-2</v>
      </c>
      <c r="G237" s="18">
        <f t="shared" si="32"/>
        <v>1.1283783363913447E-2</v>
      </c>
      <c r="H237" s="18">
        <f t="shared" si="32"/>
        <v>6.1631304006291021E-3</v>
      </c>
      <c r="I237" s="18">
        <f t="shared" si="32"/>
        <v>1.6646055460542986E-3</v>
      </c>
      <c r="J237" s="18">
        <f t="shared" si="32"/>
        <v>-2.4102168186859174E-3</v>
      </c>
      <c r="K237" s="18">
        <f t="shared" si="32"/>
        <v>4.8522483487833945E-4</v>
      </c>
      <c r="L237" s="18">
        <f t="shared" si="32"/>
        <v>-1.7453641366058648E-3</v>
      </c>
      <c r="M237" s="18">
        <f t="shared" si="32"/>
        <v>1.1002599243503663E-3</v>
      </c>
      <c r="N237" s="18">
        <f t="shared" si="32"/>
        <v>-2.6728888150897578E-3</v>
      </c>
      <c r="O237" s="18">
        <f t="shared" si="32"/>
        <v>1.7926194810282681E-3</v>
      </c>
      <c r="P237" s="18">
        <f t="shared" si="32"/>
        <v>3.8654736290428815E-3</v>
      </c>
      <c r="Q237" s="18">
        <f t="shared" si="32"/>
        <v>8.9910049774784007E-3</v>
      </c>
      <c r="R237" s="18">
        <f t="shared" si="32"/>
        <v>-3.5256144275432888E-3</v>
      </c>
      <c r="S237" s="18">
        <f t="shared" si="32"/>
        <v>-6.8231557588396274E-3</v>
      </c>
      <c r="T237" s="18">
        <f t="shared" si="32"/>
        <v>2.2850195544239504E-2</v>
      </c>
      <c r="U237" s="18">
        <f t="shared" si="32"/>
        <v>8.3885108871903924E-3</v>
      </c>
      <c r="V237" s="18">
        <f t="shared" si="32"/>
        <v>1.9596599713309626E-3</v>
      </c>
      <c r="W237" s="18">
        <f t="shared" si="32"/>
        <v>5.554633937890241E-3</v>
      </c>
      <c r="X237" s="18">
        <f t="shared" si="32"/>
        <v>1.3596496111169865E-2</v>
      </c>
      <c r="Y237" s="18">
        <f t="shared" si="32"/>
        <v>1.6428343040100879E-2</v>
      </c>
      <c r="Z237" s="18">
        <f t="shared" si="32"/>
        <v>2.0302431748363547E-2</v>
      </c>
      <c r="AA237" s="18">
        <f t="shared" si="32"/>
        <v>2.3557388036131055E-2</v>
      </c>
      <c r="AB237" s="18">
        <f t="shared" si="32"/>
        <v>2.1523628549246832E-2</v>
      </c>
      <c r="AC237" s="18">
        <f t="shared" si="32"/>
        <v>1.9464100024992659E-2</v>
      </c>
      <c r="AD237" s="18">
        <f t="shared" si="32"/>
        <v>1.5174112445700993E-2</v>
      </c>
      <c r="AE237" s="18">
        <f t="shared" si="32"/>
        <v>1.3694997628609817E-2</v>
      </c>
      <c r="AF237" s="18">
        <f t="shared" si="32"/>
        <v>1.1787948516515545E-2</v>
      </c>
      <c r="AG237" s="18">
        <f t="shared" si="32"/>
        <v>9.2958912065692623E-3</v>
      </c>
      <c r="AH237" s="18">
        <f t="shared" si="32"/>
        <v>7.4388842811439204E-3</v>
      </c>
      <c r="AI237" s="18">
        <f t="shared" si="32"/>
        <v>5.2370883544881064E-3</v>
      </c>
    </row>
    <row r="238" spans="1:35" x14ac:dyDescent="0.25">
      <c r="A238" s="11" t="s">
        <v>1395</v>
      </c>
      <c r="B238" s="11"/>
      <c r="C238" s="18">
        <f t="shared" ref="C238:L238" si="33">SUM(C$15:C$19)/SUM(B$15:B$19)-1</f>
        <v>1.6222106749167686E-2</v>
      </c>
      <c r="D238" s="18">
        <f t="shared" si="33"/>
        <v>2.7375456454639124E-2</v>
      </c>
      <c r="E238" s="18">
        <f t="shared" si="33"/>
        <v>1.8669231786915041E-2</v>
      </c>
      <c r="F238" s="18">
        <f t="shared" si="33"/>
        <v>2.5749570539736366E-2</v>
      </c>
      <c r="G238" s="18">
        <f t="shared" si="33"/>
        <v>1.1309804382430677E-2</v>
      </c>
      <c r="H238" s="18">
        <f t="shared" si="33"/>
        <v>-3.8860785459320368E-3</v>
      </c>
      <c r="I238" s="18">
        <f t="shared" si="33"/>
        <v>-9.5245934912487895E-3</v>
      </c>
      <c r="J238" s="18">
        <f t="shared" si="33"/>
        <v>-6.2033258405954639E-3</v>
      </c>
      <c r="K238" s="18">
        <f t="shared" si="33"/>
        <v>-8.1518547593107948E-3</v>
      </c>
      <c r="L238" s="18">
        <f t="shared" si="33"/>
        <v>-5.3797232314769516E-3</v>
      </c>
      <c r="M238" s="18">
        <f>SUM(M$15:M$19)/SUM(L$15:L$19)-1</f>
        <v>-5.1552701295016767E-3</v>
      </c>
      <c r="N238" s="18">
        <f t="shared" ref="N238:AI238" si="34">SUM(N$15:N$19)/SUM(M$15:M$19)-1</f>
        <v>-3.2274903629542218E-3</v>
      </c>
      <c r="O238" s="18">
        <f t="shared" si="34"/>
        <v>-4.074043247511594E-3</v>
      </c>
      <c r="P238" s="18">
        <f t="shared" si="34"/>
        <v>7.6024118833826204E-3</v>
      </c>
      <c r="Q238" s="18">
        <f t="shared" si="34"/>
        <v>-8.0642661531846738E-3</v>
      </c>
      <c r="R238" s="18">
        <f t="shared" si="34"/>
        <v>3.6450542631349947E-4</v>
      </c>
      <c r="S238" s="18">
        <f t="shared" si="34"/>
        <v>9.2954179105948498E-3</v>
      </c>
      <c r="T238" s="18">
        <f t="shared" si="34"/>
        <v>1.3086201670075903E-2</v>
      </c>
      <c r="U238" s="18">
        <f t="shared" si="34"/>
        <v>3.1973239866613934E-3</v>
      </c>
      <c r="V238" s="18">
        <f t="shared" si="34"/>
        <v>7.2232795975291086E-3</v>
      </c>
      <c r="W238" s="18">
        <f t="shared" si="34"/>
        <v>4.3228631002261153E-3</v>
      </c>
      <c r="X238" s="18">
        <f t="shared" si="34"/>
        <v>1.1549260029101616E-2</v>
      </c>
      <c r="Y238" s="18">
        <f t="shared" si="34"/>
        <v>9.4284540446771814E-3</v>
      </c>
      <c r="Z238" s="18">
        <f t="shared" si="34"/>
        <v>1.7121215081075114E-3</v>
      </c>
      <c r="AA238" s="18">
        <f t="shared" si="34"/>
        <v>1.2310399072632539E-3</v>
      </c>
      <c r="AB238" s="18">
        <f t="shared" si="34"/>
        <v>9.3272727597848437E-4</v>
      </c>
      <c r="AC238" s="18">
        <f t="shared" si="34"/>
        <v>8.1593550660907788E-4</v>
      </c>
      <c r="AD238" s="18">
        <f t="shared" si="34"/>
        <v>9.4004570450434422E-4</v>
      </c>
      <c r="AE238" s="18">
        <f t="shared" si="34"/>
        <v>1.3642929845283369E-3</v>
      </c>
      <c r="AF238" s="18">
        <f t="shared" si="34"/>
        <v>1.7269726409809838E-3</v>
      </c>
      <c r="AG238" s="18">
        <f t="shared" si="34"/>
        <v>2.147814348540944E-3</v>
      </c>
      <c r="AH238" s="18">
        <f t="shared" si="34"/>
        <v>2.6856830941863752E-3</v>
      </c>
      <c r="AI238" s="18">
        <f t="shared" si="34"/>
        <v>3.2195084799495621E-3</v>
      </c>
    </row>
    <row r="239" spans="1:35" x14ac:dyDescent="0.25">
      <c r="A239" s="11" t="s">
        <v>1396</v>
      </c>
      <c r="B239" s="11"/>
      <c r="C239" s="18">
        <f t="shared" ref="C239:L239" si="35">SUM(C$20:C$24)/SUM(B$20:B$24)-1</f>
        <v>-6.4519210729720999E-3</v>
      </c>
      <c r="D239" s="18">
        <f t="shared" si="35"/>
        <v>-3.7903563548580266E-3</v>
      </c>
      <c r="E239" s="18">
        <f t="shared" si="35"/>
        <v>5.4690534879575647E-3</v>
      </c>
      <c r="F239" s="18">
        <f t="shared" si="35"/>
        <v>-2.9625967338268167E-3</v>
      </c>
      <c r="G239" s="18">
        <f t="shared" si="35"/>
        <v>2.243232480499957E-3</v>
      </c>
      <c r="H239" s="18">
        <f t="shared" si="35"/>
        <v>1.1873316453838489E-2</v>
      </c>
      <c r="I239" s="18">
        <f t="shared" si="35"/>
        <v>2.3213439696372573E-2</v>
      </c>
      <c r="J239" s="18">
        <f t="shared" si="35"/>
        <v>2.2625016093626993E-2</v>
      </c>
      <c r="K239" s="18">
        <f t="shared" si="35"/>
        <v>3.0759685306732454E-2</v>
      </c>
      <c r="L239" s="18">
        <f t="shared" si="35"/>
        <v>1.9051171143113388E-2</v>
      </c>
      <c r="M239" s="18">
        <f>SUM(M$20:M$24)/SUM(L$20:L$24)-1</f>
        <v>4.8719445261367067E-3</v>
      </c>
      <c r="N239" s="18">
        <f t="shared" ref="N239:AI239" si="36">SUM(N$20:N$24)/SUM(M$20:M$24)-1</f>
        <v>4.027936620405681E-3</v>
      </c>
      <c r="O239" s="18">
        <f t="shared" si="36"/>
        <v>-3.7414532957280588E-3</v>
      </c>
      <c r="P239" s="18">
        <f t="shared" si="36"/>
        <v>5.8093796083287241E-3</v>
      </c>
      <c r="Q239" s="18">
        <f t="shared" si="36"/>
        <v>-1.7843023907012867E-2</v>
      </c>
      <c r="R239" s="18">
        <f t="shared" si="36"/>
        <v>-7.5961437934416454E-3</v>
      </c>
      <c r="S239" s="18">
        <f t="shared" si="36"/>
        <v>1.0583358406741628E-2</v>
      </c>
      <c r="T239" s="18">
        <f t="shared" si="36"/>
        <v>2.2547247470570131E-3</v>
      </c>
      <c r="U239" s="18">
        <f t="shared" si="36"/>
        <v>-7.7010928805489876E-3</v>
      </c>
      <c r="V239" s="18">
        <f t="shared" si="36"/>
        <v>6.7236042325642398E-3</v>
      </c>
      <c r="W239" s="18">
        <f t="shared" si="36"/>
        <v>1.0308243240919168E-2</v>
      </c>
      <c r="X239" s="18">
        <f t="shared" si="36"/>
        <v>8.0801174556117683E-3</v>
      </c>
      <c r="Y239" s="18">
        <f t="shared" si="36"/>
        <v>9.2478728143776667E-3</v>
      </c>
      <c r="Z239" s="18">
        <f t="shared" si="36"/>
        <v>2.7832649243606511E-3</v>
      </c>
      <c r="AA239" s="18">
        <f t="shared" si="36"/>
        <v>2.6956563523206079E-4</v>
      </c>
      <c r="AB239" s="18">
        <f t="shared" si="36"/>
        <v>-3.4570731291956314E-3</v>
      </c>
      <c r="AC239" s="18">
        <f t="shared" si="36"/>
        <v>2.3620420499730344E-3</v>
      </c>
      <c r="AD239" s="18">
        <f t="shared" si="36"/>
        <v>1.59500449570249E-3</v>
      </c>
      <c r="AE239" s="18">
        <f t="shared" si="36"/>
        <v>9.4845985999536531E-4</v>
      </c>
      <c r="AF239" s="18">
        <f t="shared" si="36"/>
        <v>4.2031075949844343E-4</v>
      </c>
      <c r="AG239" s="18">
        <f t="shared" si="36"/>
        <v>9.2005527014826782E-6</v>
      </c>
      <c r="AH239" s="18">
        <f t="shared" si="36"/>
        <v>-2.2758811173184679E-4</v>
      </c>
      <c r="AI239" s="18">
        <f t="shared" si="36"/>
        <v>-1.7418090082066406E-4</v>
      </c>
    </row>
    <row r="240" spans="1:35" x14ac:dyDescent="0.25">
      <c r="A240" s="11" t="s">
        <v>1397</v>
      </c>
      <c r="B240" s="11"/>
      <c r="C240" s="18">
        <f t="shared" ref="C240:L240" si="37">SUM(C$25:C$29)/SUM(B$25:B$29)-1</f>
        <v>-1.6038348114192913E-2</v>
      </c>
      <c r="D240" s="18">
        <f t="shared" si="37"/>
        <v>-8.6853965644098086E-3</v>
      </c>
      <c r="E240" s="18">
        <f t="shared" si="37"/>
        <v>-6.4293155576707894E-3</v>
      </c>
      <c r="F240" s="18">
        <f t="shared" si="37"/>
        <v>4.6748003796224236E-3</v>
      </c>
      <c r="G240" s="18">
        <f t="shared" si="37"/>
        <v>2.2250743261909012E-3</v>
      </c>
      <c r="H240" s="18">
        <f t="shared" si="37"/>
        <v>-8.0008134741104131E-3</v>
      </c>
      <c r="I240" s="18">
        <f t="shared" si="37"/>
        <v>-7.7516673172518535E-3</v>
      </c>
      <c r="J240" s="18">
        <f t="shared" si="37"/>
        <v>4.9586872990396991E-3</v>
      </c>
      <c r="K240" s="18">
        <f t="shared" si="37"/>
        <v>2.2120207966369598E-4</v>
      </c>
      <c r="L240" s="18">
        <f t="shared" si="37"/>
        <v>3.6551180610202572E-3</v>
      </c>
      <c r="M240" s="18">
        <f>SUM(M$25:M$29)/SUM(L$25:L$29)-1</f>
        <v>1.3760789589064792E-2</v>
      </c>
      <c r="N240" s="18">
        <f t="shared" ref="N240:AI240" si="38">SUM(N$25:N$29)/SUM(M$25:M$29)-1</f>
        <v>2.8813397889233316E-2</v>
      </c>
      <c r="O240" s="18">
        <f t="shared" si="38"/>
        <v>1.6464017940548192E-2</v>
      </c>
      <c r="P240" s="18">
        <f t="shared" si="38"/>
        <v>3.6813224336997186E-2</v>
      </c>
      <c r="Q240" s="18">
        <f t="shared" si="38"/>
        <v>9.4711908334821349E-3</v>
      </c>
      <c r="R240" s="18">
        <f t="shared" si="38"/>
        <v>7.2744860150006918E-3</v>
      </c>
      <c r="S240" s="18">
        <f t="shared" si="38"/>
        <v>2.3754463825559125E-2</v>
      </c>
      <c r="T240" s="18">
        <f t="shared" si="38"/>
        <v>8.1905942131592635E-3</v>
      </c>
      <c r="U240" s="18">
        <f t="shared" si="38"/>
        <v>-8.1333515924028044E-3</v>
      </c>
      <c r="V240" s="18">
        <f t="shared" si="38"/>
        <v>-9.5650289083271112E-4</v>
      </c>
      <c r="W240" s="18">
        <f t="shared" si="38"/>
        <v>3.0938652889731522E-3</v>
      </c>
      <c r="X240" s="18">
        <f t="shared" si="38"/>
        <v>-1.8178433784206138E-3</v>
      </c>
      <c r="Y240" s="18">
        <f t="shared" si="38"/>
        <v>1.8660640461574118E-3</v>
      </c>
      <c r="Z240" s="18">
        <f t="shared" si="38"/>
        <v>-3.8092522685649888E-3</v>
      </c>
      <c r="AA240" s="18">
        <f t="shared" si="38"/>
        <v>-9.2960422918397789E-5</v>
      </c>
      <c r="AB240" s="18">
        <f t="shared" si="38"/>
        <v>1.3232006589070089E-3</v>
      </c>
      <c r="AC240" s="18">
        <f t="shared" si="38"/>
        <v>-5.9123892225143582E-4</v>
      </c>
      <c r="AD240" s="18">
        <f t="shared" si="38"/>
        <v>1.2749303911867571E-3</v>
      </c>
      <c r="AE240" s="18">
        <f t="shared" si="38"/>
        <v>8.2705164694152344E-4</v>
      </c>
      <c r="AF240" s="18">
        <f t="shared" si="38"/>
        <v>-1.3649609664551088E-3</v>
      </c>
      <c r="AG240" s="18">
        <f t="shared" si="38"/>
        <v>-5.139834576265212E-3</v>
      </c>
      <c r="AH240" s="18">
        <f t="shared" si="38"/>
        <v>6.1882135715318753E-4</v>
      </c>
      <c r="AI240" s="18">
        <f t="shared" si="38"/>
        <v>-1.6991339401217775E-4</v>
      </c>
    </row>
    <row r="241" spans="1:35" x14ac:dyDescent="0.25">
      <c r="A241" s="11" t="s">
        <v>1398</v>
      </c>
      <c r="B241" s="11"/>
      <c r="C241" s="18">
        <f t="shared" ref="C241:L241" si="39">SUM(C$30:C$34)/SUM(B$30:B$34)-1</f>
        <v>1.554383042387153E-2</v>
      </c>
      <c r="D241" s="18">
        <f t="shared" si="39"/>
        <v>3.8607929978988764E-3</v>
      </c>
      <c r="E241" s="18">
        <f t="shared" si="39"/>
        <v>-3.8653128141641346E-4</v>
      </c>
      <c r="F241" s="18">
        <f t="shared" si="39"/>
        <v>-2.7513098186242591E-3</v>
      </c>
      <c r="G241" s="18">
        <f t="shared" si="39"/>
        <v>-1.168264334413649E-2</v>
      </c>
      <c r="H241" s="18">
        <f t="shared" si="39"/>
        <v>-7.6416182671066313E-3</v>
      </c>
      <c r="I241" s="18">
        <f t="shared" si="39"/>
        <v>-6.5660598286492178E-3</v>
      </c>
      <c r="J241" s="18">
        <f t="shared" si="39"/>
        <v>-7.16457642363999E-3</v>
      </c>
      <c r="K241" s="18">
        <f t="shared" si="39"/>
        <v>4.7635116394577626E-3</v>
      </c>
      <c r="L241" s="18">
        <f t="shared" si="39"/>
        <v>8.2103728712885626E-3</v>
      </c>
      <c r="M241" s="18">
        <f>SUM(M$30:M$34)/SUM(L$30:L$34)-1</f>
        <v>5.0762100718073633E-3</v>
      </c>
      <c r="N241" s="18">
        <f t="shared" ref="N241:AI241" si="40">SUM(N$30:N$34)/SUM(M$30:M$34)-1</f>
        <v>-1.7782170663971364E-4</v>
      </c>
      <c r="O241" s="18">
        <f t="shared" si="40"/>
        <v>6.4958218104875787E-3</v>
      </c>
      <c r="P241" s="18">
        <f t="shared" si="40"/>
        <v>-3.6017955865970119E-3</v>
      </c>
      <c r="Q241" s="18">
        <f t="shared" si="40"/>
        <v>-1.3760108410302285E-3</v>
      </c>
      <c r="R241" s="18">
        <f t="shared" si="40"/>
        <v>6.1309757767868955E-3</v>
      </c>
      <c r="S241" s="18">
        <f t="shared" si="40"/>
        <v>4.6701479128080647E-2</v>
      </c>
      <c r="T241" s="18">
        <f t="shared" si="40"/>
        <v>2.8068931085705406E-2</v>
      </c>
      <c r="U241" s="18">
        <f t="shared" si="40"/>
        <v>1.9303406526874456E-2</v>
      </c>
      <c r="V241" s="18">
        <f t="shared" si="40"/>
        <v>1.9764962790469243E-2</v>
      </c>
      <c r="W241" s="18">
        <f t="shared" si="40"/>
        <v>1.1071126526211783E-2</v>
      </c>
      <c r="X241" s="18">
        <f t="shared" si="40"/>
        <v>3.7506695433315862E-3</v>
      </c>
      <c r="Y241" s="18">
        <f t="shared" si="40"/>
        <v>-1.041053248000634E-3</v>
      </c>
      <c r="Z241" s="18">
        <f t="shared" si="40"/>
        <v>-4.8429050211400426E-3</v>
      </c>
      <c r="AA241" s="18">
        <f t="shared" si="40"/>
        <v>-6.2873973934207683E-3</v>
      </c>
      <c r="AB241" s="18">
        <f t="shared" si="40"/>
        <v>-4.5321518629292123E-3</v>
      </c>
      <c r="AC241" s="18">
        <f t="shared" si="40"/>
        <v>-8.9343239514503292E-3</v>
      </c>
      <c r="AD241" s="18">
        <f t="shared" si="40"/>
        <v>-4.8775136080815296E-3</v>
      </c>
      <c r="AE241" s="18">
        <f t="shared" si="40"/>
        <v>-5.0439581206133122E-3</v>
      </c>
      <c r="AF241" s="18">
        <f t="shared" si="40"/>
        <v>-1.4310664775185611E-3</v>
      </c>
      <c r="AG241" s="18">
        <f t="shared" si="40"/>
        <v>-1.3386221996136705E-4</v>
      </c>
      <c r="AH241" s="18">
        <f t="shared" si="40"/>
        <v>-2.2613717360496777E-3</v>
      </c>
      <c r="AI241" s="18">
        <f t="shared" si="40"/>
        <v>-3.615460830231898E-4</v>
      </c>
    </row>
    <row r="242" spans="1:35" x14ac:dyDescent="0.25">
      <c r="A242" s="11" t="s">
        <v>926</v>
      </c>
      <c r="B242" s="11"/>
      <c r="C242" s="18">
        <f>SUM(C$31:C$34)/SUM(B$31:B$34)-1</f>
        <v>2.6295548318437056E-2</v>
      </c>
      <c r="D242" s="18">
        <f t="shared" ref="D242:U242" si="41">SUM(D$31:D$34)/SUM(C$31:C$34)-1</f>
        <v>6.5976756778252099E-3</v>
      </c>
      <c r="E242" s="18">
        <f t="shared" si="41"/>
        <v>4.9961512931062657E-3</v>
      </c>
      <c r="F242" s="18">
        <f t="shared" si="41"/>
        <v>-4.8762190921467496E-3</v>
      </c>
      <c r="G242" s="18">
        <f t="shared" si="41"/>
        <v>-1.1101841140114921E-2</v>
      </c>
      <c r="H242" s="18">
        <f t="shared" si="41"/>
        <v>-1.0191784185323516E-2</v>
      </c>
      <c r="I242" s="18">
        <f t="shared" si="41"/>
        <v>-6.9024483442401419E-3</v>
      </c>
      <c r="J242" s="18">
        <f t="shared" si="41"/>
        <v>-2.5889814854160864E-3</v>
      </c>
      <c r="K242" s="18">
        <f t="shared" si="41"/>
        <v>-2.5009781979873358E-3</v>
      </c>
      <c r="L242" s="18">
        <f t="shared" si="41"/>
        <v>9.419589252742E-3</v>
      </c>
      <c r="M242" s="18">
        <f t="shared" si="41"/>
        <v>1.0681205164694285E-2</v>
      </c>
      <c r="N242" s="18">
        <f t="shared" si="41"/>
        <v>1.2509207246511611E-3</v>
      </c>
      <c r="O242" s="18">
        <f t="shared" si="41"/>
        <v>2.6920739814992878E-3</v>
      </c>
      <c r="P242" s="18">
        <f t="shared" si="41"/>
        <v>-5.4532918054525092E-3</v>
      </c>
      <c r="Q242" s="18">
        <f t="shared" si="41"/>
        <v>-7.7267740803002027E-3</v>
      </c>
      <c r="R242" s="18">
        <f t="shared" si="41"/>
        <v>-2.0649648588596525E-3</v>
      </c>
      <c r="S242" s="18">
        <f t="shared" si="41"/>
        <v>4.4650344365132932E-2</v>
      </c>
      <c r="T242" s="18">
        <f t="shared" si="41"/>
        <v>3.5325008728987362E-2</v>
      </c>
      <c r="U242" s="18">
        <f t="shared" si="41"/>
        <v>1.7965787504736319E-2</v>
      </c>
      <c r="V242" s="18">
        <f t="shared" ref="V242:AI242" si="42">SUM(V$31:V$34)/SUM(U$31:U$34)-1</f>
        <v>2.6337732091961552E-2</v>
      </c>
      <c r="W242" s="18">
        <f t="shared" si="42"/>
        <v>1.4331954340819353E-2</v>
      </c>
      <c r="X242" s="18">
        <f t="shared" si="42"/>
        <v>4.9655192285833483E-3</v>
      </c>
      <c r="Y242" s="18">
        <f t="shared" si="42"/>
        <v>6.7336030788622825E-3</v>
      </c>
      <c r="Z242" s="18">
        <f t="shared" si="42"/>
        <v>-7.2051959063754722E-3</v>
      </c>
      <c r="AA242" s="18">
        <f t="shared" si="42"/>
        <v>-6.1545650406163999E-3</v>
      </c>
      <c r="AB242" s="18">
        <f t="shared" si="42"/>
        <v>-8.4940358002942862E-3</v>
      </c>
      <c r="AC242" s="18">
        <f t="shared" si="42"/>
        <v>-5.9835717531743216E-3</v>
      </c>
      <c r="AD242" s="18">
        <f t="shared" si="42"/>
        <v>-4.0099231272149316E-3</v>
      </c>
      <c r="AE242" s="18">
        <f t="shared" si="42"/>
        <v>-7.035934057927351E-3</v>
      </c>
      <c r="AF242" s="18">
        <f t="shared" si="42"/>
        <v>-4.8303547956820569E-3</v>
      </c>
      <c r="AG242" s="18">
        <f t="shared" si="42"/>
        <v>-4.6824056058640817E-3</v>
      </c>
      <c r="AH242" s="18">
        <f t="shared" si="42"/>
        <v>5.0899059074027697E-3</v>
      </c>
      <c r="AI242" s="18">
        <f t="shared" si="42"/>
        <v>-7.4792271382473352E-4</v>
      </c>
    </row>
    <row r="243" spans="1:35" x14ac:dyDescent="0.25">
      <c r="A243" s="11" t="s">
        <v>927</v>
      </c>
      <c r="B243" s="11"/>
      <c r="C243" s="18">
        <f>SUM(C$35:C$39)/SUM(B$35:B$39)-1</f>
        <v>-1.8997984469797391E-3</v>
      </c>
      <c r="D243" s="18">
        <f t="shared" ref="D243:U243" si="43">SUM(D$35:D$39)/SUM(C$35:C$39)-1</f>
        <v>-9.7627378712339397E-4</v>
      </c>
      <c r="E243" s="18">
        <f t="shared" si="43"/>
        <v>7.8765783414751489E-3</v>
      </c>
      <c r="F243" s="18">
        <f t="shared" si="43"/>
        <v>2.4823543349302035E-2</v>
      </c>
      <c r="G243" s="18">
        <f t="shared" si="43"/>
        <v>2.4259295759812893E-2</v>
      </c>
      <c r="H243" s="18">
        <f t="shared" si="43"/>
        <v>1.0553672016346827E-2</v>
      </c>
      <c r="I243" s="18">
        <f t="shared" si="43"/>
        <v>7.1153756377564381E-3</v>
      </c>
      <c r="J243" s="18">
        <f t="shared" si="43"/>
        <v>1.3698879598035063E-2</v>
      </c>
      <c r="K243" s="18">
        <f t="shared" si="43"/>
        <v>1.4560906814758745E-2</v>
      </c>
      <c r="L243" s="18">
        <f t="shared" si="43"/>
        <v>1.206989886522214E-2</v>
      </c>
      <c r="M243" s="18">
        <f t="shared" si="43"/>
        <v>7.1349765660801978E-3</v>
      </c>
      <c r="N243" s="18">
        <f t="shared" si="43"/>
        <v>-1.7901446131111109E-3</v>
      </c>
      <c r="O243" s="18">
        <f t="shared" si="43"/>
        <v>-3.8543562163089184E-3</v>
      </c>
      <c r="P243" s="18">
        <f t="shared" si="43"/>
        <v>7.6159112537002027E-3</v>
      </c>
      <c r="Q243" s="18">
        <f t="shared" si="43"/>
        <v>-1.3779758782306195E-2</v>
      </c>
      <c r="R243" s="18">
        <f t="shared" si="43"/>
        <v>-1.9260950465514681E-2</v>
      </c>
      <c r="S243" s="18">
        <f t="shared" si="43"/>
        <v>-4.0223599058935577E-2</v>
      </c>
      <c r="T243" s="18">
        <f t="shared" si="43"/>
        <v>2.6362392911052801E-2</v>
      </c>
      <c r="U243" s="18">
        <f t="shared" si="43"/>
        <v>7.1710517679304253E-3</v>
      </c>
      <c r="V243" s="18">
        <f t="shared" ref="V243:AI243" si="44">SUM(V$35:V$39)/SUM(U$35:U$39)-1</f>
        <v>5.4710803770225969E-3</v>
      </c>
      <c r="W243" s="18">
        <f t="shared" si="44"/>
        <v>2.0111755518585461E-2</v>
      </c>
      <c r="X243" s="18">
        <f t="shared" si="44"/>
        <v>2.9522562984688472E-2</v>
      </c>
      <c r="Y243" s="18">
        <f t="shared" si="44"/>
        <v>2.3110520300416049E-2</v>
      </c>
      <c r="Z243" s="18">
        <f t="shared" si="44"/>
        <v>2.4522083968868236E-2</v>
      </c>
      <c r="AA243" s="18">
        <f t="shared" si="44"/>
        <v>1.8262038028030059E-2</v>
      </c>
      <c r="AB243" s="18">
        <f t="shared" si="44"/>
        <v>8.3849949447718508E-3</v>
      </c>
      <c r="AC243" s="18">
        <f t="shared" si="44"/>
        <v>1.1893345431406299E-3</v>
      </c>
      <c r="AD243" s="18">
        <f t="shared" si="44"/>
        <v>-3.816585007238249E-3</v>
      </c>
      <c r="AE243" s="18">
        <f t="shared" si="44"/>
        <v>-9.4281466996375407E-3</v>
      </c>
      <c r="AF243" s="18">
        <f t="shared" si="44"/>
        <v>-1.0422623992160651E-2</v>
      </c>
      <c r="AG243" s="18">
        <f t="shared" si="44"/>
        <v>-7.937803435273616E-3</v>
      </c>
      <c r="AH243" s="18">
        <f t="shared" si="44"/>
        <v>-1.2047200606958408E-2</v>
      </c>
      <c r="AI243" s="18">
        <f t="shared" si="44"/>
        <v>-7.3391467334670279E-3</v>
      </c>
    </row>
    <row r="244" spans="1:35" x14ac:dyDescent="0.25">
      <c r="A244" s="11" t="s">
        <v>928</v>
      </c>
      <c r="B244" s="11"/>
      <c r="C244" s="18">
        <f>SUM(C$40:C$44)/SUM(B$40:B$44)-1</f>
        <v>1.7817371420800088E-2</v>
      </c>
      <c r="D244" s="18">
        <f t="shared" ref="D244:U244" si="45">SUM(D$40:D$44)/SUM(C$40:C$44)-1</f>
        <v>1.4666537513140954E-2</v>
      </c>
      <c r="E244" s="18">
        <f t="shared" si="45"/>
        <v>9.8073214614891047E-3</v>
      </c>
      <c r="F244" s="18">
        <f t="shared" si="45"/>
        <v>1.1337537862573521E-2</v>
      </c>
      <c r="G244" s="18">
        <f t="shared" si="45"/>
        <v>3.1718767027328898E-3</v>
      </c>
      <c r="H244" s="18">
        <f t="shared" si="45"/>
        <v>-1.4337031290928559E-3</v>
      </c>
      <c r="I244" s="18">
        <f t="shared" si="45"/>
        <v>9.0904537027076682E-3</v>
      </c>
      <c r="J244" s="18">
        <f t="shared" si="45"/>
        <v>3.6645630570751431E-2</v>
      </c>
      <c r="K244" s="18">
        <f t="shared" si="45"/>
        <v>5.6623391094337228E-2</v>
      </c>
      <c r="L244" s="18">
        <f t="shared" si="45"/>
        <v>7.0205502029406786E-2</v>
      </c>
      <c r="M244" s="18">
        <f t="shared" si="45"/>
        <v>5.7208291364206465E-2</v>
      </c>
      <c r="N244" s="18">
        <f t="shared" si="45"/>
        <v>3.0353735863084985E-2</v>
      </c>
      <c r="O244" s="18">
        <f t="shared" si="45"/>
        <v>1.3501373545731443E-2</v>
      </c>
      <c r="P244" s="18">
        <f t="shared" si="45"/>
        <v>1.7498746133180587E-2</v>
      </c>
      <c r="Q244" s="18">
        <f t="shared" si="45"/>
        <v>-3.0376908014553838E-2</v>
      </c>
      <c r="R244" s="18">
        <f t="shared" si="45"/>
        <v>-4.2901062322653338E-2</v>
      </c>
      <c r="S244" s="18">
        <f t="shared" si="45"/>
        <v>2.683498699115372E-2</v>
      </c>
      <c r="T244" s="18">
        <f t="shared" si="45"/>
        <v>-1.8841444448352451E-2</v>
      </c>
      <c r="U244" s="18">
        <f t="shared" si="45"/>
        <v>-2.4258959630461874E-2</v>
      </c>
      <c r="V244" s="18">
        <f t="shared" ref="V244:AI244" si="46">SUM(V$40:V$44)/SUM(U$40:U$44)-1</f>
        <v>-2.3560966784479387E-3</v>
      </c>
      <c r="W244" s="18">
        <f t="shared" si="46"/>
        <v>-2.2113073963416774E-3</v>
      </c>
      <c r="X244" s="18">
        <f t="shared" si="46"/>
        <v>-2.8382104930640972E-3</v>
      </c>
      <c r="Y244" s="18">
        <f t="shared" si="46"/>
        <v>5.3378356175513009E-3</v>
      </c>
      <c r="Z244" s="18">
        <f t="shared" si="46"/>
        <v>6.1638001114532326E-3</v>
      </c>
      <c r="AA244" s="18">
        <f t="shared" si="46"/>
        <v>1.0627705004537358E-2</v>
      </c>
      <c r="AB244" s="18">
        <f t="shared" si="46"/>
        <v>2.3270304620008231E-2</v>
      </c>
      <c r="AC244" s="18">
        <f t="shared" si="46"/>
        <v>2.9912955561685273E-2</v>
      </c>
      <c r="AD244" s="18">
        <f t="shared" si="46"/>
        <v>2.2713972202739185E-2</v>
      </c>
      <c r="AE244" s="18">
        <f t="shared" si="46"/>
        <v>2.6287618897423926E-2</v>
      </c>
      <c r="AF244" s="18">
        <f t="shared" si="46"/>
        <v>1.9530009571263163E-2</v>
      </c>
      <c r="AG244" s="18">
        <f t="shared" si="46"/>
        <v>9.5865717015075624E-3</v>
      </c>
      <c r="AH244" s="18">
        <f t="shared" si="46"/>
        <v>2.3436518131472184E-3</v>
      </c>
      <c r="AI244" s="18">
        <f t="shared" si="46"/>
        <v>-3.0432554588697425E-3</v>
      </c>
    </row>
    <row r="245" spans="1:35" x14ac:dyDescent="0.25">
      <c r="A245" s="11" t="s">
        <v>929</v>
      </c>
      <c r="B245" s="11"/>
      <c r="C245" s="18">
        <f>SUM(C$45:C$49)/SUM(B$45:B$49)-1</f>
        <v>-2.3328204551282483E-2</v>
      </c>
      <c r="D245" s="18">
        <f t="shared" ref="D245:U245" si="47">SUM(D$45:D$49)/SUM(C$45:C$49)-1</f>
        <v>-2.4521027790977312E-2</v>
      </c>
      <c r="E245" s="18">
        <f t="shared" si="47"/>
        <v>-1.2844051493260622E-2</v>
      </c>
      <c r="F245" s="18">
        <f t="shared" si="47"/>
        <v>-3.7323040134429331E-3</v>
      </c>
      <c r="G245" s="18">
        <f t="shared" si="47"/>
        <v>2.1064669711154949E-3</v>
      </c>
      <c r="H245" s="18">
        <f t="shared" si="47"/>
        <v>2.2718473863301281E-3</v>
      </c>
      <c r="I245" s="18">
        <f t="shared" si="47"/>
        <v>7.0502297618637577E-3</v>
      </c>
      <c r="J245" s="18">
        <f t="shared" si="47"/>
        <v>1.6228452875831856E-2</v>
      </c>
      <c r="K245" s="18">
        <f t="shared" si="47"/>
        <v>3.2285685555778265E-2</v>
      </c>
      <c r="L245" s="18">
        <f t="shared" si="47"/>
        <v>4.3773610996669321E-2</v>
      </c>
      <c r="M245" s="18">
        <f t="shared" si="47"/>
        <v>4.6968551720495189E-2</v>
      </c>
      <c r="N245" s="18">
        <f t="shared" si="47"/>
        <v>5.1690857708691196E-2</v>
      </c>
      <c r="O245" s="18">
        <f t="shared" si="47"/>
        <v>4.274499223550654E-2</v>
      </c>
      <c r="P245" s="18">
        <f t="shared" si="47"/>
        <v>4.9854229856080012E-2</v>
      </c>
      <c r="Q245" s="18">
        <f t="shared" si="47"/>
        <v>3.4203658633811251E-2</v>
      </c>
      <c r="R245" s="18">
        <f t="shared" si="47"/>
        <v>8.26729990678432E-3</v>
      </c>
      <c r="S245" s="18">
        <f t="shared" si="47"/>
        <v>4.5474801681498978E-2</v>
      </c>
      <c r="T245" s="18">
        <f t="shared" si="47"/>
        <v>-2.7355141770555313E-3</v>
      </c>
      <c r="U245" s="18">
        <f t="shared" si="47"/>
        <v>-2.6353083794044219E-2</v>
      </c>
      <c r="V245" s="18">
        <f t="shared" ref="V245:AI245" si="48">SUM(V$45:V$49)/SUM(U$45:U$49)-1</f>
        <v>-1.7607720886151368E-2</v>
      </c>
      <c r="W245" s="18">
        <f t="shared" si="48"/>
        <v>-1.4242644986027786E-2</v>
      </c>
      <c r="X245" s="18">
        <f t="shared" si="48"/>
        <v>-1.0724362023703526E-2</v>
      </c>
      <c r="Y245" s="18">
        <f t="shared" si="48"/>
        <v>-7.2795421304534536E-3</v>
      </c>
      <c r="Z245" s="18">
        <f t="shared" si="48"/>
        <v>4.3634725083614434E-3</v>
      </c>
      <c r="AA245" s="18">
        <f t="shared" si="48"/>
        <v>5.3974270932799495E-3</v>
      </c>
      <c r="AB245" s="18">
        <f t="shared" si="48"/>
        <v>1.8514345463036541E-3</v>
      </c>
      <c r="AC245" s="18">
        <f t="shared" si="48"/>
        <v>5.8861734263038201E-4</v>
      </c>
      <c r="AD245" s="18">
        <f t="shared" si="48"/>
        <v>6.5611073155287247E-3</v>
      </c>
      <c r="AE245" s="18">
        <f t="shared" si="48"/>
        <v>1.4894513494885242E-3</v>
      </c>
      <c r="AF245" s="18">
        <f t="shared" si="48"/>
        <v>5.4461976547708346E-3</v>
      </c>
      <c r="AG245" s="18">
        <f t="shared" si="48"/>
        <v>1.6911829224483643E-2</v>
      </c>
      <c r="AH245" s="18">
        <f t="shared" si="48"/>
        <v>2.2997242578403521E-2</v>
      </c>
      <c r="AI245" s="18">
        <f t="shared" si="48"/>
        <v>1.6714248789400754E-2</v>
      </c>
    </row>
    <row r="246" spans="1:35" x14ac:dyDescent="0.25">
      <c r="A246" s="11" t="s">
        <v>930</v>
      </c>
      <c r="B246" s="11"/>
      <c r="C246" s="18">
        <f>SUM(C$50:C$54)/SUM(B$50:B$54)-1</f>
        <v>1.4073188208088006E-2</v>
      </c>
      <c r="D246" s="18">
        <f t="shared" ref="D246:U246" si="49">SUM(D$50:D$54)/SUM(C$50:C$54)-1</f>
        <v>-1.4874862750132722E-3</v>
      </c>
      <c r="E246" s="18">
        <f t="shared" si="49"/>
        <v>-1.1896211644865651E-2</v>
      </c>
      <c r="F246" s="18">
        <f t="shared" si="49"/>
        <v>-1.6370881318205965E-2</v>
      </c>
      <c r="G246" s="18">
        <f t="shared" si="49"/>
        <v>-3.4252888775728296E-2</v>
      </c>
      <c r="H246" s="18">
        <f t="shared" si="49"/>
        <v>-3.5676652398317965E-2</v>
      </c>
      <c r="I246" s="18">
        <f t="shared" si="49"/>
        <v>-3.0963302924344571E-2</v>
      </c>
      <c r="J246" s="18">
        <f t="shared" si="49"/>
        <v>-1.3923653780334E-2</v>
      </c>
      <c r="K246" s="18">
        <f t="shared" si="49"/>
        <v>2.9828964971445604E-3</v>
      </c>
      <c r="L246" s="18">
        <f t="shared" si="49"/>
        <v>2.2641212006034195E-2</v>
      </c>
      <c r="M246" s="18">
        <f t="shared" si="49"/>
        <v>3.2974387926108184E-2</v>
      </c>
      <c r="N246" s="18">
        <f t="shared" si="49"/>
        <v>3.6329850743334502E-2</v>
      </c>
      <c r="O246" s="18">
        <f t="shared" si="49"/>
        <v>3.6282799794449927E-2</v>
      </c>
      <c r="P246" s="18">
        <f t="shared" si="49"/>
        <v>3.5475606274721905E-2</v>
      </c>
      <c r="Q246" s="18">
        <f t="shared" si="49"/>
        <v>2.9210306553478116E-2</v>
      </c>
      <c r="R246" s="18">
        <f t="shared" si="49"/>
        <v>1.216200865974737E-2</v>
      </c>
      <c r="S246" s="18">
        <f t="shared" si="49"/>
        <v>5.1839110684227974E-2</v>
      </c>
      <c r="T246" s="18">
        <f t="shared" si="49"/>
        <v>3.6074138617092411E-2</v>
      </c>
      <c r="U246" s="18">
        <f t="shared" si="49"/>
        <v>2.5414082718838937E-2</v>
      </c>
      <c r="V246" s="18">
        <f t="shared" ref="V246:AI246" si="50">SUM(V$50:V$54)/SUM(U$50:U$54)-1</f>
        <v>3.2151921954026941E-2</v>
      </c>
      <c r="W246" s="18">
        <f t="shared" si="50"/>
        <v>2.5600627229944495E-2</v>
      </c>
      <c r="X246" s="18">
        <f t="shared" si="50"/>
        <v>8.4333766420878753E-3</v>
      </c>
      <c r="Y246" s="18">
        <f t="shared" si="50"/>
        <v>1.2125246599561379E-3</v>
      </c>
      <c r="Z246" s="18">
        <f t="shared" si="50"/>
        <v>-6.3119795887818242E-3</v>
      </c>
      <c r="AA246" s="18">
        <f t="shared" si="50"/>
        <v>-1.2264787509538633E-2</v>
      </c>
      <c r="AB246" s="18">
        <f t="shared" si="50"/>
        <v>-1.2049973367958211E-2</v>
      </c>
      <c r="AC246" s="18">
        <f t="shared" si="50"/>
        <v>-9.0119175041871724E-3</v>
      </c>
      <c r="AD246" s="18">
        <f t="shared" si="50"/>
        <v>-6.5896350512596458E-3</v>
      </c>
      <c r="AE246" s="18">
        <f t="shared" si="50"/>
        <v>-9.9947152207691126E-4</v>
      </c>
      <c r="AF246" s="18">
        <f t="shared" si="50"/>
        <v>2.4579022844095633E-4</v>
      </c>
      <c r="AG246" s="18">
        <f t="shared" si="50"/>
        <v>-2.6961978827110267E-3</v>
      </c>
      <c r="AH246" s="18">
        <f t="shared" si="50"/>
        <v>-3.707395123043522E-3</v>
      </c>
      <c r="AI246" s="18">
        <f t="shared" si="50"/>
        <v>2.3644174433985476E-3</v>
      </c>
    </row>
    <row r="247" spans="1:35" x14ac:dyDescent="0.25">
      <c r="A247" s="11" t="s">
        <v>931</v>
      </c>
      <c r="B247" s="11"/>
      <c r="C247" s="18">
        <f>SUM(C$55:C$59)/SUM(B$55:B$59)-1</f>
        <v>-4.9849676860570513E-3</v>
      </c>
      <c r="D247" s="18">
        <f t="shared" ref="D247:U247" si="51">SUM(D$55:D$59)/SUM(C$55:C$59)-1</f>
        <v>-1.0696614343906896E-2</v>
      </c>
      <c r="E247" s="18">
        <f t="shared" si="51"/>
        <v>-2.8824157429747643E-3</v>
      </c>
      <c r="F247" s="18">
        <f t="shared" si="51"/>
        <v>5.6428530048759917E-3</v>
      </c>
      <c r="G247" s="18">
        <f t="shared" si="51"/>
        <v>1.3360706071056327E-2</v>
      </c>
      <c r="H247" s="18">
        <f t="shared" si="51"/>
        <v>5.1542057402502728E-3</v>
      </c>
      <c r="I247" s="18">
        <f t="shared" si="51"/>
        <v>-4.2312176467422802E-3</v>
      </c>
      <c r="J247" s="18">
        <f t="shared" si="51"/>
        <v>-1.2324818030672646E-2</v>
      </c>
      <c r="K247" s="18">
        <f t="shared" si="51"/>
        <v>-1.2724920568316422E-2</v>
      </c>
      <c r="L247" s="18">
        <f t="shared" si="51"/>
        <v>-2.4687993603176306E-2</v>
      </c>
      <c r="M247" s="18">
        <f t="shared" si="51"/>
        <v>-1.7080640916962264E-2</v>
      </c>
      <c r="N247" s="18">
        <f t="shared" si="51"/>
        <v>-1.2608487096106402E-2</v>
      </c>
      <c r="O247" s="18">
        <f t="shared" si="51"/>
        <v>8.3728772561508791E-4</v>
      </c>
      <c r="P247" s="18">
        <f t="shared" si="51"/>
        <v>1.0217749590230696E-2</v>
      </c>
      <c r="Q247" s="18">
        <f t="shared" si="51"/>
        <v>2.2410507549460945E-2</v>
      </c>
      <c r="R247" s="18">
        <f t="shared" si="51"/>
        <v>1.1281415033263409E-2</v>
      </c>
      <c r="S247" s="18">
        <f t="shared" si="51"/>
        <v>2.7838128618320912E-2</v>
      </c>
      <c r="T247" s="18">
        <f t="shared" si="51"/>
        <v>3.5627506560390376E-2</v>
      </c>
      <c r="U247" s="18">
        <f t="shared" si="51"/>
        <v>2.223764005874429E-2</v>
      </c>
      <c r="V247" s="18">
        <f t="shared" ref="V247:AI247" si="52">SUM(V$55:V$59)/SUM(U$55:U$59)-1</f>
        <v>2.2976605192276178E-2</v>
      </c>
      <c r="W247" s="18">
        <f t="shared" si="52"/>
        <v>2.3356006171446841E-2</v>
      </c>
      <c r="X247" s="18">
        <f t="shared" si="52"/>
        <v>3.2607849791507215E-2</v>
      </c>
      <c r="Y247" s="18">
        <f t="shared" si="52"/>
        <v>3.0781359227417315E-2</v>
      </c>
      <c r="Z247" s="18">
        <f t="shared" si="52"/>
        <v>3.3596322394670475E-2</v>
      </c>
      <c r="AA247" s="18">
        <f t="shared" si="52"/>
        <v>3.2841226430413206E-2</v>
      </c>
      <c r="AB247" s="18">
        <f t="shared" si="52"/>
        <v>2.4515432290633354E-2</v>
      </c>
      <c r="AC247" s="18">
        <f t="shared" si="52"/>
        <v>7.7190158683089205E-3</v>
      </c>
      <c r="AD247" s="18">
        <f t="shared" si="52"/>
        <v>-5.8545686688171727E-5</v>
      </c>
      <c r="AE247" s="18">
        <f t="shared" si="52"/>
        <v>-9.2037450854639546E-3</v>
      </c>
      <c r="AF247" s="18">
        <f t="shared" si="52"/>
        <v>-1.4824521602486262E-2</v>
      </c>
      <c r="AG247" s="18">
        <f t="shared" si="52"/>
        <v>-1.4382920052037451E-2</v>
      </c>
      <c r="AH247" s="18">
        <f t="shared" si="52"/>
        <v>-1.1398108266481355E-2</v>
      </c>
      <c r="AI247" s="18">
        <f t="shared" si="52"/>
        <v>-8.8478575509923774E-3</v>
      </c>
    </row>
    <row r="248" spans="1:35" x14ac:dyDescent="0.25">
      <c r="A248" s="11" t="s">
        <v>932</v>
      </c>
      <c r="B248" s="11"/>
      <c r="C248" s="18">
        <f>SUM(C$60:C$64)/SUM(B$60:B$64)-1</f>
        <v>3.3666061135733116E-2</v>
      </c>
      <c r="D248" s="18">
        <f t="shared" ref="D248:U248" si="53">SUM(D$60:D$64)/SUM(C$60:C$64)-1</f>
        <v>2.6348221594605592E-2</v>
      </c>
      <c r="E248" s="18">
        <f t="shared" si="53"/>
        <v>1.0147485078875418E-2</v>
      </c>
      <c r="F248" s="18">
        <f t="shared" si="53"/>
        <v>3.1218895962148441E-3</v>
      </c>
      <c r="G248" s="18">
        <f t="shared" si="53"/>
        <v>-8.1845643988308625E-3</v>
      </c>
      <c r="H248" s="18">
        <f t="shared" si="53"/>
        <v>-1.2644767100507659E-2</v>
      </c>
      <c r="I248" s="18">
        <f t="shared" si="53"/>
        <v>-1.2504606380097871E-2</v>
      </c>
      <c r="J248" s="18">
        <f t="shared" si="53"/>
        <v>-3.6119433598406081E-3</v>
      </c>
      <c r="K248" s="18">
        <f t="shared" si="53"/>
        <v>9.0445423333087582E-3</v>
      </c>
      <c r="L248" s="18">
        <f t="shared" si="53"/>
        <v>2.2067160679217768E-2</v>
      </c>
      <c r="M248" s="18">
        <f t="shared" si="53"/>
        <v>1.9797640875038436E-2</v>
      </c>
      <c r="N248" s="18">
        <f t="shared" si="53"/>
        <v>5.6903373624619391E-3</v>
      </c>
      <c r="O248" s="18">
        <f t="shared" si="53"/>
        <v>-6.3562116389281886E-4</v>
      </c>
      <c r="P248" s="18">
        <f t="shared" si="53"/>
        <v>-8.9202889297723686E-3</v>
      </c>
      <c r="Q248" s="18">
        <f t="shared" si="53"/>
        <v>-2.0019422429773615E-2</v>
      </c>
      <c r="R248" s="18">
        <f t="shared" si="53"/>
        <v>-3.0034366538978841E-2</v>
      </c>
      <c r="S248" s="18">
        <f t="shared" si="53"/>
        <v>-3.2493461088879627E-2</v>
      </c>
      <c r="T248" s="18">
        <f t="shared" si="53"/>
        <v>1.3677900190122605E-2</v>
      </c>
      <c r="U248" s="18">
        <f t="shared" si="53"/>
        <v>7.9724173226474182E-3</v>
      </c>
      <c r="V248" s="18">
        <f t="shared" ref="V248:AI248" si="54">SUM(V$60:V$64)/SUM(U$60:U$64)-1</f>
        <v>1.3891770373235079E-2</v>
      </c>
      <c r="W248" s="18">
        <f t="shared" si="54"/>
        <v>1.9060065691293149E-2</v>
      </c>
      <c r="X248" s="18">
        <f t="shared" si="54"/>
        <v>2.4384257885083693E-2</v>
      </c>
      <c r="Y248" s="18">
        <f t="shared" si="54"/>
        <v>2.2899600338188053E-2</v>
      </c>
      <c r="Z248" s="18">
        <f t="shared" si="54"/>
        <v>2.2899606451918242E-2</v>
      </c>
      <c r="AA248" s="18">
        <f t="shared" si="54"/>
        <v>2.2483831452791092E-2</v>
      </c>
      <c r="AB248" s="18">
        <f t="shared" si="54"/>
        <v>2.1630358577148678E-2</v>
      </c>
      <c r="AC248" s="18">
        <f t="shared" si="54"/>
        <v>3.0482391022748301E-2</v>
      </c>
      <c r="AD248" s="18">
        <f t="shared" si="54"/>
        <v>2.7946437161677551E-2</v>
      </c>
      <c r="AE248" s="18">
        <f t="shared" si="54"/>
        <v>3.131042359598335E-2</v>
      </c>
      <c r="AF248" s="18">
        <f t="shared" si="54"/>
        <v>3.0902178660167534E-2</v>
      </c>
      <c r="AG248" s="18">
        <f t="shared" si="54"/>
        <v>2.2859930245626048E-2</v>
      </c>
      <c r="AH248" s="18">
        <f t="shared" si="54"/>
        <v>6.2338740879268606E-3</v>
      </c>
      <c r="AI248" s="18">
        <f t="shared" si="54"/>
        <v>-1.1975692281642747E-3</v>
      </c>
    </row>
    <row r="249" spans="1:35" x14ac:dyDescent="0.25">
      <c r="A249" s="11" t="s">
        <v>933</v>
      </c>
      <c r="B249" s="11"/>
      <c r="C249" s="18">
        <f>SUM(C$65:C$69)/SUM(B$65:B$69)-1</f>
        <v>3.1013098128575889E-2</v>
      </c>
      <c r="D249" s="18">
        <f t="shared" ref="D249:U249" si="55">SUM(D$65:D$69)/SUM(C$65:C$69)-1</f>
        <v>2.7720913922347989E-2</v>
      </c>
      <c r="E249" s="18">
        <f t="shared" si="55"/>
        <v>2.7333584081979279E-2</v>
      </c>
      <c r="F249" s="18">
        <f t="shared" si="55"/>
        <v>2.9591462953473258E-2</v>
      </c>
      <c r="G249" s="18">
        <f t="shared" si="55"/>
        <v>3.0796061724112755E-2</v>
      </c>
      <c r="H249" s="18">
        <f t="shared" si="55"/>
        <v>2.7505931893643476E-2</v>
      </c>
      <c r="I249" s="18">
        <f t="shared" si="55"/>
        <v>2.2546506723725601E-2</v>
      </c>
      <c r="J249" s="18">
        <f t="shared" si="55"/>
        <v>8.9746545929649812E-3</v>
      </c>
      <c r="K249" s="18">
        <f t="shared" si="55"/>
        <v>5.3203983061254068E-3</v>
      </c>
      <c r="L249" s="18">
        <f t="shared" si="55"/>
        <v>-2.6791609156768814E-3</v>
      </c>
      <c r="M249" s="18">
        <f t="shared" si="55"/>
        <v>-3.2422067073489824E-4</v>
      </c>
      <c r="N249" s="18">
        <f t="shared" si="55"/>
        <v>-1.9003323737540878E-3</v>
      </c>
      <c r="O249" s="18">
        <f t="shared" si="55"/>
        <v>5.2237016318694707E-3</v>
      </c>
      <c r="P249" s="18">
        <f t="shared" si="55"/>
        <v>1.1188692503395936E-2</v>
      </c>
      <c r="Q249" s="18">
        <f t="shared" si="55"/>
        <v>2.5949854932079131E-2</v>
      </c>
      <c r="R249" s="18">
        <f t="shared" si="55"/>
        <v>8.4334043668863323E-3</v>
      </c>
      <c r="S249" s="18">
        <f t="shared" si="55"/>
        <v>-1.5205818107477453E-2</v>
      </c>
      <c r="T249" s="18">
        <f t="shared" si="55"/>
        <v>1.8816716832146252E-2</v>
      </c>
      <c r="U249" s="18">
        <f t="shared" si="55"/>
        <v>-4.9500116627030355E-3</v>
      </c>
      <c r="V249" s="18">
        <f t="shared" ref="V249:AI249" si="56">SUM(V$65:V$69)/SUM(U$65:U$69)-1</f>
        <v>-3.046471665840389E-2</v>
      </c>
      <c r="W249" s="18">
        <f t="shared" si="56"/>
        <v>-2.6622801616626668E-2</v>
      </c>
      <c r="X249" s="18">
        <f t="shared" si="56"/>
        <v>-1.8789194895529437E-2</v>
      </c>
      <c r="Y249" s="18">
        <f t="shared" si="56"/>
        <v>-7.4645417599562558E-3</v>
      </c>
      <c r="Z249" s="18">
        <f t="shared" si="56"/>
        <v>1.0710778914693186E-3</v>
      </c>
      <c r="AA249" s="18">
        <f t="shared" si="56"/>
        <v>1.2926441842942449E-2</v>
      </c>
      <c r="AB249" s="18">
        <f t="shared" si="56"/>
        <v>1.7517650003189722E-2</v>
      </c>
      <c r="AC249" s="18">
        <f t="shared" si="56"/>
        <v>2.2391591533540867E-2</v>
      </c>
      <c r="AD249" s="18">
        <f t="shared" si="56"/>
        <v>2.0283537806833118E-2</v>
      </c>
      <c r="AE249" s="18">
        <f t="shared" si="56"/>
        <v>2.2439253821604055E-2</v>
      </c>
      <c r="AF249" s="18">
        <f t="shared" si="56"/>
        <v>2.227596986067315E-2</v>
      </c>
      <c r="AG249" s="18">
        <f t="shared" si="56"/>
        <v>2.1422982311585681E-2</v>
      </c>
      <c r="AH249" s="18">
        <f t="shared" si="56"/>
        <v>3.0290664574470938E-2</v>
      </c>
      <c r="AI249" s="18">
        <f t="shared" si="56"/>
        <v>2.7958687514690883E-2</v>
      </c>
    </row>
    <row r="250" spans="1:35" x14ac:dyDescent="0.25">
      <c r="A250" s="11" t="s">
        <v>934</v>
      </c>
      <c r="B250" s="11"/>
      <c r="C250" s="18">
        <f>SUM(C$70:C$74)/SUM(B$70:B$74)-1</f>
        <v>5.816376906915055E-3</v>
      </c>
      <c r="D250" s="18">
        <f t="shared" ref="D250:U250" si="57">SUM(D$70:D$74)/SUM(C$70:C$74)-1</f>
        <v>6.0343991597195945E-3</v>
      </c>
      <c r="E250" s="18">
        <f t="shared" si="57"/>
        <v>1.7579919603171179E-2</v>
      </c>
      <c r="F250" s="18">
        <f t="shared" si="57"/>
        <v>2.0064532706739246E-2</v>
      </c>
      <c r="G250" s="18">
        <f t="shared" si="57"/>
        <v>2.8371231400608155E-2</v>
      </c>
      <c r="H250" s="18">
        <f t="shared" si="57"/>
        <v>2.878349908350919E-2</v>
      </c>
      <c r="I250" s="18">
        <f t="shared" si="57"/>
        <v>2.3843265594794438E-2</v>
      </c>
      <c r="J250" s="18">
        <f t="shared" si="57"/>
        <v>2.3591832038593497E-2</v>
      </c>
      <c r="K250" s="18">
        <f t="shared" si="57"/>
        <v>2.7936251583013272E-2</v>
      </c>
      <c r="L250" s="18">
        <f t="shared" si="57"/>
        <v>3.4799964560601859E-2</v>
      </c>
      <c r="M250" s="18">
        <f t="shared" si="57"/>
        <v>3.6761262934773109E-2</v>
      </c>
      <c r="N250" s="18">
        <f t="shared" si="57"/>
        <v>3.00782188707025E-2</v>
      </c>
      <c r="O250" s="18">
        <f t="shared" si="57"/>
        <v>1.8930755987525361E-2</v>
      </c>
      <c r="P250" s="18">
        <f t="shared" si="57"/>
        <v>1.2973776188771824E-2</v>
      </c>
      <c r="Q250" s="18">
        <f t="shared" si="57"/>
        <v>-1.8260516571818597E-3</v>
      </c>
      <c r="R250" s="18">
        <f t="shared" si="57"/>
        <v>-1.3478506118801858E-2</v>
      </c>
      <c r="S250" s="18">
        <f t="shared" si="57"/>
        <v>-1.4995268021784858E-2</v>
      </c>
      <c r="T250" s="18">
        <f t="shared" si="57"/>
        <v>2.6858204884412595E-2</v>
      </c>
      <c r="U250" s="18">
        <f t="shared" si="57"/>
        <v>1.3623616745084499E-2</v>
      </c>
      <c r="V250" s="18">
        <f t="shared" ref="V250:AI250" si="58">SUM(V$70:V$74)/SUM(U$70:U$74)-1</f>
        <v>1.9602579789037344E-2</v>
      </c>
      <c r="W250" s="18">
        <f t="shared" si="58"/>
        <v>1.3360058726959112E-2</v>
      </c>
      <c r="X250" s="18">
        <f t="shared" si="58"/>
        <v>2.3489918096555318E-3</v>
      </c>
      <c r="Y250" s="18">
        <f t="shared" si="58"/>
        <v>-5.5300301595248014E-3</v>
      </c>
      <c r="Z250" s="18">
        <f t="shared" si="58"/>
        <v>-1.2984524159576405E-2</v>
      </c>
      <c r="AA250" s="18">
        <f t="shared" si="58"/>
        <v>-3.010613683009844E-2</v>
      </c>
      <c r="AB250" s="18">
        <f t="shared" si="58"/>
        <v>-2.6372966497970496E-2</v>
      </c>
      <c r="AC250" s="18">
        <f t="shared" si="58"/>
        <v>-1.9277377182228883E-2</v>
      </c>
      <c r="AD250" s="18">
        <f t="shared" si="58"/>
        <v>-8.9380230816133999E-3</v>
      </c>
      <c r="AE250" s="18">
        <f t="shared" si="58"/>
        <v>1.5377369407980623E-3</v>
      </c>
      <c r="AF250" s="18">
        <f t="shared" si="58"/>
        <v>1.2979147141055636E-2</v>
      </c>
      <c r="AG250" s="18">
        <f t="shared" si="58"/>
        <v>1.7610896457197933E-2</v>
      </c>
      <c r="AH250" s="18">
        <f t="shared" si="58"/>
        <v>2.2271589410202575E-2</v>
      </c>
      <c r="AI250" s="18">
        <f t="shared" si="58"/>
        <v>2.0273683004166099E-2</v>
      </c>
    </row>
    <row r="251" spans="1:35" x14ac:dyDescent="0.25">
      <c r="A251" s="11" t="s">
        <v>935</v>
      </c>
      <c r="B251" s="11"/>
      <c r="C251" s="18">
        <f>SUM(C$75:C$79)/SUM(B$75:B$79)-1</f>
        <v>6.2273226469046206E-2</v>
      </c>
      <c r="D251" s="18">
        <f t="shared" ref="D251:U251" si="59">SUM(D$75:D$79)/SUM(C$75:C$79)-1</f>
        <v>7.3583911342386177E-2</v>
      </c>
      <c r="E251" s="18">
        <f t="shared" si="59"/>
        <v>4.552487729013488E-2</v>
      </c>
      <c r="F251" s="18">
        <f t="shared" si="59"/>
        <v>4.286816586560005E-2</v>
      </c>
      <c r="G251" s="18">
        <f t="shared" si="59"/>
        <v>3.3088883896684518E-2</v>
      </c>
      <c r="H251" s="18">
        <f t="shared" si="59"/>
        <v>5.716529629570033E-3</v>
      </c>
      <c r="I251" s="18">
        <f t="shared" si="59"/>
        <v>7.7077712955950783E-3</v>
      </c>
      <c r="J251" s="18">
        <f t="shared" si="59"/>
        <v>1.4040357514755408E-2</v>
      </c>
      <c r="K251" s="18">
        <f t="shared" si="59"/>
        <v>1.8441289102687275E-2</v>
      </c>
      <c r="L251" s="18">
        <f t="shared" si="59"/>
        <v>2.9568476603325733E-2</v>
      </c>
      <c r="M251" s="18">
        <f t="shared" si="59"/>
        <v>3.147677451419284E-2</v>
      </c>
      <c r="N251" s="18">
        <f t="shared" si="59"/>
        <v>3.0106252371513431E-2</v>
      </c>
      <c r="O251" s="18">
        <f t="shared" si="59"/>
        <v>3.5840984117662122E-2</v>
      </c>
      <c r="P251" s="18">
        <f t="shared" si="59"/>
        <v>3.7342532669677908E-2</v>
      </c>
      <c r="Q251" s="18">
        <f t="shared" si="59"/>
        <v>3.2971297238108654E-2</v>
      </c>
      <c r="R251" s="18">
        <f t="shared" si="59"/>
        <v>2.2979853297756536E-2</v>
      </c>
      <c r="S251" s="18">
        <f t="shared" si="59"/>
        <v>2.2300745270177336E-2</v>
      </c>
      <c r="T251" s="18">
        <f t="shared" si="59"/>
        <v>3.8414379349424044E-2</v>
      </c>
      <c r="U251" s="18">
        <f t="shared" si="59"/>
        <v>1.3362660910003932E-2</v>
      </c>
      <c r="V251" s="18">
        <f t="shared" ref="V251:AI251" si="60">SUM(V$75:V$79)/SUM(U$75:U$79)-1</f>
        <v>-3.8456357960148235E-3</v>
      </c>
      <c r="W251" s="18">
        <f t="shared" si="60"/>
        <v>-4.9930598375631519E-3</v>
      </c>
      <c r="X251" s="18">
        <f t="shared" si="60"/>
        <v>-3.5867754294897081E-3</v>
      </c>
      <c r="Y251" s="18">
        <f t="shared" si="60"/>
        <v>5.3135532600845359E-3</v>
      </c>
      <c r="Z251" s="18">
        <f t="shared" si="60"/>
        <v>7.7393750439802567E-3</v>
      </c>
      <c r="AA251" s="18">
        <f t="shared" si="60"/>
        <v>1.9294913331413754E-2</v>
      </c>
      <c r="AB251" s="18">
        <f t="shared" si="60"/>
        <v>1.2839808196809521E-2</v>
      </c>
      <c r="AC251" s="18">
        <f t="shared" si="60"/>
        <v>1.4911995992832328E-3</v>
      </c>
      <c r="AD251" s="18">
        <f t="shared" si="60"/>
        <v>-6.7202103549404146E-3</v>
      </c>
      <c r="AE251" s="18">
        <f t="shared" si="60"/>
        <v>-1.2868432763146531E-2</v>
      </c>
      <c r="AF251" s="18">
        <f t="shared" si="60"/>
        <v>-2.9458971618546714E-2</v>
      </c>
      <c r="AG251" s="18">
        <f t="shared" si="60"/>
        <v>-2.5927846474606775E-2</v>
      </c>
      <c r="AH251" s="18">
        <f t="shared" si="60"/>
        <v>-1.913206350473462E-2</v>
      </c>
      <c r="AI251" s="18">
        <f t="shared" si="60"/>
        <v>-8.936887876262567E-3</v>
      </c>
    </row>
    <row r="252" spans="1:35" x14ac:dyDescent="0.25">
      <c r="A252" s="11" t="s">
        <v>936</v>
      </c>
      <c r="B252" s="11"/>
      <c r="C252" s="18">
        <f>SUM(C$80:C$110)/SUM(B$80:B$110)-1</f>
        <v>2.6559630441027604E-2</v>
      </c>
      <c r="D252" s="18">
        <f t="shared" ref="D252:U252" si="61">SUM(D$80:D$110)/SUM(C$80:C$110)-1</f>
        <v>1.5665070985739549E-2</v>
      </c>
      <c r="E252" s="18">
        <f t="shared" si="61"/>
        <v>1.9283096935960087E-2</v>
      </c>
      <c r="F252" s="18">
        <f t="shared" si="61"/>
        <v>2.4412285265456912E-2</v>
      </c>
      <c r="G252" s="18">
        <f t="shared" si="61"/>
        <v>2.7357610820172074E-2</v>
      </c>
      <c r="H252" s="18">
        <f t="shared" si="61"/>
        <v>3.5590318237284535E-2</v>
      </c>
      <c r="I252" s="18">
        <f t="shared" si="61"/>
        <v>3.2659964248784812E-2</v>
      </c>
      <c r="J252" s="18">
        <f t="shared" si="61"/>
        <v>2.7479983044935707E-2</v>
      </c>
      <c r="K252" s="18">
        <f t="shared" si="61"/>
        <v>2.9959775496207763E-2</v>
      </c>
      <c r="L252" s="18">
        <f t="shared" si="61"/>
        <v>2.9493682360361095E-2</v>
      </c>
      <c r="M252" s="18">
        <f t="shared" si="61"/>
        <v>3.3094083407727126E-2</v>
      </c>
      <c r="N252" s="18">
        <f t="shared" si="61"/>
        <v>2.9507602965131108E-2</v>
      </c>
      <c r="O252" s="18">
        <f t="shared" si="61"/>
        <v>3.500629383248266E-2</v>
      </c>
      <c r="P252" s="18">
        <f t="shared" si="61"/>
        <v>3.8771731928206599E-2</v>
      </c>
      <c r="Q252" s="18">
        <f t="shared" si="61"/>
        <v>4.1104189998477647E-2</v>
      </c>
      <c r="R252" s="18">
        <f t="shared" si="61"/>
        <v>2.8165525380608125E-2</v>
      </c>
      <c r="S252" s="18">
        <f t="shared" si="61"/>
        <v>2.0262812654911144E-2</v>
      </c>
      <c r="T252" s="18">
        <f t="shared" si="61"/>
        <v>6.1516334250164784E-2</v>
      </c>
      <c r="U252" s="18">
        <f t="shared" si="61"/>
        <v>4.2592623048143707E-2</v>
      </c>
      <c r="V252" s="18">
        <f t="shared" ref="V252:AI252" si="62">SUM(V$80:V$110)/SUM(U$80:U$110)-1</f>
        <v>3.5630632736951107E-2</v>
      </c>
      <c r="W252" s="18">
        <f t="shared" si="62"/>
        <v>3.545258567005205E-2</v>
      </c>
      <c r="X252" s="18">
        <f t="shared" si="62"/>
        <v>3.4918698230139933E-2</v>
      </c>
      <c r="Y252" s="18">
        <f t="shared" si="62"/>
        <v>3.2334437903058122E-2</v>
      </c>
      <c r="Z252" s="18">
        <f t="shared" si="62"/>
        <v>2.6352882987327408E-2</v>
      </c>
      <c r="AA252" s="18">
        <f t="shared" si="62"/>
        <v>2.4065833870959175E-2</v>
      </c>
      <c r="AB252" s="18">
        <f t="shared" si="62"/>
        <v>2.3544848169266164E-2</v>
      </c>
      <c r="AC252" s="18">
        <f t="shared" si="62"/>
        <v>2.3209662680281573E-2</v>
      </c>
      <c r="AD252" s="18">
        <f t="shared" si="62"/>
        <v>2.2821259501855762E-2</v>
      </c>
      <c r="AE252" s="18">
        <f t="shared" si="62"/>
        <v>2.1015231687418812E-2</v>
      </c>
      <c r="AF252" s="18">
        <f t="shared" si="62"/>
        <v>2.1812382735409752E-2</v>
      </c>
      <c r="AG252" s="18">
        <f t="shared" si="62"/>
        <v>1.9745704768924455E-2</v>
      </c>
      <c r="AH252" s="18">
        <f t="shared" si="62"/>
        <v>1.6754669544521095E-2</v>
      </c>
      <c r="AI252" s="18">
        <f t="shared" si="62"/>
        <v>1.4661030543683395E-2</v>
      </c>
    </row>
    <row r="253" spans="1:35" x14ac:dyDescent="0.25">
      <c r="A253" s="11" t="s">
        <v>1399</v>
      </c>
      <c r="B253" s="11"/>
      <c r="C253" s="18">
        <f>SUM(C$80:C$84)/SUM(B$80:B$84)-1</f>
        <v>5.0292251642606534E-2</v>
      </c>
      <c r="D253" s="18">
        <f t="shared" ref="D253:AI253" si="63">SUM(D$80:D$84)/SUM(C$80:C$84)-1</f>
        <v>1.6537824769828013E-2</v>
      </c>
      <c r="E253" s="18">
        <f t="shared" si="63"/>
        <v>2.9418060695805215E-2</v>
      </c>
      <c r="F253" s="18">
        <f t="shared" si="63"/>
        <v>2.8265361467322947E-2</v>
      </c>
      <c r="G253" s="18">
        <f t="shared" si="63"/>
        <v>2.5847376111395093E-2</v>
      </c>
      <c r="H253" s="18">
        <f t="shared" si="63"/>
        <v>5.9455107595168588E-2</v>
      </c>
      <c r="I253" s="18">
        <f t="shared" si="63"/>
        <v>7.3858607368619156E-2</v>
      </c>
      <c r="J253" s="18">
        <f t="shared" si="63"/>
        <v>4.1633386731625865E-2</v>
      </c>
      <c r="K253" s="18">
        <f t="shared" si="63"/>
        <v>3.9453542516597162E-2</v>
      </c>
      <c r="L253" s="18">
        <f t="shared" si="63"/>
        <v>2.9863965856227637E-2</v>
      </c>
      <c r="M253" s="18">
        <f t="shared" si="63"/>
        <v>1.0351810256048921E-2</v>
      </c>
      <c r="N253" s="18">
        <f t="shared" si="63"/>
        <v>1.0668286800916915E-2</v>
      </c>
      <c r="O253" s="18">
        <f t="shared" si="63"/>
        <v>2.6424852876949512E-2</v>
      </c>
      <c r="P253" s="18">
        <f t="shared" si="63"/>
        <v>3.3221752004967353E-2</v>
      </c>
      <c r="Q253" s="18">
        <f t="shared" si="63"/>
        <v>3.2846655947411429E-2</v>
      </c>
      <c r="R253" s="18">
        <f t="shared" si="63"/>
        <v>2.0698739755520945E-2</v>
      </c>
      <c r="S253" s="18">
        <f t="shared" si="63"/>
        <v>1.9887898574161289E-2</v>
      </c>
      <c r="T253" s="18">
        <f t="shared" si="63"/>
        <v>5.712387190515078E-2</v>
      </c>
      <c r="U253" s="18">
        <f t="shared" si="63"/>
        <v>3.4804134474268444E-2</v>
      </c>
      <c r="V253" s="18">
        <f t="shared" si="63"/>
        <v>3.2363038197036342E-2</v>
      </c>
      <c r="W253" s="18">
        <f t="shared" si="63"/>
        <v>3.2822278153741946E-2</v>
      </c>
      <c r="X253" s="18">
        <f t="shared" si="63"/>
        <v>2.9734063231873442E-2</v>
      </c>
      <c r="Y253" s="18">
        <f t="shared" si="63"/>
        <v>1.8151109538757426E-2</v>
      </c>
      <c r="Z253" s="18">
        <f t="shared" si="63"/>
        <v>8.2044504855158795E-3</v>
      </c>
      <c r="AA253" s="18">
        <f t="shared" si="63"/>
        <v>-3.5698606954243095E-3</v>
      </c>
      <c r="AB253" s="18">
        <f t="shared" si="63"/>
        <v>-5.3006984533877644E-3</v>
      </c>
      <c r="AC253" s="18">
        <f t="shared" si="63"/>
        <v>-4.3057222226503544E-3</v>
      </c>
      <c r="AD253" s="18">
        <f t="shared" si="63"/>
        <v>3.7011856806861143E-3</v>
      </c>
      <c r="AE253" s="18">
        <f t="shared" si="63"/>
        <v>7.1577379008502806E-3</v>
      </c>
      <c r="AF253" s="18">
        <f t="shared" si="63"/>
        <v>1.8567961849548675E-2</v>
      </c>
      <c r="AG253" s="18">
        <f t="shared" si="63"/>
        <v>1.2311963563921058E-2</v>
      </c>
      <c r="AH253" s="18">
        <f t="shared" si="63"/>
        <v>1.1930869128522481E-3</v>
      </c>
      <c r="AI253" s="18">
        <f t="shared" si="63"/>
        <v>-6.8233150466063819E-3</v>
      </c>
    </row>
    <row r="254" spans="1:35" x14ac:dyDescent="0.25">
      <c r="A254" s="11" t="s">
        <v>1400</v>
      </c>
      <c r="B254" s="11"/>
      <c r="C254" s="18">
        <f>SUM(C$85:C$89)/SUM(B$85:B$89)-1</f>
        <v>2.0960010752814284E-2</v>
      </c>
      <c r="D254" s="18">
        <f t="shared" ref="D254:AI254" si="64">SUM(D$85:D$89)/SUM(C$85:C$89)-1</f>
        <v>2.2354888767771142E-2</v>
      </c>
      <c r="E254" s="18">
        <f t="shared" si="64"/>
        <v>3.1594956810198527E-2</v>
      </c>
      <c r="F254" s="18">
        <f t="shared" si="64"/>
        <v>4.8977502736639034E-2</v>
      </c>
      <c r="G254" s="18">
        <f t="shared" si="64"/>
        <v>5.8022412910013088E-2</v>
      </c>
      <c r="H254" s="18">
        <f t="shared" si="64"/>
        <v>5.1268677601606027E-2</v>
      </c>
      <c r="I254" s="18">
        <f t="shared" si="64"/>
        <v>1.6478870886640351E-2</v>
      </c>
      <c r="J254" s="18">
        <f t="shared" si="64"/>
        <v>2.7426784331573861E-2</v>
      </c>
      <c r="K254" s="18">
        <f t="shared" si="64"/>
        <v>2.6663965473848528E-2</v>
      </c>
      <c r="L254" s="18">
        <f t="shared" si="64"/>
        <v>2.440030274218441E-2</v>
      </c>
      <c r="M254" s="18">
        <f t="shared" si="64"/>
        <v>6.0095600238474711E-2</v>
      </c>
      <c r="N254" s="18">
        <f t="shared" si="64"/>
        <v>7.4645556405793512E-2</v>
      </c>
      <c r="O254" s="18">
        <f t="shared" si="64"/>
        <v>5.3125085567629737E-2</v>
      </c>
      <c r="P254" s="18">
        <f t="shared" si="64"/>
        <v>5.2127199292365978E-2</v>
      </c>
      <c r="Q254" s="18">
        <f t="shared" si="64"/>
        <v>3.9155574243124214E-2</v>
      </c>
      <c r="R254" s="18">
        <f t="shared" si="64"/>
        <v>4.9142282544210047E-3</v>
      </c>
      <c r="S254" s="18">
        <f t="shared" si="64"/>
        <v>-1.7024546271748875E-4</v>
      </c>
      <c r="T254" s="18">
        <f t="shared" si="64"/>
        <v>5.1507473384472036E-2</v>
      </c>
      <c r="U254" s="18">
        <f t="shared" si="64"/>
        <v>3.4650662818916267E-2</v>
      </c>
      <c r="V254" s="18">
        <f t="shared" si="64"/>
        <v>3.1870393988566059E-2</v>
      </c>
      <c r="W254" s="18">
        <f t="shared" si="64"/>
        <v>3.0660855028586731E-2</v>
      </c>
      <c r="X254" s="18">
        <f t="shared" si="64"/>
        <v>3.2204626373930623E-2</v>
      </c>
      <c r="Y254" s="18">
        <f t="shared" si="64"/>
        <v>3.4549700906570724E-2</v>
      </c>
      <c r="Z254" s="18">
        <f t="shared" si="64"/>
        <v>2.714648271037623E-2</v>
      </c>
      <c r="AA254" s="18">
        <f t="shared" si="64"/>
        <v>3.1612352127234455E-2</v>
      </c>
      <c r="AB254" s="18">
        <f t="shared" si="64"/>
        <v>3.1633825053519304E-2</v>
      </c>
      <c r="AC254" s="18">
        <f t="shared" si="64"/>
        <v>2.8375859408158233E-2</v>
      </c>
      <c r="AD254" s="18">
        <f t="shared" si="64"/>
        <v>1.6086932630175355E-2</v>
      </c>
      <c r="AE254" s="18">
        <f t="shared" si="64"/>
        <v>8.4412281223336105E-3</v>
      </c>
      <c r="AF254" s="18">
        <f t="shared" si="64"/>
        <v>-3.4245414378177852E-3</v>
      </c>
      <c r="AG254" s="18">
        <f t="shared" si="64"/>
        <v>-4.9838682838601045E-3</v>
      </c>
      <c r="AH254" s="18">
        <f t="shared" si="64"/>
        <v>-3.8999467519545972E-3</v>
      </c>
      <c r="AI254" s="18">
        <f t="shared" si="64"/>
        <v>4.13930263003226E-3</v>
      </c>
    </row>
    <row r="255" spans="1:35" x14ac:dyDescent="0.25">
      <c r="A255" s="11" t="s">
        <v>1401</v>
      </c>
      <c r="B255" s="11"/>
      <c r="C255" s="18">
        <f>SUM(C$90:C$94)/SUM(B$90:B$94)-1</f>
        <v>3.8726432255133947E-3</v>
      </c>
      <c r="D255" s="18">
        <f t="shared" ref="D255:AI255" si="65">SUM(D$90:D$94)/SUM(C$90:C$94)-1</f>
        <v>-8.7528682639725908E-5</v>
      </c>
      <c r="E255" s="18">
        <f t="shared" si="65"/>
        <v>-3.5585118277771111E-3</v>
      </c>
      <c r="F255" s="18">
        <f t="shared" si="65"/>
        <v>-5.3602535824233133E-3</v>
      </c>
      <c r="G255" s="18">
        <f t="shared" si="65"/>
        <v>4.8120797765887069E-3</v>
      </c>
      <c r="H255" s="18">
        <f t="shared" si="65"/>
        <v>2.0169174818035041E-2</v>
      </c>
      <c r="I255" s="18">
        <f t="shared" si="65"/>
        <v>2.2875605516789577E-2</v>
      </c>
      <c r="J255" s="18">
        <f t="shared" si="65"/>
        <v>3.0023791466712524E-2</v>
      </c>
      <c r="K255" s="18">
        <f t="shared" si="65"/>
        <v>5.1941220031206825E-2</v>
      </c>
      <c r="L255" s="18">
        <f t="shared" si="65"/>
        <v>5.943032783728297E-2</v>
      </c>
      <c r="M255" s="18">
        <f t="shared" si="65"/>
        <v>5.6805656857864983E-2</v>
      </c>
      <c r="N255" s="18">
        <f t="shared" si="65"/>
        <v>1.6521112103584645E-2</v>
      </c>
      <c r="O255" s="18">
        <f t="shared" si="65"/>
        <v>3.5216380116355861E-2</v>
      </c>
      <c r="P255" s="18">
        <f t="shared" si="65"/>
        <v>3.4080992491399842E-2</v>
      </c>
      <c r="Q255" s="18">
        <f t="shared" si="65"/>
        <v>3.774835969895074E-2</v>
      </c>
      <c r="R255" s="18">
        <f t="shared" si="65"/>
        <v>5.7776533047108503E-2</v>
      </c>
      <c r="S255" s="18">
        <f t="shared" si="65"/>
        <v>6.592974123331774E-2</v>
      </c>
      <c r="T255" s="18">
        <f t="shared" si="65"/>
        <v>8.0552722072087635E-2</v>
      </c>
      <c r="U255" s="18">
        <f t="shared" si="65"/>
        <v>5.7115471602437351E-2</v>
      </c>
      <c r="V255" s="18">
        <f t="shared" si="65"/>
        <v>3.5339726657318105E-2</v>
      </c>
      <c r="W255" s="18">
        <f t="shared" si="65"/>
        <v>1.3416913013312826E-2</v>
      </c>
      <c r="X255" s="18">
        <f t="shared" si="65"/>
        <v>1.6253979650691308E-2</v>
      </c>
      <c r="Y255" s="18">
        <f t="shared" si="65"/>
        <v>2.7954399214832559E-2</v>
      </c>
      <c r="Z255" s="18">
        <f t="shared" si="65"/>
        <v>2.6178979593211915E-2</v>
      </c>
      <c r="AA255" s="18">
        <f t="shared" si="65"/>
        <v>3.147701955090132E-2</v>
      </c>
      <c r="AB255" s="18">
        <f t="shared" si="65"/>
        <v>3.0150484647622822E-2</v>
      </c>
      <c r="AC255" s="18">
        <f t="shared" si="65"/>
        <v>3.1151461968350391E-2</v>
      </c>
      <c r="AD255" s="18">
        <f t="shared" si="65"/>
        <v>3.3001799289623879E-2</v>
      </c>
      <c r="AE255" s="18">
        <f t="shared" si="65"/>
        <v>2.8266823454265566E-2</v>
      </c>
      <c r="AF255" s="18">
        <f t="shared" si="65"/>
        <v>3.284296400844422E-2</v>
      </c>
      <c r="AG255" s="18">
        <f t="shared" si="65"/>
        <v>3.2583968286983955E-2</v>
      </c>
      <c r="AH255" s="18">
        <f t="shared" si="65"/>
        <v>2.9264176239031547E-2</v>
      </c>
      <c r="AI255" s="18">
        <f t="shared" si="65"/>
        <v>1.7171634662751956E-2</v>
      </c>
    </row>
    <row r="256" spans="1:35" x14ac:dyDescent="0.25">
      <c r="A256" s="11" t="s">
        <v>1402</v>
      </c>
      <c r="B256" s="11"/>
      <c r="C256" s="18">
        <f>SUM(C$95:C$99)/SUM(B$95:B$99)-1</f>
        <v>7.1152226902504445E-3</v>
      </c>
      <c r="D256" s="18">
        <f t="shared" ref="D256:AI256" si="66">SUM(D$95:D$99)/SUM(C$95:C$99)-1</f>
        <v>1.1370909304560861E-2</v>
      </c>
      <c r="E256" s="18">
        <f t="shared" si="66"/>
        <v>4.2166470793549848E-3</v>
      </c>
      <c r="F256" s="18">
        <f t="shared" si="66"/>
        <v>6.4216325662576068E-3</v>
      </c>
      <c r="G256" s="18">
        <f t="shared" si="66"/>
        <v>1.3581134188486832E-2</v>
      </c>
      <c r="H256" s="18">
        <f t="shared" si="66"/>
        <v>9.2750725093582176E-4</v>
      </c>
      <c r="I256" s="18">
        <f t="shared" si="66"/>
        <v>3.4727436016734892E-3</v>
      </c>
      <c r="J256" s="18">
        <f t="shared" si="66"/>
        <v>-3.5416373845990057E-3</v>
      </c>
      <c r="K256" s="18">
        <f t="shared" si="66"/>
        <v>-8.9695667871104723E-3</v>
      </c>
      <c r="L256" s="18">
        <f t="shared" si="66"/>
        <v>4.8485278658065845E-3</v>
      </c>
      <c r="M256" s="18">
        <f t="shared" si="66"/>
        <v>2.3679690323876068E-2</v>
      </c>
      <c r="N256" s="18">
        <f t="shared" si="66"/>
        <v>2.9328485263529158E-2</v>
      </c>
      <c r="O256" s="18">
        <f t="shared" si="66"/>
        <v>4.34975161546578E-2</v>
      </c>
      <c r="P256" s="18">
        <f t="shared" si="66"/>
        <v>5.9500137067616699E-2</v>
      </c>
      <c r="Q256" s="18">
        <f t="shared" si="66"/>
        <v>7.7682628159553513E-2</v>
      </c>
      <c r="R256" s="18">
        <f t="shared" si="66"/>
        <v>5.689641469083484E-2</v>
      </c>
      <c r="S256" s="18">
        <f t="shared" si="66"/>
        <v>5.2682929476841611E-3</v>
      </c>
      <c r="T256" s="18">
        <f t="shared" si="66"/>
        <v>6.3862522136504785E-2</v>
      </c>
      <c r="U256" s="18">
        <f t="shared" si="66"/>
        <v>4.2354357873836124E-2</v>
      </c>
      <c r="V256" s="18">
        <f t="shared" si="66"/>
        <v>3.3905744747390942E-2</v>
      </c>
      <c r="W256" s="18">
        <f t="shared" si="66"/>
        <v>6.8645719217866219E-2</v>
      </c>
      <c r="X256" s="18">
        <f t="shared" si="66"/>
        <v>8.4770278629026308E-2</v>
      </c>
      <c r="Y256" s="18">
        <f t="shared" si="66"/>
        <v>5.5585751439582554E-2</v>
      </c>
      <c r="Z256" s="18">
        <f t="shared" si="66"/>
        <v>4.719825686380541E-2</v>
      </c>
      <c r="AA256" s="18">
        <f t="shared" si="66"/>
        <v>3.422475156971938E-2</v>
      </c>
      <c r="AB256" s="18">
        <f t="shared" si="66"/>
        <v>1.4339207810563304E-2</v>
      </c>
      <c r="AC256" s="18">
        <f t="shared" si="66"/>
        <v>1.6726903360560152E-2</v>
      </c>
      <c r="AD256" s="18">
        <f t="shared" si="66"/>
        <v>2.7441710543182563E-2</v>
      </c>
      <c r="AE256" s="18">
        <f t="shared" si="66"/>
        <v>2.8564457814089117E-2</v>
      </c>
      <c r="AF256" s="18">
        <f t="shared" si="66"/>
        <v>3.3519045224677191E-2</v>
      </c>
      <c r="AG256" s="18">
        <f t="shared" si="66"/>
        <v>3.182940340017737E-2</v>
      </c>
      <c r="AH256" s="18">
        <f t="shared" si="66"/>
        <v>3.310826940520073E-2</v>
      </c>
      <c r="AI256" s="18">
        <f t="shared" si="66"/>
        <v>3.4786221016715357E-2</v>
      </c>
    </row>
    <row r="257" spans="1:35" x14ac:dyDescent="0.25">
      <c r="A257" s="11" t="s">
        <v>1403</v>
      </c>
      <c r="B257" s="11"/>
      <c r="C257" s="18">
        <f>SUM(C$100:C$104)/SUM(B$100:B$104)-1</f>
        <v>5.017876780880437E-2</v>
      </c>
      <c r="D257" s="18">
        <f t="shared" ref="D257:AI257" si="67">SUM(D$100:D$104)/SUM(C$100:C$104)-1</f>
        <v>3.0893648258613071E-2</v>
      </c>
      <c r="E257" s="18">
        <f t="shared" si="67"/>
        <v>3.5564706761496145E-2</v>
      </c>
      <c r="F257" s="18">
        <f t="shared" si="67"/>
        <v>2.2617800009933298E-2</v>
      </c>
      <c r="G257" s="18">
        <f t="shared" si="67"/>
        <v>1.2205560759199097E-2</v>
      </c>
      <c r="H257" s="18">
        <f t="shared" si="67"/>
        <v>4.2790696039289866E-3</v>
      </c>
      <c r="I257" s="18">
        <f t="shared" si="67"/>
        <v>1.0081000355356862E-2</v>
      </c>
      <c r="J257" s="18">
        <f t="shared" si="67"/>
        <v>1.4662947747399402E-2</v>
      </c>
      <c r="K257" s="18">
        <f t="shared" si="67"/>
        <v>1.029098351998825E-2</v>
      </c>
      <c r="L257" s="18">
        <f t="shared" si="67"/>
        <v>1.7864407152194284E-2</v>
      </c>
      <c r="M257" s="18">
        <f t="shared" si="67"/>
        <v>3.385038607798263E-3</v>
      </c>
      <c r="N257" s="18">
        <f t="shared" si="67"/>
        <v>5.0173300666180864E-3</v>
      </c>
      <c r="O257" s="18">
        <f t="shared" si="67"/>
        <v>4.7180791486105544E-3</v>
      </c>
      <c r="P257" s="18">
        <f t="shared" si="67"/>
        <v>2.3772423209895699E-3</v>
      </c>
      <c r="Q257" s="18">
        <f t="shared" si="67"/>
        <v>2.5843932372709988E-2</v>
      </c>
      <c r="R257" s="18">
        <f t="shared" si="67"/>
        <v>2.7332753697809631E-2</v>
      </c>
      <c r="S257" s="18">
        <f t="shared" si="67"/>
        <v>2.0985461910326908E-2</v>
      </c>
      <c r="T257" s="18">
        <f t="shared" si="67"/>
        <v>7.1910766783405355E-2</v>
      </c>
      <c r="U257" s="18">
        <f t="shared" si="67"/>
        <v>7.4393995092257859E-2</v>
      </c>
      <c r="V257" s="18">
        <f t="shared" si="67"/>
        <v>7.1854210558677023E-2</v>
      </c>
      <c r="W257" s="18">
        <f t="shared" si="67"/>
        <v>6.4653951997865278E-2</v>
      </c>
      <c r="X257" s="18">
        <f t="shared" si="67"/>
        <v>2.1485115408057087E-2</v>
      </c>
      <c r="Y257" s="18">
        <f t="shared" si="67"/>
        <v>3.9935873441862224E-2</v>
      </c>
      <c r="Z257" s="18">
        <f t="shared" si="67"/>
        <v>3.4627971577529504E-2</v>
      </c>
      <c r="AA257" s="18">
        <f t="shared" si="67"/>
        <v>3.732375391958298E-2</v>
      </c>
      <c r="AB257" s="18">
        <f t="shared" si="67"/>
        <v>7.4022570364525642E-2</v>
      </c>
      <c r="AC257" s="18">
        <f t="shared" si="67"/>
        <v>8.4434272681010558E-2</v>
      </c>
      <c r="AD257" s="18">
        <f t="shared" si="67"/>
        <v>5.3768521528766655E-2</v>
      </c>
      <c r="AE257" s="18">
        <f t="shared" si="67"/>
        <v>4.8299363838168796E-2</v>
      </c>
      <c r="AF257" s="18">
        <f t="shared" si="67"/>
        <v>3.4784192146777304E-2</v>
      </c>
      <c r="AG257" s="18">
        <f t="shared" si="67"/>
        <v>1.7695462476700952E-2</v>
      </c>
      <c r="AH257" s="18">
        <f t="shared" si="67"/>
        <v>2.0419936159565832E-2</v>
      </c>
      <c r="AI257" s="18">
        <f t="shared" si="67"/>
        <v>3.0785585800013671E-2</v>
      </c>
    </row>
    <row r="258" spans="1:35" x14ac:dyDescent="0.25">
      <c r="A258" s="11" t="s">
        <v>1404</v>
      </c>
      <c r="B258" s="11"/>
      <c r="C258" s="18">
        <f>SUM(C$105:C$110)/SUM(B$105:B$110)-1</f>
        <v>2.4425101894049117E-2</v>
      </c>
      <c r="D258" s="18">
        <f t="shared" ref="D258:AI258" si="68">SUM(D$105:D$110)/SUM(C$105:C$110)-1</f>
        <v>2.6794330216930673E-2</v>
      </c>
      <c r="E258" s="18">
        <f t="shared" si="68"/>
        <v>7.9037065758225111E-3</v>
      </c>
      <c r="F258" s="18">
        <f t="shared" si="68"/>
        <v>6.0128114101053232E-2</v>
      </c>
      <c r="G258" s="18">
        <f t="shared" si="68"/>
        <v>4.5925204823479282E-2</v>
      </c>
      <c r="H258" s="18">
        <f t="shared" si="68"/>
        <v>3.6169119242609682E-2</v>
      </c>
      <c r="I258" s="18">
        <f t="shared" si="68"/>
        <v>2.1825684193304884E-2</v>
      </c>
      <c r="J258" s="18">
        <f t="shared" si="68"/>
        <v>3.8077439383875644E-2</v>
      </c>
      <c r="K258" s="18">
        <f t="shared" si="68"/>
        <v>4.6667847403628837E-2</v>
      </c>
      <c r="L258" s="18">
        <f t="shared" si="68"/>
        <v>2.8343677158687797E-2</v>
      </c>
      <c r="M258" s="18">
        <f t="shared" si="68"/>
        <v>3.918368932265337E-2</v>
      </c>
      <c r="N258" s="18">
        <f t="shared" si="68"/>
        <v>1.9809562609535813E-2</v>
      </c>
      <c r="O258" s="18">
        <f t="shared" si="68"/>
        <v>2.4820431481186178E-2</v>
      </c>
      <c r="P258" s="18">
        <f t="shared" si="68"/>
        <v>2.8221847226289176E-2</v>
      </c>
      <c r="Q258" s="18">
        <f t="shared" si="68"/>
        <v>4.415070987352987E-2</v>
      </c>
      <c r="R258" s="18">
        <f t="shared" si="68"/>
        <v>1.1889995220172089E-2</v>
      </c>
      <c r="S258" s="18">
        <f t="shared" si="68"/>
        <v>-5.7407806906062397E-3</v>
      </c>
      <c r="T258" s="18">
        <f t="shared" si="68"/>
        <v>4.05713119352209E-2</v>
      </c>
      <c r="U258" s="18">
        <f t="shared" si="68"/>
        <v>2.1327595324959869E-2</v>
      </c>
      <c r="V258" s="18">
        <f t="shared" si="68"/>
        <v>2.1340807895320113E-2</v>
      </c>
      <c r="W258" s="18">
        <f t="shared" si="68"/>
        <v>2.7301272108734675E-2</v>
      </c>
      <c r="X258" s="18">
        <f t="shared" si="68"/>
        <v>3.8518309418448471E-2</v>
      </c>
      <c r="Y258" s="18">
        <f t="shared" si="68"/>
        <v>4.2504919565889532E-2</v>
      </c>
      <c r="Z258" s="18">
        <f t="shared" si="68"/>
        <v>5.3764216958254396E-2</v>
      </c>
      <c r="AA258" s="18">
        <f t="shared" si="68"/>
        <v>6.292905528647097E-2</v>
      </c>
      <c r="AB258" s="18">
        <f t="shared" si="68"/>
        <v>5.8196634056218999E-2</v>
      </c>
      <c r="AC258" s="18">
        <f t="shared" si="68"/>
        <v>2.3483783897640054E-2</v>
      </c>
      <c r="AD258" s="18">
        <f t="shared" si="68"/>
        <v>4.1820191834957665E-2</v>
      </c>
      <c r="AE258" s="18">
        <f t="shared" si="68"/>
        <v>4.6853119928417453E-2</v>
      </c>
      <c r="AF258" s="18">
        <f t="shared" si="68"/>
        <v>5.2005528366998677E-2</v>
      </c>
      <c r="AG258" s="18">
        <f t="shared" si="68"/>
        <v>8.1288234068711551E-2</v>
      </c>
      <c r="AH258" s="18">
        <f t="shared" si="68"/>
        <v>6.9761592996137045E-2</v>
      </c>
      <c r="AI258" s="18">
        <f t="shared" si="68"/>
        <v>5.1655385721339764E-2</v>
      </c>
    </row>
    <row r="259" spans="1:35" x14ac:dyDescent="0.25">
      <c r="A259" s="11" t="s">
        <v>1309</v>
      </c>
      <c r="B259" s="11"/>
      <c r="C259" s="18">
        <f>C$115/B$115-1</f>
        <v>5.1806574045719866E-2</v>
      </c>
      <c r="D259" s="18">
        <f t="shared" ref="D259:AI259" si="69">D$115/C$115-1</f>
        <v>3.6558175238295076E-2</v>
      </c>
      <c r="E259" s="18">
        <f t="shared" si="69"/>
        <v>7.6803005061210072E-4</v>
      </c>
      <c r="F259" s="18">
        <f t="shared" si="69"/>
        <v>6.0017075961682487E-4</v>
      </c>
      <c r="G259" s="18">
        <f t="shared" si="69"/>
        <v>-2.5251135619412279E-2</v>
      </c>
      <c r="H259" s="18">
        <f t="shared" si="69"/>
        <v>-2.3942209803639924E-2</v>
      </c>
      <c r="I259" s="18">
        <f t="shared" si="69"/>
        <v>-1.108670464677286E-2</v>
      </c>
      <c r="J259" s="18">
        <f t="shared" si="69"/>
        <v>-2.0457603414898884E-2</v>
      </c>
      <c r="K259" s="18">
        <f t="shared" si="69"/>
        <v>1.0121352927485283E-2</v>
      </c>
      <c r="L259" s="18">
        <f t="shared" si="69"/>
        <v>6.2568873103774347E-3</v>
      </c>
      <c r="M259" s="18">
        <f t="shared" si="69"/>
        <v>-5.6439065452015269E-3</v>
      </c>
      <c r="N259" s="18">
        <f t="shared" si="69"/>
        <v>-6.2164240284848793E-3</v>
      </c>
      <c r="O259" s="18">
        <f t="shared" si="69"/>
        <v>4.140811746746742E-4</v>
      </c>
      <c r="P259" s="18">
        <f t="shared" si="69"/>
        <v>-1.0002308755756584E-2</v>
      </c>
      <c r="Q259" s="18">
        <f t="shared" si="69"/>
        <v>2.8708644089084911E-2</v>
      </c>
      <c r="R259" s="18">
        <f t="shared" si="69"/>
        <v>-1.0110638200282351E-2</v>
      </c>
      <c r="S259" s="18">
        <f t="shared" si="69"/>
        <v>2.2192042267186185E-3</v>
      </c>
      <c r="T259" s="18">
        <f t="shared" si="69"/>
        <v>1.4446088093293952E-2</v>
      </c>
      <c r="U259" s="18">
        <f t="shared" si="69"/>
        <v>3.863360352447609E-3</v>
      </c>
      <c r="V259" s="18">
        <f t="shared" si="69"/>
        <v>1.0529529686893913E-2</v>
      </c>
      <c r="W259" s="18">
        <f t="shared" si="69"/>
        <v>1.1487712439200992E-2</v>
      </c>
      <c r="X259" s="18">
        <f t="shared" si="69"/>
        <v>1.0207929672752192E-2</v>
      </c>
      <c r="Y259" s="18">
        <f t="shared" si="69"/>
        <v>8.7803687779581807E-3</v>
      </c>
      <c r="Z259" s="18">
        <f t="shared" si="69"/>
        <v>1.4588275499343162E-3</v>
      </c>
      <c r="AA259" s="18">
        <f t="shared" si="69"/>
        <v>1.1987521697025549E-3</v>
      </c>
      <c r="AB259" s="18">
        <f t="shared" si="69"/>
        <v>1.2276136794620029E-3</v>
      </c>
      <c r="AC259" s="18">
        <f t="shared" si="69"/>
        <v>1.8315385541545215E-3</v>
      </c>
      <c r="AD259" s="18">
        <f t="shared" si="69"/>
        <v>2.1454539280998386E-3</v>
      </c>
      <c r="AE259" s="18">
        <f t="shared" si="69"/>
        <v>3.0303351508933485E-3</v>
      </c>
      <c r="AF259" s="18">
        <f t="shared" si="69"/>
        <v>3.3368080612479201E-3</v>
      </c>
      <c r="AG259" s="18">
        <f t="shared" si="69"/>
        <v>3.6402892130502629E-3</v>
      </c>
      <c r="AH259" s="18">
        <f t="shared" si="69"/>
        <v>4.2241203393542648E-3</v>
      </c>
      <c r="AI259" s="18">
        <f t="shared" si="69"/>
        <v>4.2360667321315049E-3</v>
      </c>
    </row>
    <row r="260" spans="1:35" x14ac:dyDescent="0.25">
      <c r="A260" s="11" t="s">
        <v>1310</v>
      </c>
      <c r="B260" s="11"/>
      <c r="C260" s="18">
        <f>C$116/B$116-1</f>
        <v>2.0836131481788422E-2</v>
      </c>
      <c r="D260" s="18">
        <f t="shared" ref="D260:AI260" si="70">D$116/C$116-1</f>
        <v>5.3880777469708097E-2</v>
      </c>
      <c r="E260" s="18">
        <f t="shared" si="70"/>
        <v>3.8242484826334522E-2</v>
      </c>
      <c r="F260" s="18">
        <f t="shared" si="70"/>
        <v>6.368738527743556E-3</v>
      </c>
      <c r="G260" s="18">
        <f t="shared" si="70"/>
        <v>-3.672072743061694E-4</v>
      </c>
      <c r="H260" s="18">
        <f t="shared" si="70"/>
        <v>-2.928958609231691E-2</v>
      </c>
      <c r="I260" s="18">
        <f t="shared" si="70"/>
        <v>-1.7342974711590409E-2</v>
      </c>
      <c r="J260" s="18">
        <f t="shared" si="70"/>
        <v>-8.8674752965076653E-3</v>
      </c>
      <c r="K260" s="18">
        <f t="shared" si="70"/>
        <v>-1.8218072323946788E-2</v>
      </c>
      <c r="L260" s="18">
        <f t="shared" si="70"/>
        <v>7.5718260719721542E-3</v>
      </c>
      <c r="M260" s="18">
        <f t="shared" si="70"/>
        <v>8.242545847330085E-4</v>
      </c>
      <c r="N260" s="18">
        <f t="shared" si="70"/>
        <v>-1.9772100913995061E-3</v>
      </c>
      <c r="O260" s="18">
        <f t="shared" si="70"/>
        <v>-1.3172721354711148E-2</v>
      </c>
      <c r="P260" s="18">
        <f t="shared" si="70"/>
        <v>1.5524556061041306E-2</v>
      </c>
      <c r="Q260" s="18">
        <f t="shared" si="70"/>
        <v>-2.6595520145292761E-2</v>
      </c>
      <c r="R260" s="18">
        <f t="shared" si="70"/>
        <v>2.8749443315103429E-2</v>
      </c>
      <c r="S260" s="18">
        <f t="shared" si="70"/>
        <v>8.2780577603775995E-3</v>
      </c>
      <c r="T260" s="18">
        <f t="shared" si="70"/>
        <v>2.6152171832283244E-4</v>
      </c>
      <c r="U260" s="18">
        <f t="shared" si="70"/>
        <v>4.1838707856147739E-3</v>
      </c>
      <c r="V260" s="18">
        <f t="shared" si="70"/>
        <v>1.05292650862292E-2</v>
      </c>
      <c r="W260" s="18">
        <f t="shared" si="70"/>
        <v>1.2154288837713301E-2</v>
      </c>
      <c r="X260" s="18">
        <f t="shared" si="70"/>
        <v>1.0873659597311347E-2</v>
      </c>
      <c r="Y260" s="18">
        <f t="shared" si="70"/>
        <v>9.1135108725568514E-3</v>
      </c>
      <c r="Z260" s="18">
        <f t="shared" si="70"/>
        <v>1.4573855209654152E-3</v>
      </c>
      <c r="AA260" s="18">
        <f t="shared" si="70"/>
        <v>1.1975689457270899E-3</v>
      </c>
      <c r="AB260" s="18">
        <f t="shared" si="70"/>
        <v>9.3874903541046884E-4</v>
      </c>
      <c r="AC260" s="18">
        <f t="shared" si="70"/>
        <v>9.681071531528751E-4</v>
      </c>
      <c r="AD260" s="18">
        <f t="shared" si="70"/>
        <v>1.5715934228841544E-3</v>
      </c>
      <c r="AE260" s="18">
        <f t="shared" si="70"/>
        <v>1.8859454283985944E-3</v>
      </c>
      <c r="AF260" s="18">
        <f t="shared" si="70"/>
        <v>2.770850077914E-3</v>
      </c>
      <c r="AG260" s="18">
        <f t="shared" si="70"/>
        <v>3.0785415598053589E-3</v>
      </c>
      <c r="AH260" s="18">
        <f t="shared" si="70"/>
        <v>3.6679235293688439E-3</v>
      </c>
      <c r="AI260" s="18">
        <f t="shared" si="70"/>
        <v>3.6843394439860511E-3</v>
      </c>
    </row>
    <row r="261" spans="1:35" x14ac:dyDescent="0.25">
      <c r="A261" s="11" t="s">
        <v>1311</v>
      </c>
      <c r="B261" s="11"/>
      <c r="C261" s="18">
        <f>C$117/B$117-1</f>
        <v>-6.5681550608321926E-3</v>
      </c>
      <c r="D261" s="18">
        <f t="shared" ref="D261:AI261" si="71">D$117/C$117-1</f>
        <v>2.3560312182919541E-2</v>
      </c>
      <c r="E261" s="18">
        <f t="shared" si="71"/>
        <v>5.4517636501539624E-2</v>
      </c>
      <c r="F261" s="18">
        <f t="shared" si="71"/>
        <v>4.1821769168389089E-2</v>
      </c>
      <c r="G261" s="18">
        <f t="shared" si="71"/>
        <v>1.7493775862744698E-3</v>
      </c>
      <c r="H261" s="18">
        <f t="shared" si="71"/>
        <v>-2.9382864173249645E-3</v>
      </c>
      <c r="I261" s="18">
        <f t="shared" si="71"/>
        <v>-2.655153101721075E-2</v>
      </c>
      <c r="J261" s="18">
        <f t="shared" si="71"/>
        <v>-5.5033482074048345E-3</v>
      </c>
      <c r="K261" s="18">
        <f t="shared" si="71"/>
        <v>-5.4200749958406291E-3</v>
      </c>
      <c r="L261" s="18">
        <f t="shared" si="71"/>
        <v>-1.7541829193262637E-2</v>
      </c>
      <c r="M261" s="18">
        <f t="shared" si="71"/>
        <v>3.6319041584118583E-3</v>
      </c>
      <c r="N261" s="18">
        <f t="shared" si="71"/>
        <v>3.1422370978353431E-3</v>
      </c>
      <c r="O261" s="18">
        <f t="shared" si="71"/>
        <v>-8.0013638250290287E-3</v>
      </c>
      <c r="P261" s="18">
        <f t="shared" si="71"/>
        <v>-1.0404396462090348E-3</v>
      </c>
      <c r="Q261" s="18">
        <f t="shared" si="71"/>
        <v>-7.0487847330739095E-3</v>
      </c>
      <c r="R261" s="18">
        <f t="shared" si="71"/>
        <v>-2.079135566037893E-2</v>
      </c>
      <c r="S261" s="18">
        <f t="shared" si="71"/>
        <v>4.3266718489531231E-2</v>
      </c>
      <c r="T261" s="18">
        <f t="shared" si="71"/>
        <v>6.9905308800808363E-3</v>
      </c>
      <c r="U261" s="18">
        <f t="shared" si="71"/>
        <v>-9.6320650033857591E-3</v>
      </c>
      <c r="V261" s="18">
        <f t="shared" si="71"/>
        <v>1.1526417830279856E-2</v>
      </c>
      <c r="W261" s="18">
        <f t="shared" si="71"/>
        <v>1.1818755751296317E-2</v>
      </c>
      <c r="X261" s="18">
        <f t="shared" si="71"/>
        <v>1.1537901918451166E-2</v>
      </c>
      <c r="Y261" s="18">
        <f t="shared" si="71"/>
        <v>9.7784219590510979E-3</v>
      </c>
      <c r="Z261" s="18">
        <f t="shared" si="71"/>
        <v>1.7372180452857044E-3</v>
      </c>
      <c r="AA261" s="18">
        <f t="shared" si="71"/>
        <v>1.1913462693082799E-3</v>
      </c>
      <c r="AB261" s="18">
        <f t="shared" si="71"/>
        <v>6.4771553267961579E-4</v>
      </c>
      <c r="AC261" s="18">
        <f t="shared" si="71"/>
        <v>9.6336287464038328E-4</v>
      </c>
      <c r="AD261" s="18">
        <f t="shared" si="71"/>
        <v>7.0679607744961181E-4</v>
      </c>
      <c r="AE261" s="18">
        <f t="shared" si="71"/>
        <v>1.3073354870747345E-3</v>
      </c>
      <c r="AF261" s="18">
        <f t="shared" si="71"/>
        <v>1.6207560052532433E-3</v>
      </c>
      <c r="AG261" s="18">
        <f t="shared" si="71"/>
        <v>2.502081098072928E-3</v>
      </c>
      <c r="AH261" s="18">
        <f t="shared" si="71"/>
        <v>2.8096685740188754E-3</v>
      </c>
      <c r="AI261" s="18">
        <f t="shared" si="71"/>
        <v>3.1147494212631077E-3</v>
      </c>
    </row>
    <row r="262" spans="1:35" x14ac:dyDescent="0.25">
      <c r="A262" s="11" t="s">
        <v>1312</v>
      </c>
      <c r="B262" s="11"/>
      <c r="C262" s="18">
        <f>C$118/B$118-1</f>
        <v>2.4481034915927014E-2</v>
      </c>
      <c r="D262" s="18">
        <f t="shared" ref="D262:AI262" si="72">D$118/C$118-1</f>
        <v>-3.891860024321403E-3</v>
      </c>
      <c r="E262" s="18">
        <f t="shared" si="72"/>
        <v>2.5180704257419029E-2</v>
      </c>
      <c r="F262" s="18">
        <f t="shared" si="72"/>
        <v>5.4086505776161697E-2</v>
      </c>
      <c r="G262" s="18">
        <f t="shared" si="72"/>
        <v>3.602140588411018E-2</v>
      </c>
      <c r="H262" s="18">
        <f t="shared" si="72"/>
        <v>1.9084338313288818E-3</v>
      </c>
      <c r="I262" s="18">
        <f t="shared" si="72"/>
        <v>2.3752082898114146E-3</v>
      </c>
      <c r="J262" s="18">
        <f t="shared" si="72"/>
        <v>-1.8622195938418407E-2</v>
      </c>
      <c r="K262" s="18">
        <f t="shared" si="72"/>
        <v>-3.0947208871403564E-3</v>
      </c>
      <c r="L262" s="18">
        <f t="shared" si="72"/>
        <v>-3.8481624622245247E-3</v>
      </c>
      <c r="M262" s="18">
        <f t="shared" si="72"/>
        <v>-2.0644591095488773E-2</v>
      </c>
      <c r="N262" s="18">
        <f t="shared" si="72"/>
        <v>7.8519812715520665E-3</v>
      </c>
      <c r="O262" s="18">
        <f t="shared" si="72"/>
        <v>-4.5485017158476415E-3</v>
      </c>
      <c r="P262" s="18">
        <f t="shared" si="72"/>
        <v>9.1500788257219412E-3</v>
      </c>
      <c r="Q262" s="18">
        <f t="shared" si="72"/>
        <v>-2.688701989076836E-2</v>
      </c>
      <c r="R262" s="18">
        <f t="shared" si="72"/>
        <v>1.0733580479018734E-3</v>
      </c>
      <c r="S262" s="18">
        <f t="shared" si="72"/>
        <v>-9.9250335795998401E-3</v>
      </c>
      <c r="T262" s="18">
        <f t="shared" si="72"/>
        <v>4.1544163074571427E-2</v>
      </c>
      <c r="U262" s="18">
        <f t="shared" si="72"/>
        <v>-2.9445658944549091E-3</v>
      </c>
      <c r="V262" s="18">
        <f t="shared" si="72"/>
        <v>-2.5150437797226699E-3</v>
      </c>
      <c r="W262" s="18">
        <f t="shared" si="72"/>
        <v>1.2478438256102287E-2</v>
      </c>
      <c r="X262" s="18">
        <f t="shared" si="72"/>
        <v>1.1866654840646751E-2</v>
      </c>
      <c r="Y262" s="18">
        <f t="shared" si="72"/>
        <v>1.0108013468014265E-2</v>
      </c>
      <c r="Z262" s="18">
        <f t="shared" si="72"/>
        <v>2.3006577020658892E-3</v>
      </c>
      <c r="AA262" s="18">
        <f t="shared" si="72"/>
        <v>1.1852360375284032E-3</v>
      </c>
      <c r="AB262" s="18">
        <f t="shared" si="72"/>
        <v>9.2909297353260811E-4</v>
      </c>
      <c r="AC262" s="18">
        <f t="shared" si="72"/>
        <v>6.7372707587920466E-4</v>
      </c>
      <c r="AD262" s="18">
        <f t="shared" si="72"/>
        <v>4.1894133859443627E-4</v>
      </c>
      <c r="AE262" s="18">
        <f t="shared" si="72"/>
        <v>7.3278176796098826E-4</v>
      </c>
      <c r="AF262" s="18">
        <f t="shared" si="72"/>
        <v>1.0460311231383912E-3</v>
      </c>
      <c r="AG262" s="18">
        <f t="shared" si="72"/>
        <v>1.358396129613082E-3</v>
      </c>
      <c r="AH262" s="18">
        <f t="shared" si="72"/>
        <v>1.9528175052601071E-3</v>
      </c>
      <c r="AI262" s="18">
        <f t="shared" si="72"/>
        <v>2.5441134285468792E-3</v>
      </c>
    </row>
    <row r="263" spans="1:35" x14ac:dyDescent="0.25">
      <c r="A263" s="11" t="s">
        <v>1313</v>
      </c>
      <c r="B263" s="11"/>
      <c r="C263" s="18">
        <f>C$119/B$119-1</f>
        <v>1.5130026055881318E-2</v>
      </c>
      <c r="D263" s="18">
        <f t="shared" ref="D263:AI263" si="73">D$119/C$119-1</f>
        <v>2.7082594386724779E-2</v>
      </c>
      <c r="E263" s="18">
        <f t="shared" si="73"/>
        <v>-1.8895101817739679E-3</v>
      </c>
      <c r="F263" s="18">
        <f t="shared" si="73"/>
        <v>2.2746683778507526E-2</v>
      </c>
      <c r="G263" s="18">
        <f t="shared" si="73"/>
        <v>5.2018742192782907E-2</v>
      </c>
      <c r="H263" s="18">
        <f t="shared" si="73"/>
        <v>3.3092983185481817E-2</v>
      </c>
      <c r="I263" s="18">
        <f t="shared" si="73"/>
        <v>6.0399219227795786E-3</v>
      </c>
      <c r="J263" s="18">
        <f t="shared" si="73"/>
        <v>9.4047596854029969E-3</v>
      </c>
      <c r="K263" s="18">
        <f t="shared" si="73"/>
        <v>-1.413721665318346E-2</v>
      </c>
      <c r="L263" s="18">
        <f t="shared" si="73"/>
        <v>-4.7430967183166306E-3</v>
      </c>
      <c r="M263" s="18">
        <f t="shared" si="73"/>
        <v>-7.6248383395128849E-3</v>
      </c>
      <c r="N263" s="18">
        <f t="shared" si="73"/>
        <v>-1.20808245183881E-2</v>
      </c>
      <c r="O263" s="18">
        <f t="shared" si="73"/>
        <v>1.3131043301828349E-3</v>
      </c>
      <c r="P263" s="18">
        <f t="shared" si="73"/>
        <v>7.854004502285461E-3</v>
      </c>
      <c r="Q263" s="18">
        <f t="shared" si="73"/>
        <v>-1.4688525312945511E-2</v>
      </c>
      <c r="R263" s="18">
        <f t="shared" si="73"/>
        <v>-1.8826561629376237E-2</v>
      </c>
      <c r="S263" s="18">
        <f t="shared" si="73"/>
        <v>1.3564715173374653E-2</v>
      </c>
      <c r="T263" s="18">
        <f t="shared" si="73"/>
        <v>-1.1196254277996087E-2</v>
      </c>
      <c r="U263" s="18">
        <f t="shared" si="73"/>
        <v>3.1563073596321711E-2</v>
      </c>
      <c r="V263" s="18">
        <f t="shared" si="73"/>
        <v>4.0862526934706267E-3</v>
      </c>
      <c r="W263" s="18">
        <f t="shared" si="73"/>
        <v>-1.1958799144555776E-3</v>
      </c>
      <c r="X263" s="18">
        <f t="shared" si="73"/>
        <v>1.2521913280758135E-2</v>
      </c>
      <c r="Y263" s="18">
        <f t="shared" si="73"/>
        <v>1.0106423947823018E-2</v>
      </c>
      <c r="Z263" s="18">
        <f t="shared" si="73"/>
        <v>2.5745824797760442E-3</v>
      </c>
      <c r="AA263" s="18">
        <f t="shared" si="73"/>
        <v>2.0304995953845939E-3</v>
      </c>
      <c r="AB263" s="18">
        <f t="shared" si="73"/>
        <v>1.20691853485555E-3</v>
      </c>
      <c r="AC263" s="18">
        <f t="shared" si="73"/>
        <v>6.6972792069464049E-4</v>
      </c>
      <c r="AD263" s="18">
        <f t="shared" si="73"/>
        <v>1.339025246824832E-4</v>
      </c>
      <c r="AE263" s="18">
        <f t="shared" si="73"/>
        <v>4.4612671944088689E-4</v>
      </c>
      <c r="AF263" s="18">
        <f t="shared" si="73"/>
        <v>1.9325089115995731E-4</v>
      </c>
      <c r="AG263" s="18">
        <f t="shared" si="73"/>
        <v>7.8759145961226906E-4</v>
      </c>
      <c r="AH263" s="18">
        <f t="shared" si="73"/>
        <v>1.0987686610994807E-3</v>
      </c>
      <c r="AI263" s="18">
        <f t="shared" si="73"/>
        <v>1.9726244866631326E-3</v>
      </c>
    </row>
    <row r="264" spans="1:35" x14ac:dyDescent="0.25">
      <c r="A264" s="11" t="s">
        <v>1314</v>
      </c>
      <c r="B264" s="11"/>
      <c r="C264" s="18">
        <f>C$120/B$120-1</f>
        <v>-4.2080258970082718E-2</v>
      </c>
      <c r="D264" s="18">
        <f t="shared" ref="D264:AI264" si="74">D$120/C$120-1</f>
        <v>1.8337493555618201E-2</v>
      </c>
      <c r="E264" s="18">
        <f t="shared" si="74"/>
        <v>2.6938111019711775E-2</v>
      </c>
      <c r="F264" s="18">
        <f t="shared" si="74"/>
        <v>-1.8770138351259513E-3</v>
      </c>
      <c r="G264" s="18">
        <f t="shared" si="74"/>
        <v>1.7906625611859628E-2</v>
      </c>
      <c r="H264" s="18">
        <f t="shared" si="74"/>
        <v>4.8650530140122772E-2</v>
      </c>
      <c r="I264" s="18">
        <f t="shared" si="74"/>
        <v>3.6239165522870431E-2</v>
      </c>
      <c r="J264" s="18">
        <f t="shared" si="74"/>
        <v>1.3732468805296438E-2</v>
      </c>
      <c r="K264" s="18">
        <f t="shared" si="74"/>
        <v>1.2541150796471445E-2</v>
      </c>
      <c r="L264" s="18">
        <f t="shared" si="74"/>
        <v>-1.3355940676655242E-2</v>
      </c>
      <c r="M264" s="18">
        <f t="shared" si="74"/>
        <v>-9.4384094783671602E-3</v>
      </c>
      <c r="N264" s="18">
        <f t="shared" si="74"/>
        <v>-7.0507178559775507E-4</v>
      </c>
      <c r="O264" s="18">
        <f t="shared" si="74"/>
        <v>-1.4860842310360334E-2</v>
      </c>
      <c r="P264" s="18">
        <f t="shared" si="74"/>
        <v>1.3060324197649464E-2</v>
      </c>
      <c r="Q264" s="18">
        <f t="shared" si="74"/>
        <v>-1.5477412741386032E-2</v>
      </c>
      <c r="R264" s="18">
        <f t="shared" si="74"/>
        <v>-9.0295971999259095E-3</v>
      </c>
      <c r="S264" s="18">
        <f t="shared" si="74"/>
        <v>4.6831185886717641E-3</v>
      </c>
      <c r="T264" s="18">
        <f t="shared" si="74"/>
        <v>8.0086980534799235E-3</v>
      </c>
      <c r="U264" s="18">
        <f t="shared" si="74"/>
        <v>-2.4934401139019458E-2</v>
      </c>
      <c r="V264" s="18">
        <f t="shared" si="74"/>
        <v>3.8906267370180103E-2</v>
      </c>
      <c r="W264" s="18">
        <f t="shared" si="74"/>
        <v>5.4903791426583748E-3</v>
      </c>
      <c r="X264" s="18">
        <f t="shared" si="74"/>
        <v>-1.3567148239749249E-3</v>
      </c>
      <c r="Y264" s="18">
        <f t="shared" si="74"/>
        <v>1.0766813340443049E-2</v>
      </c>
      <c r="Z264" s="18">
        <f t="shared" si="74"/>
        <v>3.6049406495888281E-3</v>
      </c>
      <c r="AA264" s="18">
        <f t="shared" si="74"/>
        <v>3.5059946661613051E-3</v>
      </c>
      <c r="AB264" s="18">
        <f t="shared" si="74"/>
        <v>2.2847799196044072E-3</v>
      </c>
      <c r="AC264" s="18">
        <f t="shared" si="74"/>
        <v>1.6337160840920184E-3</v>
      </c>
      <c r="AD264" s="18">
        <f t="shared" si="74"/>
        <v>9.862493166254982E-4</v>
      </c>
      <c r="AE264" s="18">
        <f t="shared" si="74"/>
        <v>6.2055534505778276E-4</v>
      </c>
      <c r="AF264" s="18">
        <f t="shared" si="74"/>
        <v>2.5567444269536388E-4</v>
      </c>
      <c r="AG264" s="18">
        <f t="shared" si="74"/>
        <v>4.4960591373732761E-4</v>
      </c>
      <c r="AH264" s="18">
        <f t="shared" si="74"/>
        <v>6.4331349993729248E-4</v>
      </c>
      <c r="AI264" s="18">
        <f t="shared" si="74"/>
        <v>8.3668489008470459E-4</v>
      </c>
    </row>
    <row r="265" spans="1:35" x14ac:dyDescent="0.25">
      <c r="A265" s="11" t="s">
        <v>1315</v>
      </c>
      <c r="B265" s="11"/>
      <c r="C265" s="18">
        <f>C$121/B$121-1</f>
        <v>-1.5743544203728699E-2</v>
      </c>
      <c r="D265" s="18">
        <f t="shared" ref="D265:AI265" si="75">D$121/C$121-1</f>
        <v>-4.0223408118450821E-2</v>
      </c>
      <c r="E265" s="18">
        <f t="shared" si="75"/>
        <v>1.6119329665891247E-2</v>
      </c>
      <c r="F265" s="18">
        <f t="shared" si="75"/>
        <v>2.7191986677979729E-2</v>
      </c>
      <c r="G265" s="18">
        <f t="shared" si="75"/>
        <v>-5.6090485596013151E-3</v>
      </c>
      <c r="H265" s="18">
        <f t="shared" si="75"/>
        <v>1.3088596553949783E-2</v>
      </c>
      <c r="I265" s="18">
        <f t="shared" si="75"/>
        <v>5.0679933060555404E-2</v>
      </c>
      <c r="J265" s="18">
        <f t="shared" si="75"/>
        <v>4.6914930414608813E-2</v>
      </c>
      <c r="K265" s="18">
        <f t="shared" si="75"/>
        <v>1.5644492552269851E-2</v>
      </c>
      <c r="L265" s="18">
        <f t="shared" si="75"/>
        <v>8.2025264921032903E-3</v>
      </c>
      <c r="M265" s="18">
        <f t="shared" si="75"/>
        <v>-1.3544189178880228E-2</v>
      </c>
      <c r="N265" s="18">
        <f t="shared" si="75"/>
        <v>-4.2934305706275877E-3</v>
      </c>
      <c r="O265" s="18">
        <f t="shared" si="75"/>
        <v>-7.0162661838643059E-3</v>
      </c>
      <c r="P265" s="18">
        <f t="shared" si="75"/>
        <v>8.4333821426429978E-4</v>
      </c>
      <c r="Q265" s="18">
        <f t="shared" si="75"/>
        <v>-1.1521294752330657E-2</v>
      </c>
      <c r="R265" s="18">
        <f t="shared" si="75"/>
        <v>-6.785000352081294E-3</v>
      </c>
      <c r="S265" s="18">
        <f t="shared" si="75"/>
        <v>1.4370192530190673E-2</v>
      </c>
      <c r="T265" s="18">
        <f t="shared" si="75"/>
        <v>-9.7853829153211613E-3</v>
      </c>
      <c r="U265" s="18">
        <f t="shared" si="75"/>
        <v>-1.6161005807681095E-3</v>
      </c>
      <c r="V265" s="18">
        <f t="shared" si="75"/>
        <v>-1.4462858319774896E-2</v>
      </c>
      <c r="W265" s="18">
        <f t="shared" si="75"/>
        <v>4.0216720298072328E-2</v>
      </c>
      <c r="X265" s="18">
        <f t="shared" si="75"/>
        <v>5.1638428354998656E-3</v>
      </c>
      <c r="Y265" s="18">
        <f t="shared" si="75"/>
        <v>-2.7391550664244146E-3</v>
      </c>
      <c r="Z265" s="18">
        <f t="shared" si="75"/>
        <v>4.4390513123138131E-3</v>
      </c>
      <c r="AA265" s="18">
        <f t="shared" si="75"/>
        <v>3.2111403261771976E-3</v>
      </c>
      <c r="AB265" s="18">
        <f t="shared" si="75"/>
        <v>2.8357245002181841E-3</v>
      </c>
      <c r="AC265" s="18">
        <f t="shared" si="75"/>
        <v>2.1846294479694883E-3</v>
      </c>
      <c r="AD265" s="18">
        <f t="shared" si="75"/>
        <v>1.2598291813683549E-3</v>
      </c>
      <c r="AE265" s="18">
        <f t="shared" si="75"/>
        <v>6.1737675608730669E-4</v>
      </c>
      <c r="AF265" s="18">
        <f t="shared" si="75"/>
        <v>-2.3476003135236567E-5</v>
      </c>
      <c r="AG265" s="18">
        <f t="shared" si="75"/>
        <v>1.6958107653253229E-4</v>
      </c>
      <c r="AH265" s="18">
        <f t="shared" si="75"/>
        <v>8.4776161833666208E-5</v>
      </c>
      <c r="AI265" s="18">
        <f t="shared" si="75"/>
        <v>0</v>
      </c>
    </row>
    <row r="266" spans="1:35" x14ac:dyDescent="0.25">
      <c r="A266" s="11" t="s">
        <v>1316</v>
      </c>
      <c r="B266" s="11"/>
      <c r="C266" s="18">
        <f>C$122/B$122-1</f>
        <v>3.016297550886371E-2</v>
      </c>
      <c r="D266" s="18">
        <f t="shared" ref="D266:AI266" si="76">D$122/C$122-1</f>
        <v>-1.227351947365507E-2</v>
      </c>
      <c r="E266" s="18">
        <f t="shared" si="76"/>
        <v>-4.2298110681785017E-2</v>
      </c>
      <c r="F266" s="18">
        <f t="shared" si="76"/>
        <v>1.7416837560169762E-2</v>
      </c>
      <c r="G266" s="18">
        <f t="shared" si="76"/>
        <v>2.1210766312388163E-2</v>
      </c>
      <c r="H266" s="18">
        <f t="shared" si="76"/>
        <v>-8.7424719682054342E-3</v>
      </c>
      <c r="I266" s="18">
        <f t="shared" si="76"/>
        <v>1.4531328482612071E-2</v>
      </c>
      <c r="J266" s="18">
        <f t="shared" si="76"/>
        <v>6.1216887777345352E-2</v>
      </c>
      <c r="K266" s="18">
        <f t="shared" si="76"/>
        <v>4.7159628045780444E-2</v>
      </c>
      <c r="L266" s="18">
        <f t="shared" si="76"/>
        <v>1.129022708451255E-2</v>
      </c>
      <c r="M266" s="18">
        <f t="shared" si="76"/>
        <v>5.3782824943024998E-3</v>
      </c>
      <c r="N266" s="18">
        <f t="shared" si="76"/>
        <v>-6.5957870237010052E-3</v>
      </c>
      <c r="O266" s="18">
        <f t="shared" si="76"/>
        <v>-7.5967677422594804E-3</v>
      </c>
      <c r="P266" s="18">
        <f t="shared" si="76"/>
        <v>5.0713350082849384E-3</v>
      </c>
      <c r="Q266" s="18">
        <f t="shared" si="76"/>
        <v>-1.8509190221343896E-2</v>
      </c>
      <c r="R266" s="18">
        <f t="shared" si="76"/>
        <v>-6.1023357458074301E-3</v>
      </c>
      <c r="S266" s="18">
        <f t="shared" si="76"/>
        <v>1.7230905979157551E-2</v>
      </c>
      <c r="T266" s="18">
        <f t="shared" si="76"/>
        <v>4.5870301137385106E-4</v>
      </c>
      <c r="U266" s="18">
        <f t="shared" si="76"/>
        <v>-1.9182518207659482E-2</v>
      </c>
      <c r="V266" s="18">
        <f t="shared" si="76"/>
        <v>8.9488629422640464E-3</v>
      </c>
      <c r="W266" s="18">
        <f t="shared" si="76"/>
        <v>-1.3007177045440743E-2</v>
      </c>
      <c r="X266" s="18">
        <f t="shared" si="76"/>
        <v>4.0040429430716395E-2</v>
      </c>
      <c r="Y266" s="18">
        <f t="shared" si="76"/>
        <v>3.7493058475213115E-3</v>
      </c>
      <c r="Z266" s="18">
        <f t="shared" si="76"/>
        <v>-7.5516135063430356E-3</v>
      </c>
      <c r="AA266" s="18">
        <f t="shared" si="76"/>
        <v>3.7527762469804493E-3</v>
      </c>
      <c r="AB266" s="18">
        <f t="shared" si="76"/>
        <v>2.8194044672982255E-3</v>
      </c>
      <c r="AC266" s="18">
        <f t="shared" si="76"/>
        <v>2.726832993787065E-3</v>
      </c>
      <c r="AD266" s="18">
        <f t="shared" si="76"/>
        <v>1.8051542426125167E-3</v>
      </c>
      <c r="AE266" s="18">
        <f t="shared" si="76"/>
        <v>6.1316777414011092E-4</v>
      </c>
      <c r="AF266" s="18">
        <f t="shared" si="76"/>
        <v>2.5263256151153435E-4</v>
      </c>
      <c r="AG266" s="18">
        <f t="shared" si="76"/>
        <v>-1.074997488553775E-4</v>
      </c>
      <c r="AH266" s="18">
        <f t="shared" si="76"/>
        <v>-4.6761852100429824E-4</v>
      </c>
      <c r="AI266" s="18">
        <f t="shared" si="76"/>
        <v>-2.7603765889350207E-4</v>
      </c>
    </row>
    <row r="267" spans="1:35" x14ac:dyDescent="0.25">
      <c r="A267" s="11" t="s">
        <v>1317</v>
      </c>
      <c r="B267" s="11"/>
      <c r="C267" s="18">
        <f>C$123/B$123-1</f>
        <v>-1.0871577709744007E-2</v>
      </c>
      <c r="D267" s="18">
        <f t="shared" ref="D267:AI267" si="77">D$123/C$123-1</f>
        <v>3.5730692451624524E-2</v>
      </c>
      <c r="E267" s="18">
        <f t="shared" si="77"/>
        <v>-1.5420230415666425E-2</v>
      </c>
      <c r="F267" s="18">
        <f t="shared" si="77"/>
        <v>-3.9421345589423784E-2</v>
      </c>
      <c r="G267" s="18">
        <f t="shared" si="77"/>
        <v>1.1725590481192816E-2</v>
      </c>
      <c r="H267" s="18">
        <f t="shared" si="77"/>
        <v>1.5940558183255682E-2</v>
      </c>
      <c r="I267" s="18">
        <f t="shared" si="77"/>
        <v>-7.0652107135501518E-3</v>
      </c>
      <c r="J267" s="18">
        <f t="shared" si="77"/>
        <v>2.2942372734087613E-2</v>
      </c>
      <c r="K267" s="18">
        <f t="shared" si="77"/>
        <v>6.2100617956272419E-2</v>
      </c>
      <c r="L267" s="18">
        <f t="shared" si="77"/>
        <v>4.4027554567439786E-2</v>
      </c>
      <c r="M267" s="18">
        <f t="shared" si="77"/>
        <v>6.6286629535625696E-3</v>
      </c>
      <c r="N267" s="18">
        <f t="shared" si="77"/>
        <v>9.0229665480143773E-3</v>
      </c>
      <c r="O267" s="18">
        <f t="shared" si="77"/>
        <v>-7.2917987272613782E-3</v>
      </c>
      <c r="P267" s="18">
        <f t="shared" si="77"/>
        <v>5.9577619552162453E-3</v>
      </c>
      <c r="Q267" s="18">
        <f t="shared" si="77"/>
        <v>-1.660762357170209E-2</v>
      </c>
      <c r="R267" s="18">
        <f t="shared" si="77"/>
        <v>-1.2788609426227837E-2</v>
      </c>
      <c r="S267" s="18">
        <f t="shared" si="77"/>
        <v>1.8867509227687096E-2</v>
      </c>
      <c r="T267" s="18">
        <f t="shared" si="77"/>
        <v>3.7529134425078325E-3</v>
      </c>
      <c r="U267" s="18">
        <f t="shared" si="77"/>
        <v>-8.967213943877117E-3</v>
      </c>
      <c r="V267" s="18">
        <f t="shared" si="77"/>
        <v>-9.3637578123096921E-3</v>
      </c>
      <c r="W267" s="18">
        <f t="shared" si="77"/>
        <v>1.0318204299930134E-2</v>
      </c>
      <c r="X267" s="18">
        <f t="shared" si="77"/>
        <v>-1.2922872030623811E-2</v>
      </c>
      <c r="Y267" s="18">
        <f t="shared" si="77"/>
        <v>3.8405253806983675E-2</v>
      </c>
      <c r="Z267" s="18">
        <f t="shared" si="77"/>
        <v>-1.9884519563946323E-3</v>
      </c>
      <c r="AA267" s="18">
        <f t="shared" si="77"/>
        <v>-8.119281094464692E-3</v>
      </c>
      <c r="AB267" s="18">
        <f t="shared" si="77"/>
        <v>3.6378318050553915E-3</v>
      </c>
      <c r="AC267" s="18">
        <f t="shared" si="77"/>
        <v>2.4367274194154742E-3</v>
      </c>
      <c r="AD267" s="18">
        <f t="shared" si="77"/>
        <v>2.3468041946697049E-3</v>
      </c>
      <c r="AE267" s="18">
        <f t="shared" si="77"/>
        <v>1.1590531878498123E-3</v>
      </c>
      <c r="AF267" s="18">
        <f t="shared" si="77"/>
        <v>5.2541432517427822E-4</v>
      </c>
      <c r="AG267" s="18">
        <f t="shared" si="77"/>
        <v>-1.0682656027849458E-4</v>
      </c>
      <c r="AH267" s="18">
        <f t="shared" si="77"/>
        <v>-4.6468987156889074E-4</v>
      </c>
      <c r="AI267" s="18">
        <f t="shared" si="77"/>
        <v>-8.2292417425522402E-4</v>
      </c>
    </row>
    <row r="268" spans="1:35" x14ac:dyDescent="0.25">
      <c r="A268" s="11" t="s">
        <v>1318</v>
      </c>
      <c r="B268" s="11"/>
      <c r="C268" s="18">
        <f>C$124/B$124-1</f>
        <v>9.1071797980910585E-3</v>
      </c>
      <c r="D268" s="18">
        <f t="shared" ref="D268:AI268" si="78">D$124/C$124-1</f>
        <v>-5.4590558656834043E-3</v>
      </c>
      <c r="E268" s="18">
        <f t="shared" si="78"/>
        <v>3.338192305500165E-2</v>
      </c>
      <c r="F268" s="18">
        <f t="shared" si="78"/>
        <v>-1.3337386137190599E-2</v>
      </c>
      <c r="G268" s="18">
        <f t="shared" si="78"/>
        <v>-4.3740058377296887E-2</v>
      </c>
      <c r="H268" s="18">
        <f t="shared" si="78"/>
        <v>5.0701053212993674E-3</v>
      </c>
      <c r="I268" s="18">
        <f t="shared" si="78"/>
        <v>1.9088671575959504E-2</v>
      </c>
      <c r="J268" s="18">
        <f t="shared" si="78"/>
        <v>2.1271584251580933E-4</v>
      </c>
      <c r="K268" s="18">
        <f t="shared" si="78"/>
        <v>2.4748358814162374E-2</v>
      </c>
      <c r="L268" s="18">
        <f t="shared" si="78"/>
        <v>6.0189963085259368E-2</v>
      </c>
      <c r="M268" s="18">
        <f t="shared" si="78"/>
        <v>3.4523153061174927E-2</v>
      </c>
      <c r="N268" s="18">
        <f t="shared" si="78"/>
        <v>1.4438538807971746E-2</v>
      </c>
      <c r="O268" s="18">
        <f t="shared" si="78"/>
        <v>6.6723215633635036E-3</v>
      </c>
      <c r="P268" s="18">
        <f t="shared" si="78"/>
        <v>4.7881721706615199E-3</v>
      </c>
      <c r="Q268" s="18">
        <f t="shared" si="78"/>
        <v>-1.5060031921898975E-2</v>
      </c>
      <c r="R268" s="18">
        <f t="shared" si="78"/>
        <v>-8.5127321789995047E-3</v>
      </c>
      <c r="S268" s="18">
        <f t="shared" si="78"/>
        <v>1.0284977849477794E-2</v>
      </c>
      <c r="T268" s="18">
        <f t="shared" si="78"/>
        <v>6.0528317119170616E-3</v>
      </c>
      <c r="U268" s="18">
        <f t="shared" si="78"/>
        <v>-5.9955389229262579E-3</v>
      </c>
      <c r="V268" s="18">
        <f t="shared" si="78"/>
        <v>7.3832046296118392E-4</v>
      </c>
      <c r="W268" s="18">
        <f t="shared" si="78"/>
        <v>-7.6430070552059304E-3</v>
      </c>
      <c r="X268" s="18">
        <f t="shared" si="78"/>
        <v>1.0289304359143436E-2</v>
      </c>
      <c r="Y268" s="18">
        <f t="shared" si="78"/>
        <v>-1.4526635761853313E-2</v>
      </c>
      <c r="Z268" s="18">
        <f t="shared" si="78"/>
        <v>2.7975075095359569E-2</v>
      </c>
      <c r="AA268" s="18">
        <f t="shared" si="78"/>
        <v>-2.3350504061038224E-3</v>
      </c>
      <c r="AB268" s="18">
        <f t="shared" si="78"/>
        <v>-8.1667935269811309E-3</v>
      </c>
      <c r="AC268" s="18">
        <f t="shared" si="78"/>
        <v>2.9863217545440524E-3</v>
      </c>
      <c r="AD268" s="18">
        <f t="shared" si="78"/>
        <v>2.3437425131931366E-3</v>
      </c>
      <c r="AE268" s="18">
        <f t="shared" si="78"/>
        <v>1.7060562797581724E-3</v>
      </c>
      <c r="AF268" s="18">
        <f t="shared" si="78"/>
        <v>1.0720214020705221E-3</v>
      </c>
      <c r="AG268" s="18">
        <f t="shared" si="78"/>
        <v>-1.0657103747069296E-4</v>
      </c>
      <c r="AH268" s="18">
        <f t="shared" si="78"/>
        <v>-4.6357824243936641E-4</v>
      </c>
      <c r="AI268" s="18">
        <f t="shared" si="78"/>
        <v>-8.2095466553266938E-4</v>
      </c>
    </row>
    <row r="269" spans="1:35" x14ac:dyDescent="0.25">
      <c r="A269" s="11" t="s">
        <v>1319</v>
      </c>
      <c r="B269" s="11"/>
      <c r="C269" s="18">
        <f>C$125/B$125-1</f>
        <v>-3.4982390525280627E-2</v>
      </c>
      <c r="D269" s="18">
        <f t="shared" ref="D269:AI269" si="79">D$125/C$125-1</f>
        <v>1.0100881489644831E-2</v>
      </c>
      <c r="E269" s="18">
        <f t="shared" si="79"/>
        <v>-4.7864690451889791E-3</v>
      </c>
      <c r="F269" s="18">
        <f t="shared" si="79"/>
        <v>3.6175239198013021E-2</v>
      </c>
      <c r="G269" s="18">
        <f t="shared" si="79"/>
        <v>-1.8694487262424841E-2</v>
      </c>
      <c r="H269" s="18">
        <f t="shared" si="79"/>
        <v>-4.7590969907569058E-2</v>
      </c>
      <c r="I269" s="18">
        <f t="shared" si="79"/>
        <v>6.4539582604963286E-3</v>
      </c>
      <c r="J269" s="18">
        <f t="shared" si="79"/>
        <v>2.5481061479198486E-2</v>
      </c>
      <c r="K269" s="18">
        <f t="shared" si="79"/>
        <v>3.8016929387316711E-3</v>
      </c>
      <c r="L269" s="18">
        <f t="shared" si="79"/>
        <v>2.2003586004201381E-2</v>
      </c>
      <c r="M269" s="18">
        <f t="shared" si="79"/>
        <v>5.5384258096438987E-2</v>
      </c>
      <c r="N269" s="18">
        <f t="shared" si="79"/>
        <v>3.7202872595345937E-2</v>
      </c>
      <c r="O269" s="18">
        <f t="shared" si="79"/>
        <v>1.0856864143572897E-2</v>
      </c>
      <c r="P269" s="18">
        <f t="shared" si="79"/>
        <v>2.167889375304477E-2</v>
      </c>
      <c r="Q269" s="18">
        <f t="shared" si="79"/>
        <v>-1.8055890868648561E-2</v>
      </c>
      <c r="R269" s="18">
        <f t="shared" si="79"/>
        <v>-7.531217744760621E-3</v>
      </c>
      <c r="S269" s="18">
        <f t="shared" si="79"/>
        <v>1.384374806872235E-2</v>
      </c>
      <c r="T269" s="18">
        <f t="shared" si="79"/>
        <v>-1.5912783729244984E-3</v>
      </c>
      <c r="U269" s="18">
        <f t="shared" si="79"/>
        <v>-2.9186454759082547E-3</v>
      </c>
      <c r="V269" s="18">
        <f t="shared" si="79"/>
        <v>3.6250005312852274E-3</v>
      </c>
      <c r="W269" s="18">
        <f t="shared" si="79"/>
        <v>2.3896897657966765E-3</v>
      </c>
      <c r="X269" s="18">
        <f t="shared" si="79"/>
        <v>-7.8883237573150744E-3</v>
      </c>
      <c r="Y269" s="18">
        <f t="shared" si="79"/>
        <v>8.8432845996571086E-3</v>
      </c>
      <c r="Z269" s="18">
        <f t="shared" si="79"/>
        <v>-1.7906058980279749E-2</v>
      </c>
      <c r="AA269" s="18">
        <f t="shared" si="79"/>
        <v>2.7171265086670893E-2</v>
      </c>
      <c r="AB269" s="18">
        <f t="shared" si="79"/>
        <v>-2.7682206247543473E-3</v>
      </c>
      <c r="AC269" s="18">
        <f t="shared" si="79"/>
        <v>-8.5278458739131979E-3</v>
      </c>
      <c r="AD269" s="18">
        <f t="shared" si="79"/>
        <v>2.5244359802891747E-3</v>
      </c>
      <c r="AE269" s="18">
        <f t="shared" si="79"/>
        <v>1.9055316430436342E-3</v>
      </c>
      <c r="AF269" s="18">
        <f t="shared" si="79"/>
        <v>1.2905248996266661E-3</v>
      </c>
      <c r="AG269" s="18">
        <f t="shared" si="79"/>
        <v>6.7826698070239111E-4</v>
      </c>
      <c r="AH269" s="18">
        <f t="shared" si="79"/>
        <v>-4.7492774363222523E-4</v>
      </c>
      <c r="AI269" s="18">
        <f t="shared" si="79"/>
        <v>-8.1421806159309718E-4</v>
      </c>
    </row>
    <row r="270" spans="1:35" x14ac:dyDescent="0.25">
      <c r="A270" s="11" t="s">
        <v>1320</v>
      </c>
      <c r="B270" s="11"/>
      <c r="C270" s="18">
        <f>C$126/B$126-1</f>
        <v>-1.408153590503447E-2</v>
      </c>
      <c r="D270" s="18">
        <f t="shared" ref="D270:AI270" si="80">D$126/C$126-1</f>
        <v>-2.7949019748451764E-2</v>
      </c>
      <c r="E270" s="18">
        <f t="shared" si="80"/>
        <v>9.3451870788903157E-3</v>
      </c>
      <c r="F270" s="18">
        <f t="shared" si="80"/>
        <v>-4.727220037639146E-4</v>
      </c>
      <c r="G270" s="18">
        <f t="shared" si="80"/>
        <v>3.0539039646232835E-2</v>
      </c>
      <c r="H270" s="18">
        <f t="shared" si="80"/>
        <v>-2.1268335014404616E-2</v>
      </c>
      <c r="I270" s="18">
        <f t="shared" si="80"/>
        <v>-4.7796572882645161E-2</v>
      </c>
      <c r="J270" s="18">
        <f t="shared" si="80"/>
        <v>1.6277337158930649E-2</v>
      </c>
      <c r="K270" s="18">
        <f t="shared" si="80"/>
        <v>2.2110219209882098E-2</v>
      </c>
      <c r="L270" s="18">
        <f t="shared" si="80"/>
        <v>2.3410642045209595E-3</v>
      </c>
      <c r="M270" s="18">
        <f t="shared" si="80"/>
        <v>1.9585858202261663E-2</v>
      </c>
      <c r="N270" s="18">
        <f t="shared" si="80"/>
        <v>5.8642615469285175E-2</v>
      </c>
      <c r="O270" s="18">
        <f t="shared" si="80"/>
        <v>3.0300977560610232E-2</v>
      </c>
      <c r="P270" s="18">
        <f t="shared" si="80"/>
        <v>2.3873040141543234E-2</v>
      </c>
      <c r="Q270" s="18">
        <f t="shared" si="80"/>
        <v>2.6726042972806674E-3</v>
      </c>
      <c r="R270" s="18">
        <f t="shared" si="80"/>
        <v>-9.9591837555754736E-3</v>
      </c>
      <c r="S270" s="18">
        <f t="shared" si="80"/>
        <v>1.3949753925044384E-2</v>
      </c>
      <c r="T270" s="18">
        <f t="shared" si="80"/>
        <v>3.7060862565416741E-3</v>
      </c>
      <c r="U270" s="18">
        <f t="shared" si="80"/>
        <v>-1.1439614506115192E-2</v>
      </c>
      <c r="V270" s="18">
        <f t="shared" si="80"/>
        <v>6.0956875140607547E-3</v>
      </c>
      <c r="W270" s="18">
        <f t="shared" si="80"/>
        <v>5.2100709756088825E-3</v>
      </c>
      <c r="X270" s="18">
        <f t="shared" si="80"/>
        <v>2.1083773111876258E-3</v>
      </c>
      <c r="Y270" s="18">
        <f t="shared" si="80"/>
        <v>-9.2077021157682681E-3</v>
      </c>
      <c r="Z270" s="18">
        <f t="shared" si="80"/>
        <v>2.2309272799760915E-3</v>
      </c>
      <c r="AA270" s="18">
        <f t="shared" si="80"/>
        <v>-1.8093064466505271E-2</v>
      </c>
      <c r="AB270" s="18">
        <f t="shared" si="80"/>
        <v>2.6604726250918587E-2</v>
      </c>
      <c r="AC270" s="18">
        <f t="shared" si="80"/>
        <v>-3.0816671180654565E-3</v>
      </c>
      <c r="AD270" s="18">
        <f t="shared" si="80"/>
        <v>-8.8008725007994171E-3</v>
      </c>
      <c r="AE270" s="18">
        <f t="shared" si="80"/>
        <v>2.1679139736909825E-3</v>
      </c>
      <c r="AF270" s="18">
        <f t="shared" si="80"/>
        <v>1.5547934297486243E-3</v>
      </c>
      <c r="AG270" s="18">
        <f t="shared" si="80"/>
        <v>9.4489345583492756E-4</v>
      </c>
      <c r="AH270" s="18">
        <f t="shared" si="80"/>
        <v>3.3708859902326083E-4</v>
      </c>
      <c r="AI270" s="18">
        <f t="shared" si="80"/>
        <v>-5.3946670586901835E-4</v>
      </c>
    </row>
    <row r="271" spans="1:35" x14ac:dyDescent="0.25">
      <c r="A271" s="11" t="s">
        <v>1321</v>
      </c>
      <c r="B271" s="11"/>
      <c r="C271" s="18">
        <f>C$127/B$127-1</f>
        <v>-5.8944135586694868E-3</v>
      </c>
      <c r="D271" s="18">
        <f t="shared" ref="D271:AI271" si="81">D$127/C$127-1</f>
        <v>-5.5176598125510345E-3</v>
      </c>
      <c r="E271" s="18">
        <f t="shared" si="81"/>
        <v>-2.5938059818060633E-2</v>
      </c>
      <c r="F271" s="18">
        <f t="shared" si="81"/>
        <v>1.3590613463283718E-2</v>
      </c>
      <c r="G271" s="18">
        <f t="shared" si="81"/>
        <v>-6.3344618067714409E-3</v>
      </c>
      <c r="H271" s="18">
        <f t="shared" si="81"/>
        <v>3.0951936593390572E-2</v>
      </c>
      <c r="I271" s="18">
        <f t="shared" si="81"/>
        <v>-2.172216106436653E-2</v>
      </c>
      <c r="J271" s="18">
        <f t="shared" si="81"/>
        <v>-4.0961501596532779E-2</v>
      </c>
      <c r="K271" s="18">
        <f t="shared" si="81"/>
        <v>1.9799888790925868E-2</v>
      </c>
      <c r="L271" s="18">
        <f t="shared" si="81"/>
        <v>1.3350999473394021E-2</v>
      </c>
      <c r="M271" s="18">
        <f t="shared" si="81"/>
        <v>2.3235804648957803E-4</v>
      </c>
      <c r="N271" s="18">
        <f t="shared" si="81"/>
        <v>2.5991520940413348E-2</v>
      </c>
      <c r="O271" s="18">
        <f t="shared" si="81"/>
        <v>5.3748987144920379E-2</v>
      </c>
      <c r="P271" s="18">
        <f t="shared" si="81"/>
        <v>4.0534694455154341E-2</v>
      </c>
      <c r="Q271" s="18">
        <f t="shared" si="81"/>
        <v>4.1723197312735216E-3</v>
      </c>
      <c r="R271" s="18">
        <f t="shared" si="81"/>
        <v>9.1530853294932157E-3</v>
      </c>
      <c r="S271" s="18">
        <f t="shared" si="81"/>
        <v>1.261095010580382E-2</v>
      </c>
      <c r="T271" s="18">
        <f t="shared" si="81"/>
        <v>4.2831611313256523E-3</v>
      </c>
      <c r="U271" s="18">
        <f t="shared" si="81"/>
        <v>-6.1735869058902049E-3</v>
      </c>
      <c r="V271" s="18">
        <f t="shared" si="81"/>
        <v>-2.6740185303917308E-3</v>
      </c>
      <c r="W271" s="18">
        <f t="shared" si="81"/>
        <v>7.6619575128591411E-3</v>
      </c>
      <c r="X271" s="18">
        <f t="shared" si="81"/>
        <v>4.9190362263060727E-3</v>
      </c>
      <c r="Y271" s="18">
        <f t="shared" si="81"/>
        <v>7.2878810854337672E-4</v>
      </c>
      <c r="Z271" s="18">
        <f t="shared" si="81"/>
        <v>-1.3400381222245406E-2</v>
      </c>
      <c r="AA271" s="18">
        <f t="shared" si="81"/>
        <v>1.8716757646390914E-3</v>
      </c>
      <c r="AB271" s="18">
        <f t="shared" si="81"/>
        <v>-1.8230880538650074E-2</v>
      </c>
      <c r="AC271" s="18">
        <f t="shared" si="81"/>
        <v>2.5980526635009493E-2</v>
      </c>
      <c r="AD271" s="18">
        <f t="shared" si="81"/>
        <v>-3.3818633010179733E-3</v>
      </c>
      <c r="AE271" s="18">
        <f t="shared" si="81"/>
        <v>-9.0471395529698739E-3</v>
      </c>
      <c r="AF271" s="18">
        <f t="shared" si="81"/>
        <v>1.8117974891036503E-3</v>
      </c>
      <c r="AG271" s="18">
        <f t="shared" si="81"/>
        <v>1.2056805437539175E-3</v>
      </c>
      <c r="AH271" s="18">
        <f t="shared" si="81"/>
        <v>6.0211431436307805E-4</v>
      </c>
      <c r="AI271" s="18">
        <f t="shared" si="81"/>
        <v>0</v>
      </c>
    </row>
    <row r="272" spans="1:35" x14ac:dyDescent="0.25">
      <c r="A272" s="11" t="s">
        <v>1322</v>
      </c>
      <c r="B272" s="11"/>
      <c r="C272" s="18">
        <f>C$128/B$128-1</f>
        <v>-2.9826585084108848E-2</v>
      </c>
      <c r="D272" s="18">
        <f t="shared" ref="D272:AI272" si="82">D$128/C$128-1</f>
        <v>4.9034160670524685E-4</v>
      </c>
      <c r="E272" s="18">
        <f t="shared" si="82"/>
        <v>1.4891470417022212E-4</v>
      </c>
      <c r="F272" s="18">
        <f t="shared" si="82"/>
        <v>-2.2591241241107562E-2</v>
      </c>
      <c r="G272" s="18">
        <f t="shared" si="82"/>
        <v>1.3118128628920367E-2</v>
      </c>
      <c r="H272" s="18">
        <f t="shared" si="82"/>
        <v>-1.0256509342433717E-2</v>
      </c>
      <c r="I272" s="18">
        <f t="shared" si="82"/>
        <v>3.3576030213322561E-2</v>
      </c>
      <c r="J272" s="18">
        <f t="shared" si="82"/>
        <v>-1.914319417142829E-2</v>
      </c>
      <c r="K272" s="18">
        <f t="shared" si="82"/>
        <v>-3.4667133143105988E-2</v>
      </c>
      <c r="L272" s="18">
        <f t="shared" si="82"/>
        <v>1.8411929500681046E-2</v>
      </c>
      <c r="M272" s="18">
        <f t="shared" si="82"/>
        <v>-1.0669291003095882E-4</v>
      </c>
      <c r="N272" s="18">
        <f t="shared" si="82"/>
        <v>8.413129627424798E-3</v>
      </c>
      <c r="O272" s="18">
        <f t="shared" si="82"/>
        <v>2.2388454034287353E-2</v>
      </c>
      <c r="P272" s="18">
        <f t="shared" si="82"/>
        <v>6.6434321845792121E-2</v>
      </c>
      <c r="Q272" s="18">
        <f t="shared" si="82"/>
        <v>1.9069094997639535E-2</v>
      </c>
      <c r="R272" s="18">
        <f t="shared" si="82"/>
        <v>1.1509899277961422E-2</v>
      </c>
      <c r="S272" s="18">
        <f t="shared" si="82"/>
        <v>3.2024472100144363E-2</v>
      </c>
      <c r="T272" s="18">
        <f t="shared" si="82"/>
        <v>3.1960987458372614E-3</v>
      </c>
      <c r="U272" s="18">
        <f t="shared" si="82"/>
        <v>-5.3286958354690217E-3</v>
      </c>
      <c r="V272" s="18">
        <f t="shared" si="82"/>
        <v>2.175157948266504E-3</v>
      </c>
      <c r="W272" s="18">
        <f t="shared" si="82"/>
        <v>-1.0818849836848887E-3</v>
      </c>
      <c r="X272" s="18">
        <f t="shared" si="82"/>
        <v>7.3612921217922622E-3</v>
      </c>
      <c r="Y272" s="18">
        <f t="shared" si="82"/>
        <v>3.5254137146620845E-3</v>
      </c>
      <c r="Z272" s="18">
        <f t="shared" si="82"/>
        <v>-4.875477757681379E-3</v>
      </c>
      <c r="AA272" s="18">
        <f t="shared" si="82"/>
        <v>-1.3584422667219154E-2</v>
      </c>
      <c r="AB272" s="18">
        <f t="shared" si="82"/>
        <v>1.5213264132321047E-3</v>
      </c>
      <c r="AC272" s="18">
        <f t="shared" si="82"/>
        <v>-1.8112893929653318E-2</v>
      </c>
      <c r="AD272" s="18">
        <f t="shared" si="82"/>
        <v>2.5109668268555208E-2</v>
      </c>
      <c r="AE272" s="18">
        <f t="shared" si="82"/>
        <v>-3.6783627782227546E-3</v>
      </c>
      <c r="AF272" s="18">
        <f t="shared" si="82"/>
        <v>-9.2944603326062802E-3</v>
      </c>
      <c r="AG272" s="18">
        <f t="shared" si="82"/>
        <v>1.7294682149204821E-3</v>
      </c>
      <c r="AH272" s="18">
        <f t="shared" si="82"/>
        <v>5.9757040397245831E-4</v>
      </c>
      <c r="AI272" s="18">
        <f t="shared" si="82"/>
        <v>2.6551209317227098E-4</v>
      </c>
    </row>
    <row r="273" spans="1:35" x14ac:dyDescent="0.25">
      <c r="A273" s="11" t="s">
        <v>1323</v>
      </c>
      <c r="B273" s="11"/>
      <c r="C273" s="18">
        <f>C$129/B$129-1</f>
        <v>-2.2260786018374223E-2</v>
      </c>
      <c r="D273" s="18">
        <f t="shared" ref="D273:AI273" si="83">D$129/C$129-1</f>
        <v>-2.1529129643783063E-2</v>
      </c>
      <c r="E273" s="18">
        <f t="shared" si="83"/>
        <v>3.3192596661741902E-3</v>
      </c>
      <c r="F273" s="18">
        <f t="shared" si="83"/>
        <v>7.1949677831966152E-3</v>
      </c>
      <c r="G273" s="18">
        <f t="shared" si="83"/>
        <v>-2.1869359703562297E-2</v>
      </c>
      <c r="H273" s="18">
        <f t="shared" si="83"/>
        <v>1.2261456926449421E-2</v>
      </c>
      <c r="I273" s="18">
        <f t="shared" si="83"/>
        <v>-1.0732307328298774E-2</v>
      </c>
      <c r="J273" s="18">
        <f t="shared" si="83"/>
        <v>3.2109846841128054E-2</v>
      </c>
      <c r="K273" s="18">
        <f t="shared" si="83"/>
        <v>-1.2300755319730516E-2</v>
      </c>
      <c r="L273" s="18">
        <f t="shared" si="83"/>
        <v>-3.1877909167565277E-2</v>
      </c>
      <c r="M273" s="18">
        <f t="shared" si="83"/>
        <v>1.2948669635351351E-2</v>
      </c>
      <c r="N273" s="18">
        <f t="shared" si="83"/>
        <v>1.563151394213147E-3</v>
      </c>
      <c r="O273" s="18">
        <f t="shared" si="83"/>
        <v>2.5079503206142384E-3</v>
      </c>
      <c r="P273" s="18">
        <f t="shared" si="83"/>
        <v>3.382919238164539E-2</v>
      </c>
      <c r="Q273" s="18">
        <f t="shared" si="83"/>
        <v>4.2733672720376203E-2</v>
      </c>
      <c r="R273" s="18">
        <f t="shared" si="83"/>
        <v>2.6798863925108884E-2</v>
      </c>
      <c r="S273" s="18">
        <f t="shared" si="83"/>
        <v>3.8062275248941013E-2</v>
      </c>
      <c r="T273" s="18">
        <f t="shared" si="83"/>
        <v>2.244261678163717E-2</v>
      </c>
      <c r="U273" s="18">
        <f t="shared" si="83"/>
        <v>-6.7084624475942656E-3</v>
      </c>
      <c r="V273" s="18">
        <f t="shared" si="83"/>
        <v>2.8756028991556715E-3</v>
      </c>
      <c r="W273" s="18">
        <f t="shared" si="83"/>
        <v>3.7328189432264125E-3</v>
      </c>
      <c r="X273" s="18">
        <f t="shared" si="83"/>
        <v>-1.0139830190908361E-3</v>
      </c>
      <c r="Y273" s="18">
        <f t="shared" si="83"/>
        <v>5.6598264274416721E-3</v>
      </c>
      <c r="Z273" s="18">
        <f t="shared" si="83"/>
        <v>-2.5011381161552659E-3</v>
      </c>
      <c r="AA273" s="18">
        <f t="shared" si="83"/>
        <v>-4.8844918287025418E-3</v>
      </c>
      <c r="AB273" s="18">
        <f t="shared" si="83"/>
        <v>-1.3753794922226059E-2</v>
      </c>
      <c r="AC273" s="18">
        <f t="shared" si="83"/>
        <v>1.1772747681573215E-3</v>
      </c>
      <c r="AD273" s="18">
        <f t="shared" si="83"/>
        <v>-1.8506073811878521E-2</v>
      </c>
      <c r="AE273" s="18">
        <f t="shared" si="83"/>
        <v>2.4782669950900171E-2</v>
      </c>
      <c r="AF273" s="18">
        <f t="shared" si="83"/>
        <v>-3.9662236444828469E-3</v>
      </c>
      <c r="AG273" s="18">
        <f t="shared" si="83"/>
        <v>-9.529768608003919E-3</v>
      </c>
      <c r="AH273" s="18">
        <f t="shared" si="83"/>
        <v>1.1200759166500873E-3</v>
      </c>
      <c r="AI273" s="18">
        <f t="shared" si="83"/>
        <v>5.2659287458767245E-4</v>
      </c>
    </row>
    <row r="274" spans="1:35" x14ac:dyDescent="0.25">
      <c r="A274" s="11" t="s">
        <v>1324</v>
      </c>
      <c r="B274" s="11"/>
      <c r="C274" s="18">
        <f>C$130/B$130-1</f>
        <v>-2.6187184458439372E-2</v>
      </c>
      <c r="D274" s="18">
        <f t="shared" ref="D274:AI274" si="84">D$130/C$130-1</f>
        <v>-1.4769945572514986E-2</v>
      </c>
      <c r="E274" s="18">
        <f t="shared" si="84"/>
        <v>-2.0882184824293715E-2</v>
      </c>
      <c r="F274" s="18">
        <f t="shared" si="84"/>
        <v>1.0033740583150763E-2</v>
      </c>
      <c r="G274" s="18">
        <f t="shared" si="84"/>
        <v>6.4307052082477334E-3</v>
      </c>
      <c r="H274" s="18">
        <f t="shared" si="84"/>
        <v>-1.976542871483955E-2</v>
      </c>
      <c r="I274" s="18">
        <f t="shared" si="84"/>
        <v>7.682647711430457E-3</v>
      </c>
      <c r="J274" s="18">
        <f t="shared" si="84"/>
        <v>-1.8483570460570031E-2</v>
      </c>
      <c r="K274" s="18">
        <f t="shared" si="84"/>
        <v>3.0393661795850679E-2</v>
      </c>
      <c r="L274" s="18">
        <f t="shared" si="84"/>
        <v>-7.1025072571360148E-3</v>
      </c>
      <c r="M274" s="18">
        <f t="shared" si="84"/>
        <v>-2.360623862719391E-2</v>
      </c>
      <c r="N274" s="18">
        <f t="shared" si="84"/>
        <v>2.1532889666709742E-2</v>
      </c>
      <c r="O274" s="18">
        <f t="shared" si="84"/>
        <v>1.2673652464934015E-3</v>
      </c>
      <c r="P274" s="18">
        <f t="shared" si="84"/>
        <v>3.3993457585232978E-3</v>
      </c>
      <c r="Q274" s="18">
        <f t="shared" si="84"/>
        <v>2.4494472912221621E-2</v>
      </c>
      <c r="R274" s="18">
        <f t="shared" si="84"/>
        <v>4.9352853704777377E-2</v>
      </c>
      <c r="S274" s="18">
        <f t="shared" si="84"/>
        <v>5.8079706902946837E-2</v>
      </c>
      <c r="T274" s="18">
        <f t="shared" si="84"/>
        <v>2.2168881885996417E-2</v>
      </c>
      <c r="U274" s="18">
        <f t="shared" si="84"/>
        <v>1.9032086244616941E-3</v>
      </c>
      <c r="V274" s="18">
        <f t="shared" si="84"/>
        <v>-8.3384359563666299E-3</v>
      </c>
      <c r="W274" s="18">
        <f t="shared" si="84"/>
        <v>-5.3305656643342081E-3</v>
      </c>
      <c r="X274" s="18">
        <f t="shared" si="84"/>
        <v>-5.237137474762843E-3</v>
      </c>
      <c r="Y274" s="18">
        <f t="shared" si="84"/>
        <v>-9.708770234902131E-3</v>
      </c>
      <c r="Z274" s="18">
        <f t="shared" si="84"/>
        <v>1.6195703697343689E-3</v>
      </c>
      <c r="AA274" s="18">
        <f t="shared" si="84"/>
        <v>-1.2332493344623385E-3</v>
      </c>
      <c r="AB274" s="18">
        <f t="shared" si="84"/>
        <v>-4.3716045717446805E-3</v>
      </c>
      <c r="AC274" s="18">
        <f t="shared" si="84"/>
        <v>-1.408157600669202E-2</v>
      </c>
      <c r="AD274" s="18">
        <f t="shared" si="84"/>
        <v>2.1340263478835109E-3</v>
      </c>
      <c r="AE274" s="18">
        <f t="shared" si="84"/>
        <v>-1.9478674057445078E-2</v>
      </c>
      <c r="AF274" s="18">
        <f t="shared" si="84"/>
        <v>2.7367631090724265E-2</v>
      </c>
      <c r="AG274" s="18">
        <f t="shared" si="84"/>
        <v>-4.2399024751257341E-3</v>
      </c>
      <c r="AH274" s="18">
        <f t="shared" si="84"/>
        <v>-1.0593040118224595E-2</v>
      </c>
      <c r="AI274" s="18">
        <f t="shared" si="84"/>
        <v>1.1599569240638985E-3</v>
      </c>
    </row>
    <row r="275" spans="1:35" x14ac:dyDescent="0.25">
      <c r="A275" s="11" t="s">
        <v>1325</v>
      </c>
      <c r="B275" s="11"/>
      <c r="C275" s="18">
        <f>C$131/B$131-1</f>
        <v>2.523863302549012E-2</v>
      </c>
      <c r="D275" s="18">
        <f t="shared" ref="D275:AI275" si="85">D$131/C$131-1</f>
        <v>-3.0060001437012485E-2</v>
      </c>
      <c r="E275" s="18">
        <f t="shared" si="85"/>
        <v>-9.3259823507358952E-3</v>
      </c>
      <c r="F275" s="18">
        <f t="shared" si="85"/>
        <v>-1.1362188165703002E-2</v>
      </c>
      <c r="G275" s="18">
        <f t="shared" si="85"/>
        <v>1.0873542893602428E-2</v>
      </c>
      <c r="H275" s="18">
        <f t="shared" si="85"/>
        <v>6.526910185011392E-3</v>
      </c>
      <c r="I275" s="18">
        <f t="shared" si="85"/>
        <v>-1.8630273398790975E-2</v>
      </c>
      <c r="J275" s="18">
        <f t="shared" si="85"/>
        <v>3.2149918023796076E-3</v>
      </c>
      <c r="K275" s="18">
        <f t="shared" si="85"/>
        <v>-1.0989542292527132E-2</v>
      </c>
      <c r="L275" s="18">
        <f t="shared" si="85"/>
        <v>3.6411504695077923E-2</v>
      </c>
      <c r="M275" s="18">
        <f t="shared" si="85"/>
        <v>9.3551761028165537E-4</v>
      </c>
      <c r="N275" s="18">
        <f t="shared" si="85"/>
        <v>-2.5695984809216088E-2</v>
      </c>
      <c r="O275" s="18">
        <f t="shared" si="85"/>
        <v>1.7033216325696321E-2</v>
      </c>
      <c r="P275" s="18">
        <f t="shared" si="85"/>
        <v>-4.7480386797098539E-3</v>
      </c>
      <c r="Q275" s="18">
        <f t="shared" si="85"/>
        <v>1.1572238829327119E-3</v>
      </c>
      <c r="R275" s="18">
        <f t="shared" si="85"/>
        <v>1.4113336036683188E-2</v>
      </c>
      <c r="S275" s="18">
        <f t="shared" si="85"/>
        <v>8.804074463761502E-2</v>
      </c>
      <c r="T275" s="18">
        <f t="shared" si="85"/>
        <v>3.7813646203448181E-2</v>
      </c>
      <c r="U275" s="18">
        <f t="shared" si="85"/>
        <v>8.2943105934645267E-3</v>
      </c>
      <c r="V275" s="18">
        <f t="shared" si="85"/>
        <v>1.0568098809390136E-2</v>
      </c>
      <c r="W275" s="18">
        <f t="shared" si="85"/>
        <v>-6.2914054759852789E-3</v>
      </c>
      <c r="X275" s="18">
        <f t="shared" si="85"/>
        <v>-4.8179128062288967E-3</v>
      </c>
      <c r="Y275" s="18">
        <f t="shared" si="85"/>
        <v>-4.9897409382291258E-3</v>
      </c>
      <c r="Z275" s="18">
        <f t="shared" si="85"/>
        <v>-6.4307891507163761E-3</v>
      </c>
      <c r="AA275" s="18">
        <f t="shared" si="85"/>
        <v>7.3353857015590052E-4</v>
      </c>
      <c r="AB275" s="18">
        <f t="shared" si="85"/>
        <v>-1.7893887514984774E-3</v>
      </c>
      <c r="AC275" s="18">
        <f t="shared" si="85"/>
        <v>-4.5978073135929387E-3</v>
      </c>
      <c r="AD275" s="18">
        <f t="shared" si="85"/>
        <v>-1.4426841220676834E-2</v>
      </c>
      <c r="AE275" s="18">
        <f t="shared" si="85"/>
        <v>1.508963422411469E-3</v>
      </c>
      <c r="AF275" s="18">
        <f t="shared" si="85"/>
        <v>-2.0042941298653139E-2</v>
      </c>
      <c r="AG275" s="18">
        <f t="shared" si="85"/>
        <v>2.6638152259153891E-2</v>
      </c>
      <c r="AH275" s="18">
        <f t="shared" si="85"/>
        <v>-4.7637705462156843E-3</v>
      </c>
      <c r="AI275" s="18">
        <f t="shared" si="85"/>
        <v>-1.1032764252563609E-2</v>
      </c>
    </row>
    <row r="276" spans="1:35" x14ac:dyDescent="0.25">
      <c r="A276" s="11" t="s">
        <v>1326</v>
      </c>
      <c r="B276" s="11"/>
      <c r="C276" s="18">
        <f>C$132/B$132-1</f>
        <v>1.7572394902134914E-2</v>
      </c>
      <c r="D276" s="18">
        <f t="shared" ref="D276:AI276" si="86">D$132/C$132-1</f>
        <v>2.8175233385029808E-2</v>
      </c>
      <c r="E276" s="18">
        <f t="shared" si="86"/>
        <v>-3.1104855970962797E-2</v>
      </c>
      <c r="F276" s="18">
        <f t="shared" si="86"/>
        <v>1.1168304096411674E-3</v>
      </c>
      <c r="G276" s="18">
        <f t="shared" si="86"/>
        <v>-1.1355991397871579E-2</v>
      </c>
      <c r="H276" s="18">
        <f t="shared" si="86"/>
        <v>1.0336927969498921E-2</v>
      </c>
      <c r="I276" s="18">
        <f t="shared" si="86"/>
        <v>7.4335136600036655E-3</v>
      </c>
      <c r="J276" s="18">
        <f t="shared" si="86"/>
        <v>-1.9380482637044838E-2</v>
      </c>
      <c r="K276" s="18">
        <f t="shared" si="86"/>
        <v>9.9486202139307256E-3</v>
      </c>
      <c r="L276" s="18">
        <f t="shared" si="86"/>
        <v>-5.8346758951357547E-3</v>
      </c>
      <c r="M276" s="18">
        <f t="shared" si="86"/>
        <v>3.7403380507720518E-2</v>
      </c>
      <c r="N276" s="18">
        <f t="shared" si="86"/>
        <v>1.5722722197084593E-3</v>
      </c>
      <c r="O276" s="18">
        <f t="shared" si="86"/>
        <v>-2.9740419019051223E-2</v>
      </c>
      <c r="P276" s="18">
        <f t="shared" si="86"/>
        <v>9.1944855673466996E-3</v>
      </c>
      <c r="Q276" s="18">
        <f t="shared" si="86"/>
        <v>-2.7846885695560486E-3</v>
      </c>
      <c r="R276" s="18">
        <f t="shared" si="86"/>
        <v>-7.0932221837035625E-3</v>
      </c>
      <c r="S276" s="18">
        <f t="shared" si="86"/>
        <v>5.6571636252116475E-2</v>
      </c>
      <c r="T276" s="18">
        <f t="shared" si="86"/>
        <v>6.5165143202405407E-2</v>
      </c>
      <c r="U276" s="18">
        <f t="shared" si="86"/>
        <v>2.4462590347247515E-2</v>
      </c>
      <c r="V276" s="18">
        <f t="shared" si="86"/>
        <v>1.7812518089056706E-2</v>
      </c>
      <c r="W276" s="18">
        <f t="shared" si="86"/>
        <v>1.2363233072057334E-2</v>
      </c>
      <c r="X276" s="18">
        <f t="shared" si="86"/>
        <v>-6.0090106944470367E-3</v>
      </c>
      <c r="Y276" s="18">
        <f t="shared" si="86"/>
        <v>-4.2714458650396914E-3</v>
      </c>
      <c r="Z276" s="18">
        <f t="shared" si="86"/>
        <v>-2.2335497308244578E-3</v>
      </c>
      <c r="AA276" s="18">
        <f t="shared" si="86"/>
        <v>-6.8552930286812641E-3</v>
      </c>
      <c r="AB276" s="18">
        <f t="shared" si="86"/>
        <v>1.5207601839462015E-4</v>
      </c>
      <c r="AC276" s="18">
        <f t="shared" si="86"/>
        <v>-2.0466959117669825E-3</v>
      </c>
      <c r="AD276" s="18">
        <f t="shared" si="86"/>
        <v>-5.3448975805813204E-3</v>
      </c>
      <c r="AE276" s="18">
        <f t="shared" si="86"/>
        <v>-1.4716663242658301E-2</v>
      </c>
      <c r="AF276" s="18">
        <f t="shared" si="86"/>
        <v>9.0137060470185659E-4</v>
      </c>
      <c r="AG276" s="18">
        <f t="shared" si="86"/>
        <v>-1.9971336963168551E-2</v>
      </c>
      <c r="AH276" s="18">
        <f t="shared" si="86"/>
        <v>2.5268486334087736E-2</v>
      </c>
      <c r="AI276" s="18">
        <f t="shared" si="86"/>
        <v>-5.2567325116563701E-3</v>
      </c>
    </row>
    <row r="277" spans="1:35" x14ac:dyDescent="0.25">
      <c r="A277" s="11" t="s">
        <v>1327</v>
      </c>
      <c r="B277" s="11"/>
      <c r="C277" s="18">
        <f>C$133/B$133-1</f>
        <v>1.1106819365360954E-2</v>
      </c>
      <c r="D277" s="18">
        <f t="shared" ref="D277:AI277" si="87">D$133/C$133-1</f>
        <v>1.3023862751943449E-2</v>
      </c>
      <c r="E277" s="18">
        <f t="shared" si="87"/>
        <v>3.014176664956314E-2</v>
      </c>
      <c r="F277" s="18">
        <f t="shared" si="87"/>
        <v>-1.964841823102248E-2</v>
      </c>
      <c r="G277" s="18">
        <f t="shared" si="87"/>
        <v>1.7023450710031973E-3</v>
      </c>
      <c r="H277" s="18">
        <f t="shared" si="87"/>
        <v>-1.155517611355239E-2</v>
      </c>
      <c r="I277" s="18">
        <f t="shared" si="87"/>
        <v>1.0370199594495366E-2</v>
      </c>
      <c r="J277" s="18">
        <f t="shared" si="87"/>
        <v>1.6689899991178869E-2</v>
      </c>
      <c r="K277" s="18">
        <f t="shared" si="87"/>
        <v>-1.0414605588328518E-2</v>
      </c>
      <c r="L277" s="18">
        <f t="shared" si="87"/>
        <v>9.8630160123023281E-3</v>
      </c>
      <c r="M277" s="18">
        <f t="shared" si="87"/>
        <v>-1.0644053117417007E-2</v>
      </c>
      <c r="N277" s="18">
        <f t="shared" si="87"/>
        <v>3.2446879871363965E-2</v>
      </c>
      <c r="O277" s="18">
        <f t="shared" si="87"/>
        <v>2.2313927844630488E-3</v>
      </c>
      <c r="P277" s="18">
        <f t="shared" si="87"/>
        <v>-3.1527160676808386E-2</v>
      </c>
      <c r="Q277" s="18">
        <f t="shared" si="87"/>
        <v>4.3298207844808534E-3</v>
      </c>
      <c r="R277" s="18">
        <f t="shared" si="87"/>
        <v>-9.5411229281896492E-3</v>
      </c>
      <c r="S277" s="18">
        <f t="shared" si="87"/>
        <v>3.8012124980313144E-2</v>
      </c>
      <c r="T277" s="18">
        <f t="shared" si="87"/>
        <v>3.4068058519154176E-2</v>
      </c>
      <c r="U277" s="18">
        <f t="shared" si="87"/>
        <v>5.2475951995395675E-2</v>
      </c>
      <c r="V277" s="18">
        <f t="shared" si="87"/>
        <v>3.511854780757484E-2</v>
      </c>
      <c r="W277" s="18">
        <f t="shared" si="87"/>
        <v>1.9508434757397941E-2</v>
      </c>
      <c r="X277" s="18">
        <f t="shared" si="87"/>
        <v>1.2623220660078927E-2</v>
      </c>
      <c r="Y277" s="18">
        <f t="shared" si="87"/>
        <v>-5.4442368633389471E-3</v>
      </c>
      <c r="Z277" s="18">
        <f t="shared" si="87"/>
        <v>-1.9196091611610733E-3</v>
      </c>
      <c r="AA277" s="18">
        <f t="shared" si="87"/>
        <v>-2.4726478882829417E-3</v>
      </c>
      <c r="AB277" s="18">
        <f t="shared" si="87"/>
        <v>-7.530853116381131E-3</v>
      </c>
      <c r="AC277" s="18">
        <f t="shared" si="87"/>
        <v>-1.390185463866489E-4</v>
      </c>
      <c r="AD277" s="18">
        <f t="shared" si="87"/>
        <v>-2.8286632419909363E-3</v>
      </c>
      <c r="AE277" s="18">
        <f t="shared" si="87"/>
        <v>-5.533942267828329E-3</v>
      </c>
      <c r="AF277" s="18">
        <f t="shared" si="87"/>
        <v>-1.5003966970217997E-2</v>
      </c>
      <c r="AG277" s="18">
        <f t="shared" si="87"/>
        <v>3.1678850269245551E-4</v>
      </c>
      <c r="AH277" s="18">
        <f t="shared" si="87"/>
        <v>-2.0186923666197232E-2</v>
      </c>
      <c r="AI277" s="18">
        <f t="shared" si="87"/>
        <v>2.4248403965354992E-2</v>
      </c>
    </row>
    <row r="278" spans="1:35" x14ac:dyDescent="0.25">
      <c r="A278" s="11" t="s">
        <v>1328</v>
      </c>
      <c r="B278" s="11"/>
      <c r="C278" s="18">
        <f>C$134/B$134-1</f>
        <v>2.0947115072303069E-2</v>
      </c>
      <c r="D278" s="18">
        <f t="shared" ref="D278:AI278" si="88">D$134/C$134-1</f>
        <v>1.3272568719672195E-2</v>
      </c>
      <c r="E278" s="18">
        <f t="shared" si="88"/>
        <v>1.8581019379173336E-2</v>
      </c>
      <c r="F278" s="18">
        <f t="shared" si="88"/>
        <v>3.9499827063886439E-2</v>
      </c>
      <c r="G278" s="18">
        <f t="shared" si="88"/>
        <v>-1.6485889148098232E-2</v>
      </c>
      <c r="H278" s="18">
        <f t="shared" si="88"/>
        <v>5.7945983062035467E-4</v>
      </c>
      <c r="I278" s="18">
        <f t="shared" si="88"/>
        <v>-7.7279956295071006E-3</v>
      </c>
      <c r="J278" s="18">
        <f t="shared" si="88"/>
        <v>2.6459439502451332E-2</v>
      </c>
      <c r="K278" s="18">
        <f t="shared" si="88"/>
        <v>2.2664537670921359E-2</v>
      </c>
      <c r="L278" s="18">
        <f t="shared" si="88"/>
        <v>-1.431681408120189E-2</v>
      </c>
      <c r="M278" s="18">
        <f t="shared" si="88"/>
        <v>2.4902243640934074E-3</v>
      </c>
      <c r="N278" s="18">
        <f t="shared" si="88"/>
        <v>-1.9883605078660826E-2</v>
      </c>
      <c r="O278" s="18">
        <f t="shared" si="88"/>
        <v>3.2098090228301457E-2</v>
      </c>
      <c r="P278" s="18">
        <f t="shared" si="88"/>
        <v>2.9960514714209019E-3</v>
      </c>
      <c r="Q278" s="18">
        <f t="shared" si="88"/>
        <v>-4.6998219902364191E-2</v>
      </c>
      <c r="R278" s="18">
        <f t="shared" si="88"/>
        <v>3.5192719882726209E-4</v>
      </c>
      <c r="S278" s="18">
        <f t="shared" si="88"/>
        <v>3.4066080748532457E-2</v>
      </c>
      <c r="T278" s="18">
        <f t="shared" si="88"/>
        <v>1.6121099618081391E-2</v>
      </c>
      <c r="U278" s="18">
        <f t="shared" si="88"/>
        <v>2.1976437590089715E-2</v>
      </c>
      <c r="V278" s="18">
        <f t="shared" si="88"/>
        <v>6.425948819841798E-2</v>
      </c>
      <c r="W278" s="18">
        <f t="shared" si="88"/>
        <v>3.6570986684749007E-2</v>
      </c>
      <c r="X278" s="18">
        <f t="shared" si="88"/>
        <v>1.9107513530931319E-2</v>
      </c>
      <c r="Y278" s="18">
        <f t="shared" si="88"/>
        <v>1.2904387849022259E-2</v>
      </c>
      <c r="Z278" s="18">
        <f t="shared" si="88"/>
        <v>-2.9047754816060589E-3</v>
      </c>
      <c r="AA278" s="18">
        <f t="shared" si="88"/>
        <v>-2.1591628704683563E-3</v>
      </c>
      <c r="AB278" s="18">
        <f t="shared" si="88"/>
        <v>-2.9608554997508918E-3</v>
      </c>
      <c r="AC278" s="18">
        <f t="shared" si="88"/>
        <v>-7.9219375391260671E-3</v>
      </c>
      <c r="AD278" s="18">
        <f t="shared" si="88"/>
        <v>-6.8046813802236095E-4</v>
      </c>
      <c r="AE278" s="18">
        <f t="shared" si="88"/>
        <v>-3.3199007632730426E-3</v>
      </c>
      <c r="AF278" s="18">
        <f t="shared" si="88"/>
        <v>-6.2413979876334569E-3</v>
      </c>
      <c r="AG278" s="18">
        <f t="shared" si="88"/>
        <v>-1.5288882316340513E-2</v>
      </c>
      <c r="AH278" s="18">
        <f t="shared" si="88"/>
        <v>2.1426871804619552E-5</v>
      </c>
      <c r="AI278" s="18">
        <f t="shared" si="88"/>
        <v>-2.0668899782786521E-2</v>
      </c>
    </row>
    <row r="279" spans="1:35" x14ac:dyDescent="0.25">
      <c r="A279" s="11" t="s">
        <v>1355</v>
      </c>
      <c r="B279" s="11"/>
      <c r="C279" s="18">
        <f>SUM(C$133:C$134)/SUM(B$133:B$134)-1</f>
        <v>1.5955637497548469E-2</v>
      </c>
      <c r="D279" s="18">
        <f t="shared" ref="D279:AI279" si="89">SUM(D$133:D$134)/SUM(C$133:C$134)-1</f>
        <v>1.3147015031103715E-2</v>
      </c>
      <c r="E279" s="18">
        <f t="shared" si="89"/>
        <v>2.4416496671519905E-2</v>
      </c>
      <c r="F279" s="18">
        <f t="shared" si="89"/>
        <v>9.4769177921751879E-3</v>
      </c>
      <c r="G279" s="18">
        <f t="shared" si="89"/>
        <v>-7.5201333110359592E-3</v>
      </c>
      <c r="H279" s="18">
        <f t="shared" si="89"/>
        <v>-5.4578033155980865E-3</v>
      </c>
      <c r="I279" s="18">
        <f t="shared" si="89"/>
        <v>1.2210730348916066E-3</v>
      </c>
      <c r="J279" s="18">
        <f t="shared" si="89"/>
        <v>2.1584522657105865E-2</v>
      </c>
      <c r="K279" s="18">
        <f t="shared" si="89"/>
        <v>6.2374121393977688E-3</v>
      </c>
      <c r="L279" s="18">
        <f t="shared" si="89"/>
        <v>-2.5078069691293337E-3</v>
      </c>
      <c r="M279" s="18">
        <f t="shared" si="89"/>
        <v>-4.0038803720304772E-3</v>
      </c>
      <c r="N279" s="18">
        <f t="shared" si="89"/>
        <v>5.8181501337357666E-3</v>
      </c>
      <c r="O279" s="18">
        <f t="shared" si="89"/>
        <v>1.7040916060926836E-2</v>
      </c>
      <c r="P279" s="18">
        <f t="shared" si="89"/>
        <v>-1.4155248604597714E-2</v>
      </c>
      <c r="Q279" s="18">
        <f t="shared" si="89"/>
        <v>-2.1947543799826108E-2</v>
      </c>
      <c r="R279" s="18">
        <f t="shared" si="89"/>
        <v>-4.6061031951126763E-3</v>
      </c>
      <c r="S279" s="18">
        <f t="shared" si="89"/>
        <v>3.6033887287378663E-2</v>
      </c>
      <c r="T279" s="18">
        <f t="shared" si="89"/>
        <v>2.5087947129725174E-2</v>
      </c>
      <c r="U279" s="18">
        <f t="shared" si="89"/>
        <v>3.7348418520990911E-2</v>
      </c>
      <c r="V279" s="18">
        <f t="shared" si="89"/>
        <v>4.9358056140508033E-2</v>
      </c>
      <c r="W279" s="18">
        <f t="shared" si="89"/>
        <v>2.7964323250456058E-2</v>
      </c>
      <c r="X279" s="18">
        <f t="shared" si="89"/>
        <v>1.586362264842478E-2</v>
      </c>
      <c r="Y279" s="18">
        <f t="shared" si="89"/>
        <v>3.7544191943525984E-3</v>
      </c>
      <c r="Z279" s="18">
        <f t="shared" si="89"/>
        <v>-2.4180015496367835E-3</v>
      </c>
      <c r="AA279" s="18">
        <f t="shared" si="89"/>
        <v>-2.3141342380030849E-3</v>
      </c>
      <c r="AB279" s="18">
        <f t="shared" si="89"/>
        <v>-5.219675594181572E-3</v>
      </c>
      <c r="AC279" s="18">
        <f t="shared" si="89"/>
        <v>-4.0839990767765899E-3</v>
      </c>
      <c r="AD279" s="18">
        <f t="shared" si="89"/>
        <v>-1.7439892854399508E-3</v>
      </c>
      <c r="AE279" s="18">
        <f t="shared" si="89"/>
        <v>-4.4148299133043301E-3</v>
      </c>
      <c r="AF279" s="18">
        <f t="shared" si="89"/>
        <v>-1.0569956134575009E-2</v>
      </c>
      <c r="AG279" s="18">
        <f t="shared" si="89"/>
        <v>-7.6144963780377939E-3</v>
      </c>
      <c r="AH279" s="18">
        <f t="shared" si="89"/>
        <v>-9.9958391363544896E-3</v>
      </c>
      <c r="AI279" s="18">
        <f t="shared" si="89"/>
        <v>1.3673775874261107E-3</v>
      </c>
    </row>
    <row r="280" spans="1:35" x14ac:dyDescent="0.25">
      <c r="A280" s="11" t="s">
        <v>938</v>
      </c>
      <c r="B280" s="11"/>
      <c r="C280" s="18">
        <f>SUM(C$135:C$139)/SUM(B$135:B$139)-1</f>
        <v>-4.5644800469669677E-3</v>
      </c>
      <c r="D280" s="18">
        <f t="shared" ref="D280:AI280" si="90">SUM(D$135:D$139)/SUM(C$135:C$139)-1</f>
        <v>-1.528534610712784E-3</v>
      </c>
      <c r="E280" s="18">
        <f t="shared" si="90"/>
        <v>1.3821180547233691E-2</v>
      </c>
      <c r="F280" s="18">
        <f t="shared" si="90"/>
        <v>2.631116728311711E-2</v>
      </c>
      <c r="G280" s="18">
        <f t="shared" si="90"/>
        <v>2.8214235473386307E-2</v>
      </c>
      <c r="H280" s="18">
        <f t="shared" si="90"/>
        <v>1.237971583278763E-2</v>
      </c>
      <c r="I280" s="18">
        <f t="shared" si="90"/>
        <v>1.5927881111849507E-2</v>
      </c>
      <c r="J280" s="18">
        <f t="shared" si="90"/>
        <v>3.9157345074809058E-2</v>
      </c>
      <c r="K280" s="18">
        <f t="shared" si="90"/>
        <v>4.9844462173259441E-2</v>
      </c>
      <c r="L280" s="18">
        <f t="shared" si="90"/>
        <v>2.7891031421258594E-2</v>
      </c>
      <c r="M280" s="18">
        <f t="shared" si="90"/>
        <v>8.1712318685922547E-4</v>
      </c>
      <c r="N280" s="18">
        <f t="shared" si="90"/>
        <v>-1.2282587413852797E-2</v>
      </c>
      <c r="O280" s="18">
        <f t="shared" si="90"/>
        <v>-1.0057151380459706E-2</v>
      </c>
      <c r="P280" s="18">
        <f t="shared" si="90"/>
        <v>6.5303750133407501E-3</v>
      </c>
      <c r="Q280" s="18">
        <f t="shared" si="90"/>
        <v>-2.1010202910406894E-2</v>
      </c>
      <c r="R280" s="18">
        <f t="shared" si="90"/>
        <v>-2.2251831347624207E-2</v>
      </c>
      <c r="S280" s="18">
        <f t="shared" si="90"/>
        <v>-4.445038211556529E-2</v>
      </c>
      <c r="T280" s="18">
        <f t="shared" si="90"/>
        <v>2.6560277512181374E-2</v>
      </c>
      <c r="U280" s="18">
        <f t="shared" si="90"/>
        <v>1.1275763331471955E-2</v>
      </c>
      <c r="V280" s="18">
        <f t="shared" si="90"/>
        <v>1.243939534185734E-2</v>
      </c>
      <c r="W280" s="18">
        <f t="shared" si="90"/>
        <v>3.2285141041080045E-2</v>
      </c>
      <c r="X280" s="18">
        <f t="shared" si="90"/>
        <v>3.5330911720148572E-2</v>
      </c>
      <c r="Y280" s="18">
        <f t="shared" si="90"/>
        <v>3.576985358870588E-2</v>
      </c>
      <c r="Z280" s="18">
        <f t="shared" si="90"/>
        <v>2.9466239677118145E-2</v>
      </c>
      <c r="AA280" s="18">
        <f t="shared" si="90"/>
        <v>2.0947432548360734E-2</v>
      </c>
      <c r="AB280" s="18">
        <f t="shared" si="90"/>
        <v>8.1243073224033235E-3</v>
      </c>
      <c r="AC280" s="18">
        <f t="shared" si="90"/>
        <v>3.9570921936737946E-4</v>
      </c>
      <c r="AD280" s="18">
        <f t="shared" si="90"/>
        <v>-4.7960082859092035E-3</v>
      </c>
      <c r="AE280" s="18">
        <f t="shared" si="90"/>
        <v>-7.5552709087726155E-3</v>
      </c>
      <c r="AF280" s="18">
        <f t="shared" si="90"/>
        <v>-6.9332125021533964E-3</v>
      </c>
      <c r="AG280" s="18">
        <f t="shared" si="90"/>
        <v>-7.1886510973619977E-3</v>
      </c>
      <c r="AH280" s="18">
        <f t="shared" si="90"/>
        <v>-8.8751636732017358E-3</v>
      </c>
      <c r="AI280" s="18">
        <f t="shared" si="90"/>
        <v>-6.8737781299686995E-3</v>
      </c>
    </row>
    <row r="281" spans="1:35" x14ac:dyDescent="0.25">
      <c r="A281" s="11" t="s">
        <v>1356</v>
      </c>
      <c r="B281" s="11"/>
      <c r="C281" s="18">
        <f>SUM(C$140:C$154)/SUM(B$140:B$154)-1</f>
        <v>3.2065939510763641E-3</v>
      </c>
      <c r="D281" s="18">
        <f t="shared" ref="D281:AI281" si="91">SUM(D$140:D$154)/SUM(C$140:C$154)-1</f>
        <v>-3.8332567543698515E-3</v>
      </c>
      <c r="E281" s="18">
        <f t="shared" si="91"/>
        <v>-4.7370488907370056E-3</v>
      </c>
      <c r="F281" s="18">
        <f t="shared" si="91"/>
        <v>-5.1214210416969941E-3</v>
      </c>
      <c r="G281" s="18">
        <f t="shared" si="91"/>
        <v>-1.1013189297339632E-2</v>
      </c>
      <c r="H281" s="18">
        <f t="shared" si="91"/>
        <v>-1.1826041350423422E-2</v>
      </c>
      <c r="I281" s="18">
        <f t="shared" si="91"/>
        <v>-3.8303182430933225E-3</v>
      </c>
      <c r="J281" s="18">
        <f t="shared" si="91"/>
        <v>2.8410498040612797E-2</v>
      </c>
      <c r="K281" s="18">
        <f t="shared" si="91"/>
        <v>5.0657496538895286E-2</v>
      </c>
      <c r="L281" s="18">
        <f t="shared" si="91"/>
        <v>6.2008326231465904E-2</v>
      </c>
      <c r="M281" s="18">
        <f t="shared" si="91"/>
        <v>6.2392221124139224E-2</v>
      </c>
      <c r="N281" s="18">
        <f t="shared" si="91"/>
        <v>5.2408995437393857E-2</v>
      </c>
      <c r="O281" s="18">
        <f t="shared" si="91"/>
        <v>3.5727850529056138E-2</v>
      </c>
      <c r="P281" s="18">
        <f t="shared" si="91"/>
        <v>3.8916210358389769E-2</v>
      </c>
      <c r="Q281" s="18">
        <f t="shared" si="91"/>
        <v>1.0039718299331035E-2</v>
      </c>
      <c r="R281" s="18">
        <f t="shared" si="91"/>
        <v>-5.3656298568289795E-3</v>
      </c>
      <c r="S281" s="18">
        <f t="shared" si="91"/>
        <v>2.9358069935366604E-2</v>
      </c>
      <c r="T281" s="18">
        <f t="shared" si="91"/>
        <v>9.7104232072879881E-3</v>
      </c>
      <c r="U281" s="18">
        <f t="shared" si="91"/>
        <v>-2.7495167690041455E-3</v>
      </c>
      <c r="V281" s="18">
        <f t="shared" si="91"/>
        <v>3.9074223108452877E-3</v>
      </c>
      <c r="W281" s="18">
        <f t="shared" si="91"/>
        <v>6.5060917474490942E-4</v>
      </c>
      <c r="X281" s="18">
        <f t="shared" si="91"/>
        <v>-3.2090950755103709E-4</v>
      </c>
      <c r="Y281" s="18">
        <f t="shared" si="91"/>
        <v>-5.0594610892329417E-4</v>
      </c>
      <c r="Z281" s="18">
        <f t="shared" si="91"/>
        <v>-3.8471062690281776E-5</v>
      </c>
      <c r="AA281" s="18">
        <f t="shared" si="91"/>
        <v>-1.4320314903071285E-4</v>
      </c>
      <c r="AB281" s="18">
        <f t="shared" si="91"/>
        <v>3.0523920811738048E-3</v>
      </c>
      <c r="AC281" s="18">
        <f t="shared" si="91"/>
        <v>6.0511394606677094E-3</v>
      </c>
      <c r="AD281" s="18">
        <f t="shared" si="91"/>
        <v>8.7571875830616541E-3</v>
      </c>
      <c r="AE281" s="18">
        <f t="shared" si="91"/>
        <v>9.2091693954152731E-3</v>
      </c>
      <c r="AF281" s="18">
        <f t="shared" si="91"/>
        <v>8.5369518956976975E-3</v>
      </c>
      <c r="AG281" s="18">
        <f t="shared" si="91"/>
        <v>9.6549547156137283E-3</v>
      </c>
      <c r="AH281" s="18">
        <f t="shared" si="91"/>
        <v>8.8315196511945526E-3</v>
      </c>
      <c r="AI281" s="18">
        <f t="shared" si="91"/>
        <v>9.2127931898566828E-3</v>
      </c>
    </row>
    <row r="282" spans="1:35" x14ac:dyDescent="0.25">
      <c r="A282" s="11" t="s">
        <v>1357</v>
      </c>
      <c r="B282" s="11"/>
      <c r="C282" s="18">
        <f>SUM(C$155:C$169)/SUM(B$155:B$169)-1</f>
        <v>1.3776622398056437E-2</v>
      </c>
      <c r="D282" s="18">
        <f t="shared" ref="D282:AI282" si="92">SUM(D$155:D$169)/SUM(C$155:C$169)-1</f>
        <v>8.6017447889281673E-3</v>
      </c>
      <c r="E282" s="18">
        <f t="shared" si="92"/>
        <v>6.9426354940043122E-3</v>
      </c>
      <c r="F282" s="18">
        <f t="shared" si="92"/>
        <v>6.7430620770074778E-3</v>
      </c>
      <c r="G282" s="18">
        <f t="shared" si="92"/>
        <v>4.9308904804856724E-3</v>
      </c>
      <c r="H282" s="18">
        <f t="shared" si="92"/>
        <v>9.3617248500765804E-4</v>
      </c>
      <c r="I282" s="18">
        <f t="shared" si="92"/>
        <v>-1.5559000443937654E-3</v>
      </c>
      <c r="J282" s="18">
        <f t="shared" si="92"/>
        <v>1.9926786803976526E-3</v>
      </c>
      <c r="K282" s="18">
        <f t="shared" si="92"/>
        <v>5.3461871977891207E-3</v>
      </c>
      <c r="L282" s="18">
        <f t="shared" si="92"/>
        <v>6.2145385402272435E-3</v>
      </c>
      <c r="M282" s="18">
        <f t="shared" si="92"/>
        <v>8.9542030134874828E-3</v>
      </c>
      <c r="N282" s="18">
        <f t="shared" si="92"/>
        <v>6.9063318423447928E-3</v>
      </c>
      <c r="O282" s="18">
        <f t="shared" si="92"/>
        <v>7.175527223195477E-3</v>
      </c>
      <c r="P282" s="18">
        <f t="shared" si="92"/>
        <v>8.4735073605406441E-3</v>
      </c>
      <c r="Q282" s="18">
        <f t="shared" si="92"/>
        <v>1.1248541420563862E-2</v>
      </c>
      <c r="R282" s="18">
        <f t="shared" si="92"/>
        <v>-1.4206294526827312E-3</v>
      </c>
      <c r="S282" s="18">
        <f t="shared" si="92"/>
        <v>-1.9731979410975153E-4</v>
      </c>
      <c r="T282" s="18">
        <f t="shared" si="92"/>
        <v>2.1635911591593615E-2</v>
      </c>
      <c r="U282" s="18">
        <f t="shared" si="92"/>
        <v>6.5173019073736516E-3</v>
      </c>
      <c r="V282" s="18">
        <f t="shared" si="92"/>
        <v>5.5490914810145675E-3</v>
      </c>
      <c r="W282" s="18">
        <f t="shared" si="92"/>
        <v>9.9264492010091576E-3</v>
      </c>
      <c r="X282" s="18">
        <f t="shared" si="92"/>
        <v>1.4859584554579364E-2</v>
      </c>
      <c r="Y282" s="18">
        <f t="shared" si="92"/>
        <v>1.9625405802764506E-2</v>
      </c>
      <c r="Z282" s="18">
        <f t="shared" si="92"/>
        <v>2.3613549487906393E-2</v>
      </c>
      <c r="AA282" s="18">
        <f t="shared" si="92"/>
        <v>2.5632905686164609E-2</v>
      </c>
      <c r="AB282" s="18">
        <f t="shared" si="92"/>
        <v>2.4609614628019694E-2</v>
      </c>
      <c r="AC282" s="18">
        <f t="shared" si="92"/>
        <v>2.3130175014159704E-2</v>
      </c>
      <c r="AD282" s="18">
        <f t="shared" si="92"/>
        <v>1.8198358510058465E-2</v>
      </c>
      <c r="AE282" s="18">
        <f t="shared" si="92"/>
        <v>1.5996556768155923E-2</v>
      </c>
      <c r="AF282" s="18">
        <f t="shared" si="92"/>
        <v>1.3793458932978675E-2</v>
      </c>
      <c r="AG282" s="18">
        <f t="shared" si="92"/>
        <v>1.0138747069144749E-2</v>
      </c>
      <c r="AH282" s="18">
        <f t="shared" si="92"/>
        <v>8.2334053356818426E-3</v>
      </c>
      <c r="AI282" s="18">
        <f t="shared" si="92"/>
        <v>5.2162767532732968E-3</v>
      </c>
    </row>
    <row r="283" spans="1:35" x14ac:dyDescent="0.25">
      <c r="A283" s="11" t="s">
        <v>1406</v>
      </c>
      <c r="B283" s="11"/>
      <c r="C283" s="18">
        <f>SUM(C$115:C$119)/SUM(B$115:B$119)-1</f>
        <v>2.1302237462227591E-2</v>
      </c>
      <c r="D283" s="18">
        <f t="shared" ref="D283:AI283" si="93">SUM(D$115:D$119)/SUM(C$115:C$119)-1</f>
        <v>2.7665633489771357E-2</v>
      </c>
      <c r="E283" s="18">
        <f t="shared" si="93"/>
        <v>2.3160427974631581E-2</v>
      </c>
      <c r="F283" s="18">
        <f t="shared" si="93"/>
        <v>2.454178594412304E-2</v>
      </c>
      <c r="G283" s="18">
        <f t="shared" si="93"/>
        <v>1.1992213757913595E-2</v>
      </c>
      <c r="H283" s="18">
        <f t="shared" si="93"/>
        <v>-4.4115774699510224E-3</v>
      </c>
      <c r="I283" s="18">
        <f t="shared" si="93"/>
        <v>-9.2595409378707361E-3</v>
      </c>
      <c r="J283" s="18">
        <f t="shared" si="93"/>
        <v>-8.6819034242646698E-3</v>
      </c>
      <c r="K283" s="18">
        <f t="shared" si="93"/>
        <v>-6.3188983308253288E-3</v>
      </c>
      <c r="L283" s="18">
        <f t="shared" si="93"/>
        <v>-2.6086462068719563E-3</v>
      </c>
      <c r="M283" s="18">
        <f t="shared" si="93"/>
        <v>-6.0194619090212509E-3</v>
      </c>
      <c r="N283" s="18">
        <f t="shared" si="93"/>
        <v>-1.8993036084622439E-3</v>
      </c>
      <c r="O283" s="18">
        <f t="shared" si="93"/>
        <v>-4.7729301845711447E-3</v>
      </c>
      <c r="P283" s="18">
        <f t="shared" si="93"/>
        <v>4.3452521245708198E-3</v>
      </c>
      <c r="Q283" s="18">
        <f t="shared" si="93"/>
        <v>-9.6418237418034458E-3</v>
      </c>
      <c r="R283" s="18">
        <f t="shared" si="93"/>
        <v>-4.2423885040897558E-3</v>
      </c>
      <c r="S283" s="18">
        <f t="shared" si="93"/>
        <v>1.1324998460868763E-2</v>
      </c>
      <c r="T283" s="18">
        <f t="shared" si="93"/>
        <v>1.0242089255875886E-2</v>
      </c>
      <c r="U283" s="18">
        <f t="shared" si="93"/>
        <v>5.3320598205683911E-3</v>
      </c>
      <c r="V283" s="18">
        <f t="shared" si="93"/>
        <v>6.7795987407683889E-3</v>
      </c>
      <c r="W283" s="18">
        <f t="shared" si="93"/>
        <v>9.302961511915786E-3</v>
      </c>
      <c r="X283" s="18">
        <f t="shared" si="93"/>
        <v>1.1404981128168901E-2</v>
      </c>
      <c r="Y283" s="18">
        <f t="shared" si="93"/>
        <v>9.5799142911443536E-3</v>
      </c>
      <c r="Z283" s="18">
        <f t="shared" si="93"/>
        <v>1.9082918910180435E-3</v>
      </c>
      <c r="AA283" s="18">
        <f t="shared" si="93"/>
        <v>1.3622109956910045E-3</v>
      </c>
      <c r="AB283" s="18">
        <f t="shared" si="93"/>
        <v>9.9018661258609697E-4</v>
      </c>
      <c r="AC283" s="18">
        <f t="shared" si="93"/>
        <v>1.019259169115827E-3</v>
      </c>
      <c r="AD283" s="18">
        <f t="shared" si="93"/>
        <v>9.911785048335453E-4</v>
      </c>
      <c r="AE283" s="18">
        <f t="shared" si="93"/>
        <v>1.4762510480361701E-3</v>
      </c>
      <c r="AF283" s="18">
        <f t="shared" si="93"/>
        <v>1.7886412163459209E-3</v>
      </c>
      <c r="AG283" s="18">
        <f t="shared" si="93"/>
        <v>2.2699186714494335E-3</v>
      </c>
      <c r="AH283" s="18">
        <f t="shared" si="93"/>
        <v>2.7481515713188021E-3</v>
      </c>
      <c r="AI283" s="18">
        <f t="shared" si="93"/>
        <v>3.1095928463824585E-3</v>
      </c>
    </row>
    <row r="284" spans="1:35" x14ac:dyDescent="0.25">
      <c r="A284" s="11" t="s">
        <v>1407</v>
      </c>
      <c r="B284" s="11"/>
      <c r="C284" s="18">
        <f>SUM(C$120:C$124)/SUM(B$120:B$124)-1</f>
        <v>-5.9610292248517549E-3</v>
      </c>
      <c r="D284" s="18">
        <f t="shared" ref="D284:AI284" si="94">SUM(D$120:D$124)/SUM(C$120:C$124)-1</f>
        <v>-1.0517625252444152E-3</v>
      </c>
      <c r="E284" s="18">
        <f t="shared" si="94"/>
        <v>3.3527600885019382E-3</v>
      </c>
      <c r="F284" s="18">
        <f t="shared" si="94"/>
        <v>-2.4787060766483515E-3</v>
      </c>
      <c r="G284" s="18">
        <f t="shared" si="94"/>
        <v>-6.8557162672178151E-5</v>
      </c>
      <c r="H284" s="18">
        <f t="shared" si="94"/>
        <v>1.4920133082453324E-2</v>
      </c>
      <c r="I284" s="18">
        <f t="shared" si="94"/>
        <v>2.2928746725380256E-2</v>
      </c>
      <c r="J284" s="18">
        <f t="shared" si="94"/>
        <v>2.8954668503176295E-2</v>
      </c>
      <c r="K284" s="18">
        <f t="shared" si="94"/>
        <v>3.1938632704385794E-2</v>
      </c>
      <c r="L284" s="18">
        <f t="shared" si="94"/>
        <v>2.1186034632625361E-2</v>
      </c>
      <c r="M284" s="18">
        <f t="shared" si="94"/>
        <v>4.5104729767100338E-3</v>
      </c>
      <c r="N284" s="18">
        <f t="shared" si="94"/>
        <v>2.3840072340626239E-3</v>
      </c>
      <c r="O284" s="18">
        <f t="shared" si="94"/>
        <v>-5.9483122159739166E-3</v>
      </c>
      <c r="P284" s="18">
        <f t="shared" si="94"/>
        <v>5.9062711433899295E-3</v>
      </c>
      <c r="Q284" s="18">
        <f t="shared" si="94"/>
        <v>-1.5449217606467114E-2</v>
      </c>
      <c r="R284" s="18">
        <f t="shared" si="94"/>
        <v>-8.6577655584684221E-3</v>
      </c>
      <c r="S284" s="18">
        <f t="shared" si="94"/>
        <v>1.3119732858812627E-2</v>
      </c>
      <c r="T284" s="18">
        <f t="shared" si="94"/>
        <v>1.7036891589203851E-3</v>
      </c>
      <c r="U284" s="18">
        <f t="shared" si="94"/>
        <v>-1.2075779153143729E-2</v>
      </c>
      <c r="V284" s="18">
        <f t="shared" si="94"/>
        <v>4.6434166433759749E-3</v>
      </c>
      <c r="W284" s="18">
        <f t="shared" si="94"/>
        <v>6.8006986653055268E-3</v>
      </c>
      <c r="X284" s="18">
        <f t="shared" si="94"/>
        <v>8.0958019326720088E-3</v>
      </c>
      <c r="Y284" s="18">
        <f t="shared" si="94"/>
        <v>6.9597556111689052E-3</v>
      </c>
      <c r="Z284" s="18">
        <f t="shared" si="94"/>
        <v>5.2348686652912146E-3</v>
      </c>
      <c r="AA284" s="18">
        <f t="shared" si="94"/>
        <v>-4.4071810155643654E-5</v>
      </c>
      <c r="AB284" s="18">
        <f t="shared" si="94"/>
        <v>6.4899766123982516E-4</v>
      </c>
      <c r="AC284" s="18">
        <f t="shared" si="94"/>
        <v>2.3961650160153614E-3</v>
      </c>
      <c r="AD284" s="18">
        <f t="shared" si="94"/>
        <v>1.7519997331452153E-3</v>
      </c>
      <c r="AE284" s="18">
        <f t="shared" si="94"/>
        <v>9.4572995900632506E-4</v>
      </c>
      <c r="AF284" s="18">
        <f t="shared" si="94"/>
        <v>4.186031412019009E-4</v>
      </c>
      <c r="AG284" s="18">
        <f t="shared" si="94"/>
        <v>5.8073663945501508E-5</v>
      </c>
      <c r="AH284" s="18">
        <f t="shared" si="94"/>
        <v>-1.3661397935960107E-4</v>
      </c>
      <c r="AI284" s="18">
        <f t="shared" si="94"/>
        <v>-2.2089567764471685E-4</v>
      </c>
    </row>
    <row r="285" spans="1:35" x14ac:dyDescent="0.25">
      <c r="A285" s="11" t="s">
        <v>1408</v>
      </c>
      <c r="B285" s="11"/>
      <c r="C285" s="18">
        <f>SUM(C$125:C$129)/SUM(B$125:B$129)-1</f>
        <v>-2.1412706519856273E-2</v>
      </c>
      <c r="D285" s="18">
        <f t="shared" ref="D285:AI285" si="95">SUM(D$125:D$129)/SUM(C$125:C$129)-1</f>
        <v>-9.0672657835001447E-3</v>
      </c>
      <c r="E285" s="18">
        <f t="shared" si="95"/>
        <v>-3.6518238260151437E-3</v>
      </c>
      <c r="F285" s="18">
        <f t="shared" si="95"/>
        <v>6.5341531731852864E-3</v>
      </c>
      <c r="G285" s="18">
        <f t="shared" si="95"/>
        <v>-8.9002376846081255E-4</v>
      </c>
      <c r="H285" s="18">
        <f t="shared" si="95"/>
        <v>-7.2155529075668134E-3</v>
      </c>
      <c r="I285" s="18">
        <f t="shared" si="95"/>
        <v>-8.2675229620050583E-3</v>
      </c>
      <c r="J285" s="18">
        <f t="shared" si="95"/>
        <v>2.2681975150933287E-3</v>
      </c>
      <c r="K285" s="18">
        <f t="shared" si="95"/>
        <v>-7.6297210612408239E-4</v>
      </c>
      <c r="L285" s="18">
        <f t="shared" si="95"/>
        <v>4.4991688095412652E-3</v>
      </c>
      <c r="M285" s="18">
        <f t="shared" si="95"/>
        <v>1.7666193683532949E-2</v>
      </c>
      <c r="N285" s="18">
        <f t="shared" si="95"/>
        <v>2.6526785430323718E-2</v>
      </c>
      <c r="O285" s="18">
        <f t="shared" si="95"/>
        <v>2.3879369364155911E-2</v>
      </c>
      <c r="P285" s="18">
        <f t="shared" si="95"/>
        <v>3.6881973391463596E-2</v>
      </c>
      <c r="Q285" s="18">
        <f t="shared" si="95"/>
        <v>9.5558506810182742E-3</v>
      </c>
      <c r="R285" s="18">
        <f t="shared" si="95"/>
        <v>5.8670808279392972E-3</v>
      </c>
      <c r="S285" s="18">
        <f t="shared" si="95"/>
        <v>2.2111143797755028E-2</v>
      </c>
      <c r="T285" s="18">
        <f t="shared" si="95"/>
        <v>6.480518414255787E-3</v>
      </c>
      <c r="U285" s="18">
        <f t="shared" si="95"/>
        <v>-6.5206895792639941E-3</v>
      </c>
      <c r="V285" s="18">
        <f t="shared" si="95"/>
        <v>2.4016546089011825E-3</v>
      </c>
      <c r="W285" s="18">
        <f t="shared" si="95"/>
        <v>3.5675616208077354E-3</v>
      </c>
      <c r="X285" s="18">
        <f t="shared" si="95"/>
        <v>1.141274307358664E-3</v>
      </c>
      <c r="Y285" s="18">
        <f t="shared" si="95"/>
        <v>1.9122009474676904E-3</v>
      </c>
      <c r="Z285" s="18">
        <f t="shared" si="95"/>
        <v>-7.2359932166859986E-3</v>
      </c>
      <c r="AA285" s="18">
        <f t="shared" si="95"/>
        <v>-1.7599937142818156E-3</v>
      </c>
      <c r="AB285" s="18">
        <f t="shared" si="95"/>
        <v>-1.5627276066503271E-3</v>
      </c>
      <c r="AC285" s="18">
        <f t="shared" si="95"/>
        <v>-6.1598437451992893E-4</v>
      </c>
      <c r="AD285" s="18">
        <f t="shared" si="95"/>
        <v>-7.3654377724741149E-4</v>
      </c>
      <c r="AE285" s="18">
        <f t="shared" si="95"/>
        <v>3.2114668874543284E-3</v>
      </c>
      <c r="AF285" s="18">
        <f t="shared" si="95"/>
        <v>-1.7749799637106767E-3</v>
      </c>
      <c r="AG285" s="18">
        <f t="shared" si="95"/>
        <v>-1.0428623753088173E-3</v>
      </c>
      <c r="AH285" s="18">
        <f t="shared" si="95"/>
        <v>4.4132055424439542E-4</v>
      </c>
      <c r="AI285" s="18">
        <f t="shared" si="95"/>
        <v>-1.0698568396827479E-4</v>
      </c>
    </row>
    <row r="286" spans="1:35" x14ac:dyDescent="0.25">
      <c r="A286" s="11" t="s">
        <v>1409</v>
      </c>
      <c r="B286" s="11"/>
      <c r="C286" s="18">
        <f>SUM(C$130:C$134)/SUM(B$130:B$134)-1</f>
        <v>9.2972491610481267E-3</v>
      </c>
      <c r="D286" s="18">
        <f t="shared" ref="D286:AI286" si="96">SUM(D$130:D$134)/SUM(C$130:C$134)-1</f>
        <v>1.5173884526431536E-3</v>
      </c>
      <c r="E286" s="18">
        <f t="shared" si="96"/>
        <v>-2.9047357400641127E-3</v>
      </c>
      <c r="F286" s="18">
        <f t="shared" si="96"/>
        <v>3.7411128357835999E-3</v>
      </c>
      <c r="G286" s="18">
        <f t="shared" si="96"/>
        <v>-1.9086958516676411E-3</v>
      </c>
      <c r="H286" s="18">
        <f t="shared" si="96"/>
        <v>-2.7857209784819537E-3</v>
      </c>
      <c r="I286" s="18">
        <f t="shared" si="96"/>
        <v>-2.6141465426565702E-4</v>
      </c>
      <c r="J286" s="18">
        <f t="shared" si="96"/>
        <v>1.747845306982132E-3</v>
      </c>
      <c r="K286" s="18">
        <f t="shared" si="96"/>
        <v>8.2366552318897668E-3</v>
      </c>
      <c r="L286" s="18">
        <f t="shared" si="96"/>
        <v>3.4791049513065442E-3</v>
      </c>
      <c r="M286" s="18">
        <f t="shared" si="96"/>
        <v>1.2975949736633297E-3</v>
      </c>
      <c r="N286" s="18">
        <f t="shared" si="96"/>
        <v>1.6336844627777847E-3</v>
      </c>
      <c r="O286" s="18">
        <f t="shared" si="96"/>
        <v>4.4366781885740725E-3</v>
      </c>
      <c r="P286" s="18">
        <f t="shared" si="96"/>
        <v>-4.2969618666034437E-3</v>
      </c>
      <c r="Q286" s="18">
        <f t="shared" si="96"/>
        <v>-4.488590505123069E-3</v>
      </c>
      <c r="R286" s="18">
        <f t="shared" si="96"/>
        <v>9.4637205242751321E-3</v>
      </c>
      <c r="S286" s="18">
        <f t="shared" si="96"/>
        <v>5.5048723509365516E-2</v>
      </c>
      <c r="T286" s="18">
        <f t="shared" si="96"/>
        <v>3.4982712560220008E-2</v>
      </c>
      <c r="U286" s="18">
        <f t="shared" si="96"/>
        <v>2.1408086352484368E-2</v>
      </c>
      <c r="V286" s="18">
        <f t="shared" si="96"/>
        <v>2.3333848853782424E-2</v>
      </c>
      <c r="W286" s="18">
        <f t="shared" si="96"/>
        <v>1.1372980954220013E-2</v>
      </c>
      <c r="X286" s="18">
        <f t="shared" si="96"/>
        <v>3.2696572342734154E-3</v>
      </c>
      <c r="Y286" s="18">
        <f t="shared" si="96"/>
        <v>-2.1512444874749459E-3</v>
      </c>
      <c r="Z286" s="18">
        <f t="shared" si="96"/>
        <v>-2.3957642455507688E-3</v>
      </c>
      <c r="AA286" s="18">
        <f t="shared" si="96"/>
        <v>-2.4231009904552847E-3</v>
      </c>
      <c r="AB286" s="18">
        <f t="shared" si="96"/>
        <v>-3.3179797943612144E-3</v>
      </c>
      <c r="AC286" s="18">
        <f t="shared" si="96"/>
        <v>-5.6895162709268421E-3</v>
      </c>
      <c r="AD286" s="18">
        <f t="shared" si="96"/>
        <v>-4.2122611876563854E-3</v>
      </c>
      <c r="AE286" s="18">
        <f t="shared" si="96"/>
        <v>-8.2071740593910869E-3</v>
      </c>
      <c r="AF286" s="18">
        <f t="shared" si="96"/>
        <v>-2.9799951783033851E-3</v>
      </c>
      <c r="AG286" s="18">
        <f t="shared" si="96"/>
        <v>-2.8444147454774749E-3</v>
      </c>
      <c r="AH286" s="18">
        <f t="shared" si="96"/>
        <v>-2.150513906167606E-3</v>
      </c>
      <c r="AI286" s="18">
        <f t="shared" si="96"/>
        <v>-2.4565894250156983E-3</v>
      </c>
    </row>
    <row r="287" spans="1:35" x14ac:dyDescent="0.25">
      <c r="A287" s="11" t="s">
        <v>937</v>
      </c>
      <c r="B287" s="11"/>
      <c r="C287" s="18">
        <f>SUM(C$131:C$134)/SUM(B$131:B$134)-1</f>
        <v>1.8770481757444335E-2</v>
      </c>
      <c r="D287" s="18">
        <f t="shared" ref="D287:U287" si="97">SUM(D$131:D$134)/SUM(C$131:C$134)-1</f>
        <v>5.6737130621482557E-3</v>
      </c>
      <c r="E287" s="18">
        <f t="shared" si="97"/>
        <v>1.589626530993371E-3</v>
      </c>
      <c r="F287" s="18">
        <f t="shared" si="97"/>
        <v>2.2032514780696566E-3</v>
      </c>
      <c r="G287" s="18">
        <f t="shared" si="97"/>
        <v>-3.9626941448008823E-3</v>
      </c>
      <c r="H287" s="18">
        <f t="shared" si="97"/>
        <v>1.4400280648003694E-3</v>
      </c>
      <c r="I287" s="18">
        <f t="shared" si="97"/>
        <v>-2.1965939327993622E-3</v>
      </c>
      <c r="J287" s="18">
        <f t="shared" si="97"/>
        <v>6.7250285838047485E-3</v>
      </c>
      <c r="K287" s="18">
        <f t="shared" si="97"/>
        <v>2.9222440634120161E-3</v>
      </c>
      <c r="L287" s="18">
        <f t="shared" si="97"/>
        <v>6.0866500122374045E-3</v>
      </c>
      <c r="M287" s="18">
        <f t="shared" si="97"/>
        <v>7.3540042252944193E-3</v>
      </c>
      <c r="N287" s="18">
        <f t="shared" si="97"/>
        <v>-3.0569070957486844E-3</v>
      </c>
      <c r="O287" s="18">
        <f t="shared" si="97"/>
        <v>5.2021672625803816E-3</v>
      </c>
      <c r="P287" s="18">
        <f t="shared" si="97"/>
        <v>-6.1485864387283984E-3</v>
      </c>
      <c r="Q287" s="18">
        <f t="shared" si="97"/>
        <v>-1.1528501331378838E-2</v>
      </c>
      <c r="R287" s="18">
        <f t="shared" si="97"/>
        <v>-5.7834239272558374E-4</v>
      </c>
      <c r="S287" s="18">
        <f t="shared" si="97"/>
        <v>5.4247553492922318E-2</v>
      </c>
      <c r="T287" s="18">
        <f t="shared" si="97"/>
        <v>3.8382062657557281E-2</v>
      </c>
      <c r="U287" s="18">
        <f t="shared" si="97"/>
        <v>2.6501695585996909E-2</v>
      </c>
      <c r="V287" s="18">
        <f t="shared" ref="V287:AI287" si="98">SUM(V$131:V$134)/SUM(U$131:U$134)-1</f>
        <v>3.1406717431804454E-2</v>
      </c>
      <c r="W287" s="18">
        <f t="shared" si="98"/>
        <v>1.5466442424376448E-2</v>
      </c>
      <c r="X287" s="18">
        <f t="shared" si="98"/>
        <v>5.3116827392492016E-3</v>
      </c>
      <c r="Y287" s="18">
        <f t="shared" si="98"/>
        <v>-3.5612368727144794E-4</v>
      </c>
      <c r="Z287" s="18">
        <f t="shared" si="98"/>
        <v>-3.3405936690650284E-3</v>
      </c>
      <c r="AA287" s="18">
        <f t="shared" si="98"/>
        <v>-2.7044727572647087E-3</v>
      </c>
      <c r="AB287" s="18">
        <f t="shared" si="98"/>
        <v>-3.0684549012900408E-3</v>
      </c>
      <c r="AC287" s="18">
        <f t="shared" si="98"/>
        <v>-3.7046630078038101E-3</v>
      </c>
      <c r="AD287" s="18">
        <f t="shared" si="98"/>
        <v>-5.6976237338970392E-3</v>
      </c>
      <c r="AE287" s="18">
        <f t="shared" si="98"/>
        <v>-5.5482754913565024E-3</v>
      </c>
      <c r="AF287" s="18">
        <f t="shared" si="98"/>
        <v>-1.0038587844128921E-2</v>
      </c>
      <c r="AG287" s="18">
        <f t="shared" si="98"/>
        <v>-2.5075721325746869E-3</v>
      </c>
      <c r="AH287" s="18">
        <f t="shared" si="98"/>
        <v>-1.1619734531909121E-4</v>
      </c>
      <c r="AI287" s="18">
        <f t="shared" si="98"/>
        <v>-3.3189037088650064E-3</v>
      </c>
    </row>
    <row r="288" spans="1:35" x14ac:dyDescent="0.25">
      <c r="A288" s="11" t="s">
        <v>938</v>
      </c>
      <c r="B288" s="11"/>
      <c r="C288" s="18">
        <f>SUM(C$135:C$139)/SUM(B$135:B$139)-1</f>
        <v>-4.5644800469669677E-3</v>
      </c>
      <c r="D288" s="18">
        <f t="shared" ref="D288:U288" si="99">SUM(D$135:D$139)/SUM(C$135:C$139)-1</f>
        <v>-1.528534610712784E-3</v>
      </c>
      <c r="E288" s="18">
        <f t="shared" si="99"/>
        <v>1.3821180547233691E-2</v>
      </c>
      <c r="F288" s="18">
        <f t="shared" si="99"/>
        <v>2.631116728311711E-2</v>
      </c>
      <c r="G288" s="18">
        <f t="shared" si="99"/>
        <v>2.8214235473386307E-2</v>
      </c>
      <c r="H288" s="18">
        <f t="shared" si="99"/>
        <v>1.237971583278763E-2</v>
      </c>
      <c r="I288" s="18">
        <f t="shared" si="99"/>
        <v>1.5927881111849507E-2</v>
      </c>
      <c r="J288" s="18">
        <f t="shared" si="99"/>
        <v>3.9157345074809058E-2</v>
      </c>
      <c r="K288" s="18">
        <f t="shared" si="99"/>
        <v>4.9844462173259441E-2</v>
      </c>
      <c r="L288" s="18">
        <f t="shared" si="99"/>
        <v>2.7891031421258594E-2</v>
      </c>
      <c r="M288" s="18">
        <f t="shared" si="99"/>
        <v>8.1712318685922547E-4</v>
      </c>
      <c r="N288" s="18">
        <f t="shared" si="99"/>
        <v>-1.2282587413852797E-2</v>
      </c>
      <c r="O288" s="18">
        <f t="shared" si="99"/>
        <v>-1.0057151380459706E-2</v>
      </c>
      <c r="P288" s="18">
        <f t="shared" si="99"/>
        <v>6.5303750133407501E-3</v>
      </c>
      <c r="Q288" s="18">
        <f t="shared" si="99"/>
        <v>-2.1010202910406894E-2</v>
      </c>
      <c r="R288" s="18">
        <f t="shared" si="99"/>
        <v>-2.2251831347624207E-2</v>
      </c>
      <c r="S288" s="18">
        <f t="shared" si="99"/>
        <v>-4.445038211556529E-2</v>
      </c>
      <c r="T288" s="18">
        <f t="shared" si="99"/>
        <v>2.6560277512181374E-2</v>
      </c>
      <c r="U288" s="18">
        <f t="shared" si="99"/>
        <v>1.1275763331471955E-2</v>
      </c>
      <c r="V288" s="18">
        <f t="shared" ref="V288:AI288" si="100">SUM(V$135:V$139)/SUM(U$135:U$139)-1</f>
        <v>1.243939534185734E-2</v>
      </c>
      <c r="W288" s="18">
        <f t="shared" si="100"/>
        <v>3.2285141041080045E-2</v>
      </c>
      <c r="X288" s="18">
        <f t="shared" si="100"/>
        <v>3.5330911720148572E-2</v>
      </c>
      <c r="Y288" s="18">
        <f t="shared" si="100"/>
        <v>3.576985358870588E-2</v>
      </c>
      <c r="Z288" s="18">
        <f t="shared" si="100"/>
        <v>2.9466239677118145E-2</v>
      </c>
      <c r="AA288" s="18">
        <f t="shared" si="100"/>
        <v>2.0947432548360734E-2</v>
      </c>
      <c r="AB288" s="18">
        <f t="shared" si="100"/>
        <v>8.1243073224033235E-3</v>
      </c>
      <c r="AC288" s="18">
        <f t="shared" si="100"/>
        <v>3.9570921936737946E-4</v>
      </c>
      <c r="AD288" s="18">
        <f t="shared" si="100"/>
        <v>-4.7960082859092035E-3</v>
      </c>
      <c r="AE288" s="18">
        <f t="shared" si="100"/>
        <v>-7.5552709087726155E-3</v>
      </c>
      <c r="AF288" s="18">
        <f t="shared" si="100"/>
        <v>-6.9332125021533964E-3</v>
      </c>
      <c r="AG288" s="18">
        <f t="shared" si="100"/>
        <v>-7.1886510973619977E-3</v>
      </c>
      <c r="AH288" s="18">
        <f t="shared" si="100"/>
        <v>-8.8751636732017358E-3</v>
      </c>
      <c r="AI288" s="18">
        <f t="shared" si="100"/>
        <v>-6.8737781299686995E-3</v>
      </c>
    </row>
    <row r="289" spans="1:35" x14ac:dyDescent="0.25">
      <c r="A289" s="11" t="s">
        <v>939</v>
      </c>
      <c r="B289" s="11"/>
      <c r="C289" s="18">
        <f>SUM(C$140:C$144)/SUM(B$140:B$144)-1</f>
        <v>2.1110528559186825E-2</v>
      </c>
      <c r="D289" s="18">
        <f t="shared" ref="D289:U289" si="101">SUM(D$140:D$144)/SUM(C$140:C$144)-1</f>
        <v>1.702068559810721E-2</v>
      </c>
      <c r="E289" s="18">
        <f t="shared" si="101"/>
        <v>1.4161011259522294E-2</v>
      </c>
      <c r="F289" s="18">
        <f t="shared" si="101"/>
        <v>9.7950625637206468E-3</v>
      </c>
      <c r="G289" s="18">
        <f t="shared" si="101"/>
        <v>-1.6621167107985224E-3</v>
      </c>
      <c r="H289" s="18">
        <f t="shared" si="101"/>
        <v>-6.985286780341049E-4</v>
      </c>
      <c r="I289" s="18">
        <f t="shared" si="101"/>
        <v>8.083127607870777E-3</v>
      </c>
      <c r="J289" s="18">
        <f t="shared" si="101"/>
        <v>5.5075905507894207E-2</v>
      </c>
      <c r="K289" s="18">
        <f t="shared" si="101"/>
        <v>8.4920398981521039E-2</v>
      </c>
      <c r="L289" s="18">
        <f t="shared" si="101"/>
        <v>9.0248178364933818E-2</v>
      </c>
      <c r="M289" s="18">
        <f t="shared" si="101"/>
        <v>7.1418143548391821E-2</v>
      </c>
      <c r="N289" s="18">
        <f t="shared" si="101"/>
        <v>4.4375448959574681E-2</v>
      </c>
      <c r="O289" s="18">
        <f t="shared" si="101"/>
        <v>1.7092092645784929E-2</v>
      </c>
      <c r="P289" s="18">
        <f t="shared" si="101"/>
        <v>1.7039253948748723E-2</v>
      </c>
      <c r="Q289" s="18">
        <f t="shared" si="101"/>
        <v>-2.4379391144881968E-2</v>
      </c>
      <c r="R289" s="18">
        <f t="shared" si="101"/>
        <v>-4.0440580704550477E-2</v>
      </c>
      <c r="S289" s="18">
        <f t="shared" si="101"/>
        <v>-1.3531494142850709E-2</v>
      </c>
      <c r="T289" s="18">
        <f t="shared" si="101"/>
        <v>-8.2857143620953533E-3</v>
      </c>
      <c r="U289" s="18">
        <f t="shared" si="101"/>
        <v>-1.5887610896467952E-2</v>
      </c>
      <c r="V289" s="18">
        <f t="shared" ref="V289:AI289" si="102">SUM(V$140:V$144)/SUM(U$140:U$144)-1</f>
        <v>-1.0759642915971201E-2</v>
      </c>
      <c r="W289" s="18">
        <f t="shared" si="102"/>
        <v>-9.0741538650279674E-3</v>
      </c>
      <c r="X289" s="18">
        <f t="shared" si="102"/>
        <v>-3.7939483342009916E-3</v>
      </c>
      <c r="Y289" s="18">
        <f t="shared" si="102"/>
        <v>5.5039215911816264E-3</v>
      </c>
      <c r="Z289" s="18">
        <f t="shared" si="102"/>
        <v>5.0291635776515964E-3</v>
      </c>
      <c r="AA289" s="18">
        <f t="shared" si="102"/>
        <v>1.3391166164632429E-2</v>
      </c>
      <c r="AB289" s="18">
        <f t="shared" si="102"/>
        <v>3.2084400047550643E-2</v>
      </c>
      <c r="AC289" s="18">
        <f t="shared" si="102"/>
        <v>3.4001830871892791E-2</v>
      </c>
      <c r="AD289" s="18">
        <f t="shared" si="102"/>
        <v>3.3207404578438515E-2</v>
      </c>
      <c r="AE289" s="18">
        <f t="shared" si="102"/>
        <v>3.072081498964585E-2</v>
      </c>
      <c r="AF289" s="18">
        <f t="shared" si="102"/>
        <v>2.2111928661410207E-2</v>
      </c>
      <c r="AG289" s="18">
        <f t="shared" si="102"/>
        <v>9.17303582693485E-3</v>
      </c>
      <c r="AH289" s="18">
        <f t="shared" si="102"/>
        <v>1.483109941355254E-3</v>
      </c>
      <c r="AI289" s="18">
        <f t="shared" si="102"/>
        <v>-4.0926817552066064E-3</v>
      </c>
    </row>
    <row r="290" spans="1:35" x14ac:dyDescent="0.25">
      <c r="A290" s="11" t="s">
        <v>940</v>
      </c>
      <c r="B290" s="11"/>
      <c r="C290" s="18">
        <f>SUM(C$145:C$149)/SUM(B$145:B$149)-1</f>
        <v>-2.1781662657119227E-2</v>
      </c>
      <c r="D290" s="18">
        <f t="shared" ref="D290:U290" si="103">SUM(D$145:D$149)/SUM(C$145:C$149)-1</f>
        <v>-2.2392138242195103E-2</v>
      </c>
      <c r="E290" s="18">
        <f t="shared" si="103"/>
        <v>-1.2209075795232116E-2</v>
      </c>
      <c r="F290" s="18">
        <f t="shared" si="103"/>
        <v>-4.4868098391647182E-3</v>
      </c>
      <c r="G290" s="18">
        <f t="shared" si="103"/>
        <v>3.3485062235458773E-3</v>
      </c>
      <c r="H290" s="18">
        <f t="shared" si="103"/>
        <v>-3.5327924119199494E-4</v>
      </c>
      <c r="I290" s="18">
        <f t="shared" si="103"/>
        <v>9.2589746935578532E-3</v>
      </c>
      <c r="J290" s="18">
        <f t="shared" si="103"/>
        <v>3.5129701495552501E-2</v>
      </c>
      <c r="K290" s="18">
        <f t="shared" si="103"/>
        <v>4.4842842040575093E-2</v>
      </c>
      <c r="L290" s="18">
        <f t="shared" si="103"/>
        <v>5.4495490686892412E-2</v>
      </c>
      <c r="M290" s="18">
        <f t="shared" si="103"/>
        <v>6.5455656918662841E-2</v>
      </c>
      <c r="N290" s="18">
        <f t="shared" si="103"/>
        <v>6.0365173457529453E-2</v>
      </c>
      <c r="O290" s="18">
        <f t="shared" si="103"/>
        <v>4.8583226759026266E-2</v>
      </c>
      <c r="P290" s="18">
        <f t="shared" si="103"/>
        <v>6.3192497502674527E-2</v>
      </c>
      <c r="Q290" s="18">
        <f t="shared" si="103"/>
        <v>3.3450081146620292E-2</v>
      </c>
      <c r="R290" s="18">
        <f t="shared" si="103"/>
        <v>1.014890772275745E-2</v>
      </c>
      <c r="S290" s="18">
        <f t="shared" si="103"/>
        <v>4.8087496223144788E-2</v>
      </c>
      <c r="T290" s="18">
        <f t="shared" si="103"/>
        <v>4.045464914488095E-3</v>
      </c>
      <c r="U290" s="18">
        <f t="shared" si="103"/>
        <v>-1.9836942807091917E-2</v>
      </c>
      <c r="V290" s="18">
        <f t="shared" ref="V290:AI290" si="104">SUM(V$145:V$149)/SUM(U$145:U$149)-1</f>
        <v>-1.3145105213146491E-2</v>
      </c>
      <c r="W290" s="18">
        <f t="shared" si="104"/>
        <v>-1.7636282082066135E-2</v>
      </c>
      <c r="X290" s="18">
        <f t="shared" si="104"/>
        <v>-1.4886038164754978E-2</v>
      </c>
      <c r="Y290" s="18">
        <f t="shared" si="104"/>
        <v>-1.3320470559843756E-2</v>
      </c>
      <c r="Z290" s="18">
        <f t="shared" si="104"/>
        <v>-2.9473688449964675E-3</v>
      </c>
      <c r="AA290" s="18">
        <f t="shared" si="104"/>
        <v>-4.1632495994985419E-3</v>
      </c>
      <c r="AB290" s="18">
        <f t="shared" si="104"/>
        <v>-4.4132196616124553E-3</v>
      </c>
      <c r="AC290" s="18">
        <f t="shared" si="104"/>
        <v>-7.304085004088412E-4</v>
      </c>
      <c r="AD290" s="18">
        <f t="shared" si="104"/>
        <v>6.7488660554106961E-3</v>
      </c>
      <c r="AE290" s="18">
        <f t="shared" si="104"/>
        <v>4.2978456216897776E-3</v>
      </c>
      <c r="AF290" s="18">
        <f t="shared" si="104"/>
        <v>1.1677324899511454E-2</v>
      </c>
      <c r="AG290" s="18">
        <f t="shared" si="104"/>
        <v>2.8535335089692637E-2</v>
      </c>
      <c r="AH290" s="18">
        <f t="shared" si="104"/>
        <v>2.9913399546567687E-2</v>
      </c>
      <c r="AI290" s="18">
        <f t="shared" si="104"/>
        <v>2.9081276057880912E-2</v>
      </c>
    </row>
    <row r="291" spans="1:35" x14ac:dyDescent="0.25">
      <c r="A291" s="11" t="s">
        <v>941</v>
      </c>
      <c r="B291" s="11"/>
      <c r="C291" s="18">
        <f>SUM(C$150:C$154)/SUM(B$150:B$154)-1</f>
        <v>1.0827207543760764E-2</v>
      </c>
      <c r="D291" s="18">
        <f t="shared" ref="D291:U291" si="105">SUM(D$150:D$154)/SUM(C$150:C$154)-1</f>
        <v>-5.3246581535039139E-3</v>
      </c>
      <c r="E291" s="18">
        <f t="shared" si="105"/>
        <v>-1.4833787740203719E-2</v>
      </c>
      <c r="F291" s="18">
        <f t="shared" si="105"/>
        <v>-1.9156929809962864E-2</v>
      </c>
      <c r="G291" s="18">
        <f t="shared" si="105"/>
        <v>-3.2420895368187042E-2</v>
      </c>
      <c r="H291" s="18">
        <f t="shared" si="105"/>
        <v>-3.3035258540173085E-2</v>
      </c>
      <c r="I291" s="18">
        <f t="shared" si="105"/>
        <v>-2.8065571127134148E-2</v>
      </c>
      <c r="J291" s="18">
        <f t="shared" si="105"/>
        <v>-5.6490733053683462E-3</v>
      </c>
      <c r="K291" s="18">
        <f t="shared" si="105"/>
        <v>1.9204807076166119E-2</v>
      </c>
      <c r="L291" s="18">
        <f t="shared" si="105"/>
        <v>3.7079182401286381E-2</v>
      </c>
      <c r="M291" s="18">
        <f t="shared" si="105"/>
        <v>4.8088884823437761E-2</v>
      </c>
      <c r="N291" s="18">
        <f t="shared" si="105"/>
        <v>5.3800655705023237E-2</v>
      </c>
      <c r="O291" s="18">
        <f t="shared" si="105"/>
        <v>4.4745792504535586E-2</v>
      </c>
      <c r="P291" s="18">
        <f t="shared" si="105"/>
        <v>3.864735745217085E-2</v>
      </c>
      <c r="Q291" s="18">
        <f t="shared" si="105"/>
        <v>2.4367147867449424E-2</v>
      </c>
      <c r="R291" s="18">
        <f t="shared" si="105"/>
        <v>1.6479419393550687E-2</v>
      </c>
      <c r="S291" s="18">
        <f t="shared" si="105"/>
        <v>5.3776685591892415E-2</v>
      </c>
      <c r="T291" s="18">
        <f t="shared" si="105"/>
        <v>3.3930127906544705E-2</v>
      </c>
      <c r="U291" s="18">
        <f t="shared" si="105"/>
        <v>2.8351285950016791E-2</v>
      </c>
      <c r="V291" s="18">
        <f t="shared" ref="V291:AI291" si="106">SUM(V$150:V$154)/SUM(U$150:U$154)-1</f>
        <v>3.4956774333885887E-2</v>
      </c>
      <c r="W291" s="18">
        <f t="shared" si="106"/>
        <v>2.720071317727113E-2</v>
      </c>
      <c r="X291" s="18">
        <f t="shared" si="106"/>
        <v>1.6367026077514835E-2</v>
      </c>
      <c r="Y291" s="18">
        <f t="shared" si="106"/>
        <v>6.2826913635141146E-3</v>
      </c>
      <c r="Z291" s="18">
        <f t="shared" si="106"/>
        <v>-1.5977996660152538E-3</v>
      </c>
      <c r="AA291" s="18">
        <f t="shared" si="106"/>
        <v>-7.7545002267088714E-3</v>
      </c>
      <c r="AB291" s="18">
        <f t="shared" si="106"/>
        <v>-1.4801409645353369E-2</v>
      </c>
      <c r="AC291" s="18">
        <f t="shared" si="106"/>
        <v>-1.2564873509206986E-2</v>
      </c>
      <c r="AD291" s="18">
        <f t="shared" si="106"/>
        <v>-1.2098377536861049E-2</v>
      </c>
      <c r="AE291" s="18">
        <f t="shared" si="106"/>
        <v>-7.0743483352307956E-3</v>
      </c>
      <c r="AF291" s="18">
        <f t="shared" si="106"/>
        <v>-8.1294982590685017E-3</v>
      </c>
      <c r="AG291" s="18">
        <f t="shared" si="106"/>
        <v>-8.1218453724019035E-3</v>
      </c>
      <c r="AH291" s="18">
        <f t="shared" si="106"/>
        <v>-4.5639613115550093E-3</v>
      </c>
      <c r="AI291" s="18">
        <f t="shared" si="106"/>
        <v>2.7267661012679856E-3</v>
      </c>
    </row>
    <row r="292" spans="1:35" x14ac:dyDescent="0.25">
      <c r="A292" s="11" t="s">
        <v>942</v>
      </c>
      <c r="B292" s="11"/>
      <c r="C292" s="18">
        <f>SUM(C$155:C$159)/SUM(B$155:B$159)-1</f>
        <v>-9.6933310324514022E-3</v>
      </c>
      <c r="D292" s="18">
        <f t="shared" ref="D292:U292" si="107">SUM(D$155:D$159)/SUM(C$155:C$159)-1</f>
        <v>-1.3317162063596233E-2</v>
      </c>
      <c r="E292" s="18">
        <f t="shared" si="107"/>
        <v>-9.0972814122071144E-3</v>
      </c>
      <c r="F292" s="18">
        <f t="shared" si="107"/>
        <v>-1.7410720472205155E-3</v>
      </c>
      <c r="G292" s="18">
        <f t="shared" si="107"/>
        <v>3.721815558902497E-3</v>
      </c>
      <c r="H292" s="18">
        <f t="shared" si="107"/>
        <v>1.930679867647056E-3</v>
      </c>
      <c r="I292" s="18">
        <f t="shared" si="107"/>
        <v>-7.3525174619970546E-3</v>
      </c>
      <c r="J292" s="18">
        <f t="shared" si="107"/>
        <v>-3.6148441816428178E-3</v>
      </c>
      <c r="K292" s="18">
        <f t="shared" si="107"/>
        <v>-4.7257073378434988E-3</v>
      </c>
      <c r="L292" s="18">
        <f t="shared" si="107"/>
        <v>-8.8293434980855068E-3</v>
      </c>
      <c r="M292" s="18">
        <f t="shared" si="107"/>
        <v>-3.7038746645620124E-3</v>
      </c>
      <c r="N292" s="18">
        <f t="shared" si="107"/>
        <v>-2.602446434706307E-4</v>
      </c>
      <c r="O292" s="18">
        <f t="shared" si="107"/>
        <v>1.280832856710612E-2</v>
      </c>
      <c r="P292" s="18">
        <f t="shared" si="107"/>
        <v>2.1898443968545234E-2</v>
      </c>
      <c r="Q292" s="18">
        <f t="shared" si="107"/>
        <v>2.3678304374566972E-2</v>
      </c>
      <c r="R292" s="18">
        <f t="shared" si="107"/>
        <v>1.1017652209910578E-2</v>
      </c>
      <c r="S292" s="18">
        <f t="shared" si="107"/>
        <v>3.8028547898609988E-2</v>
      </c>
      <c r="T292" s="18">
        <f t="shared" si="107"/>
        <v>3.2940186407437899E-2</v>
      </c>
      <c r="U292" s="18">
        <f t="shared" si="107"/>
        <v>1.5562111957015512E-2</v>
      </c>
      <c r="V292" s="18">
        <f t="shared" ref="V292:AI292" si="108">SUM(V$155:V$159)/SUM(U$155:U$159)-1</f>
        <v>2.1880166051182259E-2</v>
      </c>
      <c r="W292" s="18">
        <f t="shared" si="108"/>
        <v>2.8884091760053465E-2</v>
      </c>
      <c r="X292" s="18">
        <f t="shared" si="108"/>
        <v>3.1351673256357016E-2</v>
      </c>
      <c r="Y292" s="18">
        <f t="shared" si="108"/>
        <v>3.1899110470453351E-2</v>
      </c>
      <c r="Z292" s="18">
        <f t="shared" si="108"/>
        <v>3.9211720193360833E-2</v>
      </c>
      <c r="AA292" s="18">
        <f t="shared" si="108"/>
        <v>3.6250856256450747E-2</v>
      </c>
      <c r="AB292" s="18">
        <f t="shared" si="108"/>
        <v>2.6543492602426388E-2</v>
      </c>
      <c r="AC292" s="18">
        <f t="shared" si="108"/>
        <v>1.5520295937477169E-2</v>
      </c>
      <c r="AD292" s="18">
        <f t="shared" si="108"/>
        <v>5.3409835122084637E-3</v>
      </c>
      <c r="AE292" s="18">
        <f t="shared" si="108"/>
        <v>-4.6708892010348668E-3</v>
      </c>
      <c r="AF292" s="18">
        <f t="shared" si="108"/>
        <v>-1.0416829649378179E-2</v>
      </c>
      <c r="AG292" s="18">
        <f t="shared" si="108"/>
        <v>-1.7171524485353751E-2</v>
      </c>
      <c r="AH292" s="18">
        <f t="shared" si="108"/>
        <v>-1.4939398331776044E-2</v>
      </c>
      <c r="AI292" s="18">
        <f t="shared" si="108"/>
        <v>-1.427481766560057E-2</v>
      </c>
    </row>
    <row r="293" spans="1:35" x14ac:dyDescent="0.25">
      <c r="A293" s="11" t="s">
        <v>943</v>
      </c>
      <c r="B293" s="11"/>
      <c r="C293" s="18">
        <f>SUM(C$160:C$164)/SUM(B$160:B$164)-1</f>
        <v>2.6645491427477852E-2</v>
      </c>
      <c r="D293" s="18">
        <f t="shared" ref="D293:U293" si="109">SUM(D$160:D$164)/SUM(C$160:C$164)-1</f>
        <v>1.9483902411039589E-2</v>
      </c>
      <c r="E293" s="18">
        <f t="shared" si="109"/>
        <v>7.1358318340977167E-3</v>
      </c>
      <c r="F293" s="18">
        <f t="shared" si="109"/>
        <v>-1.2187385406537965E-3</v>
      </c>
      <c r="G293" s="18">
        <f t="shared" si="109"/>
        <v>-9.7998322009775762E-3</v>
      </c>
      <c r="H293" s="18">
        <f t="shared" si="109"/>
        <v>-1.8526173407920843E-2</v>
      </c>
      <c r="I293" s="18">
        <f t="shared" si="109"/>
        <v>-1.434570740669916E-2</v>
      </c>
      <c r="J293" s="18">
        <f t="shared" si="109"/>
        <v>-8.3039002942986162E-4</v>
      </c>
      <c r="K293" s="18">
        <f t="shared" si="109"/>
        <v>1.2168462149742876E-2</v>
      </c>
      <c r="L293" s="18">
        <f t="shared" si="109"/>
        <v>2.333391862735823E-2</v>
      </c>
      <c r="M293" s="18">
        <f t="shared" si="109"/>
        <v>2.8020579197657325E-2</v>
      </c>
      <c r="N293" s="18">
        <f t="shared" si="109"/>
        <v>1.6385841148569336E-2</v>
      </c>
      <c r="O293" s="18">
        <f t="shared" si="109"/>
        <v>2.7778027553155837E-3</v>
      </c>
      <c r="P293" s="18">
        <f t="shared" si="109"/>
        <v>-6.3878490839854862E-3</v>
      </c>
      <c r="Q293" s="18">
        <f t="shared" si="109"/>
        <v>-1.2112644497309755E-2</v>
      </c>
      <c r="R293" s="18">
        <f t="shared" si="109"/>
        <v>-2.5282219299556652E-2</v>
      </c>
      <c r="S293" s="18">
        <f t="shared" si="109"/>
        <v>-2.5956204247588821E-2</v>
      </c>
      <c r="T293" s="18">
        <f t="shared" si="109"/>
        <v>1.5785180334537241E-2</v>
      </c>
      <c r="U293" s="18">
        <f t="shared" si="109"/>
        <v>1.0959955934290111E-2</v>
      </c>
      <c r="V293" s="18">
        <f t="shared" ref="V293:AI293" si="110">SUM(V$160:V$164)/SUM(U$160:U$164)-1</f>
        <v>1.6693741156481368E-2</v>
      </c>
      <c r="W293" s="18">
        <f t="shared" si="110"/>
        <v>2.0410228342959913E-2</v>
      </c>
      <c r="X293" s="18">
        <f t="shared" si="110"/>
        <v>2.7955484195589353E-2</v>
      </c>
      <c r="Y293" s="18">
        <f t="shared" si="110"/>
        <v>2.5021256005785641E-2</v>
      </c>
      <c r="Z293" s="18">
        <f t="shared" si="110"/>
        <v>2.0624339394967661E-2</v>
      </c>
      <c r="AA293" s="18">
        <f t="shared" si="110"/>
        <v>2.2162562637940919E-2</v>
      </c>
      <c r="AB293" s="18">
        <f t="shared" si="110"/>
        <v>2.7384804590874667E-2</v>
      </c>
      <c r="AC293" s="18">
        <f t="shared" si="110"/>
        <v>2.9410826458236228E-2</v>
      </c>
      <c r="AD293" s="18">
        <f t="shared" si="110"/>
        <v>2.913009876898065E-2</v>
      </c>
      <c r="AE293" s="18">
        <f t="shared" si="110"/>
        <v>3.6077685901226619E-2</v>
      </c>
      <c r="AF293" s="18">
        <f t="shared" si="110"/>
        <v>3.3512897987598045E-2</v>
      </c>
      <c r="AG293" s="18">
        <f t="shared" si="110"/>
        <v>2.4261817355540227E-2</v>
      </c>
      <c r="AH293" s="18">
        <f t="shared" si="110"/>
        <v>1.3695660307765811E-2</v>
      </c>
      <c r="AI293" s="18">
        <f t="shared" si="110"/>
        <v>3.7016064486741218E-3</v>
      </c>
    </row>
    <row r="294" spans="1:35" x14ac:dyDescent="0.25">
      <c r="A294" s="11" t="s">
        <v>944</v>
      </c>
      <c r="B294" s="11"/>
      <c r="C294" s="18">
        <f>SUM(C$165:C$169)/SUM(B$165:B$169)-1</f>
        <v>2.7177172600630017E-2</v>
      </c>
      <c r="D294" s="18">
        <f t="shared" ref="D294:U294" si="111">SUM(D$165:D$169)/SUM(C$165:C$169)-1</f>
        <v>2.1482896141091778E-2</v>
      </c>
      <c r="E294" s="18">
        <f t="shared" si="111"/>
        <v>2.4650156555892977E-2</v>
      </c>
      <c r="F294" s="18">
        <f t="shared" si="111"/>
        <v>2.4873225232397989E-2</v>
      </c>
      <c r="G294" s="18">
        <f t="shared" si="111"/>
        <v>2.2358170497132734E-2</v>
      </c>
      <c r="H294" s="18">
        <f t="shared" si="111"/>
        <v>2.0579988926164638E-2</v>
      </c>
      <c r="I294" s="18">
        <f t="shared" si="111"/>
        <v>1.7390538475376971E-2</v>
      </c>
      <c r="J294" s="18">
        <f t="shared" si="111"/>
        <v>1.0338403549196462E-2</v>
      </c>
      <c r="K294" s="18">
        <f t="shared" si="111"/>
        <v>8.5041761902808766E-3</v>
      </c>
      <c r="L294" s="18">
        <f t="shared" si="111"/>
        <v>3.8965902022531917E-3</v>
      </c>
      <c r="M294" s="18">
        <f t="shared" si="111"/>
        <v>1.9076776265565254E-3</v>
      </c>
      <c r="N294" s="18">
        <f t="shared" si="111"/>
        <v>3.9481007920976197E-3</v>
      </c>
      <c r="O294" s="18">
        <f t="shared" si="111"/>
        <v>6.4425712766904564E-3</v>
      </c>
      <c r="P294" s="18">
        <f t="shared" si="111"/>
        <v>1.1145747479456292E-2</v>
      </c>
      <c r="Q294" s="18">
        <f t="shared" si="111"/>
        <v>2.3127148353112803E-2</v>
      </c>
      <c r="R294" s="18">
        <f t="shared" si="111"/>
        <v>1.0116051905107781E-2</v>
      </c>
      <c r="S294" s="18">
        <f t="shared" si="111"/>
        <v>-1.2437332344725105E-2</v>
      </c>
      <c r="T294" s="18">
        <f t="shared" si="111"/>
        <v>1.5709754584282809E-2</v>
      </c>
      <c r="U294" s="18">
        <f t="shared" si="111"/>
        <v>-6.9173048696034023E-3</v>
      </c>
      <c r="V294" s="18">
        <f t="shared" ref="V294:AI294" si="112">SUM(V$165:V$169)/SUM(U$165:U$169)-1</f>
        <v>-2.2197714836712179E-2</v>
      </c>
      <c r="W294" s="18">
        <f t="shared" si="112"/>
        <v>-2.1239354177927772E-2</v>
      </c>
      <c r="X294" s="18">
        <f t="shared" si="112"/>
        <v>-1.7668875221253377E-2</v>
      </c>
      <c r="Y294" s="18">
        <f t="shared" si="112"/>
        <v>-1.0547089340543492E-3</v>
      </c>
      <c r="Z294" s="18">
        <f t="shared" si="112"/>
        <v>7.4349324284128659E-3</v>
      </c>
      <c r="AA294" s="18">
        <f t="shared" si="112"/>
        <v>1.5843535226411021E-2</v>
      </c>
      <c r="AB294" s="18">
        <f t="shared" si="112"/>
        <v>1.8929395234432045E-2</v>
      </c>
      <c r="AC294" s="18">
        <f t="shared" si="112"/>
        <v>2.6053616191050954E-2</v>
      </c>
      <c r="AD294" s="18">
        <f t="shared" si="112"/>
        <v>2.2557121244527467E-2</v>
      </c>
      <c r="AE294" s="18">
        <f t="shared" si="112"/>
        <v>1.9530008589679904E-2</v>
      </c>
      <c r="AF294" s="18">
        <f t="shared" si="112"/>
        <v>2.1201327310502505E-2</v>
      </c>
      <c r="AG294" s="18">
        <f t="shared" si="112"/>
        <v>2.6730066837277855E-2</v>
      </c>
      <c r="AH294" s="18">
        <f t="shared" si="112"/>
        <v>2.8837057073147987E-2</v>
      </c>
      <c r="AI294" s="18">
        <f t="shared" si="112"/>
        <v>2.8765479292532259E-2</v>
      </c>
    </row>
    <row r="295" spans="1:35" x14ac:dyDescent="0.25">
      <c r="A295" s="11" t="s">
        <v>945</v>
      </c>
      <c r="B295" s="11"/>
      <c r="C295" s="18">
        <f>SUM(C$170:C$174)/SUM(B$170:B$174)-1</f>
        <v>5.0309066428591009E-3</v>
      </c>
      <c r="D295" s="18">
        <f t="shared" ref="D295:U295" si="113">SUM(D$170:D$174)/SUM(C$170:C$174)-1</f>
        <v>3.596967860290512E-3</v>
      </c>
      <c r="E295" s="18">
        <f t="shared" si="113"/>
        <v>9.822291865146715E-3</v>
      </c>
      <c r="F295" s="18">
        <f t="shared" si="113"/>
        <v>1.5922429424475748E-2</v>
      </c>
      <c r="G295" s="18">
        <f t="shared" si="113"/>
        <v>2.2316946223584599E-2</v>
      </c>
      <c r="H295" s="18">
        <f t="shared" si="113"/>
        <v>2.2801718264596094E-2</v>
      </c>
      <c r="I295" s="18">
        <f t="shared" si="113"/>
        <v>1.932042185733418E-2</v>
      </c>
      <c r="J295" s="18">
        <f t="shared" si="113"/>
        <v>2.4683164626342569E-2</v>
      </c>
      <c r="K295" s="18">
        <f t="shared" si="113"/>
        <v>2.8532667000171985E-2</v>
      </c>
      <c r="L295" s="18">
        <f t="shared" si="113"/>
        <v>3.1697423591794838E-2</v>
      </c>
      <c r="M295" s="18">
        <f t="shared" si="113"/>
        <v>3.6184010498710117E-2</v>
      </c>
      <c r="N295" s="18">
        <f t="shared" si="113"/>
        <v>3.1063793318327759E-2</v>
      </c>
      <c r="O295" s="18">
        <f t="shared" si="113"/>
        <v>1.6477866074602332E-2</v>
      </c>
      <c r="P295" s="18">
        <f t="shared" si="113"/>
        <v>9.6366256584958787E-3</v>
      </c>
      <c r="Q295" s="18">
        <f t="shared" si="113"/>
        <v>5.4771377404896349E-3</v>
      </c>
      <c r="R295" s="18">
        <f t="shared" si="113"/>
        <v>-1.2602273596752367E-2</v>
      </c>
      <c r="S295" s="18">
        <f t="shared" si="113"/>
        <v>-1.8669638004244038E-2</v>
      </c>
      <c r="T295" s="18">
        <f t="shared" si="113"/>
        <v>2.8045328003911241E-2</v>
      </c>
      <c r="U295" s="18">
        <f t="shared" si="113"/>
        <v>1.4871472729445667E-2</v>
      </c>
      <c r="V295" s="18">
        <f t="shared" ref="V295:AI295" si="114">SUM(V$170:V$174)/SUM(U$170:U$174)-1</f>
        <v>1.4579069894656627E-2</v>
      </c>
      <c r="W295" s="18">
        <f t="shared" si="114"/>
        <v>1.3846281700202523E-2</v>
      </c>
      <c r="X295" s="18">
        <f t="shared" si="114"/>
        <v>4.7443362483716722E-3</v>
      </c>
      <c r="Y295" s="18">
        <f t="shared" si="114"/>
        <v>-7.2551528210573757E-3</v>
      </c>
      <c r="Z295" s="18">
        <f t="shared" si="114"/>
        <v>-1.470247096700672E-2</v>
      </c>
      <c r="AA295" s="18">
        <f t="shared" si="114"/>
        <v>-2.234237297148034E-2</v>
      </c>
      <c r="AB295" s="18">
        <f t="shared" si="114"/>
        <v>-2.1679737147028311E-2</v>
      </c>
      <c r="AC295" s="18">
        <f t="shared" si="114"/>
        <v>-1.8589832302199794E-2</v>
      </c>
      <c r="AD295" s="18">
        <f t="shared" si="114"/>
        <v>-2.955449522922815E-3</v>
      </c>
      <c r="AE295" s="18">
        <f t="shared" si="114"/>
        <v>7.4829065450079391E-3</v>
      </c>
      <c r="AF295" s="18">
        <f t="shared" si="114"/>
        <v>1.6059773309374803E-2</v>
      </c>
      <c r="AG295" s="18">
        <f t="shared" si="114"/>
        <v>1.891005110945998E-2</v>
      </c>
      <c r="AH295" s="18">
        <f t="shared" si="114"/>
        <v>2.5993939839159763E-2</v>
      </c>
      <c r="AI295" s="18">
        <f t="shared" si="114"/>
        <v>2.2517959054356496E-2</v>
      </c>
    </row>
    <row r="296" spans="1:35" x14ac:dyDescent="0.25">
      <c r="A296" s="11" t="s">
        <v>946</v>
      </c>
      <c r="B296" s="11"/>
      <c r="C296" s="18">
        <f>SUM(C$175:C$179)/SUM(B$175:B$179)-1</f>
        <v>6.2124012853495669E-2</v>
      </c>
      <c r="D296" s="18">
        <f t="shared" ref="D296:U296" si="115">SUM(D$175:D$179)/SUM(C$175:C$179)-1</f>
        <v>7.2268216816916642E-2</v>
      </c>
      <c r="E296" s="18">
        <f t="shared" si="115"/>
        <v>4.5041542981828275E-2</v>
      </c>
      <c r="F296" s="18">
        <f t="shared" si="115"/>
        <v>4.1522669072777019E-2</v>
      </c>
      <c r="G296" s="18">
        <f t="shared" si="115"/>
        <v>3.2587746032064269E-2</v>
      </c>
      <c r="H296" s="18">
        <f t="shared" si="115"/>
        <v>1.9786894397051391E-3</v>
      </c>
      <c r="I296" s="18">
        <f t="shared" si="115"/>
        <v>2.3091213710741965E-3</v>
      </c>
      <c r="J296" s="18">
        <f t="shared" si="115"/>
        <v>8.4815554192099185E-3</v>
      </c>
      <c r="K296" s="18">
        <f t="shared" si="115"/>
        <v>1.7939091038108756E-2</v>
      </c>
      <c r="L296" s="18">
        <f t="shared" si="115"/>
        <v>2.5560672920162064E-2</v>
      </c>
      <c r="M296" s="18">
        <f t="shared" si="115"/>
        <v>2.9798358955211324E-2</v>
      </c>
      <c r="N296" s="18">
        <f t="shared" si="115"/>
        <v>2.7495870440410242E-2</v>
      </c>
      <c r="O296" s="18">
        <f t="shared" si="115"/>
        <v>3.4529300614857705E-2</v>
      </c>
      <c r="P296" s="18">
        <f t="shared" si="115"/>
        <v>3.3821486420617219E-2</v>
      </c>
      <c r="Q296" s="18">
        <f t="shared" si="115"/>
        <v>3.163758197675981E-2</v>
      </c>
      <c r="R296" s="18">
        <f t="shared" si="115"/>
        <v>2.196429746103945E-2</v>
      </c>
      <c r="S296" s="18">
        <f t="shared" si="115"/>
        <v>1.9215721367269678E-2</v>
      </c>
      <c r="T296" s="18">
        <f t="shared" si="115"/>
        <v>3.8482188429247222E-2</v>
      </c>
      <c r="U296" s="18">
        <f t="shared" si="115"/>
        <v>1.3269448570837561E-2</v>
      </c>
      <c r="V296" s="18">
        <f t="shared" ref="V296:AI296" si="116">SUM(V$175:V$179)/SUM(U$175:U$179)-1</f>
        <v>-1.0325855681804219E-3</v>
      </c>
      <c r="W296" s="18">
        <f t="shared" si="116"/>
        <v>-5.5110344157494051E-3</v>
      </c>
      <c r="X296" s="18">
        <f t="shared" si="116"/>
        <v>-2.9827461901987817E-3</v>
      </c>
      <c r="Y296" s="18">
        <f t="shared" si="116"/>
        <v>4.7720420310906064E-3</v>
      </c>
      <c r="Z296" s="18">
        <f t="shared" si="116"/>
        <v>7.5763769187489061E-3</v>
      </c>
      <c r="AA296" s="18">
        <f t="shared" si="116"/>
        <v>1.4433240043491669E-2</v>
      </c>
      <c r="AB296" s="18">
        <f t="shared" si="116"/>
        <v>1.3341150356058096E-2</v>
      </c>
      <c r="AC296" s="18">
        <f t="shared" si="116"/>
        <v>3.7551268069313526E-3</v>
      </c>
      <c r="AD296" s="18">
        <f t="shared" si="116"/>
        <v>-8.4271807463556225E-3</v>
      </c>
      <c r="AE296" s="18">
        <f t="shared" si="116"/>
        <v>-1.4010104722156247E-2</v>
      </c>
      <c r="AF296" s="18">
        <f t="shared" si="116"/>
        <v>-2.1639869650951438E-2</v>
      </c>
      <c r="AG296" s="18">
        <f t="shared" si="116"/>
        <v>-2.0953453485482165E-2</v>
      </c>
      <c r="AH296" s="18">
        <f t="shared" si="116"/>
        <v>-1.7958437838000996E-2</v>
      </c>
      <c r="AI296" s="18">
        <f t="shared" si="116"/>
        <v>-2.7671090280959598E-3</v>
      </c>
    </row>
    <row r="297" spans="1:35" x14ac:dyDescent="0.25">
      <c r="A297" s="11" t="s">
        <v>947</v>
      </c>
      <c r="B297" s="11"/>
      <c r="C297" s="18">
        <f>SUM(C$180:C$210)/SUM(B$180:B$210)-1</f>
        <v>3.5389125645910235E-2</v>
      </c>
      <c r="D297" s="18">
        <f t="shared" ref="D297:U297" si="117">SUM(D$180:D$210)/SUM(C$180:C$210)-1</f>
        <v>2.2631244481116086E-2</v>
      </c>
      <c r="E297" s="18">
        <f t="shared" si="117"/>
        <v>2.8089827996498729E-2</v>
      </c>
      <c r="F297" s="18">
        <f t="shared" si="117"/>
        <v>3.1641296049234491E-2</v>
      </c>
      <c r="G297" s="18">
        <f t="shared" si="117"/>
        <v>3.5205085355030752E-2</v>
      </c>
      <c r="H297" s="18">
        <f t="shared" si="117"/>
        <v>4.4791527303805756E-2</v>
      </c>
      <c r="I297" s="18">
        <f t="shared" si="117"/>
        <v>3.9708843061861954E-2</v>
      </c>
      <c r="J297" s="18">
        <f t="shared" si="117"/>
        <v>3.4132214967520058E-2</v>
      </c>
      <c r="K297" s="18">
        <f t="shared" si="117"/>
        <v>3.3939049681279254E-2</v>
      </c>
      <c r="L297" s="18">
        <f t="shared" si="117"/>
        <v>3.5901236102378942E-2</v>
      </c>
      <c r="M297" s="18">
        <f t="shared" si="117"/>
        <v>3.7340486309597187E-2</v>
      </c>
      <c r="N297" s="18">
        <f t="shared" si="117"/>
        <v>3.3152701855660327E-2</v>
      </c>
      <c r="O297" s="18">
        <f t="shared" si="117"/>
        <v>3.8258672494781099E-2</v>
      </c>
      <c r="P297" s="18">
        <f t="shared" si="117"/>
        <v>3.9638006461821584E-2</v>
      </c>
      <c r="Q297" s="18">
        <f t="shared" si="117"/>
        <v>4.2073123633808551E-2</v>
      </c>
      <c r="R297" s="18">
        <f t="shared" si="117"/>
        <v>2.8434147112936348E-2</v>
      </c>
      <c r="S297" s="18">
        <f t="shared" si="117"/>
        <v>2.0212624498265663E-2</v>
      </c>
      <c r="T297" s="18">
        <f t="shared" si="117"/>
        <v>6.0499890558254776E-2</v>
      </c>
      <c r="U297" s="18">
        <f t="shared" si="117"/>
        <v>4.1428666295759253E-2</v>
      </c>
      <c r="V297" s="18">
        <f t="shared" ref="V297:AI297" si="118">SUM(V$180:V$210)/SUM(U$180:U$210)-1</f>
        <v>3.3527901995441756E-2</v>
      </c>
      <c r="W297" s="18">
        <f t="shared" si="118"/>
        <v>3.3576714750833236E-2</v>
      </c>
      <c r="X297" s="18">
        <f t="shared" si="118"/>
        <v>3.2907403348322095E-2</v>
      </c>
      <c r="Y297" s="18">
        <f t="shared" si="118"/>
        <v>3.083426510032572E-2</v>
      </c>
      <c r="Z297" s="18">
        <f t="shared" si="118"/>
        <v>2.5212623620870511E-2</v>
      </c>
      <c r="AA297" s="18">
        <f t="shared" si="118"/>
        <v>2.2780935520753998E-2</v>
      </c>
      <c r="AB297" s="18">
        <f t="shared" si="118"/>
        <v>2.1402584268829239E-2</v>
      </c>
      <c r="AC297" s="18">
        <f t="shared" si="118"/>
        <v>2.103917476141981E-2</v>
      </c>
      <c r="AD297" s="18">
        <f t="shared" si="118"/>
        <v>2.0946119023391052E-2</v>
      </c>
      <c r="AE297" s="18">
        <f t="shared" si="118"/>
        <v>1.9716386286812382E-2</v>
      </c>
      <c r="AF297" s="18">
        <f t="shared" si="118"/>
        <v>1.9591628148387441E-2</v>
      </c>
      <c r="AG297" s="18">
        <f t="shared" si="118"/>
        <v>1.841111063013523E-2</v>
      </c>
      <c r="AH297" s="18">
        <f t="shared" si="118"/>
        <v>1.5776457753512885E-2</v>
      </c>
      <c r="AI297" s="18">
        <f t="shared" si="118"/>
        <v>1.2529330013490991E-2</v>
      </c>
    </row>
    <row r="298" spans="1:35" x14ac:dyDescent="0.25">
      <c r="A298" s="11" t="s">
        <v>1410</v>
      </c>
      <c r="B298" s="11"/>
      <c r="C298" s="18">
        <f>SUM(C$180:C$184)/SUM(B$180:B$184)-1</f>
        <v>5.2670387075391289E-2</v>
      </c>
      <c r="D298" s="18">
        <f t="shared" ref="D298:AI298" si="119">SUM(D$180:D$184)/SUM(C$180:C$184)-1</f>
        <v>1.6791304493896098E-2</v>
      </c>
      <c r="E298" s="18">
        <f t="shared" si="119"/>
        <v>3.6544437959542764E-2</v>
      </c>
      <c r="F298" s="18">
        <f t="shared" si="119"/>
        <v>2.6234605513980602E-2</v>
      </c>
      <c r="G298" s="18">
        <f t="shared" si="119"/>
        <v>2.6810235033813967E-2</v>
      </c>
      <c r="H298" s="18">
        <f t="shared" si="119"/>
        <v>6.1382588216466027E-2</v>
      </c>
      <c r="I298" s="18">
        <f t="shared" si="119"/>
        <v>7.3941444222799468E-2</v>
      </c>
      <c r="J298" s="18">
        <f t="shared" si="119"/>
        <v>4.3194625882412296E-2</v>
      </c>
      <c r="K298" s="18">
        <f t="shared" si="119"/>
        <v>3.9287586417753984E-2</v>
      </c>
      <c r="L298" s="18">
        <f t="shared" si="119"/>
        <v>3.374271111391014E-2</v>
      </c>
      <c r="M298" s="18">
        <f t="shared" si="119"/>
        <v>8.8665675877686034E-3</v>
      </c>
      <c r="N298" s="18">
        <f t="shared" si="119"/>
        <v>1.0173979579057413E-2</v>
      </c>
      <c r="O298" s="18">
        <f t="shared" si="119"/>
        <v>1.8646256703125363E-2</v>
      </c>
      <c r="P298" s="18">
        <f t="shared" si="119"/>
        <v>2.5926545574204374E-2</v>
      </c>
      <c r="Q298" s="18">
        <f t="shared" si="119"/>
        <v>2.6936822386486092E-2</v>
      </c>
      <c r="R298" s="18">
        <f t="shared" si="119"/>
        <v>1.5704746215827292E-2</v>
      </c>
      <c r="S298" s="18">
        <f t="shared" si="119"/>
        <v>1.7652459583512359E-2</v>
      </c>
      <c r="T298" s="18">
        <f t="shared" si="119"/>
        <v>5.4374897504272823E-2</v>
      </c>
      <c r="U298" s="18">
        <f t="shared" si="119"/>
        <v>3.611902249090515E-2</v>
      </c>
      <c r="V298" s="18">
        <f t="shared" si="119"/>
        <v>2.9263041796921518E-2</v>
      </c>
      <c r="W298" s="18">
        <f t="shared" si="119"/>
        <v>3.0902349853531907E-2</v>
      </c>
      <c r="X298" s="18">
        <f t="shared" si="119"/>
        <v>2.8271004228366259E-2</v>
      </c>
      <c r="Y298" s="18">
        <f t="shared" si="119"/>
        <v>1.7693786353313312E-2</v>
      </c>
      <c r="Z298" s="18">
        <f t="shared" si="119"/>
        <v>7.9672062005067268E-3</v>
      </c>
      <c r="AA298" s="18">
        <f t="shared" si="119"/>
        <v>-5.6839776472084047E-4</v>
      </c>
      <c r="AB298" s="18">
        <f t="shared" si="119"/>
        <v>-5.5743488735112701E-3</v>
      </c>
      <c r="AC298" s="18">
        <f t="shared" si="119"/>
        <v>-3.4591007698876464E-3</v>
      </c>
      <c r="AD298" s="18">
        <f t="shared" si="119"/>
        <v>3.3760730174599018E-3</v>
      </c>
      <c r="AE298" s="18">
        <f t="shared" si="119"/>
        <v>7.2901583640170298E-3</v>
      </c>
      <c r="AF298" s="18">
        <f t="shared" si="119"/>
        <v>1.4142954836806609E-2</v>
      </c>
      <c r="AG298" s="18">
        <f t="shared" si="119"/>
        <v>1.3145086228740555E-2</v>
      </c>
      <c r="AH298" s="18">
        <f t="shared" si="119"/>
        <v>3.781978414464815E-3</v>
      </c>
      <c r="AI298" s="18">
        <f t="shared" si="119"/>
        <v>-8.4974798292821729E-3</v>
      </c>
    </row>
    <row r="299" spans="1:35" x14ac:dyDescent="0.25">
      <c r="A299" s="11" t="s">
        <v>1411</v>
      </c>
      <c r="B299" s="11"/>
      <c r="C299" s="18">
        <f>SUM(C$185:C$189)/SUM(B$185:B$189)-1</f>
        <v>1.8209407710751968E-2</v>
      </c>
      <c r="D299" s="18">
        <f t="shared" ref="D299:AI299" si="120">SUM(D$185:D$189)/SUM(C$185:C$189)-1</f>
        <v>2.9820462708898265E-2</v>
      </c>
      <c r="E299" s="18">
        <f t="shared" si="120"/>
        <v>2.738421265675095E-2</v>
      </c>
      <c r="F299" s="18">
        <f t="shared" si="120"/>
        <v>5.1101701785674303E-2</v>
      </c>
      <c r="G299" s="18">
        <f t="shared" si="120"/>
        <v>6.2876867520278656E-2</v>
      </c>
      <c r="H299" s="18">
        <f t="shared" si="120"/>
        <v>5.36288002496077E-2</v>
      </c>
      <c r="I299" s="18">
        <f t="shared" si="120"/>
        <v>1.9282270610664565E-2</v>
      </c>
      <c r="J299" s="18">
        <f t="shared" si="120"/>
        <v>3.5174034451086023E-2</v>
      </c>
      <c r="K299" s="18">
        <f t="shared" si="120"/>
        <v>2.5090267627051688E-2</v>
      </c>
      <c r="L299" s="18">
        <f t="shared" si="120"/>
        <v>2.7348956010506686E-2</v>
      </c>
      <c r="M299" s="18">
        <f t="shared" si="120"/>
        <v>6.8334648539831289E-2</v>
      </c>
      <c r="N299" s="18">
        <f t="shared" si="120"/>
        <v>7.635448302113379E-2</v>
      </c>
      <c r="O299" s="18">
        <f t="shared" si="120"/>
        <v>5.568755738132336E-2</v>
      </c>
      <c r="P299" s="18">
        <f t="shared" si="120"/>
        <v>5.0877504251131134E-2</v>
      </c>
      <c r="Q299" s="18">
        <f t="shared" si="120"/>
        <v>4.0476139545047696E-2</v>
      </c>
      <c r="R299" s="18">
        <f t="shared" si="120"/>
        <v>2.307371103993594E-3</v>
      </c>
      <c r="S299" s="18">
        <f t="shared" si="120"/>
        <v>-2.4770970301404294E-3</v>
      </c>
      <c r="T299" s="18">
        <f t="shared" si="120"/>
        <v>4.2915515023259632E-2</v>
      </c>
      <c r="U299" s="18">
        <f t="shared" si="120"/>
        <v>2.7777464767946736E-2</v>
      </c>
      <c r="V299" s="18">
        <f t="shared" si="120"/>
        <v>2.4670015410287682E-2</v>
      </c>
      <c r="W299" s="18">
        <f t="shared" si="120"/>
        <v>2.6191010983582341E-2</v>
      </c>
      <c r="X299" s="18">
        <f t="shared" si="120"/>
        <v>2.8732070844486479E-2</v>
      </c>
      <c r="Y299" s="18">
        <f t="shared" si="120"/>
        <v>3.2771964542745335E-2</v>
      </c>
      <c r="Z299" s="18">
        <f t="shared" si="120"/>
        <v>2.9447169392244676E-2</v>
      </c>
      <c r="AA299" s="18">
        <f t="shared" si="120"/>
        <v>2.9023265498407946E-2</v>
      </c>
      <c r="AB299" s="18">
        <f t="shared" si="120"/>
        <v>3.0263015748932087E-2</v>
      </c>
      <c r="AC299" s="18">
        <f t="shared" si="120"/>
        <v>2.6853843482916195E-2</v>
      </c>
      <c r="AD299" s="18">
        <f t="shared" si="120"/>
        <v>1.6032829461586795E-2</v>
      </c>
      <c r="AE299" s="18">
        <f t="shared" si="120"/>
        <v>8.2654099386922919E-3</v>
      </c>
      <c r="AF299" s="18">
        <f t="shared" si="120"/>
        <v>-2.2501338176617036E-4</v>
      </c>
      <c r="AG299" s="18">
        <f t="shared" si="120"/>
        <v>-4.9772516984918358E-3</v>
      </c>
      <c r="AH299" s="18">
        <f t="shared" si="120"/>
        <v>-2.7448027086673932E-3</v>
      </c>
      <c r="AI299" s="18">
        <f t="shared" si="120"/>
        <v>4.0500440613935318E-3</v>
      </c>
    </row>
    <row r="300" spans="1:35" x14ac:dyDescent="0.25">
      <c r="A300" s="11" t="s">
        <v>1412</v>
      </c>
      <c r="B300" s="11"/>
      <c r="C300" s="18">
        <f>SUM(C$190:C$194)/SUM(B$190:B$194)-1</f>
        <v>1.2977230679324325E-2</v>
      </c>
      <c r="D300" s="18">
        <f t="shared" ref="D300:AI300" si="121">SUM(D$190:D$194)/SUM(C$190:C$194)-1</f>
        <v>-1.814068804875224E-3</v>
      </c>
      <c r="E300" s="18">
        <f t="shared" si="121"/>
        <v>-9.7324272062715433E-4</v>
      </c>
      <c r="F300" s="18">
        <f t="shared" si="121"/>
        <v>9.7814993341833745E-3</v>
      </c>
      <c r="G300" s="18">
        <f t="shared" si="121"/>
        <v>4.0803623392773325E-3</v>
      </c>
      <c r="H300" s="18">
        <f t="shared" si="121"/>
        <v>1.7172653837500773E-2</v>
      </c>
      <c r="I300" s="18">
        <f t="shared" si="121"/>
        <v>3.1366803312824931E-2</v>
      </c>
      <c r="J300" s="18">
        <f t="shared" si="121"/>
        <v>2.9440342399254193E-2</v>
      </c>
      <c r="K300" s="18">
        <f t="shared" si="121"/>
        <v>5.248377027863782E-2</v>
      </c>
      <c r="L300" s="18">
        <f t="shared" si="121"/>
        <v>6.4194190674311757E-2</v>
      </c>
      <c r="M300" s="18">
        <f t="shared" si="121"/>
        <v>5.912865186378724E-2</v>
      </c>
      <c r="N300" s="18">
        <f t="shared" si="121"/>
        <v>2.224141685518144E-2</v>
      </c>
      <c r="O300" s="18">
        <f t="shared" si="121"/>
        <v>4.7000836600077811E-2</v>
      </c>
      <c r="P300" s="18">
        <f t="shared" si="121"/>
        <v>3.7361854530110206E-2</v>
      </c>
      <c r="Q300" s="18">
        <f t="shared" si="121"/>
        <v>4.2177668153310144E-2</v>
      </c>
      <c r="R300" s="18">
        <f t="shared" si="121"/>
        <v>6.4399985605190002E-2</v>
      </c>
      <c r="S300" s="18">
        <f t="shared" si="121"/>
        <v>6.5739060304097041E-2</v>
      </c>
      <c r="T300" s="18">
        <f t="shared" si="121"/>
        <v>8.1883114659716316E-2</v>
      </c>
      <c r="U300" s="18">
        <f t="shared" si="121"/>
        <v>5.4595956578689542E-2</v>
      </c>
      <c r="V300" s="18">
        <f t="shared" si="121"/>
        <v>3.652766381240502E-2</v>
      </c>
      <c r="W300" s="18">
        <f t="shared" si="121"/>
        <v>1.0575299030219476E-2</v>
      </c>
      <c r="X300" s="18">
        <f t="shared" si="121"/>
        <v>1.3413732263078071E-2</v>
      </c>
      <c r="Y300" s="18">
        <f t="shared" si="121"/>
        <v>2.0230567182713655E-2</v>
      </c>
      <c r="Z300" s="18">
        <f t="shared" si="121"/>
        <v>2.0331159337583671E-2</v>
      </c>
      <c r="AA300" s="18">
        <f t="shared" si="121"/>
        <v>2.5440925457691943E-2</v>
      </c>
      <c r="AB300" s="18">
        <f t="shared" si="121"/>
        <v>2.6617581973854332E-2</v>
      </c>
      <c r="AC300" s="18">
        <f t="shared" si="121"/>
        <v>2.815837604088367E-2</v>
      </c>
      <c r="AD300" s="18">
        <f t="shared" si="121"/>
        <v>3.156818331546174E-2</v>
      </c>
      <c r="AE300" s="18">
        <f t="shared" si="121"/>
        <v>3.1110407494309156E-2</v>
      </c>
      <c r="AF300" s="18">
        <f t="shared" si="121"/>
        <v>3.0578748938336453E-2</v>
      </c>
      <c r="AG300" s="18">
        <f t="shared" si="121"/>
        <v>3.1901047108919833E-2</v>
      </c>
      <c r="AH300" s="18">
        <f t="shared" si="121"/>
        <v>2.8468949236814423E-2</v>
      </c>
      <c r="AI300" s="18">
        <f t="shared" si="121"/>
        <v>1.7523315673779072E-2</v>
      </c>
    </row>
    <row r="301" spans="1:35" x14ac:dyDescent="0.25">
      <c r="A301" s="11" t="s">
        <v>1413</v>
      </c>
      <c r="B301" s="11"/>
      <c r="C301" s="18">
        <f>SUM(C$195:C$199)/SUM(B$195:B$199)-1</f>
        <v>4.12738483309254E-2</v>
      </c>
      <c r="D301" s="18">
        <f t="shared" ref="D301:AI301" si="122">SUM(D$195:D$199)/SUM(C$195:C$199)-1</f>
        <v>3.700876572360956E-2</v>
      </c>
      <c r="E301" s="18">
        <f t="shared" si="122"/>
        <v>3.1004962990847762E-2</v>
      </c>
      <c r="F301" s="18">
        <f t="shared" si="122"/>
        <v>2.1369692586826305E-2</v>
      </c>
      <c r="G301" s="18">
        <f t="shared" si="122"/>
        <v>3.4156015750450353E-2</v>
      </c>
      <c r="H301" s="18">
        <f t="shared" si="122"/>
        <v>1.7531997730491966E-2</v>
      </c>
      <c r="I301" s="18">
        <f t="shared" si="122"/>
        <v>1.9655448578035362E-3</v>
      </c>
      <c r="J301" s="18">
        <f t="shared" si="122"/>
        <v>7.8953323622643623E-4</v>
      </c>
      <c r="K301" s="18">
        <f t="shared" si="122"/>
        <v>1.1859671756726531E-2</v>
      </c>
      <c r="L301" s="18">
        <f t="shared" si="122"/>
        <v>6.0158965778287499E-3</v>
      </c>
      <c r="M301" s="18">
        <f t="shared" si="122"/>
        <v>2.3972852574912995E-2</v>
      </c>
      <c r="N301" s="18">
        <f t="shared" si="122"/>
        <v>3.6547811884523718E-2</v>
      </c>
      <c r="O301" s="18">
        <f t="shared" si="122"/>
        <v>4.4559596569701876E-2</v>
      </c>
      <c r="P301" s="18">
        <f t="shared" si="122"/>
        <v>6.2911580915072207E-2</v>
      </c>
      <c r="Q301" s="18">
        <f t="shared" si="122"/>
        <v>8.4694357709965695E-2</v>
      </c>
      <c r="R301" s="18">
        <f t="shared" si="122"/>
        <v>6.335761449519639E-2</v>
      </c>
      <c r="S301" s="18">
        <f t="shared" si="122"/>
        <v>6.3397293186919779E-3</v>
      </c>
      <c r="T301" s="18">
        <f t="shared" si="122"/>
        <v>7.2440098950693255E-2</v>
      </c>
      <c r="U301" s="18">
        <f t="shared" si="122"/>
        <v>4.5981695673924294E-2</v>
      </c>
      <c r="V301" s="18">
        <f t="shared" si="122"/>
        <v>3.7034196015350407E-2</v>
      </c>
      <c r="W301" s="18">
        <f t="shared" si="122"/>
        <v>7.5251200041912103E-2</v>
      </c>
      <c r="X301" s="18">
        <f t="shared" si="122"/>
        <v>8.4524406514738137E-2</v>
      </c>
      <c r="Y301" s="18">
        <f t="shared" si="122"/>
        <v>5.7854916830539116E-2</v>
      </c>
      <c r="Z301" s="18">
        <f t="shared" si="122"/>
        <v>4.5596199332417209E-2</v>
      </c>
      <c r="AA301" s="18">
        <f t="shared" si="122"/>
        <v>3.616562893791353E-2</v>
      </c>
      <c r="AB301" s="18">
        <f t="shared" si="122"/>
        <v>1.2596377135566827E-2</v>
      </c>
      <c r="AC301" s="18">
        <f t="shared" si="122"/>
        <v>1.4359882470961871E-2</v>
      </c>
      <c r="AD301" s="18">
        <f t="shared" si="122"/>
        <v>2.0746347278089994E-2</v>
      </c>
      <c r="AE301" s="18">
        <f t="shared" si="122"/>
        <v>2.3298455275012842E-2</v>
      </c>
      <c r="AF301" s="18">
        <f t="shared" si="122"/>
        <v>2.8590717761788786E-2</v>
      </c>
      <c r="AG301" s="18">
        <f t="shared" si="122"/>
        <v>2.9557952287326827E-2</v>
      </c>
      <c r="AH301" s="18">
        <f t="shared" si="122"/>
        <v>3.1109265024180432E-2</v>
      </c>
      <c r="AI301" s="18">
        <f t="shared" si="122"/>
        <v>3.4724075722643688E-2</v>
      </c>
    </row>
    <row r="302" spans="1:35" x14ac:dyDescent="0.25">
      <c r="A302" s="11" t="s">
        <v>1414</v>
      </c>
      <c r="B302" s="11"/>
      <c r="C302" s="18">
        <f>SUM(C$200:C$204)/SUM(B$200:B$204)-1</f>
        <v>7.0758864035360913E-2</v>
      </c>
      <c r="D302" s="18">
        <f t="shared" ref="D302:AI302" si="123">SUM(D$200:D$204)/SUM(C$200:C$204)-1</f>
        <v>7.288681373829875E-2</v>
      </c>
      <c r="E302" s="18">
        <f t="shared" si="123"/>
        <v>6.9952593433763477E-2</v>
      </c>
      <c r="F302" s="18">
        <f t="shared" si="123"/>
        <v>5.5302923688682837E-2</v>
      </c>
      <c r="G302" s="18">
        <f t="shared" si="123"/>
        <v>4.8404323428060669E-2</v>
      </c>
      <c r="H302" s="18">
        <f t="shared" si="123"/>
        <v>4.7369281010660957E-2</v>
      </c>
      <c r="I302" s="18">
        <f t="shared" si="123"/>
        <v>3.252354599994578E-2</v>
      </c>
      <c r="J302" s="18">
        <f t="shared" si="123"/>
        <v>4.4131115769838081E-2</v>
      </c>
      <c r="K302" s="18">
        <f t="shared" si="123"/>
        <v>2.0536649979265409E-2</v>
      </c>
      <c r="L302" s="18">
        <f t="shared" si="123"/>
        <v>4.8258607394109143E-2</v>
      </c>
      <c r="M302" s="18">
        <f t="shared" si="123"/>
        <v>2.1385046200118607E-2</v>
      </c>
      <c r="N302" s="18">
        <f t="shared" si="123"/>
        <v>3.8352009865854075E-3</v>
      </c>
      <c r="O302" s="18">
        <f t="shared" si="123"/>
        <v>1.8803114757129924E-2</v>
      </c>
      <c r="P302" s="18">
        <f t="shared" si="123"/>
        <v>1.9667439629807326E-2</v>
      </c>
      <c r="Q302" s="18">
        <f t="shared" si="123"/>
        <v>2.9564791196107887E-2</v>
      </c>
      <c r="R302" s="18">
        <f t="shared" si="123"/>
        <v>3.3404834800810468E-2</v>
      </c>
      <c r="S302" s="18">
        <f t="shared" si="123"/>
        <v>2.852474190946741E-2</v>
      </c>
      <c r="T302" s="18">
        <f t="shared" si="123"/>
        <v>7.4953858042958732E-2</v>
      </c>
      <c r="U302" s="18">
        <f t="shared" si="123"/>
        <v>7.437657676165399E-2</v>
      </c>
      <c r="V302" s="18">
        <f t="shared" si="123"/>
        <v>7.661969839349303E-2</v>
      </c>
      <c r="W302" s="18">
        <f t="shared" si="123"/>
        <v>6.6524251892730923E-2</v>
      </c>
      <c r="X302" s="18">
        <f t="shared" si="123"/>
        <v>2.3682397708995273E-2</v>
      </c>
      <c r="Y302" s="18">
        <f t="shared" si="123"/>
        <v>4.9600565379037009E-2</v>
      </c>
      <c r="Z302" s="18">
        <f t="shared" si="123"/>
        <v>3.999295046752338E-2</v>
      </c>
      <c r="AA302" s="18">
        <f t="shared" si="123"/>
        <v>4.199283945617327E-2</v>
      </c>
      <c r="AB302" s="18">
        <f t="shared" si="123"/>
        <v>8.3070720094046147E-2</v>
      </c>
      <c r="AC302" s="18">
        <f t="shared" si="123"/>
        <v>8.4439046778700177E-2</v>
      </c>
      <c r="AD302" s="18">
        <f t="shared" si="123"/>
        <v>5.7288069390287966E-2</v>
      </c>
      <c r="AE302" s="18">
        <f t="shared" si="123"/>
        <v>4.6771612533971219E-2</v>
      </c>
      <c r="AF302" s="18">
        <f t="shared" si="123"/>
        <v>3.7600609794585793E-2</v>
      </c>
      <c r="AG302" s="18">
        <f t="shared" si="123"/>
        <v>1.7152306061384071E-2</v>
      </c>
      <c r="AH302" s="18">
        <f t="shared" si="123"/>
        <v>1.9529247091198743E-2</v>
      </c>
      <c r="AI302" s="18">
        <f t="shared" si="123"/>
        <v>2.5336091914012204E-2</v>
      </c>
    </row>
    <row r="303" spans="1:35" x14ac:dyDescent="0.25">
      <c r="A303" s="11" t="s">
        <v>1415</v>
      </c>
      <c r="B303" s="11"/>
      <c r="C303" s="18">
        <f>SUM(C$205:C$210)/SUM(B$205:B$210)-1</f>
        <v>5.5677667745322124E-2</v>
      </c>
      <c r="D303" s="18">
        <f t="shared" ref="D303:AI303" si="124">SUM(D$205:D$210)/SUM(C$205:C$210)-1</f>
        <v>3.436948460600675E-2</v>
      </c>
      <c r="E303" s="18">
        <f t="shared" si="124"/>
        <v>3.3144496356439568E-2</v>
      </c>
      <c r="F303" s="18">
        <f t="shared" si="124"/>
        <v>7.8074869178350825E-2</v>
      </c>
      <c r="G303" s="18">
        <f t="shared" si="124"/>
        <v>7.5385061610783621E-2</v>
      </c>
      <c r="H303" s="18">
        <f t="shared" si="124"/>
        <v>7.3685712466815101E-2</v>
      </c>
      <c r="I303" s="18">
        <f t="shared" si="124"/>
        <v>6.6029279986325573E-2</v>
      </c>
      <c r="J303" s="18">
        <f t="shared" si="124"/>
        <v>6.9002260625711243E-2</v>
      </c>
      <c r="K303" s="18">
        <f t="shared" si="124"/>
        <v>6.0328961527447156E-2</v>
      </c>
      <c r="L303" s="18">
        <f t="shared" si="124"/>
        <v>5.7285957191898884E-2</v>
      </c>
      <c r="M303" s="18">
        <f t="shared" si="124"/>
        <v>6.6581665348842023E-2</v>
      </c>
      <c r="N303" s="18">
        <f t="shared" si="124"/>
        <v>4.2176553525912874E-2</v>
      </c>
      <c r="O303" s="18">
        <f t="shared" si="124"/>
        <v>6.4626031895693936E-2</v>
      </c>
      <c r="P303" s="18">
        <f t="shared" si="124"/>
        <v>5.4325183558323387E-2</v>
      </c>
      <c r="Q303" s="18">
        <f t="shared" si="124"/>
        <v>7.9009953721467019E-2</v>
      </c>
      <c r="R303" s="18">
        <f t="shared" si="124"/>
        <v>2.9736384806932969E-2</v>
      </c>
      <c r="S303" s="18">
        <f t="shared" si="124"/>
        <v>4.8607020272695145E-4</v>
      </c>
      <c r="T303" s="18">
        <f t="shared" si="124"/>
        <v>5.6558608785790554E-2</v>
      </c>
      <c r="U303" s="18">
        <f t="shared" si="124"/>
        <v>3.6600745120979772E-2</v>
      </c>
      <c r="V303" s="18">
        <f t="shared" si="124"/>
        <v>2.4768134557232369E-2</v>
      </c>
      <c r="W303" s="18">
        <f t="shared" si="124"/>
        <v>3.3987046766517537E-2</v>
      </c>
      <c r="X303" s="18">
        <f t="shared" si="124"/>
        <v>4.3472193241661738E-2</v>
      </c>
      <c r="Y303" s="18">
        <f t="shared" si="124"/>
        <v>5.2013526242863373E-2</v>
      </c>
      <c r="Z303" s="18">
        <f t="shared" si="124"/>
        <v>6.3866145523764351E-2</v>
      </c>
      <c r="AA303" s="18">
        <f t="shared" si="124"/>
        <v>7.0869898612907045E-2</v>
      </c>
      <c r="AB303" s="18">
        <f t="shared" si="124"/>
        <v>6.2206025643962493E-2</v>
      </c>
      <c r="AC303" s="18">
        <f t="shared" si="124"/>
        <v>2.4569062981192102E-2</v>
      </c>
      <c r="AD303" s="18">
        <f t="shared" si="124"/>
        <v>5.0892170518089364E-2</v>
      </c>
      <c r="AE303" s="18">
        <f t="shared" si="124"/>
        <v>5.2840147663868464E-2</v>
      </c>
      <c r="AF303" s="18">
        <f t="shared" si="124"/>
        <v>5.6252099820776946E-2</v>
      </c>
      <c r="AG303" s="18">
        <f t="shared" si="124"/>
        <v>9.3571988400496853E-2</v>
      </c>
      <c r="AH303" s="18">
        <f t="shared" si="124"/>
        <v>7.4196365762634109E-2</v>
      </c>
      <c r="AI303" s="18">
        <f t="shared" si="124"/>
        <v>5.8487698526308307E-2</v>
      </c>
    </row>
    <row r="304" spans="1:35" x14ac:dyDescent="0.25">
      <c r="A304" s="11" t="s">
        <v>949</v>
      </c>
      <c r="B304" s="11"/>
      <c r="C304" s="18">
        <f>SUM(C$33:C$55,C$133:C$155)/SUM(B$33:B$55,B$133:B$155)-1</f>
        <v>3.4224202293364758E-3</v>
      </c>
      <c r="D304" s="18">
        <f t="shared" ref="D304:U304" si="125">SUM(D$33:D$55,D$133:D$155)/SUM(C$33:C$55,C$133:C$155)-1</f>
        <v>-6.4651653020530997E-4</v>
      </c>
      <c r="E304" s="18">
        <f t="shared" si="125"/>
        <v>2.1892323633736499E-3</v>
      </c>
      <c r="F304" s="18">
        <f t="shared" si="125"/>
        <v>2.8341949742134442E-3</v>
      </c>
      <c r="G304" s="18">
        <f t="shared" si="125"/>
        <v>-8.8905044660436694E-4</v>
      </c>
      <c r="H304" s="18">
        <f t="shared" si="125"/>
        <v>-6.5683362212552998E-3</v>
      </c>
      <c r="I304" s="18">
        <f t="shared" si="125"/>
        <v>-2.4070454816671472E-3</v>
      </c>
      <c r="J304" s="18">
        <f t="shared" si="125"/>
        <v>1.854683091413678E-2</v>
      </c>
      <c r="K304" s="18">
        <f t="shared" si="125"/>
        <v>3.2149936633277809E-2</v>
      </c>
      <c r="L304" s="18">
        <f t="shared" si="125"/>
        <v>3.795677177551493E-2</v>
      </c>
      <c r="M304" s="18">
        <f t="shared" si="125"/>
        <v>3.6026858182742982E-2</v>
      </c>
      <c r="N304" s="18">
        <f t="shared" si="125"/>
        <v>2.9097533142761867E-2</v>
      </c>
      <c r="O304" s="18">
        <f t="shared" si="125"/>
        <v>2.3617467668145764E-2</v>
      </c>
      <c r="P304" s="18">
        <f t="shared" si="125"/>
        <v>2.5928332271848431E-2</v>
      </c>
      <c r="Q304" s="18">
        <f t="shared" si="125"/>
        <v>2.3918292101314798E-3</v>
      </c>
      <c r="R304" s="18">
        <f t="shared" si="125"/>
        <v>-8.3111341624847457E-3</v>
      </c>
      <c r="S304" s="18">
        <f t="shared" si="125"/>
        <v>1.9368428928520753E-2</v>
      </c>
      <c r="T304" s="18">
        <f t="shared" si="125"/>
        <v>1.3204552564638039E-2</v>
      </c>
      <c r="U304" s="18">
        <f t="shared" si="125"/>
        <v>1.2769437513449056E-3</v>
      </c>
      <c r="V304" s="18">
        <f t="shared" ref="V304:AI304" si="126">SUM(V$33:V$55,V$133:V$155)/SUM(U$33:U$55,U$133:U$155)-1</f>
        <v>9.3492106172576861E-3</v>
      </c>
      <c r="W304" s="18">
        <f t="shared" si="126"/>
        <v>1.0135138764373774E-2</v>
      </c>
      <c r="X304" s="18">
        <f t="shared" si="126"/>
        <v>9.4818510963734504E-3</v>
      </c>
      <c r="Y304" s="18">
        <f t="shared" si="126"/>
        <v>7.3361243526728348E-3</v>
      </c>
      <c r="Z304" s="18">
        <f t="shared" si="126"/>
        <v>7.9069247873264636E-3</v>
      </c>
      <c r="AA304" s="18">
        <f t="shared" si="126"/>
        <v>5.1756102738236276E-3</v>
      </c>
      <c r="AB304" s="18">
        <f t="shared" si="126"/>
        <v>2.8720658580536629E-3</v>
      </c>
      <c r="AC304" s="18">
        <f t="shared" si="126"/>
        <v>2.5858299481789082E-3</v>
      </c>
      <c r="AD304" s="18">
        <f t="shared" si="126"/>
        <v>2.7653597306553923E-3</v>
      </c>
      <c r="AE304" s="18">
        <f t="shared" si="126"/>
        <v>3.6714071662544701E-3</v>
      </c>
      <c r="AF304" s="18">
        <f t="shared" si="126"/>
        <v>2.6628912616240008E-3</v>
      </c>
      <c r="AG304" s="18">
        <f t="shared" si="126"/>
        <v>2.4499284458980863E-3</v>
      </c>
      <c r="AH304" s="18">
        <f t="shared" si="126"/>
        <v>2.4332792512646861E-3</v>
      </c>
      <c r="AI304" s="18">
        <f t="shared" si="126"/>
        <v>2.8852296816548328E-3</v>
      </c>
    </row>
    <row r="305" spans="1:35" x14ac:dyDescent="0.25">
      <c r="A305" s="11" t="s">
        <v>948</v>
      </c>
      <c r="B305" s="11"/>
      <c r="C305" s="18">
        <f>SUM(C$80:C$110,C$180:C$210)/SUM(B$80:B$110,B$180:B$210)-1</f>
        <v>3.0510753180425398E-2</v>
      </c>
      <c r="D305" s="18">
        <f t="shared" ref="D305:U305" si="127">SUM(D$80:D$110,D$180:D$210)/SUM(C$80:C$110,C$180:C$210)-1</f>
        <v>1.8797130487239633E-2</v>
      </c>
      <c r="E305" s="18">
        <f t="shared" si="127"/>
        <v>2.3257590481887025E-2</v>
      </c>
      <c r="F305" s="18">
        <f t="shared" si="127"/>
        <v>2.7690157502675561E-2</v>
      </c>
      <c r="G305" s="18">
        <f t="shared" si="127"/>
        <v>3.0929595484122441E-2</v>
      </c>
      <c r="H305" s="18">
        <f t="shared" si="127"/>
        <v>3.9795860083187806E-2</v>
      </c>
      <c r="I305" s="18">
        <f t="shared" si="127"/>
        <v>3.5897232306759674E-2</v>
      </c>
      <c r="J305" s="18">
        <f t="shared" si="127"/>
        <v>3.0546328387931698E-2</v>
      </c>
      <c r="K305" s="18">
        <f t="shared" si="127"/>
        <v>3.1800403794108645E-2</v>
      </c>
      <c r="L305" s="18">
        <f t="shared" si="127"/>
        <v>3.2463663777926755E-2</v>
      </c>
      <c r="M305" s="18">
        <f t="shared" si="127"/>
        <v>3.5068897636616247E-2</v>
      </c>
      <c r="N305" s="18">
        <f t="shared" si="127"/>
        <v>3.1206497558776247E-2</v>
      </c>
      <c r="O305" s="18">
        <f t="shared" si="127"/>
        <v>3.6525011682247532E-2</v>
      </c>
      <c r="P305" s="18">
        <f t="shared" si="127"/>
        <v>3.9176920625966005E-2</v>
      </c>
      <c r="Q305" s="18">
        <f t="shared" si="127"/>
        <v>4.1557597250872824E-2</v>
      </c>
      <c r="R305" s="18">
        <f t="shared" si="127"/>
        <v>2.8291287683073874E-2</v>
      </c>
      <c r="S305" s="18">
        <f t="shared" si="127"/>
        <v>2.0239312489938488E-2</v>
      </c>
      <c r="T305" s="18">
        <f t="shared" si="127"/>
        <v>6.1040405839899892E-2</v>
      </c>
      <c r="U305" s="18">
        <f t="shared" si="127"/>
        <v>4.2047902378619106E-2</v>
      </c>
      <c r="V305" s="18">
        <f t="shared" ref="V305:AI305" si="128">SUM(V$80:V$110,V$180:V$210)/SUM(U$80:U$110,U$180:U$210)-1</f>
        <v>3.4647159561090213E-2</v>
      </c>
      <c r="W305" s="18">
        <f t="shared" si="128"/>
        <v>3.4576166755650561E-2</v>
      </c>
      <c r="X305" s="18">
        <f t="shared" si="128"/>
        <v>3.3979916159702972E-2</v>
      </c>
      <c r="Y305" s="18">
        <f t="shared" si="128"/>
        <v>3.1634950958946639E-2</v>
      </c>
      <c r="Z305" s="18">
        <f t="shared" si="128"/>
        <v>2.5821625856583985E-2</v>
      </c>
      <c r="AA305" s="18">
        <f t="shared" si="128"/>
        <v>2.3467543531783486E-2</v>
      </c>
      <c r="AB305" s="18">
        <f t="shared" si="128"/>
        <v>2.2548009819196135E-2</v>
      </c>
      <c r="AC305" s="18">
        <f t="shared" si="128"/>
        <v>2.2200822466288628E-2</v>
      </c>
      <c r="AD305" s="18">
        <f t="shared" si="128"/>
        <v>2.195068688856705E-2</v>
      </c>
      <c r="AE305" s="18">
        <f t="shared" si="128"/>
        <v>2.0412808700096319E-2</v>
      </c>
      <c r="AF305" s="18">
        <f t="shared" si="128"/>
        <v>2.0783068120607817E-2</v>
      </c>
      <c r="AG305" s="18">
        <f t="shared" si="128"/>
        <v>1.9127845469484317E-2</v>
      </c>
      <c r="AH305" s="18">
        <f t="shared" si="128"/>
        <v>1.6302118336407379E-2</v>
      </c>
      <c r="AI305" s="18">
        <f t="shared" si="128"/>
        <v>1.3675349644351353E-2</v>
      </c>
    </row>
    <row r="307" spans="1:35" x14ac:dyDescent="0.25">
      <c r="A307" s="1" t="s">
        <v>1416</v>
      </c>
      <c r="B307" s="11"/>
      <c r="C307" s="11"/>
      <c r="D307" s="11"/>
      <c r="E307" s="11"/>
      <c r="F307" s="11"/>
      <c r="G307" s="11"/>
      <c r="H307" s="11"/>
      <c r="I307" s="11"/>
      <c r="J307" s="11"/>
      <c r="K307" s="11"/>
      <c r="L307" s="11"/>
      <c r="M307" s="11"/>
      <c r="N307" s="11"/>
      <c r="O307" s="11"/>
      <c r="P307" s="11"/>
      <c r="Q307" s="11"/>
      <c r="R307" s="11"/>
      <c r="S307" s="11"/>
      <c r="T307" s="11"/>
      <c r="U307" s="11"/>
      <c r="V307" s="11"/>
      <c r="W307" s="24">
        <v>84.7</v>
      </c>
      <c r="X307" s="24">
        <v>84.8</v>
      </c>
      <c r="Y307" s="24">
        <v>85</v>
      </c>
      <c r="Z307" s="24">
        <v>85.1</v>
      </c>
      <c r="AA307" s="24">
        <v>85.2</v>
      </c>
      <c r="AB307" s="24">
        <v>85.4</v>
      </c>
      <c r="AC307" s="24">
        <v>85.5</v>
      </c>
      <c r="AD307" s="24">
        <v>85.6</v>
      </c>
      <c r="AE307" s="24">
        <v>85.7</v>
      </c>
      <c r="AF307" s="24">
        <v>85.8</v>
      </c>
      <c r="AG307" s="24">
        <v>86</v>
      </c>
      <c r="AH307" s="24">
        <v>86.1</v>
      </c>
      <c r="AI307" s="24">
        <v>86.2</v>
      </c>
    </row>
    <row r="308" spans="1:35" x14ac:dyDescent="0.25">
      <c r="A308" s="1" t="s">
        <v>1417</v>
      </c>
      <c r="B308" s="11"/>
      <c r="C308" s="11"/>
      <c r="D308" s="11"/>
      <c r="E308" s="11"/>
      <c r="F308" s="11"/>
      <c r="G308" s="11"/>
      <c r="H308" s="11"/>
      <c r="I308" s="11"/>
      <c r="J308" s="11"/>
      <c r="K308" s="11"/>
      <c r="L308" s="11"/>
      <c r="M308" s="11"/>
      <c r="N308" s="11"/>
      <c r="O308" s="11"/>
      <c r="P308" s="11"/>
      <c r="Q308" s="11"/>
      <c r="R308" s="11"/>
      <c r="S308" s="11"/>
      <c r="T308" s="11"/>
      <c r="U308" s="11"/>
      <c r="V308" s="11"/>
      <c r="W308" s="24">
        <v>22.5</v>
      </c>
      <c r="X308" s="24">
        <v>22.6</v>
      </c>
      <c r="Y308" s="24">
        <v>22.6</v>
      </c>
      <c r="Z308" s="24">
        <v>22.7</v>
      </c>
      <c r="AA308" s="24">
        <v>22.8</v>
      </c>
      <c r="AB308" s="24">
        <v>22.9</v>
      </c>
      <c r="AC308" s="24">
        <v>23</v>
      </c>
      <c r="AD308" s="24">
        <v>23.1</v>
      </c>
      <c r="AE308" s="24">
        <v>23.2</v>
      </c>
      <c r="AF308" s="24">
        <v>23.2</v>
      </c>
      <c r="AG308" s="24">
        <v>23.3</v>
      </c>
      <c r="AH308" s="24">
        <v>23.4</v>
      </c>
      <c r="AI308" s="24">
        <v>23.5</v>
      </c>
    </row>
    <row r="309" spans="1:35" x14ac:dyDescent="0.25">
      <c r="A309" s="1" t="s">
        <v>1418</v>
      </c>
      <c r="W309" s="24">
        <v>81.3</v>
      </c>
      <c r="X309" s="24">
        <v>81.5</v>
      </c>
      <c r="Y309" s="24">
        <v>81.7</v>
      </c>
      <c r="Z309" s="24">
        <v>81.8</v>
      </c>
      <c r="AA309" s="24">
        <v>82</v>
      </c>
      <c r="AB309" s="24">
        <v>82.1</v>
      </c>
      <c r="AC309" s="24">
        <v>82.2</v>
      </c>
      <c r="AD309" s="24">
        <v>82.4</v>
      </c>
      <c r="AE309" s="24">
        <v>82.5</v>
      </c>
      <c r="AF309" s="24">
        <v>82.7</v>
      </c>
      <c r="AG309" s="24">
        <v>82.8</v>
      </c>
      <c r="AH309" s="24">
        <v>82.9</v>
      </c>
      <c r="AI309" s="24">
        <v>83.1</v>
      </c>
    </row>
    <row r="310" spans="1:35" x14ac:dyDescent="0.25">
      <c r="A310" s="1" t="s">
        <v>1419</v>
      </c>
      <c r="W310" s="24">
        <v>20</v>
      </c>
      <c r="X310" s="24">
        <v>20.2</v>
      </c>
      <c r="Y310" s="24">
        <v>20.3</v>
      </c>
      <c r="Z310" s="24">
        <v>20.399999999999999</v>
      </c>
      <c r="AA310" s="24">
        <v>20.5</v>
      </c>
      <c r="AB310" s="24">
        <v>20.5</v>
      </c>
      <c r="AC310" s="24">
        <v>20.6</v>
      </c>
      <c r="AD310" s="24">
        <v>20.7</v>
      </c>
      <c r="AE310" s="24">
        <v>20.8</v>
      </c>
      <c r="AF310" s="24">
        <v>20.9</v>
      </c>
      <c r="AG310" s="24">
        <v>21</v>
      </c>
      <c r="AH310" s="24">
        <v>21.1</v>
      </c>
      <c r="AI310" s="24">
        <v>21.2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4110-2098-4D58-9D16-3A30233E3E34}">
  <dimension ref="A1:U146"/>
  <sheetViews>
    <sheetView workbookViewId="0">
      <pane xSplit="1" ySplit="8" topLeftCell="B9" activePane="bottomRight" state="frozen"/>
      <selection pane="topRight" activeCell="B1" sqref="B1"/>
      <selection pane="bottomLeft" activeCell="A14" sqref="A14"/>
      <selection pane="bottomRight"/>
    </sheetView>
  </sheetViews>
  <sheetFormatPr defaultRowHeight="15" x14ac:dyDescent="0.25"/>
  <cols>
    <col min="1" max="1" width="30.7109375" customWidth="1"/>
    <col min="2" max="20" width="10.140625" bestFit="1" customWidth="1"/>
    <col min="21" max="21" width="10.140625" customWidth="1"/>
  </cols>
  <sheetData>
    <row r="1" spans="1:21" x14ac:dyDescent="0.25">
      <c r="A1" s="9" t="s">
        <v>117</v>
      </c>
      <c r="B1" s="11"/>
      <c r="C1" s="11"/>
      <c r="D1" s="11"/>
      <c r="E1" s="11"/>
      <c r="F1" s="11"/>
      <c r="G1" s="11"/>
      <c r="H1" s="11"/>
      <c r="I1" s="11"/>
      <c r="J1" s="11"/>
      <c r="K1" s="11"/>
      <c r="L1" s="11"/>
      <c r="M1" s="11"/>
      <c r="N1" s="11"/>
      <c r="O1" s="11"/>
      <c r="P1" s="11"/>
      <c r="Q1" s="11"/>
      <c r="R1" s="11"/>
      <c r="S1" s="11"/>
      <c r="T1" s="11"/>
      <c r="U1" s="11"/>
    </row>
    <row r="2" spans="1:21" x14ac:dyDescent="0.25">
      <c r="A2" s="9" t="s">
        <v>3</v>
      </c>
      <c r="B2" s="13" t="s">
        <v>38</v>
      </c>
      <c r="C2" s="13" t="s">
        <v>39</v>
      </c>
      <c r="D2" s="13" t="s">
        <v>40</v>
      </c>
      <c r="E2" s="13" t="s">
        <v>41</v>
      </c>
      <c r="F2" s="13" t="s">
        <v>42</v>
      </c>
      <c r="G2" s="13" t="s">
        <v>43</v>
      </c>
      <c r="H2" s="13" t="s">
        <v>44</v>
      </c>
      <c r="I2" s="13" t="s">
        <v>45</v>
      </c>
      <c r="J2" s="13" t="s">
        <v>46</v>
      </c>
      <c r="K2" s="13" t="s">
        <v>47</v>
      </c>
      <c r="L2" s="13" t="s">
        <v>48</v>
      </c>
      <c r="M2" s="13" t="s">
        <v>49</v>
      </c>
      <c r="N2" s="13" t="s">
        <v>50</v>
      </c>
      <c r="O2" s="13" t="s">
        <v>51</v>
      </c>
      <c r="P2" s="13" t="s">
        <v>52</v>
      </c>
      <c r="Q2" s="13" t="s">
        <v>53</v>
      </c>
      <c r="R2" s="13" t="s">
        <v>54</v>
      </c>
      <c r="S2" s="13" t="s">
        <v>55</v>
      </c>
      <c r="T2" s="13" t="s">
        <v>56</v>
      </c>
      <c r="U2" s="13" t="s">
        <v>57</v>
      </c>
    </row>
    <row r="3" spans="1:21" x14ac:dyDescent="0.25">
      <c r="A3" s="11"/>
      <c r="B3" s="9">
        <v>2020</v>
      </c>
      <c r="C3" s="9">
        <v>2021</v>
      </c>
      <c r="D3" s="9">
        <v>2022</v>
      </c>
      <c r="E3" s="9">
        <v>2023</v>
      </c>
      <c r="F3" s="9">
        <v>2024</v>
      </c>
      <c r="G3" s="9">
        <v>2025</v>
      </c>
      <c r="H3" s="9">
        <v>2026</v>
      </c>
      <c r="I3" s="9">
        <v>2027</v>
      </c>
      <c r="J3" s="9">
        <v>2028</v>
      </c>
      <c r="K3" s="9">
        <v>2029</v>
      </c>
      <c r="L3" s="9">
        <v>2030</v>
      </c>
      <c r="M3" s="9">
        <v>2031</v>
      </c>
      <c r="N3" s="9">
        <v>2032</v>
      </c>
      <c r="O3" s="9">
        <v>2033</v>
      </c>
      <c r="P3" s="9">
        <v>2034</v>
      </c>
      <c r="Q3" s="9">
        <v>2035</v>
      </c>
      <c r="R3" s="9">
        <v>2036</v>
      </c>
      <c r="S3" s="9">
        <v>2037</v>
      </c>
      <c r="T3" s="9">
        <v>2038</v>
      </c>
      <c r="U3" s="9">
        <v>2039</v>
      </c>
    </row>
    <row r="4" spans="1:21" x14ac:dyDescent="0.25">
      <c r="A4" s="9" t="s">
        <v>118</v>
      </c>
      <c r="B4" s="83">
        <f>SUM(B$10:B$75,B$80:B$145)/1000000</f>
        <v>2.8404999999999991</v>
      </c>
      <c r="C4" s="83">
        <f t="shared" ref="C4:U4" si="0">SUM(C$10:C$75,C$80:C$145)/1000000</f>
        <v>2.8749999999999996</v>
      </c>
      <c r="D4" s="83">
        <f t="shared" si="0"/>
        <v>2.9105000000000012</v>
      </c>
      <c r="E4" s="83">
        <f t="shared" si="0"/>
        <v>2.9918000000000005</v>
      </c>
      <c r="F4" s="83">
        <f t="shared" si="0"/>
        <v>3.0679999999999987</v>
      </c>
      <c r="G4" s="83">
        <f t="shared" si="0"/>
        <v>3.0784000000000011</v>
      </c>
      <c r="H4" s="83">
        <f t="shared" si="0"/>
        <v>3.1260999999999997</v>
      </c>
      <c r="I4" s="83">
        <f t="shared" si="0"/>
        <v>3.1818000000000013</v>
      </c>
      <c r="J4" s="83">
        <f t="shared" si="0"/>
        <v>3.2342000000000004</v>
      </c>
      <c r="K4" s="83">
        <f t="shared" si="0"/>
        <v>3.2823999999999995</v>
      </c>
      <c r="L4" s="83">
        <f t="shared" si="0"/>
        <v>3.3185590685616786</v>
      </c>
      <c r="M4" s="83">
        <f t="shared" si="0"/>
        <v>3.3528826048258416</v>
      </c>
      <c r="N4" s="83">
        <f t="shared" si="0"/>
        <v>3.3853211958213323</v>
      </c>
      <c r="O4" s="83">
        <f t="shared" si="0"/>
        <v>3.4158141233649597</v>
      </c>
      <c r="P4" s="83">
        <f t="shared" si="0"/>
        <v>3.4440639791855969</v>
      </c>
      <c r="Q4" s="83">
        <f t="shared" si="0"/>
        <v>3.4702205421382288</v>
      </c>
      <c r="R4" s="83">
        <f t="shared" si="0"/>
        <v>3.4945670802318212</v>
      </c>
      <c r="S4" s="83">
        <f t="shared" si="0"/>
        <v>3.5174474698146727</v>
      </c>
      <c r="T4" s="83">
        <f t="shared" si="0"/>
        <v>3.5389480644882876</v>
      </c>
      <c r="U4" s="83">
        <f t="shared" si="0"/>
        <v>3.5593408899709948</v>
      </c>
    </row>
    <row r="5" spans="1:21" x14ac:dyDescent="0.25">
      <c r="A5" s="10" t="s">
        <v>5</v>
      </c>
      <c r="B5" s="18"/>
      <c r="C5" s="18">
        <f t="shared" ref="C5:U5" si="1">C$4/B$4-1</f>
        <v>1.2145748987854477E-2</v>
      </c>
      <c r="D5" s="18">
        <f t="shared" si="1"/>
        <v>1.234782608695717E-2</v>
      </c>
      <c r="E5" s="18">
        <f t="shared" si="1"/>
        <v>2.7933344786118974E-2</v>
      </c>
      <c r="F5" s="18">
        <f t="shared" si="1"/>
        <v>2.5469616953004204E-2</v>
      </c>
      <c r="G5" s="18">
        <f t="shared" si="1"/>
        <v>3.389830508475411E-3</v>
      </c>
      <c r="H5" s="18">
        <f t="shared" si="1"/>
        <v>1.5495062370061818E-2</v>
      </c>
      <c r="I5" s="18">
        <f t="shared" si="1"/>
        <v>1.7817728159688295E-2</v>
      </c>
      <c r="J5" s="18">
        <f t="shared" si="1"/>
        <v>1.6468665535231297E-2</v>
      </c>
      <c r="K5" s="18">
        <f t="shared" si="1"/>
        <v>1.4903221816832346E-2</v>
      </c>
      <c r="L5" s="18">
        <f t="shared" si="1"/>
        <v>1.1016045747525904E-2</v>
      </c>
      <c r="M5" s="18">
        <f t="shared" si="1"/>
        <v>1.0342903517772672E-2</v>
      </c>
      <c r="N5" s="18">
        <f t="shared" si="1"/>
        <v>9.6748364970493661E-3</v>
      </c>
      <c r="O5" s="18">
        <f t="shared" si="1"/>
        <v>9.0073956885587947E-3</v>
      </c>
      <c r="P5" s="18">
        <f t="shared" si="1"/>
        <v>8.2703141331379459E-3</v>
      </c>
      <c r="Q5" s="18">
        <f t="shared" si="1"/>
        <v>7.5946797477370875E-3</v>
      </c>
      <c r="R5" s="18">
        <f t="shared" si="1"/>
        <v>7.0158474938284421E-3</v>
      </c>
      <c r="S5" s="18">
        <f t="shared" si="1"/>
        <v>6.5474174790582929E-3</v>
      </c>
      <c r="T5" s="18">
        <f t="shared" si="1"/>
        <v>6.1125560106083388E-3</v>
      </c>
      <c r="U5" s="18">
        <f t="shared" si="1"/>
        <v>5.7623975009239992E-3</v>
      </c>
    </row>
    <row r="6" spans="1:21" x14ac:dyDescent="0.25">
      <c r="A6" s="9" t="s">
        <v>119</v>
      </c>
      <c r="B6" s="84">
        <f>100*1000000*B$4/SUM('Population Treasury'!P$30:P$110,'Population Treasury'!P$130:P$210)</f>
        <v>70.420963903213007</v>
      </c>
      <c r="C6" s="84">
        <f>100*1000000*C$4/SUM('Population Treasury'!Q$30:Q$110,'Population Treasury'!Q$130:Q$210)</f>
        <v>70.307150542893424</v>
      </c>
      <c r="D6" s="84">
        <f>100*1000000*D$4/SUM('Population Treasury'!R$30:R$110,'Population Treasury'!R$130:R$210)</f>
        <v>70.973956301209498</v>
      </c>
      <c r="E6" s="84">
        <f>100*1000000*E$4/SUM('Population Treasury'!S$30:S$110,'Population Treasury'!S$130:S$210)</f>
        <v>71.996149681145454</v>
      </c>
      <c r="F6" s="84">
        <f>100*1000000*F$4/SUM('Population Treasury'!T$30:T$110,'Population Treasury'!T$130:T$210)</f>
        <v>71.764403171855577</v>
      </c>
      <c r="G6" s="84">
        <f>100*1000000*G$4/SUM('Population Treasury'!U$30:U$110,'Population Treasury'!U$130:U$210)</f>
        <v>71.053664166185825</v>
      </c>
      <c r="H6" s="84">
        <f>100*1000000*H$4/SUM('Population Treasury'!V$30:V$110,'Population Treasury'!V$130:V$210)</f>
        <v>71.238776719383822</v>
      </c>
      <c r="I6" s="84">
        <f>100*1000000*I$4/SUM('Population Treasury'!W$30:W$110,'Population Treasury'!W$130:W$210)</f>
        <v>71.552577134118934</v>
      </c>
      <c r="J6" s="84">
        <f>100*1000000*J$4/SUM('Population Treasury'!X$30:X$110,'Population Treasury'!X$130:X$210)</f>
        <v>71.775410563692873</v>
      </c>
      <c r="K6" s="84">
        <f>100*1000000*K$4/SUM('Population Treasury'!Y$30:Y$110,'Population Treasury'!Y$130:Y$210)</f>
        <v>71.898889448667148</v>
      </c>
      <c r="L6" s="84">
        <f>100*1000000*L$4/SUM('Population Treasury'!Z$30:Z$110,'Population Treasury'!Z$130:Z$210)</f>
        <v>71.801458757359441</v>
      </c>
      <c r="M6" s="84">
        <f>100*1000000*M$4/SUM('Population Treasury'!AA$30:AA$110,'Population Treasury'!AA$130:AA$210)</f>
        <v>71.707280871659648</v>
      </c>
      <c r="N6" s="84">
        <f>100*1000000*N$4/SUM('Population Treasury'!AB$30:AB$110,'Population Treasury'!AB$130:AB$210)</f>
        <v>71.608528797533836</v>
      </c>
      <c r="O6" s="84">
        <f>100*1000000*O$4/SUM('Population Treasury'!AC$30:AC$110,'Population Treasury'!AC$130:AC$210)</f>
        <v>71.522359915775084</v>
      </c>
      <c r="P6" s="84">
        <f>100*1000000*P$4/SUM('Population Treasury'!AD$30:AD$110,'Population Treasury'!AD$130:AD$210)</f>
        <v>71.429596881124041</v>
      </c>
      <c r="Q6" s="84">
        <f>100*1000000*Q$4/SUM('Population Treasury'!AE$30:AE$110,'Population Treasury'!AE$130:AE$210)</f>
        <v>71.337169713226075</v>
      </c>
      <c r="R6" s="84">
        <f>100*1000000*R$4/SUM('Population Treasury'!AF$30:AF$110,'Population Treasury'!AF$130:AF$210)</f>
        <v>71.223964485927269</v>
      </c>
      <c r="S6" s="84">
        <f>100*1000000*S$4/SUM('Population Treasury'!AG$30:AG$110,'Population Treasury'!AG$130:AG$210)</f>
        <v>71.107452427748797</v>
      </c>
      <c r="T6" s="84">
        <f>100*1000000*T$4/SUM('Population Treasury'!AH$30:AH$110,'Population Treasury'!AH$130:AH$210)</f>
        <v>71.016250626098113</v>
      </c>
      <c r="U6" s="84">
        <f>100*1000000*U$4/SUM('Population Treasury'!AI$30:AI$110,'Population Treasury'!AI$130:AI$210)</f>
        <v>70.933679512276186</v>
      </c>
    </row>
    <row r="7" spans="1:21" x14ac:dyDescent="0.25">
      <c r="A7" s="9" t="s">
        <v>120</v>
      </c>
      <c r="B7" s="83">
        <f>SUM(SUMPRODUCT('Population Treasury'!P$30:P$94,'Statistics NZ'!P$355:'Statistics NZ'!P$419),SUM('Population Treasury'!P$95:P$110)*'Statistics NZ'!P$420,SUMPRODUCT('Population Treasury'!P$130:P$194,'Statistics NZ'!P$425:'Statistics NZ'!P$489),SUM('Population Treasury'!P$195:P$210)*'Statistics NZ'!P$490)/1000000</f>
        <v>2.8386041782126741</v>
      </c>
      <c r="C7" s="83">
        <f>SUM(SUMPRODUCT('Population Treasury'!Q$30:Q$94,'Statistics NZ'!Q$355:'Statistics NZ'!Q$419),SUM('Population Treasury'!Q$95:Q$110)*'Statistics NZ'!Q$420,SUMPRODUCT('Population Treasury'!Q$130:Q$194,'Statistics NZ'!Q$425:'Statistics NZ'!Q$489),SUM('Population Treasury'!Q$195:Q$210)*'Statistics NZ'!Q$490)/1000000</f>
        <v>2.8650137461332932</v>
      </c>
      <c r="D7" s="83">
        <f>SUM(SUMPRODUCT('Population Treasury'!R$30:R$94,'Statistics NZ'!R$355:'Statistics NZ'!R$419),SUM('Population Treasury'!R$95:R$110)*'Statistics NZ'!R$420,SUMPRODUCT('Population Treasury'!R$130:R$194,'Statistics NZ'!R$425:'Statistics NZ'!R$489),SUM('Population Treasury'!R$195:R$210)*'Statistics NZ'!R$490)/1000000</f>
        <v>2.8585515931065877</v>
      </c>
      <c r="E7" s="83">
        <f>SUM(SUMPRODUCT('Population Treasury'!S$30:S$94,'Statistics NZ'!S$355:'Statistics NZ'!S$419),SUM('Population Treasury'!S$95:S$110)*'Statistics NZ'!S$420,SUMPRODUCT('Population Treasury'!S$130:S$194,'Statistics NZ'!S$425:'Statistics NZ'!S$489),SUM('Population Treasury'!S$195:S$210)*'Statistics NZ'!S$490)/1000000</f>
        <v>2.8916953962703902</v>
      </c>
      <c r="F7" s="83">
        <f>SUM(SUMPRODUCT('Population Treasury'!T$30:T$94,'Statistics NZ'!T$355:'Statistics NZ'!T$419),SUM('Population Treasury'!T$95:T$110)*'Statistics NZ'!T$420,SUMPRODUCT('Population Treasury'!T$130:T$194,'Statistics NZ'!T$425:'Statistics NZ'!T$489),SUM('Population Treasury'!T$195:T$210)*'Statistics NZ'!T$490)/1000000</f>
        <v>2.963442212099459</v>
      </c>
      <c r="G7" s="83">
        <f>SUM(SUMPRODUCT('Population Treasury'!U$30:U$94,'Statistics NZ'!U$355:'Statistics NZ'!U$419),SUM('Population Treasury'!U$95:U$110)*'Statistics NZ'!U$420,SUMPRODUCT('Population Treasury'!U$130:U$194,'Statistics NZ'!U$425:'Statistics NZ'!U$489),SUM('Population Treasury'!U$195:U$210)*'Statistics NZ'!U$490)/1000000</f>
        <v>2.9919623803660644</v>
      </c>
      <c r="H7" s="83">
        <f>SUM(SUMPRODUCT('Population Treasury'!V$30:V$94,'Statistics NZ'!V$355:'Statistics NZ'!V$419),SUM('Population Treasury'!V$95:V$110)*'Statistics NZ'!V$420,SUMPRODUCT('Population Treasury'!V$130:V$194,'Statistics NZ'!V$425:'Statistics NZ'!V$489),SUM('Population Treasury'!V$195:V$210)*'Statistics NZ'!V$490)/1000000</f>
        <v>3.0232271794683929</v>
      </c>
      <c r="I7" s="83">
        <f>SUM(SUMPRODUCT('Population Treasury'!W$30:W$94,'Statistics NZ'!W$355:'Statistics NZ'!W$419),SUM('Population Treasury'!W$95:W$110)*'Statistics NZ'!W$420,SUMPRODUCT('Population Treasury'!W$130:W$194,'Statistics NZ'!W$425:'Statistics NZ'!W$489),SUM('Population Treasury'!W$195:W$210)*'Statistics NZ'!W$490)/1000000</f>
        <v>3.0570631804929693</v>
      </c>
      <c r="J7" s="83">
        <f>SUM(SUMPRODUCT('Population Treasury'!X$30:X$94,'Statistics NZ'!X$355:'Statistics NZ'!X$419),SUM('Population Treasury'!X$95:X$110)*'Statistics NZ'!X$420,SUMPRODUCT('Population Treasury'!X$130:X$194,'Statistics NZ'!X$425:'Statistics NZ'!X$489),SUM('Population Treasury'!X$195:X$210)*'Statistics NZ'!X$490)/1000000</f>
        <v>3.0914554054902212</v>
      </c>
      <c r="K7" s="83">
        <f>SUM(SUMPRODUCT('Population Treasury'!Y$30:Y$94,'Statistics NZ'!Y$355:'Statistics NZ'!Y$419),SUM('Population Treasury'!Y$95:Y$110)*'Statistics NZ'!Y$420,SUMPRODUCT('Population Treasury'!Y$130:Y$194,'Statistics NZ'!Y$425:'Statistics NZ'!Y$489),SUM('Population Treasury'!Y$195:Y$210)*'Statistics NZ'!Y$490)/1000000</f>
        <v>3.1266533250162669</v>
      </c>
      <c r="L7" s="83"/>
      <c r="M7" s="83"/>
      <c r="N7" s="83"/>
      <c r="O7" s="83"/>
      <c r="P7" s="83"/>
      <c r="Q7" s="83"/>
      <c r="R7" s="83"/>
      <c r="S7" s="83"/>
      <c r="T7" s="83"/>
      <c r="U7" s="83"/>
    </row>
    <row r="8" spans="1:21" x14ac:dyDescent="0.25">
      <c r="A8" s="9" t="s">
        <v>924</v>
      </c>
      <c r="B8" s="11"/>
      <c r="C8" s="11"/>
      <c r="D8" s="11"/>
      <c r="E8" s="11"/>
      <c r="F8" s="11"/>
      <c r="G8" s="11"/>
      <c r="H8" s="11"/>
      <c r="I8" s="11"/>
      <c r="J8" s="11"/>
      <c r="K8" s="11"/>
      <c r="L8" s="11"/>
      <c r="M8" s="11"/>
      <c r="N8" s="11"/>
      <c r="O8" s="11"/>
      <c r="P8" s="11"/>
      <c r="Q8" s="11"/>
      <c r="R8" s="11"/>
      <c r="S8" s="11"/>
      <c r="T8" s="11"/>
      <c r="U8" s="11"/>
    </row>
    <row r="9" spans="1:21" x14ac:dyDescent="0.25">
      <c r="A9" s="9" t="s">
        <v>14</v>
      </c>
    </row>
    <row r="10" spans="1:21" x14ac:dyDescent="0.25">
      <c r="A10" s="11">
        <v>15</v>
      </c>
      <c r="B10" s="44">
        <f>'Population Treasury'!P$30*'Statistics NZ'!P$355*'Economic Forecasts'!R$8/B$7</f>
        <v>6228.7176033416354</v>
      </c>
      <c r="C10" s="44">
        <f>'Population Treasury'!Q$30*'Statistics NZ'!Q$355*'Economic Forecasts'!S$8/C$7</f>
        <v>6393.625511912649</v>
      </c>
      <c r="D10" s="44">
        <f>'Population Treasury'!R$30*'Statistics NZ'!R$355*'Economic Forecasts'!T$8/D$7</f>
        <v>6741.5616101637061</v>
      </c>
      <c r="E10" s="45">
        <f>'Population Treasury'!S$30*'Statistics NZ'!S$355*'Economic Forecasts'!U$8/E$7</f>
        <v>7169.8084119249124</v>
      </c>
      <c r="F10" s="45">
        <f>'Population Treasury'!T$30*'Statistics NZ'!T$355*'Economic Forecasts'!V$8/F$7</f>
        <v>7070.4453185052917</v>
      </c>
      <c r="G10" s="45">
        <f>'Population Treasury'!U$30*'Statistics NZ'!U$355*'Economic Forecasts'!W$8/G$7</f>
        <v>7095.5341459010742</v>
      </c>
      <c r="H10" s="45">
        <f>'Population Treasury'!V$30*'Statistics NZ'!V$355*'Economic Forecasts'!X$8/H$7</f>
        <v>6995.5825234298673</v>
      </c>
      <c r="I10" s="45">
        <f>'Population Treasury'!W$30*'Statistics NZ'!W$355*'Economic Forecasts'!Y$8/I$7</f>
        <v>6933.8922413142182</v>
      </c>
      <c r="J10" s="45">
        <f>'Population Treasury'!X$30*'Statistics NZ'!X$355*'Economic Forecasts'!Z$8/J$7</f>
        <v>6877.2644162509314</v>
      </c>
      <c r="K10" s="45">
        <f>'Population Treasury'!Y$30*'Statistics NZ'!Y$355*'Economic Forecasts'!AA$8/K$7</f>
        <v>6597.9503717643083</v>
      </c>
      <c r="L10" s="46">
        <f>K$10*'Population Treasury'!Z$30*'Statistics NZ'!Z$355/('Population Treasury'!Y$30*'Statistics NZ'!Y$355)</f>
        <v>6556.9593915489904</v>
      </c>
      <c r="M10" s="46">
        <f>L$10*'Population Treasury'!AA$30*'Statistics NZ'!AA$355/('Population Treasury'!Z$30*'Statistics NZ'!Z$355)</f>
        <v>6448.6007998191635</v>
      </c>
      <c r="N10" s="46">
        <f>M$10*'Population Treasury'!AB$30*'Statistics NZ'!AB$355/('Population Treasury'!AA$30*'Statistics NZ'!AA$355)</f>
        <v>6457.6759698794476</v>
      </c>
      <c r="O10" s="46">
        <f>N$10*'Population Treasury'!AC$30*'Statistics NZ'!AC$355/('Population Treasury'!AB$30*'Statistics NZ'!AB$355)</f>
        <v>6272.2943420051934</v>
      </c>
      <c r="P10" s="46">
        <f>O$10*'Population Treasury'!AD$30*'Statistics NZ'!AD$355/('Population Treasury'!AC$30*'Statistics NZ'!AC$355)</f>
        <v>6162.3667582904209</v>
      </c>
      <c r="Q10" s="46">
        <f>P$10*'Population Treasury'!AE$30*'Statistics NZ'!AE$355/('Population Treasury'!AD$30*'Statistics NZ'!AD$355)</f>
        <v>6132.1015985942804</v>
      </c>
      <c r="R10" s="46">
        <f>Q$10*'Population Treasury'!AF$30*'Statistics NZ'!AF$355/('Population Treasury'!AE$30*'Statistics NZ'!AE$355)</f>
        <v>6169.2416554252468</v>
      </c>
      <c r="S10" s="46">
        <f>R$10*'Population Treasury'!AG$30*'Statistics NZ'!AG$355/('Population Treasury'!AF$30*'Statistics NZ'!AF$355)</f>
        <v>6232.8297055650673</v>
      </c>
      <c r="T10" s="46">
        <f>S$10*'Population Treasury'!AH$30*'Statistics NZ'!AH$355/('Population Treasury'!AG$30*'Statistics NZ'!AG$355)</f>
        <v>6003.6704421826989</v>
      </c>
      <c r="U10" s="46">
        <f>T$10*'Population Treasury'!AI$30*'Statistics NZ'!AI$355/('Population Treasury'!AH$30*'Statistics NZ'!AH$355)</f>
        <v>5969.8684974026273</v>
      </c>
    </row>
    <row r="11" spans="1:21" x14ac:dyDescent="0.25">
      <c r="A11" s="11">
        <v>16</v>
      </c>
      <c r="B11" s="44">
        <f>'Population Treasury'!P$31*'Statistics NZ'!P$356*'Economic Forecasts'!R$8/B$7</f>
        <v>11560.993057559957</v>
      </c>
      <c r="C11" s="44">
        <f>'Population Treasury'!Q$31*'Statistics NZ'!Q$356*'Economic Forecasts'!S$8/C$7</f>
        <v>11590.350078027213</v>
      </c>
      <c r="D11" s="44">
        <f>'Population Treasury'!R$31*'Statistics NZ'!R$356*'Economic Forecasts'!T$8/D$7</f>
        <v>11926.099470260837</v>
      </c>
      <c r="E11" s="45">
        <f>'Population Treasury'!S$31*'Statistics NZ'!S$356*'Economic Forecasts'!U$8/E$7</f>
        <v>12900.819993077941</v>
      </c>
      <c r="F11" s="45">
        <f>'Population Treasury'!T$31*'Statistics NZ'!T$356*'Economic Forecasts'!V$8/F$7</f>
        <v>13321.607189630695</v>
      </c>
      <c r="G11" s="45">
        <f>'Population Treasury'!U$31*'Statistics NZ'!U$356*'Economic Forecasts'!W$8/G$7</f>
        <v>12924.744662639809</v>
      </c>
      <c r="H11" s="45">
        <f>'Population Treasury'!V$31*'Statistics NZ'!V$356*'Economic Forecasts'!X$8/H$7</f>
        <v>13246.890212886259</v>
      </c>
      <c r="I11" s="45">
        <f>'Population Treasury'!W$31*'Statistics NZ'!W$356*'Economic Forecasts'!Y$8/I$7</f>
        <v>13159.67380044948</v>
      </c>
      <c r="J11" s="45">
        <f>'Population Treasury'!X$31*'Statistics NZ'!X$356*'Economic Forecasts'!Z$8/J$7</f>
        <v>13089.984743347302</v>
      </c>
      <c r="K11" s="45">
        <f>'Population Treasury'!Y$31*'Statistics NZ'!Y$356*'Economic Forecasts'!AA$8/K$7</f>
        <v>13024.002555181634</v>
      </c>
      <c r="L11" s="46">
        <f>K$11*'Population Treasury'!Z$31*'Statistics NZ'!Z$356/('Population Treasury'!Y$31*'Statistics NZ'!Y$356)</f>
        <v>12533.056929994727</v>
      </c>
      <c r="M11" s="46">
        <f>L$11*'Population Treasury'!AA$31*'Statistics NZ'!AA$356/('Population Treasury'!Z$31*'Statistics NZ'!Z$356)</f>
        <v>12494.21893023088</v>
      </c>
      <c r="N11" s="46">
        <f>M$11*'Population Treasury'!AB$31*'Statistics NZ'!AB$356/('Population Treasury'!AA$31*'Statistics NZ'!AA$356)</f>
        <v>12320.302686043124</v>
      </c>
      <c r="O11" s="46">
        <f>N$11*'Population Treasury'!AC$31*'Statistics NZ'!AC$356/('Population Treasury'!AB$31*'Statistics NZ'!AB$356)</f>
        <v>12385.385712509096</v>
      </c>
      <c r="P11" s="46">
        <f>O$11*'Population Treasury'!AD$31*'Statistics NZ'!AD$356/('Population Treasury'!AC$31*'Statistics NZ'!AC$356)</f>
        <v>12044.181901342674</v>
      </c>
      <c r="Q11" s="46">
        <f>P$11*'Population Treasury'!AE$31*'Statistics NZ'!AE$356/('Population Treasury'!AD$31*'Statistics NZ'!AD$356)</f>
        <v>11868.59954576679</v>
      </c>
      <c r="R11" s="46">
        <f>Q$11*'Population Treasury'!AF$31*'Statistics NZ'!AF$356/('Population Treasury'!AE$31*'Statistics NZ'!AE$356)</f>
        <v>11845.692205537198</v>
      </c>
      <c r="S11" s="46">
        <f>R$11*'Population Treasury'!AG$31*'Statistics NZ'!AG$356/('Population Treasury'!AF$31*'Statistics NZ'!AF$356)</f>
        <v>11929.022321713273</v>
      </c>
      <c r="T11" s="46">
        <f>S$11*'Population Treasury'!AH$31*'Statistics NZ'!AH$356/('Population Treasury'!AG$31*'Statistics NZ'!AG$356)</f>
        <v>12084.381126422923</v>
      </c>
      <c r="U11" s="46">
        <f>T$11*'Population Treasury'!AI$31*'Statistics NZ'!AI$356/('Population Treasury'!AH$31*'Statistics NZ'!AH$356)</f>
        <v>11657.604995569944</v>
      </c>
    </row>
    <row r="12" spans="1:21" x14ac:dyDescent="0.25">
      <c r="A12" s="11">
        <v>17</v>
      </c>
      <c r="B12" s="44">
        <f>'Population Treasury'!P$32*'Statistics NZ'!P$357*'Economic Forecasts'!R$8/B$7</f>
        <v>16099.453795184392</v>
      </c>
      <c r="C12" s="44">
        <f>'Population Treasury'!Q$32*'Statistics NZ'!Q$357*'Economic Forecasts'!S$8/C$7</f>
        <v>16401.7317060477</v>
      </c>
      <c r="D12" s="44">
        <f>'Population Treasury'!R$32*'Statistics NZ'!R$357*'Economic Forecasts'!T$8/D$7</f>
        <v>16515.725018868907</v>
      </c>
      <c r="E12" s="45">
        <f>'Population Treasury'!S$32*'Statistics NZ'!S$357*'Economic Forecasts'!U$8/E$7</f>
        <v>17460.655992332817</v>
      </c>
      <c r="F12" s="45">
        <f>'Population Treasury'!T$32*'Statistics NZ'!T$357*'Economic Forecasts'!V$8/F$7</f>
        <v>18331.382420512582</v>
      </c>
      <c r="G12" s="45">
        <f>'Population Treasury'!U$32*'Statistics NZ'!U$357*'Economic Forecasts'!W$8/G$7</f>
        <v>18606.770983723105</v>
      </c>
      <c r="H12" s="45">
        <f>'Population Treasury'!V$32*'Statistics NZ'!V$357*'Economic Forecasts'!X$8/H$7</f>
        <v>18430.532404717476</v>
      </c>
      <c r="I12" s="45">
        <f>'Population Treasury'!W$32*'Statistics NZ'!W$357*'Economic Forecasts'!Y$8/I$7</f>
        <v>19004.216111035385</v>
      </c>
      <c r="J12" s="45">
        <f>'Population Treasury'!X$32*'Statistics NZ'!X$357*'Economic Forecasts'!Z$8/J$7</f>
        <v>18918.632026852683</v>
      </c>
      <c r="K12" s="45">
        <f>'Population Treasury'!Y$32*'Statistics NZ'!Y$357*'Economic Forecasts'!AA$8/K$7</f>
        <v>18852.992559417315</v>
      </c>
      <c r="L12" s="46">
        <f>K$12*'Population Treasury'!Z$32*'Statistics NZ'!Z$357/('Population Treasury'!Y$32*'Statistics NZ'!Y$357)</f>
        <v>18777.085517433614</v>
      </c>
      <c r="M12" s="46">
        <f>L$12*'Population Treasury'!AA$32*'Statistics NZ'!AA$357/('Population Treasury'!Z$32*'Statistics NZ'!Z$357)</f>
        <v>18118.379512827407</v>
      </c>
      <c r="N12" s="46">
        <f>M$12*'Population Treasury'!AB$32*'Statistics NZ'!AB$357/('Population Treasury'!AA$32*'Statistics NZ'!AA$357)</f>
        <v>18106.86012700155</v>
      </c>
      <c r="O12" s="46">
        <f>N$12*'Population Treasury'!AC$32*'Statistics NZ'!AC$357/('Population Treasury'!AB$32*'Statistics NZ'!AB$357)</f>
        <v>17886.917607207673</v>
      </c>
      <c r="P12" s="46">
        <f>O$12*'Population Treasury'!AD$32*'Statistics NZ'!AD$357/('Population Treasury'!AC$32*'Statistics NZ'!AC$357)</f>
        <v>17998.870709118517</v>
      </c>
      <c r="Q12" s="46">
        <f>P$12*'Population Treasury'!AE$32*'Statistics NZ'!AE$357/('Population Treasury'!AD$32*'Statistics NZ'!AD$357)</f>
        <v>17545.130829981521</v>
      </c>
      <c r="R12" s="46">
        <f>Q$12*'Population Treasury'!AF$32*'Statistics NZ'!AF$357/('Population Treasury'!AE$32*'Statistics NZ'!AE$357)</f>
        <v>17318.524391959767</v>
      </c>
      <c r="S12" s="46">
        <f>R$12*'Population Treasury'!AG$32*'Statistics NZ'!AG$357/('Population Treasury'!AF$32*'Statistics NZ'!AF$357)</f>
        <v>17293.082126605037</v>
      </c>
      <c r="T12" s="46">
        <f>S$12*'Population Treasury'!AH$32*'Statistics NZ'!AH$357/('Population Treasury'!AG$32*'Statistics NZ'!AG$357)</f>
        <v>17439.763866118912</v>
      </c>
      <c r="U12" s="46">
        <f>T$12*'Population Treasury'!AI$32*'Statistics NZ'!AI$357/('Population Treasury'!AH$32*'Statistics NZ'!AH$357)</f>
        <v>17691.875335475255</v>
      </c>
    </row>
    <row r="13" spans="1:21" x14ac:dyDescent="0.25">
      <c r="A13" s="11">
        <v>18</v>
      </c>
      <c r="B13" s="44">
        <f>'Population Treasury'!P$33*'Statistics NZ'!P$358*'Economic Forecasts'!R$8/B$7</f>
        <v>19513.457058890224</v>
      </c>
      <c r="C13" s="44">
        <f>'Population Treasury'!Q$33*'Statistics NZ'!Q$358*'Economic Forecasts'!S$8/C$7</f>
        <v>19214.398126876331</v>
      </c>
      <c r="D13" s="44">
        <f>'Population Treasury'!R$33*'Statistics NZ'!R$358*'Economic Forecasts'!T$8/D$7</f>
        <v>19667.151439935129</v>
      </c>
      <c r="E13" s="45">
        <f>'Population Treasury'!S$33*'Statistics NZ'!S$358*'Economic Forecasts'!U$8/E$7</f>
        <v>20366.058757739054</v>
      </c>
      <c r="F13" s="45">
        <f>'Population Treasury'!T$33*'Statistics NZ'!T$358*'Economic Forecasts'!V$8/F$7</f>
        <v>20870.575211206509</v>
      </c>
      <c r="G13" s="45">
        <f>'Population Treasury'!U$33*'Statistics NZ'!U$358*'Economic Forecasts'!W$8/G$7</f>
        <v>21484.426975413859</v>
      </c>
      <c r="H13" s="45">
        <f>'Population Treasury'!V$33*'Statistics NZ'!V$358*'Economic Forecasts'!X$8/H$7</f>
        <v>22221.122444410299</v>
      </c>
      <c r="I13" s="45">
        <f>'Population Treasury'!W$33*'Statistics NZ'!W$358*'Economic Forecasts'!Y$8/I$7</f>
        <v>22097.50890261235</v>
      </c>
      <c r="J13" s="45">
        <f>'Population Treasury'!X$33*'Statistics NZ'!X$358*'Economic Forecasts'!Z$8/J$7</f>
        <v>22810.512171171962</v>
      </c>
      <c r="K13" s="45">
        <f>'Population Treasury'!Y$33*'Statistics NZ'!Y$358*'Economic Forecasts'!AA$8/K$7</f>
        <v>22707.960270239273</v>
      </c>
      <c r="L13" s="46">
        <f>K$13*'Population Treasury'!Z$33*'Statistics NZ'!Z$358/('Population Treasury'!Y$33*'Statistics NZ'!Y$358)</f>
        <v>22619.233844996532</v>
      </c>
      <c r="M13" s="46">
        <f>L$13*'Population Treasury'!AA$33*'Statistics NZ'!AA$358/('Population Treasury'!Z$33*'Statistics NZ'!Z$358)</f>
        <v>22531.992437236324</v>
      </c>
      <c r="N13" s="46">
        <f>M$13*'Population Treasury'!AB$33*'Statistics NZ'!AB$358/('Population Treasury'!AA$33*'Statistics NZ'!AA$358)</f>
        <v>21771.310663030756</v>
      </c>
      <c r="O13" s="46">
        <f>N$13*'Population Treasury'!AC$33*'Statistics NZ'!AC$358/('Population Treasury'!AB$33*'Statistics NZ'!AB$358)</f>
        <v>21757.814628108237</v>
      </c>
      <c r="P13" s="46">
        <f>O$13*'Population Treasury'!AD$33*'Statistics NZ'!AD$358/('Population Treasury'!AC$33*'Statistics NZ'!AC$358)</f>
        <v>21513.137812997371</v>
      </c>
      <c r="Q13" s="46">
        <f>P$13*'Population Treasury'!AE$33*'Statistics NZ'!AE$358/('Population Treasury'!AD$33*'Statistics NZ'!AD$358)</f>
        <v>21664.887726409626</v>
      </c>
      <c r="R13" s="46">
        <f>Q$13*'Population Treasury'!AF$33*'Statistics NZ'!AF$358/('Population Treasury'!AE$33*'Statistics NZ'!AE$358)</f>
        <v>21127.457321365426</v>
      </c>
      <c r="S13" s="46">
        <f>R$13*'Population Treasury'!AG$33*'Statistics NZ'!AG$358/('Population Treasury'!AF$33*'Statistics NZ'!AF$358)</f>
        <v>20860.515559140164</v>
      </c>
      <c r="T13" s="46">
        <f>S$13*'Population Treasury'!AH$33*'Statistics NZ'!AH$358/('Population Treasury'!AG$33*'Statistics NZ'!AG$358)</f>
        <v>20843.496582906733</v>
      </c>
      <c r="U13" s="46">
        <f>T$13*'Population Treasury'!AI$33*'Statistics NZ'!AI$358/('Population Treasury'!AH$33*'Statistics NZ'!AH$358)</f>
        <v>21020.544084023131</v>
      </c>
    </row>
    <row r="14" spans="1:21" x14ac:dyDescent="0.25">
      <c r="A14" s="11">
        <v>19</v>
      </c>
      <c r="B14" s="44">
        <f>'Population Treasury'!P$34*'Statistics NZ'!P$359*'Economic Forecasts'!R$8/B$7</f>
        <v>20880.742161363843</v>
      </c>
      <c r="C14" s="44">
        <f>'Population Treasury'!Q$34*'Statistics NZ'!Q$359*'Economic Forecasts'!S$8/C$7</f>
        <v>20368.59758207796</v>
      </c>
      <c r="D14" s="44">
        <f>'Population Treasury'!R$34*'Statistics NZ'!R$359*'Economic Forecasts'!T$8/D$7</f>
        <v>20194.389490976984</v>
      </c>
      <c r="E14" s="45">
        <f>'Population Treasury'!S$34*'Statistics NZ'!S$359*'Economic Forecasts'!U$8/E$7</f>
        <v>21291.777301279533</v>
      </c>
      <c r="F14" s="45">
        <f>'Population Treasury'!T$34*'Statistics NZ'!T$359*'Economic Forecasts'!V$8/F$7</f>
        <v>21381.174330967395</v>
      </c>
      <c r="G14" s="45">
        <f>'Population Treasury'!U$34*'Statistics NZ'!U$359*'Economic Forecasts'!W$8/G$7</f>
        <v>21508.206886198626</v>
      </c>
      <c r="H14" s="45">
        <f>'Population Treasury'!V$34*'Statistics NZ'!V$359*'Economic Forecasts'!X$8/H$7</f>
        <v>22580.356715264268</v>
      </c>
      <c r="I14" s="45">
        <f>'Population Treasury'!W$34*'Statistics NZ'!W$359*'Economic Forecasts'!Y$8/I$7</f>
        <v>23468.846777875282</v>
      </c>
      <c r="J14" s="45">
        <f>'Population Treasury'!X$34*'Statistics NZ'!X$359*'Economic Forecasts'!Z$8/J$7</f>
        <v>23347.834482863902</v>
      </c>
      <c r="K14" s="45">
        <f>'Population Treasury'!Y$34*'Statistics NZ'!Y$359*'Economic Forecasts'!AA$8/K$7</f>
        <v>24097.716261875688</v>
      </c>
      <c r="L14" s="46">
        <f>K$14*'Population Treasury'!Z$34*'Statistics NZ'!Z$359/('Population Treasury'!Y$34*'Statistics NZ'!Y$359)</f>
        <v>23980.410023471428</v>
      </c>
      <c r="M14" s="46">
        <f>L$14*'Population Treasury'!AA$34*'Statistics NZ'!AA$359/('Population Treasury'!Z$34*'Statistics NZ'!Z$359)</f>
        <v>23911.981636921042</v>
      </c>
      <c r="N14" s="46">
        <f>M$14*'Population Treasury'!AB$34*'Statistics NZ'!AB$359/('Population Treasury'!AA$34*'Statistics NZ'!AA$359)</f>
        <v>23831.991740669731</v>
      </c>
      <c r="O14" s="46">
        <f>N$14*'Population Treasury'!AC$34*'Statistics NZ'!AC$359/('Population Treasury'!AB$34*'Statistics NZ'!AB$359)</f>
        <v>23048.053021699234</v>
      </c>
      <c r="P14" s="46">
        <f>O$14*'Population Treasury'!AD$34*'Statistics NZ'!AD$359/('Population Treasury'!AC$34*'Statistics NZ'!AC$359)</f>
        <v>23050.510106415833</v>
      </c>
      <c r="Q14" s="46">
        <f>P$14*'Population Treasury'!AE$34*'Statistics NZ'!AE$359/('Population Treasury'!AD$34*'Statistics NZ'!AD$359)</f>
        <v>22804.896377019752</v>
      </c>
      <c r="R14" s="46">
        <f>Q$14*'Population Treasury'!AF$34*'Statistics NZ'!AF$359/('Population Treasury'!AE$34*'Statistics NZ'!AE$359)</f>
        <v>22963.897843479142</v>
      </c>
      <c r="S14" s="46">
        <f>R$14*'Population Treasury'!AG$34*'Statistics NZ'!AG$359/('Population Treasury'!AF$34*'Statistics NZ'!AF$359)</f>
        <v>22408.113533010208</v>
      </c>
      <c r="T14" s="46">
        <f>S$14*'Population Treasury'!AH$34*'Statistics NZ'!AH$359/('Population Treasury'!AG$34*'Statistics NZ'!AG$359)</f>
        <v>22150.919645715672</v>
      </c>
      <c r="U14" s="46">
        <f>T$14*'Population Treasury'!AI$34*'Statistics NZ'!AI$359/('Population Treasury'!AH$34*'Statistics NZ'!AH$359)</f>
        <v>22124.067401651788</v>
      </c>
    </row>
    <row r="15" spans="1:21" x14ac:dyDescent="0.25">
      <c r="A15" s="11">
        <v>20</v>
      </c>
      <c r="B15" s="44">
        <f>'Population Treasury'!P$35*'Statistics NZ'!P$360*'Economic Forecasts'!R$8/B$7</f>
        <v>21859.297240410742</v>
      </c>
      <c r="C15" s="44">
        <f>'Population Treasury'!Q$35*'Statistics NZ'!Q$360*'Economic Forecasts'!S$8/C$7</f>
        <v>21701.71371127107</v>
      </c>
      <c r="D15" s="44">
        <f>'Population Treasury'!R$35*'Statistics NZ'!R$360*'Economic Forecasts'!T$8/D$7</f>
        <v>21309.307560454501</v>
      </c>
      <c r="E15" s="45">
        <f>'Population Treasury'!S$35*'Statistics NZ'!S$360*'Economic Forecasts'!U$8/E$7</f>
        <v>20713.261928044059</v>
      </c>
      <c r="F15" s="45">
        <f>'Population Treasury'!T$35*'Statistics NZ'!T$360*'Economic Forecasts'!V$8/F$7</f>
        <v>21690.276974431003</v>
      </c>
      <c r="G15" s="45">
        <f>'Population Treasury'!U$35*'Statistics NZ'!U$360*'Economic Forecasts'!W$8/G$7</f>
        <v>21809.270746816972</v>
      </c>
      <c r="H15" s="45">
        <f>'Population Treasury'!V$35*'Statistics NZ'!V$360*'Economic Forecasts'!X$8/H$7</f>
        <v>22441.40933009639</v>
      </c>
      <c r="I15" s="45">
        <f>'Population Treasury'!W$35*'Statistics NZ'!W$360*'Economic Forecasts'!Y$8/I$7</f>
        <v>23690.874819360288</v>
      </c>
      <c r="J15" s="45">
        <f>'Population Treasury'!X$35*'Statistics NZ'!X$360*'Economic Forecasts'!Z$8/J$7</f>
        <v>24624.295733885661</v>
      </c>
      <c r="K15" s="45">
        <f>'Population Treasury'!Y$35*'Statistics NZ'!Y$360*'Economic Forecasts'!AA$8/K$7</f>
        <v>24513.505814350301</v>
      </c>
      <c r="L15" s="46">
        <f>K$15*'Population Treasury'!Z$35*'Statistics NZ'!Z$360/('Population Treasury'!Y$35*'Statistics NZ'!Y$360)</f>
        <v>25158.735859448709</v>
      </c>
      <c r="M15" s="46">
        <f>L$15*'Population Treasury'!AA$35*'Statistics NZ'!AA$360/('Population Treasury'!Z$35*'Statistics NZ'!Z$360)</f>
        <v>24951.680807854449</v>
      </c>
      <c r="N15" s="46">
        <f>M$15*'Population Treasury'!AB$35*'Statistics NZ'!AB$360/('Population Treasury'!AA$35*'Statistics NZ'!AA$360)</f>
        <v>24809.890144214121</v>
      </c>
      <c r="O15" s="46">
        <f>N$15*'Population Treasury'!AC$35*'Statistics NZ'!AC$360/('Population Treasury'!AB$35*'Statistics NZ'!AB$360)</f>
        <v>24670.689085421902</v>
      </c>
      <c r="P15" s="46">
        <f>O$15*'Population Treasury'!AD$35*'Statistics NZ'!AD$360/('Population Treasury'!AC$35*'Statistics NZ'!AC$360)</f>
        <v>23797.922186030304</v>
      </c>
      <c r="Q15" s="46">
        <f>P$15*'Population Treasury'!AE$35*'Statistics NZ'!AE$360/('Population Treasury'!AD$35*'Statistics NZ'!AD$360)</f>
        <v>23756.793116293244</v>
      </c>
      <c r="R15" s="46">
        <f>Q$15*'Population Treasury'!AF$35*'Statistics NZ'!AF$360/('Population Treasury'!AE$35*'Statistics NZ'!AE$360)</f>
        <v>23472.652125720113</v>
      </c>
      <c r="S15" s="46">
        <f>R$15*'Population Treasury'!AG$35*'Statistics NZ'!AG$360/('Population Treasury'!AF$35*'Statistics NZ'!AF$360)</f>
        <v>23641.58188649076</v>
      </c>
      <c r="T15" s="46">
        <f>S$15*'Population Treasury'!AH$35*'Statistics NZ'!AH$360/('Population Treasury'!AG$35*'Statistics NZ'!AG$360)</f>
        <v>23056.284907742374</v>
      </c>
      <c r="U15" s="46">
        <f>T$15*'Population Treasury'!AI$35*'Statistics NZ'!AI$360/('Population Treasury'!AH$35*'Statistics NZ'!AH$360)</f>
        <v>22774.294443633196</v>
      </c>
    </row>
    <row r="16" spans="1:21" x14ac:dyDescent="0.25">
      <c r="A16" s="11">
        <v>21</v>
      </c>
      <c r="B16" s="44">
        <f>'Population Treasury'!P$36*'Statistics NZ'!P$361*'Economic Forecasts'!R$8/B$7</f>
        <v>22362.507816590532</v>
      </c>
      <c r="C16" s="44">
        <f>'Population Treasury'!Q$36*'Statistics NZ'!Q$361*'Economic Forecasts'!S$8/C$7</f>
        <v>22921.150483139136</v>
      </c>
      <c r="D16" s="44">
        <f>'Population Treasury'!R$36*'Statistics NZ'!R$361*'Economic Forecasts'!T$8/D$7</f>
        <v>22891.92931581791</v>
      </c>
      <c r="E16" s="45">
        <f>'Population Treasury'!S$36*'Statistics NZ'!S$361*'Economic Forecasts'!U$8/E$7</f>
        <v>21910.730747899925</v>
      </c>
      <c r="F16" s="45">
        <f>'Population Treasury'!T$36*'Statistics NZ'!T$361*'Economic Forecasts'!V$8/F$7</f>
        <v>22217.894351670006</v>
      </c>
      <c r="G16" s="45">
        <f>'Population Treasury'!U$36*'Statistics NZ'!U$361*'Economic Forecasts'!W$8/G$7</f>
        <v>22826.641401479461</v>
      </c>
      <c r="H16" s="45">
        <f>'Population Treasury'!V$36*'Statistics NZ'!V$361*'Economic Forecasts'!X$8/H$7</f>
        <v>23058.25375748051</v>
      </c>
      <c r="I16" s="45">
        <f>'Population Treasury'!W$36*'Statistics NZ'!W$361*'Economic Forecasts'!Y$8/I$7</f>
        <v>23805.178530028254</v>
      </c>
      <c r="J16" s="45">
        <f>'Population Treasury'!X$36*'Statistics NZ'!X$361*'Economic Forecasts'!Z$8/J$7</f>
        <v>25140.408533393824</v>
      </c>
      <c r="K16" s="45">
        <f>'Population Treasury'!Y$36*'Statistics NZ'!Y$361*'Economic Forecasts'!AA$8/K$7</f>
        <v>26156.21119165183</v>
      </c>
      <c r="L16" s="46">
        <f>K$16*'Population Treasury'!Z$36*'Statistics NZ'!Z$361/('Population Treasury'!Y$36*'Statistics NZ'!Y$361)</f>
        <v>25911.277912576425</v>
      </c>
      <c r="M16" s="46">
        <f>L$16*'Population Treasury'!AA$36*'Statistics NZ'!AA$361/('Population Treasury'!Z$36*'Statistics NZ'!Z$361)</f>
        <v>26636.026267804995</v>
      </c>
      <c r="N16" s="46">
        <f>M$16*'Population Treasury'!AB$36*'Statistics NZ'!AB$361/('Population Treasury'!AA$36*'Statistics NZ'!AA$361)</f>
        <v>26465.803648184963</v>
      </c>
      <c r="O16" s="46">
        <f>N$16*'Population Treasury'!AC$36*'Statistics NZ'!AC$361/('Population Treasury'!AB$36*'Statistics NZ'!AB$361)</f>
        <v>26344.37565528533</v>
      </c>
      <c r="P16" s="46">
        <f>O$16*'Population Treasury'!AD$36*'Statistics NZ'!AD$361/('Population Treasury'!AC$36*'Statistics NZ'!AC$361)</f>
        <v>26243.222809914707</v>
      </c>
      <c r="Q16" s="46">
        <f>P$16*'Population Treasury'!AE$36*'Statistics NZ'!AE$361/('Population Treasury'!AD$36*'Statistics NZ'!AD$361)</f>
        <v>25349.954562318315</v>
      </c>
      <c r="R16" s="46">
        <f>Q$16*'Population Treasury'!AF$36*'Statistics NZ'!AF$361/('Population Treasury'!AE$36*'Statistics NZ'!AE$361)</f>
        <v>25338.287042275311</v>
      </c>
      <c r="S16" s="46">
        <f>R$16*'Population Treasury'!AG$36*'Statistics NZ'!AG$361/('Population Treasury'!AF$36*'Statistics NZ'!AF$361)</f>
        <v>25065.996491709018</v>
      </c>
      <c r="T16" s="46">
        <f>S$16*'Population Treasury'!AH$36*'Statistics NZ'!AH$361/('Population Treasury'!AG$36*'Statistics NZ'!AG$361)</f>
        <v>25262.49030106825</v>
      </c>
      <c r="U16" s="46">
        <f>T$16*'Population Treasury'!AI$36*'Statistics NZ'!AI$361/('Population Treasury'!AH$36*'Statistics NZ'!AH$361)</f>
        <v>24658.274218303173</v>
      </c>
    </row>
    <row r="17" spans="1:21" x14ac:dyDescent="0.25">
      <c r="A17" s="11">
        <v>22</v>
      </c>
      <c r="B17" s="44">
        <f>'Population Treasury'!P$37*'Statistics NZ'!P$362*'Economic Forecasts'!R$8/B$7</f>
        <v>24752.272712824088</v>
      </c>
      <c r="C17" s="44">
        <f>'Population Treasury'!Q$37*'Statistics NZ'!Q$362*'Economic Forecasts'!S$8/C$7</f>
        <v>24068.808581434794</v>
      </c>
      <c r="D17" s="44">
        <f>'Population Treasury'!R$37*'Statistics NZ'!R$362*'Economic Forecasts'!T$8/D$7</f>
        <v>24829.456318548364</v>
      </c>
      <c r="E17" s="45">
        <f>'Population Treasury'!S$37*'Statistics NZ'!S$362*'Economic Forecasts'!U$8/E$7</f>
        <v>24232.740167415977</v>
      </c>
      <c r="F17" s="45">
        <f>'Population Treasury'!T$37*'Statistics NZ'!T$362*'Economic Forecasts'!V$8/F$7</f>
        <v>24227.368328457444</v>
      </c>
      <c r="G17" s="45">
        <f>'Population Treasury'!U$37*'Statistics NZ'!U$362*'Economic Forecasts'!W$8/G$7</f>
        <v>24098.317172499552</v>
      </c>
      <c r="H17" s="45">
        <f>'Population Treasury'!V$37*'Statistics NZ'!V$362*'Economic Forecasts'!X$8/H$7</f>
        <v>24874.847455055009</v>
      </c>
      <c r="I17" s="45">
        <f>'Population Treasury'!W$37*'Statistics NZ'!W$362*'Economic Forecasts'!Y$8/I$7</f>
        <v>25176.418963771019</v>
      </c>
      <c r="J17" s="45">
        <f>'Population Treasury'!X$37*'Statistics NZ'!X$362*'Economic Forecasts'!Z$8/J$7</f>
        <v>26003.467621254676</v>
      </c>
      <c r="K17" s="45">
        <f>'Population Treasury'!Y$37*'Statistics NZ'!Y$362*'Economic Forecasts'!AA$8/K$7</f>
        <v>27478.362021873691</v>
      </c>
      <c r="L17" s="46">
        <f>K$17*'Population Treasury'!Z$37*'Statistics NZ'!Z$362/('Population Treasury'!Y$37*'Statistics NZ'!Y$362)</f>
        <v>28416.178982695823</v>
      </c>
      <c r="M17" s="46">
        <f>L$17*'Population Treasury'!AA$37*'Statistics NZ'!AA$362/('Population Treasury'!Z$37*'Statistics NZ'!Z$362)</f>
        <v>28192.039502068019</v>
      </c>
      <c r="N17" s="46">
        <f>M$17*'Population Treasury'!AB$37*'Statistics NZ'!AB$362/('Population Treasury'!AA$37*'Statistics NZ'!AA$362)</f>
        <v>29010.151132136925</v>
      </c>
      <c r="O17" s="46">
        <f>N$17*'Population Treasury'!AC$37*'Statistics NZ'!AC$362/('Population Treasury'!AB$37*'Statistics NZ'!AB$362)</f>
        <v>28863.542739510714</v>
      </c>
      <c r="P17" s="46">
        <f>O$17*'Population Treasury'!AD$37*'Statistics NZ'!AD$362/('Population Treasury'!AC$37*'Statistics NZ'!AC$362)</f>
        <v>28753.936562756724</v>
      </c>
      <c r="Q17" s="46">
        <f>P$17*'Population Treasury'!AE$37*'Statistics NZ'!AE$362/('Population Treasury'!AD$37*'Statistics NZ'!AD$362)</f>
        <v>28681.372127819086</v>
      </c>
      <c r="R17" s="46">
        <f>Q$17*'Population Treasury'!AF$37*'Statistics NZ'!AF$362/('Population Treasury'!AE$37*'Statistics NZ'!AE$362)</f>
        <v>27713.936488613224</v>
      </c>
      <c r="S17" s="46">
        <f>R$17*'Population Treasury'!AG$37*'Statistics NZ'!AG$362/('Population Treasury'!AF$37*'Statistics NZ'!AF$362)</f>
        <v>27736.865686150217</v>
      </c>
      <c r="T17" s="46">
        <f>S$17*'Population Treasury'!AH$37*'Statistics NZ'!AH$362/('Population Treasury'!AG$37*'Statistics NZ'!AG$362)</f>
        <v>27450.715360988164</v>
      </c>
      <c r="U17" s="46">
        <f>T$17*'Population Treasury'!AI$37*'Statistics NZ'!AI$362/('Population Treasury'!AH$37*'Statistics NZ'!AH$362)</f>
        <v>27690.974019843252</v>
      </c>
    </row>
    <row r="18" spans="1:21" x14ac:dyDescent="0.25">
      <c r="A18" s="11">
        <v>23</v>
      </c>
      <c r="B18" s="44">
        <f>'Population Treasury'!P$38*'Statistics NZ'!P$363*'Economic Forecasts'!R$8/B$7</f>
        <v>26222.492375823378</v>
      </c>
      <c r="C18" s="44">
        <f>'Population Treasury'!Q$38*'Statistics NZ'!Q$363*'Economic Forecasts'!S$8/C$7</f>
        <v>25712.034890385345</v>
      </c>
      <c r="D18" s="44">
        <f>'Population Treasury'!R$38*'Statistics NZ'!R$363*'Economic Forecasts'!T$8/D$7</f>
        <v>25176.813696383495</v>
      </c>
      <c r="E18" s="45">
        <f>'Population Treasury'!S$38*'Statistics NZ'!S$363*'Economic Forecasts'!U$8/E$7</f>
        <v>25412.909915317989</v>
      </c>
      <c r="F18" s="45">
        <f>'Population Treasury'!T$38*'Statistics NZ'!T$363*'Economic Forecasts'!V$8/F$7</f>
        <v>25943.924453813735</v>
      </c>
      <c r="G18" s="45">
        <f>'Population Treasury'!U$38*'Statistics NZ'!U$363*'Economic Forecasts'!W$8/G$7</f>
        <v>25427.139796530424</v>
      </c>
      <c r="H18" s="45">
        <f>'Population Treasury'!V$38*'Statistics NZ'!V$363*'Economic Forecasts'!X$8/H$7</f>
        <v>25423.911691642563</v>
      </c>
      <c r="I18" s="45">
        <f>'Population Treasury'!W$38*'Statistics NZ'!W$363*'Economic Forecasts'!Y$8/I$7</f>
        <v>26287.386637436466</v>
      </c>
      <c r="J18" s="45">
        <f>'Population Treasury'!X$38*'Statistics NZ'!X$363*'Economic Forecasts'!Z$8/J$7</f>
        <v>26616.736657102145</v>
      </c>
      <c r="K18" s="45">
        <f>'Population Treasury'!Y$38*'Statistics NZ'!Y$363*'Economic Forecasts'!AA$8/K$7</f>
        <v>27489.441275057397</v>
      </c>
      <c r="L18" s="46">
        <f>K$18*'Population Treasury'!Z$38*'Statistics NZ'!Z$363/('Population Treasury'!Y$38*'Statistics NZ'!Y$363)</f>
        <v>28868.485760739852</v>
      </c>
      <c r="M18" s="46">
        <f>L$18*'Population Treasury'!AA$38*'Statistics NZ'!AA$363/('Population Treasury'!Z$38*'Statistics NZ'!Z$363)</f>
        <v>29866.109078785419</v>
      </c>
      <c r="N18" s="46">
        <f>M$18*'Population Treasury'!AB$38*'Statistics NZ'!AB$363/('Population Treasury'!AA$38*'Statistics NZ'!AA$363)</f>
        <v>29657.656523188598</v>
      </c>
      <c r="O18" s="46">
        <f>N$18*'Population Treasury'!AC$38*'Statistics NZ'!AC$363/('Population Treasury'!AB$38*'Statistics NZ'!AB$363)</f>
        <v>30540.639342944029</v>
      </c>
      <c r="P18" s="46">
        <f>O$18*'Population Treasury'!AD$38*'Statistics NZ'!AD$363/('Population Treasury'!AC$38*'Statistics NZ'!AC$363)</f>
        <v>30401.200688140809</v>
      </c>
      <c r="Q18" s="46">
        <f>P$18*'Population Treasury'!AE$38*'Statistics NZ'!AE$363/('Population Treasury'!AD$38*'Statistics NZ'!AD$363)</f>
        <v>30312.375027587095</v>
      </c>
      <c r="R18" s="46">
        <f>Q$18*'Population Treasury'!AF$38*'Statistics NZ'!AF$363/('Population Treasury'!AE$38*'Statistics NZ'!AE$363)</f>
        <v>30243.402066238312</v>
      </c>
      <c r="S18" s="46">
        <f>R$18*'Population Treasury'!AG$38*'Statistics NZ'!AG$363/('Population Treasury'!AF$38*'Statistics NZ'!AF$363)</f>
        <v>29251.279761964004</v>
      </c>
      <c r="T18" s="46">
        <f>S$18*'Population Treasury'!AH$38*'Statistics NZ'!AH$363/('Population Treasury'!AG$38*'Statistics NZ'!AG$363)</f>
        <v>29287.020971599832</v>
      </c>
      <c r="U18" s="46">
        <f>T$18*'Population Treasury'!AI$38*'Statistics NZ'!AI$363/('Population Treasury'!AH$38*'Statistics NZ'!AH$363)</f>
        <v>29000.845992938692</v>
      </c>
    </row>
    <row r="19" spans="1:21" x14ac:dyDescent="0.25">
      <c r="A19" s="11">
        <v>24</v>
      </c>
      <c r="B19" s="44">
        <f>'Population Treasury'!P$39*'Statistics NZ'!P$364*'Economic Forecasts'!R$8/B$7</f>
        <v>27133.25658004855</v>
      </c>
      <c r="C19" s="44">
        <f>'Population Treasury'!Q$39*'Statistics NZ'!Q$364*'Economic Forecasts'!S$8/C$7</f>
        <v>26479.68190892227</v>
      </c>
      <c r="D19" s="44">
        <f>'Population Treasury'!R$39*'Statistics NZ'!R$364*'Economic Forecasts'!T$8/D$7</f>
        <v>26087.363148672852</v>
      </c>
      <c r="E19" s="45">
        <f>'Population Treasury'!S$39*'Statistics NZ'!S$364*'Economic Forecasts'!U$8/E$7</f>
        <v>25145.170563892003</v>
      </c>
      <c r="F19" s="45">
        <f>'Population Treasury'!T$39*'Statistics NZ'!T$364*'Economic Forecasts'!V$8/F$7</f>
        <v>26593.938514780275</v>
      </c>
      <c r="G19" s="45">
        <f>'Population Treasury'!U$39*'Statistics NZ'!U$364*'Economic Forecasts'!W$8/G$7</f>
        <v>26624.928606309011</v>
      </c>
      <c r="H19" s="45">
        <f>'Population Treasury'!V$39*'Statistics NZ'!V$364*'Economic Forecasts'!X$8/H$7</f>
        <v>26247.885378280942</v>
      </c>
      <c r="I19" s="45">
        <f>'Population Treasury'!W$39*'Statistics NZ'!W$364*'Economic Forecasts'!Y$8/I$7</f>
        <v>26286.988461624351</v>
      </c>
      <c r="J19" s="45">
        <f>'Population Treasury'!X$39*'Statistics NZ'!X$364*'Economic Forecasts'!Z$8/J$7</f>
        <v>27188.704151704987</v>
      </c>
      <c r="K19" s="45">
        <f>'Population Treasury'!Y$39*'Statistics NZ'!Y$364*'Economic Forecasts'!AA$8/K$7</f>
        <v>27525.860366896311</v>
      </c>
      <c r="L19" s="46">
        <f>K$19*'Population Treasury'!Z$39*'Statistics NZ'!Z$364/('Population Treasury'!Y$39*'Statistics NZ'!Y$364)</f>
        <v>28236.692086490646</v>
      </c>
      <c r="M19" s="46">
        <f>L$19*'Population Treasury'!AA$39*'Statistics NZ'!AA$364/('Population Treasury'!Z$39*'Statistics NZ'!Z$364)</f>
        <v>29651.290469218136</v>
      </c>
      <c r="N19" s="46">
        <f>M$19*'Population Treasury'!AB$39*'Statistics NZ'!AB$364/('Population Treasury'!AA$39*'Statistics NZ'!AA$364)</f>
        <v>30698.406389895306</v>
      </c>
      <c r="O19" s="46">
        <f>N$19*'Population Treasury'!AC$39*'Statistics NZ'!AC$364/('Population Treasury'!AB$39*'Statistics NZ'!AB$364)</f>
        <v>30502.079697521323</v>
      </c>
      <c r="P19" s="46">
        <f>O$19*'Population Treasury'!AD$39*'Statistics NZ'!AD$364/('Population Treasury'!AC$39*'Statistics NZ'!AC$364)</f>
        <v>31436.731663952887</v>
      </c>
      <c r="Q19" s="46">
        <f>P$19*'Population Treasury'!AE$39*'Statistics NZ'!AE$364/('Population Treasury'!AD$39*'Statistics NZ'!AD$364)</f>
        <v>31307.753989484871</v>
      </c>
      <c r="R19" s="46">
        <f>Q$19*'Population Treasury'!AF$39*'Statistics NZ'!AF$364/('Population Treasury'!AE$39*'Statistics NZ'!AE$364)</f>
        <v>31221.90056889972</v>
      </c>
      <c r="S19" s="46">
        <f>R$19*'Population Treasury'!AG$39*'Statistics NZ'!AG$364/('Population Treasury'!AF$39*'Statistics NZ'!AF$364)</f>
        <v>31183.992198489435</v>
      </c>
      <c r="T19" s="46">
        <f>S$19*'Population Treasury'!AH$39*'Statistics NZ'!AH$364/('Population Treasury'!AG$39*'Statistics NZ'!AG$364)</f>
        <v>30182.363970480437</v>
      </c>
      <c r="U19" s="46">
        <f>T$19*'Population Treasury'!AI$39*'Statistics NZ'!AI$364/('Population Treasury'!AH$39*'Statistics NZ'!AH$364)</f>
        <v>30229.601028046061</v>
      </c>
    </row>
    <row r="20" spans="1:21" x14ac:dyDescent="0.25">
      <c r="A20" s="11">
        <v>25</v>
      </c>
      <c r="B20" s="44">
        <f>'Population Treasury'!P$40*'Statistics NZ'!P$365*'Economic Forecasts'!R$8/B$7</f>
        <v>27808.803712813951</v>
      </c>
      <c r="C20" s="44">
        <f>'Population Treasury'!Q$40*'Statistics NZ'!Q$365*'Economic Forecasts'!S$8/C$7</f>
        <v>27012.246071027843</v>
      </c>
      <c r="D20" s="44">
        <f>'Population Treasury'!R$40*'Statistics NZ'!R$365*'Economic Forecasts'!T$8/D$7</f>
        <v>26473.309095114291</v>
      </c>
      <c r="E20" s="45">
        <f>'Population Treasury'!S$40*'Statistics NZ'!S$365*'Economic Forecasts'!U$8/E$7</f>
        <v>27945.342496080026</v>
      </c>
      <c r="F20" s="45">
        <f>'Population Treasury'!T$40*'Statistics NZ'!T$365*'Economic Forecasts'!V$8/F$7</f>
        <v>27300.115360858999</v>
      </c>
      <c r="G20" s="45">
        <f>'Population Treasury'!U$40*'Statistics NZ'!U$365*'Economic Forecasts'!W$8/G$7</f>
        <v>27408.120179695601</v>
      </c>
      <c r="H20" s="45">
        <f>'Population Treasury'!V$40*'Statistics NZ'!V$365*'Economic Forecasts'!X$8/H$7</f>
        <v>27505.131432613773</v>
      </c>
      <c r="I20" s="45">
        <f>'Population Treasury'!W$40*'Statistics NZ'!W$365*'Economic Forecasts'!Y$8/I$7</f>
        <v>27202.365961961274</v>
      </c>
      <c r="J20" s="45">
        <f>'Population Treasury'!X$40*'Statistics NZ'!X$365*'Economic Forecasts'!Z$8/J$7</f>
        <v>27244.444052463412</v>
      </c>
      <c r="K20" s="45">
        <f>'Population Treasury'!Y$40*'Statistics NZ'!Y$365*'Economic Forecasts'!AA$8/K$7</f>
        <v>28150.715222465886</v>
      </c>
      <c r="L20" s="46">
        <f>K$20*'Population Treasury'!Z$40*'Statistics NZ'!Z$365/('Population Treasury'!Y$40*'Statistics NZ'!Y$365)</f>
        <v>28586.895834539875</v>
      </c>
      <c r="M20" s="46">
        <f>L$20*'Population Treasury'!AA$40*'Statistics NZ'!AA$365/('Population Treasury'!Z$40*'Statistics NZ'!Z$365)</f>
        <v>29557.084424427529</v>
      </c>
      <c r="N20" s="46">
        <f>M$20*'Population Treasury'!AB$40*'Statistics NZ'!AB$365/('Population Treasury'!AA$40*'Statistics NZ'!AA$365)</f>
        <v>31203.306861080349</v>
      </c>
      <c r="O20" s="46">
        <f>N$20*'Population Treasury'!AC$40*'Statistics NZ'!AC$365/('Population Treasury'!AB$40*'Statistics NZ'!AB$365)</f>
        <v>32452.783518568245</v>
      </c>
      <c r="P20" s="46">
        <f>O$20*'Population Treasury'!AD$40*'Statistics NZ'!AD$365/('Population Treasury'!AC$40*'Statistics NZ'!AC$365)</f>
        <v>32419.014413583936</v>
      </c>
      <c r="Q20" s="46">
        <f>P$20*'Population Treasury'!AE$40*'Statistics NZ'!AE$365/('Population Treasury'!AD$40*'Statistics NZ'!AD$365)</f>
        <v>33487.981929232126</v>
      </c>
      <c r="R20" s="46">
        <f>Q$20*'Population Treasury'!AF$40*'Statistics NZ'!AF$365/('Population Treasury'!AE$40*'Statistics NZ'!AE$365)</f>
        <v>33462.849361913824</v>
      </c>
      <c r="S20" s="46">
        <f>R$20*'Population Treasury'!AG$40*'Statistics NZ'!AG$365/('Population Treasury'!AF$40*'Statistics NZ'!AF$365)</f>
        <v>33451.667463483762</v>
      </c>
      <c r="T20" s="46">
        <f>S$20*'Population Treasury'!AH$40*'Statistics NZ'!AH$365/('Population Treasury'!AG$40*'Statistics NZ'!AG$365)</f>
        <v>33459.652236580179</v>
      </c>
      <c r="U20" s="46">
        <f>T$20*'Population Treasury'!AI$40*'Statistics NZ'!AI$365/('Population Treasury'!AH$40*'Statistics NZ'!AH$365)</f>
        <v>32462.306430136297</v>
      </c>
    </row>
    <row r="21" spans="1:21" x14ac:dyDescent="0.25">
      <c r="A21" s="11">
        <v>26</v>
      </c>
      <c r="B21" s="44">
        <f>'Population Treasury'!P$41*'Statistics NZ'!P$366*'Economic Forecasts'!R$8/B$7</f>
        <v>28203.094918057475</v>
      </c>
      <c r="C21" s="44">
        <f>'Population Treasury'!Q$41*'Statistics NZ'!Q$366*'Economic Forecasts'!S$8/C$7</f>
        <v>27565.388803799629</v>
      </c>
      <c r="D21" s="44">
        <f>'Population Treasury'!R$41*'Statistics NZ'!R$366*'Economic Forecasts'!T$8/D$7</f>
        <v>26839.460828590607</v>
      </c>
      <c r="E21" s="45">
        <f>'Population Treasury'!S$41*'Statistics NZ'!S$366*'Economic Forecasts'!U$8/E$7</f>
        <v>28263.93925767719</v>
      </c>
      <c r="F21" s="45">
        <f>'Population Treasury'!T$41*'Statistics NZ'!T$366*'Economic Forecasts'!V$8/F$7</f>
        <v>27975.292820967647</v>
      </c>
      <c r="G21" s="45">
        <f>'Population Treasury'!U$41*'Statistics NZ'!U$366*'Economic Forecasts'!W$8/G$7</f>
        <v>26866.085890945898</v>
      </c>
      <c r="H21" s="45">
        <f>'Population Treasury'!V$41*'Statistics NZ'!V$366*'Economic Forecasts'!X$8/H$7</f>
        <v>27892.794952489781</v>
      </c>
      <c r="I21" s="45">
        <f>'Population Treasury'!W$41*'Statistics NZ'!W$366*'Economic Forecasts'!Y$8/I$7</f>
        <v>28134.638612768467</v>
      </c>
      <c r="J21" s="45">
        <f>'Population Treasury'!X$41*'Statistics NZ'!X$366*'Economic Forecasts'!Z$8/J$7</f>
        <v>27794.827739182841</v>
      </c>
      <c r="K21" s="45">
        <f>'Population Treasury'!Y$41*'Statistics NZ'!Y$366*'Economic Forecasts'!AA$8/K$7</f>
        <v>27820.697149986627</v>
      </c>
      <c r="L21" s="46">
        <f>K$21*'Population Treasury'!Z$41*'Statistics NZ'!Z$366/('Population Treasury'!Y$41*'Statistics NZ'!Y$366)</f>
        <v>28782.5216017522</v>
      </c>
      <c r="M21" s="46">
        <f>L$21*'Population Treasury'!AA$41*'Statistics NZ'!AA$366/('Population Treasury'!Z$41*'Statistics NZ'!Z$366)</f>
        <v>29191.896845752894</v>
      </c>
      <c r="N21" s="46">
        <f>M$21*'Population Treasury'!AB$41*'Statistics NZ'!AB$366/('Population Treasury'!AA$41*'Statistics NZ'!AA$366)</f>
        <v>30154.774619046333</v>
      </c>
      <c r="O21" s="46">
        <f>N$21*'Population Treasury'!AC$41*'Statistics NZ'!AC$366/('Population Treasury'!AB$41*'Statistics NZ'!AB$366)</f>
        <v>31773.989554603697</v>
      </c>
      <c r="P21" s="46">
        <f>O$21*'Population Treasury'!AD$41*'Statistics NZ'!AD$366/('Population Treasury'!AC$41*'Statistics NZ'!AC$366)</f>
        <v>32987.753576182433</v>
      </c>
      <c r="Q21" s="46">
        <f>P$21*'Population Treasury'!AE$41*'Statistics NZ'!AE$366/('Population Treasury'!AD$41*'Statistics NZ'!AD$366)</f>
        <v>32946.757156821761</v>
      </c>
      <c r="R21" s="46">
        <f>Q$21*'Population Treasury'!AF$41*'Statistics NZ'!AF$366/('Population Treasury'!AE$41*'Statistics NZ'!AE$366)</f>
        <v>33988.562848878362</v>
      </c>
      <c r="S21" s="46">
        <f>R$21*'Population Treasury'!AG$41*'Statistics NZ'!AG$366/('Population Treasury'!AF$41*'Statistics NZ'!AF$366)</f>
        <v>33947.071675876694</v>
      </c>
      <c r="T21" s="46">
        <f>S$21*'Population Treasury'!AH$41*'Statistics NZ'!AH$366/('Population Treasury'!AG$41*'Statistics NZ'!AG$366)</f>
        <v>33908.607315750844</v>
      </c>
      <c r="U21" s="46">
        <f>T$21*'Population Treasury'!AI$41*'Statistics NZ'!AI$366/('Population Treasury'!AH$41*'Statistics NZ'!AH$366)</f>
        <v>33889.186447779568</v>
      </c>
    </row>
    <row r="22" spans="1:21" x14ac:dyDescent="0.25">
      <c r="A22" s="11">
        <v>27</v>
      </c>
      <c r="B22" s="44">
        <f>'Population Treasury'!P$42*'Statistics NZ'!P$367*'Economic Forecasts'!R$8/B$7</f>
        <v>29390.20567307583</v>
      </c>
      <c r="C22" s="44">
        <f>'Population Treasury'!Q$42*'Statistics NZ'!Q$367*'Economic Forecasts'!S$8/C$7</f>
        <v>28089.293613250211</v>
      </c>
      <c r="D22" s="44">
        <f>'Population Treasury'!R$42*'Statistics NZ'!R$367*'Economic Forecasts'!T$8/D$7</f>
        <v>27460.670240540127</v>
      </c>
      <c r="E22" s="45">
        <f>'Population Treasury'!S$42*'Statistics NZ'!S$367*'Economic Forecasts'!U$8/E$7</f>
        <v>28745.514700426702</v>
      </c>
      <c r="F22" s="45">
        <f>'Population Treasury'!T$42*'Statistics NZ'!T$367*'Economic Forecasts'!V$8/F$7</f>
        <v>28455.690861694726</v>
      </c>
      <c r="G22" s="45">
        <f>'Population Treasury'!U$42*'Statistics NZ'!U$367*'Economic Forecasts'!W$8/G$7</f>
        <v>27663.680493177981</v>
      </c>
      <c r="H22" s="45">
        <f>'Population Treasury'!V$42*'Statistics NZ'!V$367*'Economic Forecasts'!X$8/H$7</f>
        <v>27451.699141976613</v>
      </c>
      <c r="I22" s="45">
        <f>'Population Treasury'!W$42*'Statistics NZ'!W$367*'Economic Forecasts'!Y$8/I$7</f>
        <v>28603.412929772065</v>
      </c>
      <c r="J22" s="45">
        <f>'Population Treasury'!X$42*'Statistics NZ'!X$367*'Economic Forecasts'!Z$8/J$7</f>
        <v>28807.261238700477</v>
      </c>
      <c r="K22" s="45">
        <f>'Population Treasury'!Y$42*'Statistics NZ'!Y$367*'Economic Forecasts'!AA$8/K$7</f>
        <v>28439.568957756586</v>
      </c>
      <c r="L22" s="46">
        <f>K$22*'Population Treasury'!Z$42*'Statistics NZ'!Z$367/('Population Treasury'!Y$42*'Statistics NZ'!Y$367)</f>
        <v>28541.441704863413</v>
      </c>
      <c r="M22" s="46">
        <f>L$22*'Population Treasury'!AA$42*'Statistics NZ'!AA$367/('Population Treasury'!Z$42*'Statistics NZ'!Z$367)</f>
        <v>29485.99248025618</v>
      </c>
      <c r="N22" s="46">
        <f>M$22*'Population Treasury'!AB$42*'Statistics NZ'!AB$367/('Population Treasury'!AA$42*'Statistics NZ'!AA$367)</f>
        <v>29858.256909348696</v>
      </c>
      <c r="O22" s="46">
        <f>N$22*'Population Treasury'!AC$42*'Statistics NZ'!AC$367/('Population Treasury'!AB$42*'Statistics NZ'!AB$367)</f>
        <v>30775.202076817292</v>
      </c>
      <c r="P22" s="46">
        <f>O$22*'Population Treasury'!AD$42*'Statistics NZ'!AD$367/('Population Treasury'!AC$42*'Statistics NZ'!AC$367)</f>
        <v>32367.613506867354</v>
      </c>
      <c r="Q22" s="46">
        <f>P$22*'Population Treasury'!AE$42*'Statistics NZ'!AE$367/('Population Treasury'!AD$42*'Statistics NZ'!AD$367)</f>
        <v>33553.125717170551</v>
      </c>
      <c r="R22" s="46">
        <f>Q$22*'Population Treasury'!AF$42*'Statistics NZ'!AF$367/('Population Treasury'!AE$42*'Statistics NZ'!AE$367)</f>
        <v>33465.940049269273</v>
      </c>
      <c r="S22" s="46">
        <f>R$22*'Population Treasury'!AG$42*'Statistics NZ'!AG$367/('Population Treasury'!AF$42*'Statistics NZ'!AF$367)</f>
        <v>34471.791069939442</v>
      </c>
      <c r="T22" s="46">
        <f>S$22*'Population Treasury'!AH$42*'Statistics NZ'!AH$367/('Population Treasury'!AG$42*'Statistics NZ'!AG$367)</f>
        <v>34403.655641391691</v>
      </c>
      <c r="U22" s="46">
        <f>T$22*'Population Treasury'!AI$42*'Statistics NZ'!AI$367/('Population Treasury'!AH$42*'Statistics NZ'!AH$367)</f>
        <v>34356.166104567565</v>
      </c>
    </row>
    <row r="23" spans="1:21" x14ac:dyDescent="0.25">
      <c r="A23" s="11">
        <v>28</v>
      </c>
      <c r="B23" s="44">
        <f>'Population Treasury'!P$43*'Statistics NZ'!P$368*'Economic Forecasts'!R$8/B$7</f>
        <v>30118.184573327715</v>
      </c>
      <c r="C23" s="44">
        <f>'Population Treasury'!Q$43*'Statistics NZ'!Q$368*'Economic Forecasts'!S$8/C$7</f>
        <v>29242.04543811109</v>
      </c>
      <c r="D23" s="44">
        <f>'Population Treasury'!R$43*'Statistics NZ'!R$368*'Economic Forecasts'!T$8/D$7</f>
        <v>27986.087109095828</v>
      </c>
      <c r="E23" s="45">
        <f>'Population Treasury'!S$43*'Statistics NZ'!S$368*'Economic Forecasts'!U$8/E$7</f>
        <v>29418.267843963935</v>
      </c>
      <c r="F23" s="45">
        <f>'Population Treasury'!T$43*'Statistics NZ'!T$368*'Economic Forecasts'!V$8/F$7</f>
        <v>29006.724240662847</v>
      </c>
      <c r="G23" s="45">
        <f>'Population Treasury'!U$43*'Statistics NZ'!U$368*'Economic Forecasts'!W$8/G$7</f>
        <v>28189.85869031808</v>
      </c>
      <c r="H23" s="45">
        <f>'Population Treasury'!V$43*'Statistics NZ'!V$368*'Economic Forecasts'!X$8/H$7</f>
        <v>28284.698152292331</v>
      </c>
      <c r="I23" s="45">
        <f>'Population Treasury'!W$43*'Statistics NZ'!W$368*'Economic Forecasts'!Y$8/I$7</f>
        <v>28203.796740520098</v>
      </c>
      <c r="J23" s="45">
        <f>'Population Treasury'!X$43*'Statistics NZ'!X$368*'Economic Forecasts'!Z$8/J$7</f>
        <v>29325.305597701295</v>
      </c>
      <c r="K23" s="45">
        <f>'Population Treasury'!Y$43*'Statistics NZ'!Y$368*'Economic Forecasts'!AA$8/K$7</f>
        <v>29497.390888626393</v>
      </c>
      <c r="L23" s="46">
        <f>K$23*'Population Treasury'!Z$43*'Statistics NZ'!Z$368/('Population Treasury'!Y$43*'Statistics NZ'!Y$368)</f>
        <v>29192.091849162647</v>
      </c>
      <c r="M23" s="46">
        <f>L$23*'Population Treasury'!AA$43*'Statistics NZ'!AA$368/('Population Treasury'!Z$43*'Statistics NZ'!Z$368)</f>
        <v>29267.590322192162</v>
      </c>
      <c r="N23" s="46">
        <f>M$23*'Population Treasury'!AB$43*'Statistics NZ'!AB$368/('Population Treasury'!AA$43*'Statistics NZ'!AA$368)</f>
        <v>30175.420444520874</v>
      </c>
      <c r="O23" s="46">
        <f>N$23*'Population Treasury'!AC$43*'Statistics NZ'!AC$368/('Population Treasury'!AB$43*'Statistics NZ'!AB$368)</f>
        <v>30521.198229347858</v>
      </c>
      <c r="P23" s="46">
        <f>O$23*'Population Treasury'!AD$43*'Statistics NZ'!AD$368/('Population Treasury'!AC$43*'Statistics NZ'!AC$368)</f>
        <v>31400.624308878479</v>
      </c>
      <c r="Q23" s="46">
        <f>P$23*'Population Treasury'!AE$43*'Statistics NZ'!AE$368/('Population Treasury'!AD$43*'Statistics NZ'!AD$368)</f>
        <v>32955.498608104419</v>
      </c>
      <c r="R23" s="46">
        <f>Q$23*'Population Treasury'!AF$43*'Statistics NZ'!AF$368/('Population Treasury'!AE$43*'Statistics NZ'!AE$368)</f>
        <v>34104.309693700307</v>
      </c>
      <c r="S23" s="46">
        <f>R$23*'Population Treasury'!AG$43*'Statistics NZ'!AG$368/('Population Treasury'!AF$43*'Statistics NZ'!AF$368)</f>
        <v>33981.585556931328</v>
      </c>
      <c r="T23" s="46">
        <f>S$23*'Population Treasury'!AH$43*'Statistics NZ'!AH$368/('Population Treasury'!AG$43*'Statistics NZ'!AG$368)</f>
        <v>34967.726074689235</v>
      </c>
      <c r="U23" s="46">
        <f>T$23*'Population Treasury'!AI$43*'Statistics NZ'!AI$368/('Population Treasury'!AH$43*'Statistics NZ'!AH$368)</f>
        <v>34864.341667126922</v>
      </c>
    </row>
    <row r="24" spans="1:21" x14ac:dyDescent="0.25">
      <c r="A24" s="11">
        <v>29</v>
      </c>
      <c r="B24" s="44">
        <f>'Population Treasury'!P$44*'Statistics NZ'!P$369*'Economic Forecasts'!R$8/B$7</f>
        <v>30572.204948838575</v>
      </c>
      <c r="C24" s="44">
        <f>'Population Treasury'!Q$44*'Statistics NZ'!Q$369*'Economic Forecasts'!S$8/C$7</f>
        <v>30125.901226003491</v>
      </c>
      <c r="D24" s="44">
        <f>'Population Treasury'!R$44*'Statistics NZ'!R$369*'Economic Forecasts'!T$8/D$7</f>
        <v>29186.959869589973</v>
      </c>
      <c r="E24" s="45">
        <f>'Population Treasury'!S$44*'Statistics NZ'!S$369*'Economic Forecasts'!U$8/E$7</f>
        <v>29983.227639931003</v>
      </c>
      <c r="F24" s="45">
        <f>'Population Treasury'!T$44*'Statistics NZ'!T$369*'Economic Forecasts'!V$8/F$7</f>
        <v>29771.797350723198</v>
      </c>
      <c r="G24" s="45">
        <f>'Population Treasury'!U$44*'Statistics NZ'!U$369*'Economic Forecasts'!W$8/G$7</f>
        <v>28807.428924121745</v>
      </c>
      <c r="H24" s="45">
        <f>'Population Treasury'!V$44*'Statistics NZ'!V$369*'Economic Forecasts'!X$8/H$7</f>
        <v>28850.607204932254</v>
      </c>
      <c r="I24" s="45">
        <f>'Population Treasury'!W$44*'Statistics NZ'!W$369*'Economic Forecasts'!Y$8/I$7</f>
        <v>29071.497889734059</v>
      </c>
      <c r="J24" s="45">
        <f>'Population Treasury'!X$44*'Statistics NZ'!X$369*'Economic Forecasts'!Z$8/J$7</f>
        <v>28953.293912264857</v>
      </c>
      <c r="K24" s="45">
        <f>'Population Treasury'!Y$44*'Statistics NZ'!Y$369*'Economic Forecasts'!AA$8/K$7</f>
        <v>30039.055582503366</v>
      </c>
      <c r="L24" s="46">
        <f>K$24*'Population Treasury'!Z$44*'Statistics NZ'!Z$369/('Population Treasury'!Y$44*'Statistics NZ'!Y$369)</f>
        <v>30268.850493035137</v>
      </c>
      <c r="M24" s="46">
        <f>L$24*'Population Treasury'!AA$44*'Statistics NZ'!AA$369/('Population Treasury'!Z$44*'Statistics NZ'!Z$369)</f>
        <v>29937.417103471926</v>
      </c>
      <c r="N24" s="46">
        <f>M$24*'Population Treasury'!AB$44*'Statistics NZ'!AB$369/('Population Treasury'!AA$44*'Statistics NZ'!AA$369)</f>
        <v>29986.853605572371</v>
      </c>
      <c r="O24" s="46">
        <f>N$24*'Population Treasury'!AC$44*'Statistics NZ'!AC$369/('Population Treasury'!AB$44*'Statistics NZ'!AB$369)</f>
        <v>30857.977115468715</v>
      </c>
      <c r="P24" s="46">
        <f>O$24*'Population Treasury'!AD$44*'Statistics NZ'!AD$369/('Population Treasury'!AC$44*'Statistics NZ'!AC$369)</f>
        <v>31177.49417103656</v>
      </c>
      <c r="Q24" s="46">
        <f>P$24*'Population Treasury'!AE$44*'Statistics NZ'!AE$369/('Population Treasury'!AD$44*'Statistics NZ'!AD$369)</f>
        <v>32019.714055638309</v>
      </c>
      <c r="R24" s="46">
        <f>Q$24*'Population Treasury'!AF$44*'Statistics NZ'!AF$369/('Population Treasury'!AE$44*'Statistics NZ'!AE$369)</f>
        <v>33528.538488649298</v>
      </c>
      <c r="S24" s="46">
        <f>R$24*'Population Treasury'!AG$44*'Statistics NZ'!AG$369/('Population Treasury'!AF$44*'Statistics NZ'!AF$369)</f>
        <v>34659.939574955039</v>
      </c>
      <c r="T24" s="46">
        <f>S$24*'Population Treasury'!AH$44*'Statistics NZ'!AH$369/('Population Treasury'!AG$44*'Statistics NZ'!AG$369)</f>
        <v>34510.805758653827</v>
      </c>
      <c r="U24" s="46">
        <f>T$24*'Population Treasury'!AI$44*'Statistics NZ'!AI$369/('Population Treasury'!AH$44*'Statistics NZ'!AH$369)</f>
        <v>35459.485458516836</v>
      </c>
    </row>
    <row r="25" spans="1:21" x14ac:dyDescent="0.25">
      <c r="A25" s="11">
        <v>30</v>
      </c>
      <c r="B25" s="44">
        <f>'Population Treasury'!P$45*'Statistics NZ'!P$370*'Economic Forecasts'!R$8/B$7</f>
        <v>30209.62664842312</v>
      </c>
      <c r="C25" s="44">
        <f>'Population Treasury'!Q$45*'Statistics NZ'!Q$370*'Economic Forecasts'!S$8/C$7</f>
        <v>30685.780011220086</v>
      </c>
      <c r="D25" s="44">
        <f>'Population Treasury'!R$45*'Statistics NZ'!R$370*'Economic Forecasts'!T$8/D$7</f>
        <v>30172.467725959625</v>
      </c>
      <c r="E25" s="45">
        <f>'Population Treasury'!S$45*'Statistics NZ'!S$370*'Economic Forecasts'!U$8/E$7</f>
        <v>31220.52643780411</v>
      </c>
      <c r="F25" s="45">
        <f>'Population Treasury'!T$45*'Statistics NZ'!T$370*'Economic Forecasts'!V$8/F$7</f>
        <v>30392.856431923152</v>
      </c>
      <c r="G25" s="45">
        <f>'Population Treasury'!U$45*'Statistics NZ'!U$370*'Economic Forecasts'!W$8/G$7</f>
        <v>29586.144223099345</v>
      </c>
      <c r="H25" s="45">
        <f>'Population Treasury'!V$45*'Statistics NZ'!V$370*'Economic Forecasts'!X$8/H$7</f>
        <v>29467.988344717091</v>
      </c>
      <c r="I25" s="45">
        <f>'Population Treasury'!W$45*'Statistics NZ'!W$370*'Economic Forecasts'!Y$8/I$7</f>
        <v>29647.425522400637</v>
      </c>
      <c r="J25" s="45">
        <f>'Population Treasury'!X$45*'Statistics NZ'!X$370*'Economic Forecasts'!Z$8/J$7</f>
        <v>29830.875284144055</v>
      </c>
      <c r="K25" s="45">
        <f>'Population Treasury'!Y$45*'Statistics NZ'!Y$370*'Economic Forecasts'!AA$8/K$7</f>
        <v>29669.053276589941</v>
      </c>
      <c r="L25" s="46">
        <f>K$25*'Population Treasury'!Z$45*'Statistics NZ'!Z$370/('Population Treasury'!Y$45*'Statistics NZ'!Y$370)</f>
        <v>30800.748486344793</v>
      </c>
      <c r="M25" s="46">
        <f>L$25*'Population Treasury'!AA$45*'Statistics NZ'!AA$370/('Population Treasury'!Z$45*'Statistics NZ'!Z$370)</f>
        <v>30996.499083180497</v>
      </c>
      <c r="N25" s="46">
        <f>M$25*'Population Treasury'!AB$45*'Statistics NZ'!AB$370/('Population Treasury'!AA$45*'Statistics NZ'!AA$370)</f>
        <v>30643.070901098556</v>
      </c>
      <c r="O25" s="46">
        <f>N$25*'Population Treasury'!AC$45*'Statistics NZ'!AC$370/('Population Treasury'!AB$45*'Statistics NZ'!AB$370)</f>
        <v>30646.457991142895</v>
      </c>
      <c r="P25" s="46">
        <f>O$25*'Population Treasury'!AD$45*'Statistics NZ'!AD$370/('Population Treasury'!AC$45*'Statistics NZ'!AC$370)</f>
        <v>31493.059582195554</v>
      </c>
      <c r="Q25" s="46">
        <f>P$25*'Population Treasury'!AE$45*'Statistics NZ'!AE$370/('Population Treasury'!AD$45*'Statistics NZ'!AD$370)</f>
        <v>31787.489296154152</v>
      </c>
      <c r="R25" s="46">
        <f>Q$25*'Population Treasury'!AF$45*'Statistics NZ'!AF$370/('Population Treasury'!AE$45*'Statistics NZ'!AE$370)</f>
        <v>32613.266184177031</v>
      </c>
      <c r="S25" s="46">
        <f>R$25*'Population Treasury'!AG$45*'Statistics NZ'!AG$370/('Population Treasury'!AF$45*'Statistics NZ'!AF$370)</f>
        <v>34083.10170126547</v>
      </c>
      <c r="T25" s="46">
        <f>S$25*'Population Treasury'!AH$45*'Statistics NZ'!AH$370/('Population Treasury'!AG$45*'Statistics NZ'!AG$370)</f>
        <v>35160.116940110274</v>
      </c>
      <c r="U25" s="46">
        <f>T$25*'Population Treasury'!AI$45*'Statistics NZ'!AI$370/('Population Treasury'!AH$45*'Statistics NZ'!AH$370)</f>
        <v>35002.351982616994</v>
      </c>
    </row>
    <row r="26" spans="1:21" x14ac:dyDescent="0.25">
      <c r="A26" s="11">
        <v>31</v>
      </c>
      <c r="B26" s="44">
        <f>'Population Treasury'!P$46*'Statistics NZ'!P$371*'Economic Forecasts'!R$8/B$7</f>
        <v>29069.913907266124</v>
      </c>
      <c r="C26" s="44">
        <f>'Population Treasury'!Q$46*'Statistics NZ'!Q$371*'Economic Forecasts'!S$8/C$7</f>
        <v>30423.209575569308</v>
      </c>
      <c r="D26" s="44">
        <f>'Population Treasury'!R$46*'Statistics NZ'!R$371*'Economic Forecasts'!T$8/D$7</f>
        <v>30798.569346394321</v>
      </c>
      <c r="E26" s="45">
        <f>'Population Treasury'!S$46*'Statistics NZ'!S$371*'Economic Forecasts'!U$8/E$7</f>
        <v>32214.473519027662</v>
      </c>
      <c r="F26" s="45">
        <f>'Population Treasury'!T$46*'Statistics NZ'!T$371*'Economic Forecasts'!V$8/F$7</f>
        <v>31656.801014083256</v>
      </c>
      <c r="G26" s="45">
        <f>'Population Treasury'!U$46*'Statistics NZ'!U$371*'Economic Forecasts'!W$8/G$7</f>
        <v>30172.458336393156</v>
      </c>
      <c r="H26" s="45">
        <f>'Population Treasury'!V$46*'Statistics NZ'!V$371*'Economic Forecasts'!X$8/H$7</f>
        <v>30219.298612194769</v>
      </c>
      <c r="I26" s="45">
        <f>'Population Treasury'!W$46*'Statistics NZ'!W$371*'Economic Forecasts'!Y$8/I$7</f>
        <v>30234.956929888936</v>
      </c>
      <c r="J26" s="45">
        <f>'Population Treasury'!X$46*'Statistics NZ'!X$371*'Economic Forecasts'!Z$8/J$7</f>
        <v>30367.10496599683</v>
      </c>
      <c r="K26" s="45">
        <f>'Population Treasury'!Y$46*'Statistics NZ'!Y$371*'Economic Forecasts'!AA$8/K$7</f>
        <v>30507.593890833141</v>
      </c>
      <c r="L26" s="46">
        <f>K$26*'Population Treasury'!Z$46*'Statistics NZ'!Z$371/('Population Treasury'!Y$46*'Statistics NZ'!Y$371)</f>
        <v>30406.623844112004</v>
      </c>
      <c r="M26" s="46">
        <f>L$26*'Population Treasury'!AA$46*'Statistics NZ'!AA$371/('Population Treasury'!Z$46*'Statistics NZ'!Z$371)</f>
        <v>31493.642390376062</v>
      </c>
      <c r="N26" s="46">
        <f>M$26*'Population Treasury'!AB$46*'Statistics NZ'!AB$371/('Population Treasury'!AA$46*'Statistics NZ'!AA$371)</f>
        <v>31654.691115945669</v>
      </c>
      <c r="O26" s="46">
        <f>N$26*'Population Treasury'!AC$46*'Statistics NZ'!AC$371/('Population Treasury'!AB$46*'Statistics NZ'!AB$371)</f>
        <v>31272.59135771302</v>
      </c>
      <c r="P26" s="46">
        <f>O$26*'Population Treasury'!AD$46*'Statistics NZ'!AD$371/('Population Treasury'!AC$46*'Statistics NZ'!AC$371)</f>
        <v>31258.370355529514</v>
      </c>
      <c r="Q26" s="46">
        <f>P$26*'Population Treasury'!AE$46*'Statistics NZ'!AE$371/('Population Treasury'!AD$46*'Statistics NZ'!AD$371)</f>
        <v>32058.810667506379</v>
      </c>
      <c r="R26" s="46">
        <f>Q$26*'Population Treasury'!AF$46*'Statistics NZ'!AF$371/('Population Treasury'!AE$46*'Statistics NZ'!AE$371)</f>
        <v>32315.704793619745</v>
      </c>
      <c r="S26" s="46">
        <f>R$26*'Population Treasury'!AG$46*'Statistics NZ'!AG$371/('Population Treasury'!AF$46*'Statistics NZ'!AF$371)</f>
        <v>33103.904919906541</v>
      </c>
      <c r="T26" s="46">
        <f>S$26*'Population Treasury'!AH$46*'Statistics NZ'!AH$371/('Population Treasury'!AG$46*'Statistics NZ'!AG$371)</f>
        <v>34538.330970318028</v>
      </c>
      <c r="U26" s="46">
        <f>T$26*'Population Treasury'!AI$46*'Statistics NZ'!AI$371/('Population Treasury'!AH$46*'Statistics NZ'!AH$371)</f>
        <v>35595.659286706294</v>
      </c>
    </row>
    <row r="27" spans="1:21" x14ac:dyDescent="0.25">
      <c r="A27" s="11">
        <v>32</v>
      </c>
      <c r="B27" s="44">
        <f>'Population Treasury'!P$47*'Statistics NZ'!P$372*'Economic Forecasts'!R$8/B$7</f>
        <v>28931.936468347409</v>
      </c>
      <c r="C27" s="44">
        <f>'Population Treasury'!Q$47*'Statistics NZ'!Q$372*'Economic Forecasts'!S$8/C$7</f>
        <v>29400.772058788283</v>
      </c>
      <c r="D27" s="44">
        <f>'Population Treasury'!R$47*'Statistics NZ'!R$372*'Economic Forecasts'!T$8/D$7</f>
        <v>30594.45286547835</v>
      </c>
      <c r="E27" s="45">
        <f>'Population Treasury'!S$47*'Statistics NZ'!S$372*'Economic Forecasts'!U$8/E$7</f>
        <v>32861.753506195448</v>
      </c>
      <c r="F27" s="45">
        <f>'Population Treasury'!T$47*'Statistics NZ'!T$372*'Economic Forecasts'!V$8/F$7</f>
        <v>32702.374473143449</v>
      </c>
      <c r="G27" s="45">
        <f>'Population Treasury'!U$47*'Statistics NZ'!U$372*'Economic Forecasts'!W$8/G$7</f>
        <v>31464.227437247853</v>
      </c>
      <c r="H27" s="45">
        <f>'Population Treasury'!V$47*'Statistics NZ'!V$372*'Economic Forecasts'!X$8/H$7</f>
        <v>30817.506030258373</v>
      </c>
      <c r="I27" s="45">
        <f>'Population Treasury'!W$47*'Statistics NZ'!W$372*'Economic Forecasts'!Y$8/I$7</f>
        <v>30981.880179027728</v>
      </c>
      <c r="J27" s="45">
        <f>'Population Treasury'!X$47*'Statistics NZ'!X$372*'Economic Forecasts'!Z$8/J$7</f>
        <v>30958.932819412395</v>
      </c>
      <c r="K27" s="45">
        <f>'Population Treasury'!Y$47*'Statistics NZ'!Y$372*'Economic Forecasts'!AA$8/K$7</f>
        <v>31037.186659114017</v>
      </c>
      <c r="L27" s="46">
        <f>K$27*'Population Treasury'!Z$47*'Statistics NZ'!Z$372/('Population Treasury'!Y$47*'Statistics NZ'!Y$372)</f>
        <v>31219.108603010969</v>
      </c>
      <c r="M27" s="46">
        <f>L$27*'Population Treasury'!AA$47*'Statistics NZ'!AA$372/('Population Treasury'!Z$47*'Statistics NZ'!Z$372)</f>
        <v>31074.399383671374</v>
      </c>
      <c r="N27" s="46">
        <f>M$27*'Population Treasury'!AB$47*'Statistics NZ'!AB$372/('Population Treasury'!AA$47*'Statistics NZ'!AA$372)</f>
        <v>32144.85701104498</v>
      </c>
      <c r="O27" s="46">
        <f>N$27*'Population Treasury'!AC$47*'Statistics NZ'!AC$372/('Population Treasury'!AB$47*'Statistics NZ'!AB$372)</f>
        <v>32269.812588333032</v>
      </c>
      <c r="P27" s="46">
        <f>O$27*'Population Treasury'!AD$47*'Statistics NZ'!AD$372/('Population Treasury'!AC$47*'Statistics NZ'!AC$372)</f>
        <v>31851.147290639648</v>
      </c>
      <c r="Q27" s="46">
        <f>P$27*'Population Treasury'!AE$47*'Statistics NZ'!AE$372/('Population Treasury'!AD$47*'Statistics NZ'!AD$372)</f>
        <v>31802.00040599073</v>
      </c>
      <c r="R27" s="46">
        <f>Q$27*'Population Treasury'!AF$47*'Statistics NZ'!AF$372/('Population Treasury'!AE$47*'Statistics NZ'!AE$372)</f>
        <v>32574.229497452707</v>
      </c>
      <c r="S27" s="46">
        <f>R$27*'Population Treasury'!AG$47*'Statistics NZ'!AG$372/('Population Treasury'!AF$47*'Statistics NZ'!AF$372)</f>
        <v>32804.803827035888</v>
      </c>
      <c r="T27" s="46">
        <f>S$27*'Population Treasury'!AH$47*'Statistics NZ'!AH$372/('Population Treasury'!AG$47*'Statistics NZ'!AG$372)</f>
        <v>33555.570979055548</v>
      </c>
      <c r="U27" s="46">
        <f>T$27*'Population Treasury'!AI$47*'Statistics NZ'!AI$372/('Population Treasury'!AH$47*'Statistics NZ'!AH$372)</f>
        <v>34963.431107481221</v>
      </c>
    </row>
    <row r="28" spans="1:21" x14ac:dyDescent="0.25">
      <c r="A28" s="11">
        <v>33</v>
      </c>
      <c r="B28" s="44">
        <f>'Population Treasury'!P$48*'Statistics NZ'!P$373*'Economic Forecasts'!R$8/B$7</f>
        <v>27236.426780347236</v>
      </c>
      <c r="C28" s="44">
        <f>'Population Treasury'!Q$48*'Statistics NZ'!Q$373*'Economic Forecasts'!S$8/C$7</f>
        <v>29315.167809711809</v>
      </c>
      <c r="D28" s="44">
        <f>'Population Treasury'!R$48*'Statistics NZ'!R$373*'Economic Forecasts'!T$8/D$7</f>
        <v>29663.239060049778</v>
      </c>
      <c r="E28" s="45">
        <f>'Population Treasury'!S$48*'Statistics NZ'!S$373*'Economic Forecasts'!U$8/E$7</f>
        <v>32690.806720801993</v>
      </c>
      <c r="F28" s="45">
        <f>'Population Treasury'!T$48*'Statistics NZ'!T$373*'Economic Forecasts'!V$8/F$7</f>
        <v>33382.565416715101</v>
      </c>
      <c r="G28" s="45">
        <f>'Population Treasury'!U$48*'Statistics NZ'!U$373*'Economic Forecasts'!W$8/G$7</f>
        <v>32519.002499134578</v>
      </c>
      <c r="H28" s="45">
        <f>'Population Treasury'!V$48*'Statistics NZ'!V$373*'Economic Forecasts'!X$8/H$7</f>
        <v>32081.722414047392</v>
      </c>
      <c r="I28" s="45">
        <f>'Population Treasury'!W$48*'Statistics NZ'!W$373*'Economic Forecasts'!Y$8/I$7</f>
        <v>31559.121704434096</v>
      </c>
      <c r="J28" s="45">
        <f>'Population Treasury'!X$48*'Statistics NZ'!X$373*'Economic Forecasts'!Z$8/J$7</f>
        <v>31666.386878326623</v>
      </c>
      <c r="K28" s="45">
        <f>'Population Treasury'!Y$48*'Statistics NZ'!Y$373*'Economic Forecasts'!AA$8/K$7</f>
        <v>31576.325924094606</v>
      </c>
      <c r="L28" s="46">
        <f>K$28*'Population Treasury'!Z$48*'Statistics NZ'!Z$373/('Population Treasury'!Y$48*'Statistics NZ'!Y$373)</f>
        <v>31703.857247163469</v>
      </c>
      <c r="M28" s="46">
        <f>L$28*'Population Treasury'!AA$48*'Statistics NZ'!AA$373/('Population Treasury'!Z$48*'Statistics NZ'!Z$373)</f>
        <v>31852.354180810449</v>
      </c>
      <c r="N28" s="46">
        <f>M$28*'Population Treasury'!AB$48*'Statistics NZ'!AB$373/('Population Treasury'!AA$48*'Statistics NZ'!AA$373)</f>
        <v>31680.567830226955</v>
      </c>
      <c r="O28" s="46">
        <f>N$28*'Population Treasury'!AC$48*'Statistics NZ'!AC$373/('Population Treasury'!AB$48*'Statistics NZ'!AB$373)</f>
        <v>32704.469131173413</v>
      </c>
      <c r="P28" s="46">
        <f>O$28*'Population Treasury'!AD$48*'Statistics NZ'!AD$373/('Population Treasury'!AC$48*'Statistics NZ'!AC$373)</f>
        <v>32803.95642714978</v>
      </c>
      <c r="Q28" s="46">
        <f>P$28*'Population Treasury'!AE$48*'Statistics NZ'!AE$373/('Population Treasury'!AD$48*'Statistics NZ'!AD$373)</f>
        <v>32348.630317149207</v>
      </c>
      <c r="R28" s="46">
        <f>Q$28*'Population Treasury'!AF$48*'Statistics NZ'!AF$373/('Population Treasury'!AE$48*'Statistics NZ'!AE$373)</f>
        <v>32262.384564960554</v>
      </c>
      <c r="S28" s="46">
        <f>R$28*'Population Treasury'!AG$48*'Statistics NZ'!AG$373/('Population Treasury'!AF$48*'Statistics NZ'!AF$373)</f>
        <v>33008.251135672908</v>
      </c>
      <c r="T28" s="46">
        <f>S$28*'Population Treasury'!AH$48*'Statistics NZ'!AH$373/('Population Treasury'!AG$48*'Statistics NZ'!AG$373)</f>
        <v>33190.365500385313</v>
      </c>
      <c r="U28" s="46">
        <f>T$28*'Population Treasury'!AI$48*'Statistics NZ'!AI$373/('Population Treasury'!AH$48*'Statistics NZ'!AH$373)</f>
        <v>33905.932506609934</v>
      </c>
    </row>
    <row r="29" spans="1:21" x14ac:dyDescent="0.25">
      <c r="A29" s="11">
        <v>34</v>
      </c>
      <c r="B29" s="44">
        <f>'Population Treasury'!P$49*'Statistics NZ'!P$374*'Economic Forecasts'!R$8/B$7</f>
        <v>26791.707488201384</v>
      </c>
      <c r="C29" s="44">
        <f>'Population Treasury'!Q$49*'Statistics NZ'!Q$374*'Economic Forecasts'!S$8/C$7</f>
        <v>27684.149465504895</v>
      </c>
      <c r="D29" s="44">
        <f>'Population Treasury'!R$49*'Statistics NZ'!R$374*'Economic Forecasts'!T$8/D$7</f>
        <v>29679.406431681822</v>
      </c>
      <c r="E29" s="45">
        <f>'Population Treasury'!S$49*'Statistics NZ'!S$374*'Economic Forecasts'!U$8/E$7</f>
        <v>31777.787609342551</v>
      </c>
      <c r="F29" s="45">
        <f>'Population Treasury'!T$49*'Statistics NZ'!T$374*'Economic Forecasts'!V$8/F$7</f>
        <v>33224.653077583847</v>
      </c>
      <c r="G29" s="45">
        <f>'Population Treasury'!U$49*'Statistics NZ'!U$374*'Economic Forecasts'!W$8/G$7</f>
        <v>33227.890168441714</v>
      </c>
      <c r="H29" s="45">
        <f>'Population Treasury'!V$49*'Statistics NZ'!V$374*'Economic Forecasts'!X$8/H$7</f>
        <v>33162.41608005642</v>
      </c>
      <c r="I29" s="45">
        <f>'Population Treasury'!W$49*'Statistics NZ'!W$374*'Economic Forecasts'!Y$8/I$7</f>
        <v>32841.123247673881</v>
      </c>
      <c r="J29" s="45">
        <f>'Population Treasury'!X$49*'Statistics NZ'!X$374*'Economic Forecasts'!Z$8/J$7</f>
        <v>32243.215746519603</v>
      </c>
      <c r="K29" s="45">
        <f>'Population Treasury'!Y$49*'Statistics NZ'!Y$374*'Economic Forecasts'!AA$8/K$7</f>
        <v>32302.257082615841</v>
      </c>
      <c r="L29" s="46">
        <f>K$29*'Population Treasury'!Z$49*'Statistics NZ'!Z$374/('Population Treasury'!Y$49*'Statistics NZ'!Y$374)</f>
        <v>32251.308000854682</v>
      </c>
      <c r="M29" s="46">
        <f>L$29*'Population Treasury'!AA$49*'Statistics NZ'!AA$374/('Population Treasury'!Z$49*'Statistics NZ'!Z$374)</f>
        <v>32352.707795957034</v>
      </c>
      <c r="N29" s="46">
        <f>M$29*'Population Treasury'!AB$49*'Statistics NZ'!AB$374/('Population Treasury'!AA$49*'Statistics NZ'!AA$374)</f>
        <v>32454.668598408876</v>
      </c>
      <c r="O29" s="46">
        <f>N$29*'Population Treasury'!AC$49*'Statistics NZ'!AC$374/('Population Treasury'!AB$49*'Statistics NZ'!AB$374)</f>
        <v>32238.660761045754</v>
      </c>
      <c r="P29" s="46">
        <f>O$29*'Population Treasury'!AD$49*'Statistics NZ'!AD$374/('Population Treasury'!AC$49*'Statistics NZ'!AC$374)</f>
        <v>33226.506220551659</v>
      </c>
      <c r="Q29" s="46">
        <f>P$29*'Population Treasury'!AE$49*'Statistics NZ'!AE$374/('Population Treasury'!AD$49*'Statistics NZ'!AD$374)</f>
        <v>33298.297848102135</v>
      </c>
      <c r="R29" s="46">
        <f>Q$29*'Population Treasury'!AF$49*'Statistics NZ'!AF$374/('Population Treasury'!AE$49*'Statistics NZ'!AE$374)</f>
        <v>32797.748038967373</v>
      </c>
      <c r="S29" s="46">
        <f>R$29*'Population Treasury'!AG$49*'Statistics NZ'!AG$374/('Population Treasury'!AF$49*'Statistics NZ'!AF$374)</f>
        <v>32682.865314121522</v>
      </c>
      <c r="T29" s="46">
        <f>S$29*'Population Treasury'!AH$49*'Statistics NZ'!AH$374/('Population Treasury'!AG$49*'Statistics NZ'!AG$374)</f>
        <v>33382.577685608645</v>
      </c>
      <c r="U29" s="46">
        <f>T$29*'Population Treasury'!AI$49*'Statistics NZ'!AI$374/('Population Treasury'!AH$49*'Statistics NZ'!AH$374)</f>
        <v>33538.074414289658</v>
      </c>
    </row>
    <row r="30" spans="1:21" x14ac:dyDescent="0.25">
      <c r="A30" s="11">
        <v>35</v>
      </c>
      <c r="B30" s="44">
        <f>'Population Treasury'!P$50*'Statistics NZ'!P$375*'Economic Forecasts'!R$8/B$7</f>
        <v>26731.548517124014</v>
      </c>
      <c r="C30" s="44">
        <f>'Population Treasury'!Q$50*'Statistics NZ'!Q$375*'Economic Forecasts'!S$8/C$7</f>
        <v>27341.233477313333</v>
      </c>
      <c r="D30" s="44">
        <f>'Population Treasury'!R$50*'Statistics NZ'!R$375*'Economic Forecasts'!T$8/D$7</f>
        <v>28189.577648179733</v>
      </c>
      <c r="E30" s="45">
        <f>'Population Treasury'!S$50*'Statistics NZ'!S$375*'Economic Forecasts'!U$8/E$7</f>
        <v>31212.26984561636</v>
      </c>
      <c r="F30" s="45">
        <f>'Population Treasury'!T$50*'Statistics NZ'!T$375*'Economic Forecasts'!V$8/F$7</f>
        <v>31981.87764172598</v>
      </c>
      <c r="G30" s="45">
        <f>'Population Treasury'!U$50*'Statistics NZ'!U$375*'Economic Forecasts'!W$8/G$7</f>
        <v>33060.909262197594</v>
      </c>
      <c r="H30" s="45">
        <f>'Population Treasury'!V$50*'Statistics NZ'!V$375*'Economic Forecasts'!X$8/H$7</f>
        <v>33892.932320171349</v>
      </c>
      <c r="I30" s="45">
        <f>'Population Treasury'!W$50*'Statistics NZ'!W$375*'Economic Forecasts'!Y$8/I$7</f>
        <v>33928.732548762804</v>
      </c>
      <c r="J30" s="45">
        <f>'Population Treasury'!X$50*'Statistics NZ'!X$375*'Economic Forecasts'!Z$8/J$7</f>
        <v>33540.433011983019</v>
      </c>
      <c r="K30" s="45">
        <f>'Population Treasury'!Y$50*'Statistics NZ'!Y$375*'Economic Forecasts'!AA$8/K$7</f>
        <v>32886.448973421939</v>
      </c>
      <c r="L30" s="46">
        <f>K$30*'Population Treasury'!Z$50*'Statistics NZ'!Z$375/('Population Treasury'!Y$50*'Statistics NZ'!Y$375)</f>
        <v>32887.265731454914</v>
      </c>
      <c r="M30" s="46">
        <f>L$30*'Population Treasury'!AA$50*'Statistics NZ'!AA$375/('Population Treasury'!Z$50*'Statistics NZ'!Z$375)</f>
        <v>32701.95039794096</v>
      </c>
      <c r="N30" s="46">
        <f>M$30*'Population Treasury'!AB$50*'Statistics NZ'!AB$375/('Population Treasury'!AA$50*'Statistics NZ'!AA$375)</f>
        <v>32679.152462527894</v>
      </c>
      <c r="O30" s="46">
        <f>N$30*'Population Treasury'!AC$50*'Statistics NZ'!AC$375/('Population Treasury'!AB$50*'Statistics NZ'!AB$375)</f>
        <v>32702.818023453619</v>
      </c>
      <c r="P30" s="46">
        <f>O$30*'Population Treasury'!AD$50*'Statistics NZ'!AD$375/('Population Treasury'!AC$50*'Statistics NZ'!AC$375)</f>
        <v>32389.284618005116</v>
      </c>
      <c r="Q30" s="46">
        <f>P$30*'Population Treasury'!AE$50*'Statistics NZ'!AE$375/('Population Treasury'!AD$50*'Statistics NZ'!AD$375)</f>
        <v>33310.823853682545</v>
      </c>
      <c r="R30" s="46">
        <f>Q$30*'Population Treasury'!AF$50*'Statistics NZ'!AF$375/('Population Treasury'!AE$50*'Statistics NZ'!AE$375)</f>
        <v>33296.371091295194</v>
      </c>
      <c r="S30" s="46">
        <f>R$30*'Population Treasury'!AG$50*'Statistics NZ'!AG$375/('Population Treasury'!AF$50*'Statistics NZ'!AF$375)</f>
        <v>32747.083753588508</v>
      </c>
      <c r="T30" s="46">
        <f>S$30*'Population Treasury'!AH$50*'Statistics NZ'!AH$375/('Population Treasury'!AG$50*'Statistics NZ'!AG$375)</f>
        <v>32575.524524432687</v>
      </c>
      <c r="U30" s="46">
        <f>T$30*'Population Treasury'!AI$50*'Statistics NZ'!AI$375/('Population Treasury'!AH$50*'Statistics NZ'!AH$375)</f>
        <v>33255.721903103593</v>
      </c>
    </row>
    <row r="31" spans="1:21" x14ac:dyDescent="0.25">
      <c r="A31" s="11">
        <v>36</v>
      </c>
      <c r="B31" s="44">
        <f>'Population Treasury'!P$51*'Statistics NZ'!P$376*'Economic Forecasts'!R$8/B$7</f>
        <v>26574.53782563582</v>
      </c>
      <c r="C31" s="44">
        <f>'Population Treasury'!Q$51*'Statistics NZ'!Q$376*'Economic Forecasts'!S$8/C$7</f>
        <v>27386.781620132373</v>
      </c>
      <c r="D31" s="44">
        <f>'Population Treasury'!R$51*'Statistics NZ'!R$376*'Economic Forecasts'!T$8/D$7</f>
        <v>27911.35869530807</v>
      </c>
      <c r="E31" s="45">
        <f>'Population Treasury'!S$51*'Statistics NZ'!S$376*'Economic Forecasts'!U$8/E$7</f>
        <v>29783.453427466542</v>
      </c>
      <c r="F31" s="45">
        <f>'Population Treasury'!T$51*'Statistics NZ'!T$376*'Economic Forecasts'!V$8/F$7</f>
        <v>32192.422879017686</v>
      </c>
      <c r="G31" s="45">
        <f>'Population Treasury'!U$51*'Statistics NZ'!U$376*'Economic Forecasts'!W$8/G$7</f>
        <v>32274.825363284777</v>
      </c>
      <c r="H31" s="45">
        <f>'Population Treasury'!V$51*'Statistics NZ'!V$376*'Economic Forecasts'!X$8/H$7</f>
        <v>33915.552790704292</v>
      </c>
      <c r="I31" s="45">
        <f>'Population Treasury'!W$51*'Statistics NZ'!W$376*'Economic Forecasts'!Y$8/I$7</f>
        <v>34847.53167099558</v>
      </c>
      <c r="J31" s="45">
        <f>'Population Treasury'!X$51*'Statistics NZ'!X$376*'Economic Forecasts'!Z$8/J$7</f>
        <v>34835.227222632493</v>
      </c>
      <c r="K31" s="45">
        <f>'Population Treasury'!Y$51*'Statistics NZ'!Y$376*'Economic Forecasts'!AA$8/K$7</f>
        <v>34384.173412553311</v>
      </c>
      <c r="L31" s="46">
        <f>K$31*'Population Treasury'!Z$51*'Statistics NZ'!Z$376/('Population Treasury'!Y$51*'Statistics NZ'!Y$376)</f>
        <v>33661.119733523141</v>
      </c>
      <c r="M31" s="46">
        <f>L$31*'Population Treasury'!AA$51*'Statistics NZ'!AA$376/('Population Treasury'!Z$51*'Statistics NZ'!Z$376)</f>
        <v>33627.996294917546</v>
      </c>
      <c r="N31" s="46">
        <f>M$31*'Population Treasury'!AB$51*'Statistics NZ'!AB$376/('Population Treasury'!AA$51*'Statistics NZ'!AA$376)</f>
        <v>33425.198448251351</v>
      </c>
      <c r="O31" s="46">
        <f>N$31*'Population Treasury'!AC$51*'Statistics NZ'!AC$376/('Population Treasury'!AB$51*'Statistics NZ'!AB$376)</f>
        <v>33358.560285862222</v>
      </c>
      <c r="P31" s="46">
        <f>O$31*'Population Treasury'!AD$51*'Statistics NZ'!AD$376/('Population Treasury'!AC$51*'Statistics NZ'!AC$376)</f>
        <v>33363.803507978359</v>
      </c>
      <c r="Q31" s="46">
        <f>P$31*'Population Treasury'!AE$51*'Statistics NZ'!AE$376/('Population Treasury'!AD$51*'Statistics NZ'!AD$376)</f>
        <v>33024.479572295684</v>
      </c>
      <c r="R31" s="46">
        <f>Q$31*'Population Treasury'!AF$51*'Statistics NZ'!AF$376/('Population Treasury'!AE$51*'Statistics NZ'!AE$376)</f>
        <v>33911.729885006906</v>
      </c>
      <c r="S31" s="46">
        <f>R$31*'Population Treasury'!AG$51*'Statistics NZ'!AG$376/('Population Treasury'!AF$51*'Statistics NZ'!AF$376)</f>
        <v>33880.853283362652</v>
      </c>
      <c r="T31" s="46">
        <f>S$31*'Population Treasury'!AH$51*'Statistics NZ'!AH$376/('Population Treasury'!AG$51*'Statistics NZ'!AG$376)</f>
        <v>33306.105580879128</v>
      </c>
      <c r="U31" s="46">
        <f>T$31*'Population Treasury'!AI$51*'Statistics NZ'!AI$376/('Population Treasury'!AH$51*'Statistics NZ'!AH$376)</f>
        <v>33116.695211835038</v>
      </c>
    </row>
    <row r="32" spans="1:21" x14ac:dyDescent="0.25">
      <c r="A32" s="11">
        <v>37</v>
      </c>
      <c r="B32" s="44">
        <f>'Population Treasury'!P$52*'Statistics NZ'!P$377*'Economic Forecasts'!R$8/B$7</f>
        <v>26433.124389639506</v>
      </c>
      <c r="C32" s="44">
        <f>'Population Treasury'!Q$52*'Statistics NZ'!Q$377*'Economic Forecasts'!S$8/C$7</f>
        <v>27229.325489582639</v>
      </c>
      <c r="D32" s="44">
        <f>'Population Treasury'!R$52*'Statistics NZ'!R$377*'Economic Forecasts'!T$8/D$7</f>
        <v>28015.316152982272</v>
      </c>
      <c r="E32" s="45">
        <f>'Population Treasury'!S$52*'Statistics NZ'!S$377*'Economic Forecasts'!U$8/E$7</f>
        <v>29535.042845253967</v>
      </c>
      <c r="F32" s="45">
        <f>'Population Treasury'!T$52*'Statistics NZ'!T$377*'Economic Forecasts'!V$8/F$7</f>
        <v>30704.806822180806</v>
      </c>
      <c r="G32" s="45">
        <f>'Population Treasury'!U$52*'Statistics NZ'!U$377*'Economic Forecasts'!W$8/G$7</f>
        <v>32482.066472605246</v>
      </c>
      <c r="H32" s="45">
        <f>'Population Treasury'!V$52*'Statistics NZ'!V$377*'Economic Forecasts'!X$8/H$7</f>
        <v>33116.473882027472</v>
      </c>
      <c r="I32" s="45">
        <f>'Population Treasury'!W$52*'Statistics NZ'!W$377*'Economic Forecasts'!Y$8/I$7</f>
        <v>34880.129522207979</v>
      </c>
      <c r="J32" s="45">
        <f>'Population Treasury'!X$52*'Statistics NZ'!X$377*'Economic Forecasts'!Z$8/J$7</f>
        <v>35773.608292769502</v>
      </c>
      <c r="K32" s="45">
        <f>'Population Treasury'!Y$52*'Statistics NZ'!Y$377*'Economic Forecasts'!AA$8/K$7</f>
        <v>35711.393466981979</v>
      </c>
      <c r="L32" s="46">
        <f>K$32*'Population Treasury'!Z$52*'Statistics NZ'!Z$377/('Population Treasury'!Y$52*'Statistics NZ'!Y$377)</f>
        <v>35178.611315063717</v>
      </c>
      <c r="M32" s="46">
        <f>L$32*'Population Treasury'!AA$52*'Statistics NZ'!AA$377/('Population Treasury'!Z$52*'Statistics NZ'!Z$377)</f>
        <v>34412.499826013329</v>
      </c>
      <c r="N32" s="46">
        <f>M$32*'Population Treasury'!AB$52*'Statistics NZ'!AB$377/('Population Treasury'!AA$52*'Statistics NZ'!AA$377)</f>
        <v>34362.115628561289</v>
      </c>
      <c r="O32" s="46">
        <f>N$32*'Population Treasury'!AC$52*'Statistics NZ'!AC$377/('Population Treasury'!AB$52*'Statistics NZ'!AB$377)</f>
        <v>34130.946613347267</v>
      </c>
      <c r="P32" s="46">
        <f>O$32*'Population Treasury'!AD$52*'Statistics NZ'!AD$377/('Population Treasury'!AC$52*'Statistics NZ'!AC$377)</f>
        <v>34049.936125594199</v>
      </c>
      <c r="Q32" s="46">
        <f>P$32*'Population Treasury'!AE$52*'Statistics NZ'!AE$377/('Population Treasury'!AD$52*'Statistics NZ'!AD$377)</f>
        <v>34008.328198031406</v>
      </c>
      <c r="R32" s="46">
        <f>Q$32*'Population Treasury'!AF$52*'Statistics NZ'!AF$377/('Population Treasury'!AE$52*'Statistics NZ'!AE$377)</f>
        <v>33640.908203489955</v>
      </c>
      <c r="S32" s="46">
        <f>R$32*'Population Treasury'!AG$52*'Statistics NZ'!AG$377/('Population Treasury'!AF$52*'Statistics NZ'!AF$377)</f>
        <v>34523.671853999826</v>
      </c>
      <c r="T32" s="46">
        <f>S$32*'Population Treasury'!AH$52*'Statistics NZ'!AH$377/('Population Treasury'!AG$52*'Statistics NZ'!AG$377)</f>
        <v>34459.025084306304</v>
      </c>
      <c r="U32" s="46">
        <f>T$32*'Population Treasury'!AI$52*'Statistics NZ'!AI$377/('Population Treasury'!AH$52*'Statistics NZ'!AH$377)</f>
        <v>33847.890902284074</v>
      </c>
    </row>
    <row r="33" spans="1:21" x14ac:dyDescent="0.25">
      <c r="A33" s="11">
        <v>38</v>
      </c>
      <c r="B33" s="44">
        <f>'Population Treasury'!P$53*'Statistics NZ'!P$378*'Economic Forecasts'!R$8/B$7</f>
        <v>26201.764825747519</v>
      </c>
      <c r="C33" s="44">
        <f>'Population Treasury'!Q$53*'Statistics NZ'!Q$378*'Economic Forecasts'!S$8/C$7</f>
        <v>27094.186689405557</v>
      </c>
      <c r="D33" s="44">
        <f>'Population Treasury'!R$53*'Statistics NZ'!R$378*'Economic Forecasts'!T$8/D$7</f>
        <v>27793.877174041347</v>
      </c>
      <c r="E33" s="45">
        <f>'Population Treasury'!S$53*'Statistics NZ'!S$378*'Economic Forecasts'!U$8/E$7</f>
        <v>29580.352595185341</v>
      </c>
      <c r="F33" s="45">
        <f>'Population Treasury'!T$53*'Statistics NZ'!T$378*'Economic Forecasts'!V$8/F$7</f>
        <v>30338.603073069422</v>
      </c>
      <c r="G33" s="45">
        <f>'Population Treasury'!U$53*'Statistics NZ'!U$378*'Economic Forecasts'!W$8/G$7</f>
        <v>30878.609825384927</v>
      </c>
      <c r="H33" s="45">
        <f>'Population Treasury'!V$53*'Statistics NZ'!V$378*'Economic Forecasts'!X$8/H$7</f>
        <v>33241.045413923894</v>
      </c>
      <c r="I33" s="45">
        <f>'Population Treasury'!W$53*'Statistics NZ'!W$378*'Economic Forecasts'!Y$8/I$7</f>
        <v>33981.757111440675</v>
      </c>
      <c r="J33" s="45">
        <f>'Population Treasury'!X$53*'Statistics NZ'!X$378*'Economic Forecasts'!Z$8/J$7</f>
        <v>35713.339920134575</v>
      </c>
      <c r="K33" s="45">
        <f>'Population Treasury'!Y$53*'Statistics NZ'!Y$378*'Economic Forecasts'!AA$8/K$7</f>
        <v>36571.458320879727</v>
      </c>
      <c r="L33" s="46">
        <f>K$33*'Population Treasury'!Z$53*'Statistics NZ'!Z$378/('Population Treasury'!Y$53*'Statistics NZ'!Y$378)</f>
        <v>36428.111539529855</v>
      </c>
      <c r="M33" s="46">
        <f>L$33*'Population Treasury'!AA$53*'Statistics NZ'!AA$378/('Population Treasury'!Z$53*'Statistics NZ'!Z$378)</f>
        <v>35877.291129876008</v>
      </c>
      <c r="N33" s="46">
        <f>M$33*'Population Treasury'!AB$53*'Statistics NZ'!AB$378/('Population Treasury'!AA$53*'Statistics NZ'!AA$378)</f>
        <v>35067.150625558701</v>
      </c>
      <c r="O33" s="46">
        <f>N$33*'Population Treasury'!AC$53*'Statistics NZ'!AC$378/('Population Treasury'!AB$53*'Statistics NZ'!AB$378)</f>
        <v>34979.728546498438</v>
      </c>
      <c r="P33" s="46">
        <f>O$33*'Population Treasury'!AD$53*'Statistics NZ'!AD$378/('Population Treasury'!AC$53*'Statistics NZ'!AC$378)</f>
        <v>34712.829124517535</v>
      </c>
      <c r="Q33" s="46">
        <f>P$33*'Population Treasury'!AE$53*'Statistics NZ'!AE$378/('Population Treasury'!AD$53*'Statistics NZ'!AD$378)</f>
        <v>34606.0403621281</v>
      </c>
      <c r="R33" s="46">
        <f>Q$33*'Population Treasury'!AF$53*'Statistics NZ'!AF$378/('Population Treasury'!AE$53*'Statistics NZ'!AE$378)</f>
        <v>34545.269541029164</v>
      </c>
      <c r="S33" s="46">
        <f>R$33*'Population Treasury'!AG$53*'Statistics NZ'!AG$378/('Population Treasury'!AF$53*'Statistics NZ'!AF$378)</f>
        <v>34142.449838315704</v>
      </c>
      <c r="T33" s="46">
        <f>S$33*'Population Treasury'!AH$53*'Statistics NZ'!AH$378/('Population Treasury'!AG$53*'Statistics NZ'!AG$378)</f>
        <v>35009.439653825051</v>
      </c>
      <c r="U33" s="46">
        <f>T$33*'Population Treasury'!AI$53*'Statistics NZ'!AI$378/('Population Treasury'!AH$53*'Statistics NZ'!AH$378)</f>
        <v>34927.708504192989</v>
      </c>
    </row>
    <row r="34" spans="1:21" x14ac:dyDescent="0.25">
      <c r="A34" s="11">
        <v>39</v>
      </c>
      <c r="B34" s="44">
        <f>'Population Treasury'!P$54*'Statistics NZ'!P$379*'Economic Forecasts'!R$8/B$7</f>
        <v>25679.013526143153</v>
      </c>
      <c r="C34" s="44">
        <f>'Population Treasury'!Q$54*'Statistics NZ'!Q$379*'Economic Forecasts'!S$8/C$7</f>
        <v>26828.349966239995</v>
      </c>
      <c r="D34" s="44">
        <f>'Population Treasury'!R$54*'Statistics NZ'!R$379*'Economic Forecasts'!T$8/D$7</f>
        <v>27623.911352550513</v>
      </c>
      <c r="E34" s="45">
        <f>'Population Treasury'!S$54*'Statistics NZ'!S$379*'Economic Forecasts'!U$8/E$7</f>
        <v>29319.824812838178</v>
      </c>
      <c r="F34" s="45">
        <f>'Population Treasury'!T$54*'Statistics NZ'!T$379*'Economic Forecasts'!V$8/F$7</f>
        <v>30345.357919249171</v>
      </c>
      <c r="G34" s="45">
        <f>'Population Treasury'!U$54*'Statistics NZ'!U$379*'Economic Forecasts'!W$8/G$7</f>
        <v>30450.745630329118</v>
      </c>
      <c r="H34" s="45">
        <f>'Population Treasury'!V$54*'Statistics NZ'!V$379*'Economic Forecasts'!X$8/H$7</f>
        <v>31544.17457783089</v>
      </c>
      <c r="I34" s="45">
        <f>'Population Treasury'!W$54*'Statistics NZ'!W$379*'Economic Forecasts'!Y$8/I$7</f>
        <v>34043.925864999394</v>
      </c>
      <c r="J34" s="45">
        <f>'Population Treasury'!X$54*'Statistics NZ'!X$379*'Economic Forecasts'!Z$8/J$7</f>
        <v>34744.308528638576</v>
      </c>
      <c r="K34" s="45">
        <f>'Population Treasury'!Y$54*'Statistics NZ'!Y$379*'Economic Forecasts'!AA$8/K$7</f>
        <v>36455.75851561976</v>
      </c>
      <c r="L34" s="46">
        <f>K$34*'Population Treasury'!Z$54*'Statistics NZ'!Z$379/('Population Treasury'!Y$54*'Statistics NZ'!Y$379)</f>
        <v>37240.219984604199</v>
      </c>
      <c r="M34" s="46">
        <f>L$34*'Population Treasury'!AA$54*'Statistics NZ'!AA$379/('Population Treasury'!Z$54*'Statistics NZ'!Z$379)</f>
        <v>37062.064268184447</v>
      </c>
      <c r="N34" s="46">
        <f>M$34*'Population Treasury'!AB$54*'Statistics NZ'!AB$379/('Population Treasury'!AA$54*'Statistics NZ'!AA$379)</f>
        <v>36464.699823587027</v>
      </c>
      <c r="O34" s="46">
        <f>N$34*'Population Treasury'!AC$54*'Statistics NZ'!AC$379/('Population Treasury'!AB$54*'Statistics NZ'!AB$379)</f>
        <v>35627.168794499012</v>
      </c>
      <c r="P34" s="46">
        <f>O$34*'Population Treasury'!AD$54*'Statistics NZ'!AD$379/('Population Treasury'!AC$54*'Statistics NZ'!AC$379)</f>
        <v>35512.814694383567</v>
      </c>
      <c r="Q34" s="46">
        <f>P$34*'Population Treasury'!AE$54*'Statistics NZ'!AE$379/('Population Treasury'!AD$54*'Statistics NZ'!AD$379)</f>
        <v>35218.544786503247</v>
      </c>
      <c r="R34" s="46">
        <f>Q$34*'Population Treasury'!AF$54*'Statistics NZ'!AF$379/('Population Treasury'!AE$54*'Statistics NZ'!AE$379)</f>
        <v>35094.485977529155</v>
      </c>
      <c r="S34" s="46">
        <f>R$34*'Population Treasury'!AG$54*'Statistics NZ'!AG$379/('Population Treasury'!AF$54*'Statistics NZ'!AF$379)</f>
        <v>34996.583642500947</v>
      </c>
      <c r="T34" s="46">
        <f>S$34*'Population Treasury'!AH$54*'Statistics NZ'!AH$379/('Population Treasury'!AG$54*'Statistics NZ'!AG$379)</f>
        <v>34577.383222306351</v>
      </c>
      <c r="U34" s="46">
        <f>T$34*'Population Treasury'!AI$54*'Statistics NZ'!AI$379/('Population Treasury'!AH$54*'Statistics NZ'!AH$379)</f>
        <v>35426.562870067035</v>
      </c>
    </row>
    <row r="35" spans="1:21" x14ac:dyDescent="0.25">
      <c r="A35" s="11">
        <v>40</v>
      </c>
      <c r="B35" s="44">
        <f>'Population Treasury'!P$55*'Statistics NZ'!P$380*'Economic Forecasts'!R$8/B$7</f>
        <v>25669.018439500818</v>
      </c>
      <c r="C35" s="44">
        <f>'Population Treasury'!Q$55*'Statistics NZ'!Q$380*'Economic Forecasts'!S$8/C$7</f>
        <v>26312.250167857372</v>
      </c>
      <c r="D35" s="44">
        <f>'Population Treasury'!R$55*'Statistics NZ'!R$380*'Economic Forecasts'!T$8/D$7</f>
        <v>27341.116999100577</v>
      </c>
      <c r="E35" s="45">
        <f>'Population Treasury'!S$55*'Statistics NZ'!S$380*'Economic Forecasts'!U$8/E$7</f>
        <v>28592.834120126714</v>
      </c>
      <c r="F35" s="45">
        <f>'Population Treasury'!T$55*'Statistics NZ'!T$380*'Economic Forecasts'!V$8/F$7</f>
        <v>29732.362003978153</v>
      </c>
      <c r="G35" s="45">
        <f>'Population Treasury'!U$55*'Statistics NZ'!U$380*'Economic Forecasts'!W$8/G$7</f>
        <v>30330.415161381072</v>
      </c>
      <c r="H35" s="45">
        <f>'Population Treasury'!V$55*'Statistics NZ'!V$380*'Economic Forecasts'!X$8/H$7</f>
        <v>31015.984653243937</v>
      </c>
      <c r="I35" s="45">
        <f>'Population Treasury'!W$55*'Statistics NZ'!W$380*'Economic Forecasts'!Y$8/I$7</f>
        <v>32219.870003922988</v>
      </c>
      <c r="J35" s="45">
        <f>'Population Treasury'!X$55*'Statistics NZ'!X$380*'Economic Forecasts'!Z$8/J$7</f>
        <v>34710.401796275088</v>
      </c>
      <c r="K35" s="45">
        <f>'Population Treasury'!Y$55*'Statistics NZ'!Y$380*'Economic Forecasts'!AA$8/K$7</f>
        <v>35365.145154058329</v>
      </c>
      <c r="L35" s="46">
        <f>K$35*'Population Treasury'!Z$55*'Statistics NZ'!Z$380/('Population Treasury'!Y$55*'Statistics NZ'!Y$380)</f>
        <v>36936.87138881204</v>
      </c>
      <c r="M35" s="46">
        <f>L$35*'Population Treasury'!AA$55*'Statistics NZ'!AA$380/('Population Treasury'!Z$55*'Statistics NZ'!Z$380)</f>
        <v>37626.817890814884</v>
      </c>
      <c r="N35" s="46">
        <f>M$35*'Population Treasury'!AB$55*'Statistics NZ'!AB$380/('Population Treasury'!AA$55*'Statistics NZ'!AA$380)</f>
        <v>37369.087329015019</v>
      </c>
      <c r="O35" s="46">
        <f>N$35*'Population Treasury'!AC$55*'Statistics NZ'!AC$380/('Population Treasury'!AB$55*'Statistics NZ'!AB$380)</f>
        <v>36705.680744258163</v>
      </c>
      <c r="P35" s="46">
        <f>O$35*'Population Treasury'!AD$55*'Statistics NZ'!AD$380/('Population Treasury'!AC$55*'Statistics NZ'!AC$380)</f>
        <v>35795.342221281338</v>
      </c>
      <c r="Q35" s="46">
        <f>P$35*'Population Treasury'!AE$55*'Statistics NZ'!AE$380/('Population Treasury'!AD$55*'Statistics NZ'!AD$380)</f>
        <v>35622.937688983133</v>
      </c>
      <c r="R35" s="46">
        <f>Q$35*'Population Treasury'!AF$55*'Statistics NZ'!AF$380/('Population Treasury'!AE$55*'Statistics NZ'!AE$380)</f>
        <v>35288.39583922</v>
      </c>
      <c r="S35" s="46">
        <f>R$35*'Population Treasury'!AG$55*'Statistics NZ'!AG$380/('Population Treasury'!AF$55*'Statistics NZ'!AF$380)</f>
        <v>35111.544455692798</v>
      </c>
      <c r="T35" s="46">
        <f>S$35*'Population Treasury'!AH$55*'Statistics NZ'!AH$380/('Population Treasury'!AG$55*'Statistics NZ'!AG$380)</f>
        <v>34978.898092385796</v>
      </c>
      <c r="U35" s="46">
        <f>T$35*'Population Treasury'!AI$55*'Statistics NZ'!AI$380/('Population Treasury'!AH$55*'Statistics NZ'!AH$380)</f>
        <v>34540.740487462128</v>
      </c>
    </row>
    <row r="36" spans="1:21" x14ac:dyDescent="0.25">
      <c r="A36" s="11">
        <v>41</v>
      </c>
      <c r="B36" s="44">
        <f>'Population Treasury'!P$56*'Statistics NZ'!P$381*'Economic Forecasts'!R$8/B$7</f>
        <v>25608.40852884066</v>
      </c>
      <c r="C36" s="44">
        <f>'Population Treasury'!Q$56*'Statistics NZ'!Q$381*'Economic Forecasts'!S$8/C$7</f>
        <v>26230.045813015204</v>
      </c>
      <c r="D36" s="44">
        <f>'Population Treasury'!R$56*'Statistics NZ'!R$381*'Economic Forecasts'!T$8/D$7</f>
        <v>26775.661812230515</v>
      </c>
      <c r="E36" s="45">
        <f>'Population Treasury'!S$56*'Statistics NZ'!S$381*'Economic Forecasts'!U$8/E$7</f>
        <v>28263.865175444527</v>
      </c>
      <c r="F36" s="45">
        <f>'Population Treasury'!T$56*'Statistics NZ'!T$381*'Economic Forecasts'!V$8/F$7</f>
        <v>29475.727723138803</v>
      </c>
      <c r="G36" s="45">
        <f>'Population Treasury'!U$56*'Statistics NZ'!U$381*'Economic Forecasts'!W$8/G$7</f>
        <v>29963.080882656035</v>
      </c>
      <c r="H36" s="45">
        <f>'Population Treasury'!V$56*'Statistics NZ'!V$381*'Economic Forecasts'!X$8/H$7</f>
        <v>30915.753416158459</v>
      </c>
      <c r="I36" s="45">
        <f>'Population Treasury'!W$56*'Statistics NZ'!W$381*'Economic Forecasts'!Y$8/I$7</f>
        <v>31697.309027192226</v>
      </c>
      <c r="J36" s="45">
        <f>'Population Treasury'!X$56*'Statistics NZ'!X$381*'Economic Forecasts'!Z$8/J$7</f>
        <v>32871.777585238262</v>
      </c>
      <c r="K36" s="45">
        <f>'Population Treasury'!Y$56*'Statistics NZ'!Y$381*'Economic Forecasts'!AA$8/K$7</f>
        <v>35351.933037195755</v>
      </c>
      <c r="L36" s="46">
        <f>K$36*'Population Treasury'!Z$56*'Statistics NZ'!Z$381/('Population Treasury'!Y$56*'Statistics NZ'!Y$381)</f>
        <v>35866.643931154635</v>
      </c>
      <c r="M36" s="46">
        <f>L$36*'Population Treasury'!AA$56*'Statistics NZ'!AA$381/('Population Treasury'!Z$56*'Statistics NZ'!Z$381)</f>
        <v>37430.622729081711</v>
      </c>
      <c r="N36" s="46">
        <f>M$36*'Population Treasury'!AB$56*'Statistics NZ'!AB$381/('Population Treasury'!AA$56*'Statistics NZ'!AA$381)</f>
        <v>38110.386535448648</v>
      </c>
      <c r="O36" s="46">
        <f>N$36*'Population Treasury'!AC$56*'Statistics NZ'!AC$381/('Population Treasury'!AB$56*'Statistics NZ'!AB$381)</f>
        <v>37841.632680837683</v>
      </c>
      <c r="P36" s="46">
        <f>O$36*'Population Treasury'!AD$56*'Statistics NZ'!AD$381/('Population Treasury'!AC$56*'Statistics NZ'!AC$381)</f>
        <v>37150.326313552825</v>
      </c>
      <c r="Q36" s="46">
        <f>P$36*'Population Treasury'!AE$56*'Statistics NZ'!AE$381/('Population Treasury'!AD$56*'Statistics NZ'!AD$381)</f>
        <v>36219.272491127362</v>
      </c>
      <c r="R36" s="46">
        <f>Q$36*'Population Treasury'!AF$56*'Statistics NZ'!AF$381/('Population Treasury'!AE$56*'Statistics NZ'!AE$381)</f>
        <v>36037.293885860716</v>
      </c>
      <c r="S36" s="46">
        <f>R$36*'Population Treasury'!AG$56*'Statistics NZ'!AG$381/('Population Treasury'!AF$56*'Statistics NZ'!AF$381)</f>
        <v>35682.255415852669</v>
      </c>
      <c r="T36" s="46">
        <f>S$36*'Population Treasury'!AH$56*'Statistics NZ'!AH$381/('Population Treasury'!AG$56*'Statistics NZ'!AG$381)</f>
        <v>35496.671109256517</v>
      </c>
      <c r="U36" s="46">
        <f>T$36*'Population Treasury'!AI$56*'Statistics NZ'!AI$381/('Population Treasury'!AH$56*'Statistics NZ'!AH$381)</f>
        <v>35351.894585551054</v>
      </c>
    </row>
    <row r="37" spans="1:21" x14ac:dyDescent="0.25">
      <c r="A37" s="11">
        <v>42</v>
      </c>
      <c r="B37" s="44">
        <f>'Population Treasury'!P$57*'Statistics NZ'!P$382*'Economic Forecasts'!R$8/B$7</f>
        <v>25006.354128651008</v>
      </c>
      <c r="C37" s="44">
        <f>'Population Treasury'!Q$57*'Statistics NZ'!Q$382*'Economic Forecasts'!S$8/C$7</f>
        <v>26125.89562865351</v>
      </c>
      <c r="D37" s="44">
        <f>'Population Treasury'!R$57*'Statistics NZ'!R$382*'Economic Forecasts'!T$8/D$7</f>
        <v>26664.152238843853</v>
      </c>
      <c r="E37" s="45">
        <f>'Population Treasury'!S$57*'Statistics NZ'!S$382*'Economic Forecasts'!U$8/E$7</f>
        <v>27672.156257029725</v>
      </c>
      <c r="F37" s="45">
        <f>'Population Treasury'!T$57*'Statistics NZ'!T$382*'Economic Forecasts'!V$8/F$7</f>
        <v>29089.178223750088</v>
      </c>
      <c r="G37" s="45">
        <f>'Population Treasury'!U$57*'Statistics NZ'!U$382*'Economic Forecasts'!W$8/G$7</f>
        <v>29651.948269488901</v>
      </c>
      <c r="H37" s="45">
        <f>'Population Treasury'!V$57*'Statistics NZ'!V$382*'Economic Forecasts'!X$8/H$7</f>
        <v>30504.239629601074</v>
      </c>
      <c r="I37" s="45">
        <f>'Population Treasury'!W$57*'Statistics NZ'!W$382*'Economic Forecasts'!Y$8/I$7</f>
        <v>31555.552293071807</v>
      </c>
      <c r="J37" s="45">
        <f>'Population Treasury'!X$57*'Statistics NZ'!X$382*'Economic Forecasts'!Z$8/J$7</f>
        <v>32300.692857134934</v>
      </c>
      <c r="K37" s="45">
        <f>'Population Treasury'!Y$57*'Statistics NZ'!Y$382*'Economic Forecasts'!AA$8/K$7</f>
        <v>33447.79658234919</v>
      </c>
      <c r="L37" s="46">
        <f>K$37*'Population Treasury'!Z$57*'Statistics NZ'!Z$382/('Population Treasury'!Y$57*'Statistics NZ'!Y$382)</f>
        <v>35788.263019337661</v>
      </c>
      <c r="M37" s="46">
        <f>L$37*'Population Treasury'!AA$57*'Statistics NZ'!AA$382/('Population Treasury'!Z$57*'Statistics NZ'!Z$382)</f>
        <v>36294.782874715595</v>
      </c>
      <c r="N37" s="46">
        <f>M$37*'Population Treasury'!AB$57*'Statistics NZ'!AB$382/('Population Treasury'!AA$57*'Statistics NZ'!AA$382)</f>
        <v>37849.039664123018</v>
      </c>
      <c r="O37" s="46">
        <f>N$37*'Population Treasury'!AC$57*'Statistics NZ'!AC$382/('Population Treasury'!AB$57*'Statistics NZ'!AB$382)</f>
        <v>38520.083606309294</v>
      </c>
      <c r="P37" s="46">
        <f>O$37*'Population Treasury'!AD$57*'Statistics NZ'!AD$382/('Population Treasury'!AC$57*'Statistics NZ'!AC$382)</f>
        <v>38241.823147723029</v>
      </c>
      <c r="Q37" s="46">
        <f>P$37*'Population Treasury'!AE$57*'Statistics NZ'!AE$382/('Population Treasury'!AD$57*'Statistics NZ'!AD$382)</f>
        <v>37519.020659564922</v>
      </c>
      <c r="R37" s="46">
        <f>Q$37*'Population Treasury'!AF$57*'Statistics NZ'!AF$382/('Population Treasury'!AE$57*'Statistics NZ'!AE$382)</f>
        <v>36568.747396760096</v>
      </c>
      <c r="S37" s="46">
        <f>R$37*'Population Treasury'!AG$57*'Statistics NZ'!AG$382/('Population Treasury'!AF$57*'Statistics NZ'!AF$382)</f>
        <v>36366.320811601683</v>
      </c>
      <c r="T37" s="46">
        <f>S$37*'Population Treasury'!AH$57*'Statistics NZ'!AH$382/('Population Treasury'!AG$57*'Statistics NZ'!AG$382)</f>
        <v>36001.191331957314</v>
      </c>
      <c r="U37" s="46">
        <f>T$37*'Population Treasury'!AI$57*'Statistics NZ'!AI$382/('Population Treasury'!AH$57*'Statistics NZ'!AH$382)</f>
        <v>35796.206631107656</v>
      </c>
    </row>
    <row r="38" spans="1:21" x14ac:dyDescent="0.25">
      <c r="A38" s="11">
        <v>43</v>
      </c>
      <c r="B38" s="44">
        <f>'Population Treasury'!P$58*'Statistics NZ'!P$383*'Economic Forecasts'!R$8/B$7</f>
        <v>25249.203554248717</v>
      </c>
      <c r="C38" s="44">
        <f>'Population Treasury'!Q$58*'Statistics NZ'!Q$383*'Economic Forecasts'!S$8/C$7</f>
        <v>25553.04766374586</v>
      </c>
      <c r="D38" s="44">
        <f>'Population Treasury'!R$58*'Statistics NZ'!R$383*'Economic Forecasts'!T$8/D$7</f>
        <v>26585.964756561527</v>
      </c>
      <c r="E38" s="45">
        <f>'Population Treasury'!S$58*'Statistics NZ'!S$383*'Economic Forecasts'!U$8/E$7</f>
        <v>27542.148428837896</v>
      </c>
      <c r="F38" s="45">
        <f>'Population Treasury'!T$58*'Statistics NZ'!T$383*'Economic Forecasts'!V$8/F$7</f>
        <v>28436.233645754724</v>
      </c>
      <c r="G38" s="45">
        <f>'Population Treasury'!U$58*'Statistics NZ'!U$383*'Economic Forecasts'!W$8/G$7</f>
        <v>29239.003541840288</v>
      </c>
      <c r="H38" s="45">
        <f>'Population Treasury'!V$58*'Statistics NZ'!V$383*'Economic Forecasts'!X$8/H$7</f>
        <v>30167.689301902039</v>
      </c>
      <c r="I38" s="45">
        <f>'Population Treasury'!W$58*'Statistics NZ'!W$383*'Economic Forecasts'!Y$8/I$7</f>
        <v>31097.287124860079</v>
      </c>
      <c r="J38" s="45">
        <f>'Population Treasury'!X$58*'Statistics NZ'!X$383*'Economic Forecasts'!Z$8/J$7</f>
        <v>32116.787564778617</v>
      </c>
      <c r="K38" s="45">
        <f>'Population Treasury'!Y$58*'Statistics NZ'!Y$383*'Economic Forecasts'!AA$8/K$7</f>
        <v>32830.180167837258</v>
      </c>
      <c r="L38" s="46">
        <f>K$38*'Population Treasury'!Z$58*'Statistics NZ'!Z$383/('Population Treasury'!Y$58*'Statistics NZ'!Y$383)</f>
        <v>33854.920901490681</v>
      </c>
      <c r="M38" s="46">
        <f>L$38*'Population Treasury'!AA$58*'Statistics NZ'!AA$383/('Population Treasury'!Z$58*'Statistics NZ'!Z$383)</f>
        <v>36205.741532186323</v>
      </c>
      <c r="N38" s="46">
        <f>M$38*'Population Treasury'!AB$58*'Statistics NZ'!AB$383/('Population Treasury'!AA$58*'Statistics NZ'!AA$383)</f>
        <v>36694.812146294906</v>
      </c>
      <c r="O38" s="46">
        <f>N$38*'Population Treasury'!AC$58*'Statistics NZ'!AC$383/('Population Treasury'!AB$58*'Statistics NZ'!AB$383)</f>
        <v>38248.279385656533</v>
      </c>
      <c r="P38" s="46">
        <f>O$38*'Population Treasury'!AD$58*'Statistics NZ'!AD$383/('Population Treasury'!AC$58*'Statistics NZ'!AC$383)</f>
        <v>38910.438706587091</v>
      </c>
      <c r="Q38" s="46">
        <f>P$38*'Population Treasury'!AE$58*'Statistics NZ'!AE$383/('Population Treasury'!AD$58*'Statistics NZ'!AD$383)</f>
        <v>38611.982586376791</v>
      </c>
      <c r="R38" s="46">
        <f>Q$38*'Population Treasury'!AF$58*'Statistics NZ'!AF$383/('Population Treasury'!AE$58*'Statistics NZ'!AE$383)</f>
        <v>37869.629952380659</v>
      </c>
      <c r="S38" s="46">
        <f>R$38*'Population Treasury'!AG$58*'Statistics NZ'!AG$383/('Population Treasury'!AF$58*'Statistics NZ'!AF$383)</f>
        <v>36899.963733700468</v>
      </c>
      <c r="T38" s="46">
        <f>S$38*'Population Treasury'!AH$58*'Statistics NZ'!AH$383/('Population Treasury'!AG$58*'Statistics NZ'!AG$383)</f>
        <v>36686.163704286191</v>
      </c>
      <c r="U38" s="46">
        <f>T$38*'Population Treasury'!AI$58*'Statistics NZ'!AI$383/('Population Treasury'!AH$58*'Statistics NZ'!AH$383)</f>
        <v>36300.281869396051</v>
      </c>
    </row>
    <row r="39" spans="1:21" x14ac:dyDescent="0.25">
      <c r="A39" s="11">
        <v>44</v>
      </c>
      <c r="B39" s="44">
        <f>'Population Treasury'!P$59*'Statistics NZ'!P$384*'Economic Forecasts'!R$8/B$7</f>
        <v>25230.947184725712</v>
      </c>
      <c r="C39" s="44">
        <f>'Population Treasury'!Q$59*'Statistics NZ'!Q$384*'Economic Forecasts'!S$8/C$7</f>
        <v>25755.717270679357</v>
      </c>
      <c r="D39" s="44">
        <f>'Population Treasury'!R$59*'Statistics NZ'!R$384*'Economic Forecasts'!T$8/D$7</f>
        <v>25975.179000450687</v>
      </c>
      <c r="E39" s="45">
        <f>'Population Treasury'!S$59*'Statistics NZ'!S$384*'Economic Forecasts'!U$8/E$7</f>
        <v>27420.513232904861</v>
      </c>
      <c r="F39" s="45">
        <f>'Population Treasury'!T$59*'Statistics NZ'!T$384*'Economic Forecasts'!V$8/F$7</f>
        <v>28257.935803056644</v>
      </c>
      <c r="G39" s="45">
        <f>'Population Treasury'!U$59*'Statistics NZ'!U$384*'Economic Forecasts'!W$8/G$7</f>
        <v>28538.269721436114</v>
      </c>
      <c r="H39" s="45">
        <f>'Population Treasury'!V$59*'Statistics NZ'!V$384*'Economic Forecasts'!X$8/H$7</f>
        <v>29689.975476761007</v>
      </c>
      <c r="I39" s="45">
        <f>'Population Treasury'!W$59*'Statistics NZ'!W$384*'Economic Forecasts'!Y$8/I$7</f>
        <v>30697.859297029227</v>
      </c>
      <c r="J39" s="45">
        <f>'Population Treasury'!X$59*'Statistics NZ'!X$384*'Economic Forecasts'!Z$8/J$7</f>
        <v>31613.243811131473</v>
      </c>
      <c r="K39" s="45">
        <f>'Population Treasury'!Y$59*'Statistics NZ'!Y$384*'Economic Forecasts'!AA$8/K$7</f>
        <v>32593.161139241485</v>
      </c>
      <c r="L39" s="46">
        <f>K$39*'Population Treasury'!Z$59*'Statistics NZ'!Z$384/('Population Treasury'!Y$59*'Statistics NZ'!Y$384)</f>
        <v>33200.339137869094</v>
      </c>
      <c r="M39" s="46">
        <f>L$39*'Population Treasury'!AA$59*'Statistics NZ'!AA$384/('Population Treasury'!Z$59*'Statistics NZ'!Z$384)</f>
        <v>34217.002344733854</v>
      </c>
      <c r="N39" s="46">
        <f>M$39*'Population Treasury'!AB$59*'Statistics NZ'!AB$384/('Population Treasury'!AA$59*'Statistics NZ'!AA$384)</f>
        <v>36550.909361181599</v>
      </c>
      <c r="O39" s="46">
        <f>N$39*'Population Treasury'!AC$59*'Statistics NZ'!AC$384/('Population Treasury'!AB$59*'Statistics NZ'!AB$384)</f>
        <v>37040.351365134527</v>
      </c>
      <c r="P39" s="46">
        <f>O$39*'Population Treasury'!AD$59*'Statistics NZ'!AD$384/('Population Treasury'!AC$59*'Statistics NZ'!AC$384)</f>
        <v>38583.880285459512</v>
      </c>
      <c r="Q39" s="46">
        <f>P$39*'Population Treasury'!AE$59*'Statistics NZ'!AE$384/('Population Treasury'!AD$59*'Statistics NZ'!AD$384)</f>
        <v>39247.53230702869</v>
      </c>
      <c r="R39" s="46">
        <f>Q$39*'Population Treasury'!AF$59*'Statistics NZ'!AF$384/('Population Treasury'!AE$59*'Statistics NZ'!AE$384)</f>
        <v>38908.93857915228</v>
      </c>
      <c r="S39" s="46">
        <f>R$39*'Population Treasury'!AG$59*'Statistics NZ'!AG$384/('Population Treasury'!AF$59*'Statistics NZ'!AF$384)</f>
        <v>38163.732753093267</v>
      </c>
      <c r="T39" s="46">
        <f>S$39*'Population Treasury'!AH$59*'Statistics NZ'!AH$384/('Population Treasury'!AG$59*'Statistics NZ'!AG$384)</f>
        <v>37185.051421614386</v>
      </c>
      <c r="U39" s="46">
        <f>T$39*'Population Treasury'!AI$59*'Statistics NZ'!AI$384/('Population Treasury'!AH$59*'Statistics NZ'!AH$384)</f>
        <v>36952.07894290753</v>
      </c>
    </row>
    <row r="40" spans="1:21" x14ac:dyDescent="0.25">
      <c r="A40" s="11">
        <v>45</v>
      </c>
      <c r="B40" s="44">
        <f>'Population Treasury'!P$60*'Statistics NZ'!P$385*'Economic Forecasts'!R$8/B$7</f>
        <v>26503.094731613444</v>
      </c>
      <c r="C40" s="44">
        <f>'Population Treasury'!Q$60*'Statistics NZ'!Q$385*'Economic Forecasts'!S$8/C$7</f>
        <v>25696.609090289738</v>
      </c>
      <c r="D40" s="44">
        <f>'Population Treasury'!R$60*'Statistics NZ'!R$385*'Economic Forecasts'!T$8/D$7</f>
        <v>26206.392915303262</v>
      </c>
      <c r="E40" s="45">
        <f>'Population Treasury'!S$60*'Statistics NZ'!S$385*'Economic Forecasts'!U$8/E$7</f>
        <v>26297.233600316249</v>
      </c>
      <c r="F40" s="45">
        <f>'Population Treasury'!T$60*'Statistics NZ'!T$385*'Economic Forecasts'!V$8/F$7</f>
        <v>27829.454926548118</v>
      </c>
      <c r="G40" s="45">
        <f>'Population Treasury'!U$60*'Statistics NZ'!U$385*'Economic Forecasts'!W$8/G$7</f>
        <v>28265.585418667408</v>
      </c>
      <c r="H40" s="45">
        <f>'Population Treasury'!V$60*'Statistics NZ'!V$385*'Economic Forecasts'!X$8/H$7</f>
        <v>28902.210627680233</v>
      </c>
      <c r="I40" s="45">
        <f>'Population Treasury'!W$60*'Statistics NZ'!W$385*'Economic Forecasts'!Y$8/I$7</f>
        <v>30145.735514353612</v>
      </c>
      <c r="J40" s="45">
        <f>'Population Treasury'!X$60*'Statistics NZ'!X$385*'Economic Forecasts'!Z$8/J$7</f>
        <v>31136.856502558683</v>
      </c>
      <c r="K40" s="45">
        <f>'Population Treasury'!Y$60*'Statistics NZ'!Y$385*'Economic Forecasts'!AA$8/K$7</f>
        <v>32012.030023218569</v>
      </c>
      <c r="L40" s="46">
        <f>K$40*'Population Treasury'!Z$60*'Statistics NZ'!Z$385/('Population Treasury'!Y$60*'Statistics NZ'!Y$385)</f>
        <v>32819.618755890689</v>
      </c>
      <c r="M40" s="46">
        <f>L$40*'Population Treasury'!AA$60*'Statistics NZ'!AA$385/('Population Treasury'!Z$60*'Statistics NZ'!Z$385)</f>
        <v>33340.150063436471</v>
      </c>
      <c r="N40" s="46">
        <f>M$40*'Population Treasury'!AB$60*'Statistics NZ'!AB$385/('Population Treasury'!AA$60*'Statistics NZ'!AA$385)</f>
        <v>34306.05362719702</v>
      </c>
      <c r="O40" s="46">
        <f>N$40*'Population Treasury'!AC$60*'Statistics NZ'!AC$385/('Population Treasury'!AB$60*'Statistics NZ'!AB$385)</f>
        <v>36605.618161242928</v>
      </c>
      <c r="P40" s="46">
        <f>O$40*'Population Treasury'!AD$60*'Statistics NZ'!AD$385/('Population Treasury'!AC$60*'Statistics NZ'!AC$385)</f>
        <v>37049.120940812041</v>
      </c>
      <c r="Q40" s="46">
        <f>P$40*'Population Treasury'!AE$60*'Statistics NZ'!AE$385/('Population Treasury'!AD$60*'Statistics NZ'!AD$385)</f>
        <v>38554.046097856517</v>
      </c>
      <c r="R40" s="46">
        <f>Q$40*'Population Treasury'!AF$60*'Statistics NZ'!AF$385/('Population Treasury'!AE$60*'Statistics NZ'!AE$385)</f>
        <v>39175.337783024457</v>
      </c>
      <c r="S40" s="46">
        <f>R$40*'Population Treasury'!AG$60*'Statistics NZ'!AG$385/('Population Treasury'!AF$60*'Statistics NZ'!AF$385)</f>
        <v>38831.281677295439</v>
      </c>
      <c r="T40" s="46">
        <f>S$40*'Population Treasury'!AH$60*'Statistics NZ'!AH$385/('Population Treasury'!AG$60*'Statistics NZ'!AG$385)</f>
        <v>38047.825477748447</v>
      </c>
      <c r="U40" s="46">
        <f>T$40*'Population Treasury'!AI$60*'Statistics NZ'!AI$385/('Population Treasury'!AH$60*'Statistics NZ'!AH$385)</f>
        <v>37038.496750659993</v>
      </c>
    </row>
    <row r="41" spans="1:21" x14ac:dyDescent="0.25">
      <c r="A41" s="11">
        <v>46</v>
      </c>
      <c r="B41" s="44">
        <f>'Population Treasury'!P$61*'Statistics NZ'!P$386*'Economic Forecasts'!R$8/B$7</f>
        <v>27724.878089423099</v>
      </c>
      <c r="C41" s="44">
        <f>'Population Treasury'!Q$61*'Statistics NZ'!Q$386*'Economic Forecasts'!S$8/C$7</f>
        <v>27007.460549768493</v>
      </c>
      <c r="D41" s="44">
        <f>'Population Treasury'!R$61*'Statistics NZ'!R$386*'Economic Forecasts'!T$8/D$7</f>
        <v>26116.781767768844</v>
      </c>
      <c r="E41" s="45">
        <f>'Population Treasury'!S$61*'Statistics NZ'!S$386*'Economic Forecasts'!U$8/E$7</f>
        <v>26481.395919939405</v>
      </c>
      <c r="F41" s="45">
        <f>'Population Treasury'!T$61*'Statistics NZ'!T$386*'Economic Forecasts'!V$8/F$7</f>
        <v>27158.295510297725</v>
      </c>
      <c r="G41" s="45">
        <f>'Population Treasury'!U$61*'Statistics NZ'!U$386*'Economic Forecasts'!W$8/G$7</f>
        <v>28092.137657200888</v>
      </c>
      <c r="H41" s="45">
        <f>'Population Treasury'!V$61*'Statistics NZ'!V$386*'Economic Forecasts'!X$8/H$7</f>
        <v>28666.304491330597</v>
      </c>
      <c r="I41" s="45">
        <f>'Population Treasury'!W$61*'Statistics NZ'!W$386*'Economic Forecasts'!Y$8/I$7</f>
        <v>29373.770482524345</v>
      </c>
      <c r="J41" s="45">
        <f>'Population Treasury'!X$61*'Statistics NZ'!X$386*'Economic Forecasts'!Z$8/J$7</f>
        <v>30600.249938836481</v>
      </c>
      <c r="K41" s="45">
        <f>'Population Treasury'!Y$61*'Statistics NZ'!Y$386*'Economic Forecasts'!AA$8/K$7</f>
        <v>31564.241922477813</v>
      </c>
      <c r="L41" s="46">
        <f>K$41*'Population Treasury'!Z$61*'Statistics NZ'!Z$386/('Population Treasury'!Y$61*'Statistics NZ'!Y$386)</f>
        <v>32271.742676029739</v>
      </c>
      <c r="M41" s="46">
        <f>L$41*'Population Treasury'!AA$61*'Statistics NZ'!AA$386/('Population Treasury'!Z$61*'Statistics NZ'!Z$386)</f>
        <v>33078.553260138084</v>
      </c>
      <c r="N41" s="46">
        <f>M$41*'Population Treasury'!AB$61*'Statistics NZ'!AB$386/('Population Treasury'!AA$61*'Statistics NZ'!AA$386)</f>
        <v>33585.411436703376</v>
      </c>
      <c r="O41" s="46">
        <f>N$41*'Population Treasury'!AC$61*'Statistics NZ'!AC$386/('Population Treasury'!AB$61*'Statistics NZ'!AB$386)</f>
        <v>34549.867992473941</v>
      </c>
      <c r="P41" s="46">
        <f>O$41*'Population Treasury'!AD$61*'Statistics NZ'!AD$386/('Population Treasury'!AC$61*'Statistics NZ'!AC$386)</f>
        <v>36858.57991099987</v>
      </c>
      <c r="Q41" s="46">
        <f>P$41*'Population Treasury'!AE$61*'Statistics NZ'!AE$386/('Population Treasury'!AD$61*'Statistics NZ'!AD$386)</f>
        <v>37298.897325475467</v>
      </c>
      <c r="R41" s="46">
        <f>Q$41*'Population Treasury'!AF$61*'Statistics NZ'!AF$386/('Population Treasury'!AE$61*'Statistics NZ'!AE$386)</f>
        <v>38820.427648350014</v>
      </c>
      <c r="S41" s="46">
        <f>R$41*'Population Treasury'!AG$61*'Statistics NZ'!AG$386/('Population Treasury'!AF$61*'Statistics NZ'!AF$386)</f>
        <v>39439.609136912652</v>
      </c>
      <c r="T41" s="46">
        <f>S$41*'Population Treasury'!AH$61*'Statistics NZ'!AH$386/('Population Treasury'!AG$61*'Statistics NZ'!AG$386)</f>
        <v>39063.792937618302</v>
      </c>
      <c r="U41" s="46">
        <f>T$41*'Population Treasury'!AI$61*'Statistics NZ'!AI$386/('Population Treasury'!AH$61*'Statistics NZ'!AH$386)</f>
        <v>38295.223317272692</v>
      </c>
    </row>
    <row r="42" spans="1:21" x14ac:dyDescent="0.25">
      <c r="A42" s="11">
        <v>47</v>
      </c>
      <c r="B42" s="44">
        <f>'Population Treasury'!P$62*'Statistics NZ'!P$387*'Economic Forecasts'!R$8/B$7</f>
        <v>28437.856354077576</v>
      </c>
      <c r="C42" s="44">
        <f>'Population Treasury'!Q$62*'Statistics NZ'!Q$387*'Economic Forecasts'!S$8/C$7</f>
        <v>28184.325662323659</v>
      </c>
      <c r="D42" s="44">
        <f>'Population Treasury'!R$62*'Statistics NZ'!R$387*'Economic Forecasts'!T$8/D$7</f>
        <v>27401.193790301801</v>
      </c>
      <c r="E42" s="45">
        <f>'Population Treasury'!S$62*'Statistics NZ'!S$387*'Economic Forecasts'!U$8/E$7</f>
        <v>26331.310554582553</v>
      </c>
      <c r="F42" s="45">
        <f>'Population Treasury'!T$62*'Statistics NZ'!T$387*'Economic Forecasts'!V$8/F$7</f>
        <v>27294.183455053691</v>
      </c>
      <c r="G42" s="45">
        <f>'Population Treasury'!U$62*'Statistics NZ'!U$387*'Economic Forecasts'!W$8/G$7</f>
        <v>27335.107907548347</v>
      </c>
      <c r="H42" s="45">
        <f>'Population Treasury'!V$62*'Statistics NZ'!V$387*'Economic Forecasts'!X$8/H$7</f>
        <v>28419.442179156824</v>
      </c>
      <c r="I42" s="45">
        <f>'Population Treasury'!W$62*'Statistics NZ'!W$387*'Economic Forecasts'!Y$8/I$7</f>
        <v>29052.152136935998</v>
      </c>
      <c r="J42" s="45">
        <f>'Population Treasury'!X$62*'Statistics NZ'!X$387*'Economic Forecasts'!Z$8/J$7</f>
        <v>29728.636258162045</v>
      </c>
      <c r="K42" s="45">
        <f>'Population Treasury'!Y$62*'Statistics NZ'!Y$387*'Economic Forecasts'!AA$8/K$7</f>
        <v>30939.94694322627</v>
      </c>
      <c r="L42" s="46">
        <f>K$42*'Population Treasury'!Z$62*'Statistics NZ'!Z$387/('Population Treasury'!Y$62*'Statistics NZ'!Y$387)</f>
        <v>31729.722355099886</v>
      </c>
      <c r="M42" s="46">
        <f>L$42*'Population Treasury'!AA$62*'Statistics NZ'!AA$387/('Population Treasury'!Z$62*'Statistics NZ'!Z$387)</f>
        <v>32414.681782686708</v>
      </c>
      <c r="N42" s="46">
        <f>M$42*'Population Treasury'!AB$62*'Statistics NZ'!AB$387/('Population Treasury'!AA$62*'Statistics NZ'!AA$387)</f>
        <v>33228.371462291208</v>
      </c>
      <c r="O42" s="46">
        <f>N$42*'Population Treasury'!AC$62*'Statistics NZ'!AC$387/('Population Treasury'!AB$62*'Statistics NZ'!AB$387)</f>
        <v>33751.901548145797</v>
      </c>
      <c r="P42" s="46">
        <f>O$42*'Population Treasury'!AD$62*'Statistics NZ'!AD$387/('Population Treasury'!AC$62*'Statistics NZ'!AC$387)</f>
        <v>34705.445569454001</v>
      </c>
      <c r="Q42" s="46">
        <f>P$42*'Population Treasury'!AE$62*'Statistics NZ'!AE$387/('Population Treasury'!AD$62*'Statistics NZ'!AD$387)</f>
        <v>37011.462840463151</v>
      </c>
      <c r="R42" s="46">
        <f>Q$42*'Population Treasury'!AF$62*'Statistics NZ'!AF$387/('Population Treasury'!AE$62*'Statistics NZ'!AE$387)</f>
        <v>37449.780889325681</v>
      </c>
      <c r="S42" s="46">
        <f>R$42*'Population Treasury'!AG$62*'Statistics NZ'!AG$387/('Population Treasury'!AF$62*'Statistics NZ'!AF$387)</f>
        <v>38969.625839116896</v>
      </c>
      <c r="T42" s="46">
        <f>S$42*'Population Treasury'!AH$62*'Statistics NZ'!AH$387/('Population Treasury'!AG$62*'Statistics NZ'!AG$387)</f>
        <v>39586.559761645192</v>
      </c>
      <c r="U42" s="46">
        <f>T$42*'Population Treasury'!AI$62*'Statistics NZ'!AI$387/('Population Treasury'!AH$62*'Statistics NZ'!AH$387)</f>
        <v>39206.672869712682</v>
      </c>
    </row>
    <row r="43" spans="1:21" x14ac:dyDescent="0.25">
      <c r="A43" s="11">
        <v>48</v>
      </c>
      <c r="B43" s="44">
        <f>'Population Treasury'!P$63*'Statistics NZ'!P$388*'Economic Forecasts'!R$8/B$7</f>
        <v>29532.67161558993</v>
      </c>
      <c r="C43" s="44">
        <f>'Population Treasury'!Q$63*'Statistics NZ'!Q$388*'Economic Forecasts'!S$8/C$7</f>
        <v>28846.3705396308</v>
      </c>
      <c r="D43" s="44">
        <f>'Population Treasury'!R$63*'Statistics NZ'!R$388*'Economic Forecasts'!T$8/D$7</f>
        <v>28534.120305745717</v>
      </c>
      <c r="E43" s="45">
        <f>'Population Treasury'!S$63*'Statistics NZ'!S$388*'Economic Forecasts'!U$8/E$7</f>
        <v>27557.030039819023</v>
      </c>
      <c r="F43" s="45">
        <f>'Population Treasury'!T$63*'Statistics NZ'!T$388*'Economic Forecasts'!V$8/F$7</f>
        <v>27047.700324941052</v>
      </c>
      <c r="G43" s="45">
        <f>'Population Treasury'!U$63*'Statistics NZ'!U$388*'Economic Forecasts'!W$8/G$7</f>
        <v>27379.926161816838</v>
      </c>
      <c r="H43" s="45">
        <f>'Population Treasury'!V$63*'Statistics NZ'!V$388*'Economic Forecasts'!X$8/H$7</f>
        <v>27575.0456078631</v>
      </c>
      <c r="I43" s="45">
        <f>'Population Treasury'!W$63*'Statistics NZ'!W$388*'Economic Forecasts'!Y$8/I$7</f>
        <v>28720.16046689498</v>
      </c>
      <c r="J43" s="45">
        <f>'Population Treasury'!X$63*'Statistics NZ'!X$388*'Economic Forecasts'!Z$8/J$7</f>
        <v>29330.969823320855</v>
      </c>
      <c r="K43" s="45">
        <f>'Population Treasury'!Y$63*'Statistics NZ'!Y$388*'Economic Forecasts'!AA$8/K$7</f>
        <v>29980.242921248009</v>
      </c>
      <c r="L43" s="46">
        <f>K$43*'Population Treasury'!Z$63*'Statistics NZ'!Z$388/('Population Treasury'!Y$63*'Statistics NZ'!Y$388)</f>
        <v>31016.78149951126</v>
      </c>
      <c r="M43" s="46">
        <f>L$43*'Population Treasury'!AA$63*'Statistics NZ'!AA$388/('Population Treasury'!Z$63*'Statistics NZ'!Z$388)</f>
        <v>31804.180906231304</v>
      </c>
      <c r="N43" s="46">
        <f>M$43*'Population Treasury'!AB$63*'Statistics NZ'!AB$388/('Population Treasury'!AA$63*'Statistics NZ'!AA$388)</f>
        <v>32486.348898904365</v>
      </c>
      <c r="O43" s="46">
        <f>N$43*'Population Treasury'!AC$63*'Statistics NZ'!AC$388/('Population Treasury'!AB$63*'Statistics NZ'!AB$388)</f>
        <v>33297.705088600669</v>
      </c>
      <c r="P43" s="46">
        <f>O$43*'Population Treasury'!AD$63*'Statistics NZ'!AD$388/('Population Treasury'!AC$63*'Statistics NZ'!AC$388)</f>
        <v>33818.392678127013</v>
      </c>
      <c r="Q43" s="46">
        <f>P$43*'Population Treasury'!AE$63*'Statistics NZ'!AE$388/('Population Treasury'!AD$63*'Statistics NZ'!AD$388)</f>
        <v>34769.933970876838</v>
      </c>
      <c r="R43" s="46">
        <f>Q$43*'Population Treasury'!AF$63*'Statistics NZ'!AF$388/('Population Treasury'!AE$63*'Statistics NZ'!AE$388)</f>
        <v>37082.582236046619</v>
      </c>
      <c r="S43" s="46">
        <f>R$43*'Population Treasury'!AG$63*'Statistics NZ'!AG$388/('Population Treasury'!AF$63*'Statistics NZ'!AF$388)</f>
        <v>37500.168703358948</v>
      </c>
      <c r="T43" s="46">
        <f>S$43*'Population Treasury'!AH$63*'Statistics NZ'!AH$388/('Population Treasury'!AG$63*'Statistics NZ'!AG$388)</f>
        <v>39026.469026093699</v>
      </c>
      <c r="U43" s="46">
        <f>T$43*'Population Treasury'!AI$63*'Statistics NZ'!AI$388/('Population Treasury'!AH$63*'Statistics NZ'!AH$388)</f>
        <v>39641.060710403006</v>
      </c>
    </row>
    <row r="44" spans="1:21" x14ac:dyDescent="0.25">
      <c r="A44" s="11">
        <v>49</v>
      </c>
      <c r="B44" s="44">
        <f>'Population Treasury'!P$64*'Statistics NZ'!P$389*'Economic Forecasts'!R$8/B$7</f>
        <v>29879.313942945613</v>
      </c>
      <c r="C44" s="44">
        <f>'Population Treasury'!Q$64*'Statistics NZ'!Q$389*'Economic Forecasts'!S$8/C$7</f>
        <v>29886.230368268276</v>
      </c>
      <c r="D44" s="44">
        <f>'Population Treasury'!R$64*'Statistics NZ'!R$389*'Economic Forecasts'!T$8/D$7</f>
        <v>29143.106006108133</v>
      </c>
      <c r="E44" s="45">
        <f>'Population Treasury'!S$64*'Statistics NZ'!S$389*'Economic Forecasts'!U$8/E$7</f>
        <v>28612.320261824138</v>
      </c>
      <c r="F44" s="45">
        <f>'Population Treasury'!T$64*'Statistics NZ'!T$389*'Economic Forecasts'!V$8/F$7</f>
        <v>28267.908565387188</v>
      </c>
      <c r="G44" s="45">
        <f>'Population Treasury'!U$64*'Statistics NZ'!U$389*'Economic Forecasts'!W$8/G$7</f>
        <v>27096.941711175899</v>
      </c>
      <c r="H44" s="45">
        <f>'Population Treasury'!V$64*'Statistics NZ'!V$389*'Economic Forecasts'!X$8/H$7</f>
        <v>27577.350765369531</v>
      </c>
      <c r="I44" s="45">
        <f>'Population Treasury'!W$64*'Statistics NZ'!W$389*'Economic Forecasts'!Y$8/I$7</f>
        <v>27817.054660107777</v>
      </c>
      <c r="J44" s="45">
        <f>'Population Treasury'!X$64*'Statistics NZ'!X$389*'Economic Forecasts'!Z$8/J$7</f>
        <v>28933.830074773501</v>
      </c>
      <c r="K44" s="45">
        <f>'Population Treasury'!Y$64*'Statistics NZ'!Y$389*'Economic Forecasts'!AA$8/K$7</f>
        <v>29515.389151294199</v>
      </c>
      <c r="L44" s="46">
        <f>K$44*'Population Treasury'!Z$64*'Statistics NZ'!Z$389/('Population Treasury'!Y$64*'Statistics NZ'!Y$389)</f>
        <v>30002.146134312774</v>
      </c>
      <c r="M44" s="46">
        <f>L$44*'Population Treasury'!AA$64*'Statistics NZ'!AA$389/('Population Treasury'!Z$64*'Statistics NZ'!Z$389)</f>
        <v>31027.010837134156</v>
      </c>
      <c r="N44" s="46">
        <f>M$44*'Population Treasury'!AB$64*'Statistics NZ'!AB$389/('Population Treasury'!AA$64*'Statistics NZ'!AA$389)</f>
        <v>31812.011656416518</v>
      </c>
      <c r="O44" s="46">
        <f>N$44*'Population Treasury'!AC$64*'Statistics NZ'!AC$389/('Population Treasury'!AB$64*'Statistics NZ'!AB$389)</f>
        <v>32500.802473613741</v>
      </c>
      <c r="P44" s="46">
        <f>O$44*'Population Treasury'!AD$64*'Statistics NZ'!AD$389/('Population Treasury'!AC$64*'Statistics NZ'!AC$389)</f>
        <v>33300.520540126912</v>
      </c>
      <c r="Q44" s="46">
        <f>P$44*'Population Treasury'!AE$64*'Statistics NZ'!AE$389/('Population Treasury'!AD$64*'Statistics NZ'!AD$389)</f>
        <v>33818.545823293498</v>
      </c>
      <c r="R44" s="46">
        <f>Q$44*'Population Treasury'!AF$64*'Statistics NZ'!AF$389/('Population Treasury'!AE$64*'Statistics NZ'!AE$389)</f>
        <v>34767.86929766414</v>
      </c>
      <c r="S44" s="46">
        <f>R$44*'Population Treasury'!AG$64*'Statistics NZ'!AG$389/('Population Treasury'!AF$64*'Statistics NZ'!AF$389)</f>
        <v>37077.972093525335</v>
      </c>
      <c r="T44" s="46">
        <f>S$44*'Population Treasury'!AH$64*'Statistics NZ'!AH$389/('Population Treasury'!AG$64*'Statistics NZ'!AG$389)</f>
        <v>37502.530003397274</v>
      </c>
      <c r="U44" s="46">
        <f>T$44*'Population Treasury'!AI$64*'Statistics NZ'!AI$389/('Population Treasury'!AH$64*'Statistics NZ'!AH$389)</f>
        <v>39015.676409262276</v>
      </c>
    </row>
    <row r="45" spans="1:21" x14ac:dyDescent="0.25">
      <c r="A45" s="11">
        <v>50</v>
      </c>
      <c r="B45" s="44">
        <f>'Population Treasury'!P$65*'Statistics NZ'!P$390*'Economic Forecasts'!R$8/B$7</f>
        <v>28584.633523604036</v>
      </c>
      <c r="C45" s="44">
        <f>'Population Treasury'!Q$65*'Statistics NZ'!Q$390*'Economic Forecasts'!S$8/C$7</f>
        <v>30193.291831214519</v>
      </c>
      <c r="D45" s="44">
        <f>'Population Treasury'!R$65*'Statistics NZ'!R$390*'Economic Forecasts'!T$8/D$7</f>
        <v>30134.932886213162</v>
      </c>
      <c r="E45" s="45">
        <f>'Population Treasury'!S$65*'Statistics NZ'!S$390*'Economic Forecasts'!U$8/E$7</f>
        <v>29038.409109216624</v>
      </c>
      <c r="F45" s="45">
        <f>'Population Treasury'!T$65*'Statistics NZ'!T$390*'Economic Forecasts'!V$8/F$7</f>
        <v>29221.668475957686</v>
      </c>
      <c r="G45" s="45">
        <f>'Population Treasury'!U$65*'Statistics NZ'!U$390*'Economic Forecasts'!W$8/G$7</f>
        <v>28233.881255408956</v>
      </c>
      <c r="H45" s="45">
        <f>'Population Treasury'!V$65*'Statistics NZ'!V$390*'Economic Forecasts'!X$8/H$7</f>
        <v>27206.671747489694</v>
      </c>
      <c r="I45" s="45">
        <f>'Population Treasury'!W$65*'Statistics NZ'!W$390*'Economic Forecasts'!Y$8/I$7</f>
        <v>27729.926380505116</v>
      </c>
      <c r="J45" s="45">
        <f>'Population Treasury'!X$65*'Statistics NZ'!X$390*'Economic Forecasts'!Z$8/J$7</f>
        <v>27944.250884351321</v>
      </c>
      <c r="K45" s="45">
        <f>'Population Treasury'!Y$65*'Statistics NZ'!Y$390*'Economic Forecasts'!AA$8/K$7</f>
        <v>29044.549486142911</v>
      </c>
      <c r="L45" s="46">
        <f>K$45*'Population Treasury'!Z$65*'Statistics NZ'!Z$390/('Population Treasury'!Y$65*'Statistics NZ'!Y$390)</f>
        <v>29452.795056868894</v>
      </c>
      <c r="M45" s="46">
        <f>L$45*'Population Treasury'!AA$65*'Statistics NZ'!AA$390/('Population Treasury'!Z$65*'Statistics NZ'!Z$390)</f>
        <v>29914.214865447419</v>
      </c>
      <c r="N45" s="46">
        <f>M$45*'Population Treasury'!AB$65*'Statistics NZ'!AB$390/('Population Treasury'!AA$65*'Statistics NZ'!AA$390)</f>
        <v>30913.967943076423</v>
      </c>
      <c r="O45" s="46">
        <f>N$45*'Population Treasury'!AC$65*'Statistics NZ'!AC$390/('Population Treasury'!AB$65*'Statistics NZ'!AB$390)</f>
        <v>31686.09417852576</v>
      </c>
      <c r="P45" s="46">
        <f>O$45*'Population Treasury'!AD$65*'Statistics NZ'!AD$390/('Population Treasury'!AC$65*'Statistics NZ'!AC$390)</f>
        <v>32363.667151665195</v>
      </c>
      <c r="Q45" s="46">
        <f>P$45*'Population Treasury'!AE$65*'Statistics NZ'!AE$390/('Population Treasury'!AD$65*'Statistics NZ'!AD$390)</f>
        <v>33153.918291704409</v>
      </c>
      <c r="R45" s="46">
        <f>Q$45*'Population Treasury'!AF$65*'Statistics NZ'!AF$390/('Population Treasury'!AE$65*'Statistics NZ'!AE$390)</f>
        <v>33653.669863730553</v>
      </c>
      <c r="S45" s="46">
        <f>R$45*'Population Treasury'!AG$65*'Statistics NZ'!AG$390/('Population Treasury'!AF$65*'Statistics NZ'!AF$390)</f>
        <v>34596.985962873398</v>
      </c>
      <c r="T45" s="46">
        <f>S$45*'Population Treasury'!AH$65*'Statistics NZ'!AH$390/('Population Treasury'!AG$65*'Statistics NZ'!AG$390)</f>
        <v>36893.480916424203</v>
      </c>
      <c r="U45" s="46">
        <f>T$45*'Population Treasury'!AI$65*'Statistics NZ'!AI$390/('Population Treasury'!AH$65*'Statistics NZ'!AH$390)</f>
        <v>37324.777425092543</v>
      </c>
    </row>
    <row r="46" spans="1:21" x14ac:dyDescent="0.25">
      <c r="A46" s="11">
        <v>51</v>
      </c>
      <c r="B46" s="44">
        <f>'Population Treasury'!P$66*'Statistics NZ'!P$391*'Economic Forecasts'!R$8/B$7</f>
        <v>28615.49930249884</v>
      </c>
      <c r="C46" s="44">
        <f>'Population Treasury'!Q$66*'Statistics NZ'!Q$391*'Economic Forecasts'!S$8/C$7</f>
        <v>28746.129758154628</v>
      </c>
      <c r="D46" s="44">
        <f>'Population Treasury'!R$66*'Statistics NZ'!R$391*'Economic Forecasts'!T$8/D$7</f>
        <v>30366.177547231087</v>
      </c>
      <c r="E46" s="45">
        <f>'Population Treasury'!S$66*'Statistics NZ'!S$391*'Economic Forecasts'!U$8/E$7</f>
        <v>29977.322736082777</v>
      </c>
      <c r="F46" s="45">
        <f>'Population Treasury'!T$66*'Statistics NZ'!T$391*'Economic Forecasts'!V$8/F$7</f>
        <v>29735.638781694583</v>
      </c>
      <c r="G46" s="45">
        <f>'Population Treasury'!U$66*'Statistics NZ'!U$391*'Economic Forecasts'!W$8/G$7</f>
        <v>29212.049182542742</v>
      </c>
      <c r="H46" s="45">
        <f>'Population Treasury'!V$66*'Statistics NZ'!V$391*'Economic Forecasts'!X$8/H$7</f>
        <v>28308.304524756262</v>
      </c>
      <c r="I46" s="45">
        <f>'Population Treasury'!W$66*'Statistics NZ'!W$391*'Economic Forecasts'!Y$8/I$7</f>
        <v>27319.461909631231</v>
      </c>
      <c r="J46" s="45">
        <f>'Population Treasury'!X$66*'Statistics NZ'!X$391*'Economic Forecasts'!Z$8/J$7</f>
        <v>27820.867740098933</v>
      </c>
      <c r="K46" s="45">
        <f>'Population Treasury'!Y$66*'Statistics NZ'!Y$391*'Economic Forecasts'!AA$8/K$7</f>
        <v>28004.345569876725</v>
      </c>
      <c r="L46" s="46">
        <f>K$46*'Population Treasury'!Z$66*'Statistics NZ'!Z$391/('Population Treasury'!Y$66*'Statistics NZ'!Y$391)</f>
        <v>28928.395854213486</v>
      </c>
      <c r="M46" s="46">
        <f>L$46*'Population Treasury'!AA$66*'Statistics NZ'!AA$391/('Population Treasury'!Z$66*'Statistics NZ'!Z$391)</f>
        <v>29325.40381911314</v>
      </c>
      <c r="N46" s="46">
        <f>M$46*'Population Treasury'!AB$66*'Statistics NZ'!AB$391/('Population Treasury'!AA$66*'Statistics NZ'!AA$391)</f>
        <v>29786.033742698182</v>
      </c>
      <c r="O46" s="46">
        <f>N$46*'Population Treasury'!AC$66*'Statistics NZ'!AC$391/('Population Treasury'!AB$66*'Statistics NZ'!AB$391)</f>
        <v>30785.112677634064</v>
      </c>
      <c r="P46" s="46">
        <f>O$46*'Population Treasury'!AD$66*'Statistics NZ'!AD$391/('Population Treasury'!AC$66*'Statistics NZ'!AC$391)</f>
        <v>31545.99337495731</v>
      </c>
      <c r="Q46" s="46">
        <f>P$46*'Population Treasury'!AE$66*'Statistics NZ'!AE$391/('Population Treasury'!AD$66*'Statistics NZ'!AD$391)</f>
        <v>32222.951238244252</v>
      </c>
      <c r="R46" s="46">
        <f>Q$46*'Population Treasury'!AF$66*'Statistics NZ'!AF$391/('Population Treasury'!AE$66*'Statistics NZ'!AE$391)</f>
        <v>33012.457223279329</v>
      </c>
      <c r="S46" s="46">
        <f>R$46*'Population Treasury'!AG$66*'Statistics NZ'!AG$391/('Population Treasury'!AF$66*'Statistics NZ'!AF$391)</f>
        <v>33511.609661162409</v>
      </c>
      <c r="T46" s="46">
        <f>S$46*'Population Treasury'!AH$66*'Statistics NZ'!AH$391/('Population Treasury'!AG$66*'Statistics NZ'!AG$391)</f>
        <v>34443.562420318536</v>
      </c>
      <c r="U46" s="46">
        <f>T$46*'Population Treasury'!AI$66*'Statistics NZ'!AI$391/('Population Treasury'!AH$66*'Statistics NZ'!AH$391)</f>
        <v>36738.179137380357</v>
      </c>
    </row>
    <row r="47" spans="1:21" x14ac:dyDescent="0.25">
      <c r="A47" s="11">
        <v>52</v>
      </c>
      <c r="B47" s="44">
        <f>'Population Treasury'!P$67*'Statistics NZ'!P$392*'Economic Forecasts'!R$8/B$7</f>
        <v>27940.303211897393</v>
      </c>
      <c r="C47" s="44">
        <f>'Population Treasury'!Q$67*'Statistics NZ'!Q$392*'Economic Forecasts'!S$8/C$7</f>
        <v>28762.021387980625</v>
      </c>
      <c r="D47" s="44">
        <f>'Population Treasury'!R$67*'Statistics NZ'!R$392*'Economic Forecasts'!T$8/D$7</f>
        <v>28859.756689283757</v>
      </c>
      <c r="E47" s="45">
        <f>'Population Treasury'!S$67*'Statistics NZ'!S$392*'Economic Forecasts'!U$8/E$7</f>
        <v>30184.989610677891</v>
      </c>
      <c r="F47" s="45">
        <f>'Population Treasury'!T$67*'Statistics NZ'!T$392*'Economic Forecasts'!V$8/F$7</f>
        <v>30663.452624947855</v>
      </c>
      <c r="G47" s="45">
        <f>'Population Treasury'!U$67*'Statistics NZ'!U$392*'Economic Forecasts'!W$8/G$7</f>
        <v>29698.060570171303</v>
      </c>
      <c r="H47" s="45">
        <f>'Population Treasury'!V$67*'Statistics NZ'!V$392*'Economic Forecasts'!X$8/H$7</f>
        <v>29252.953446597952</v>
      </c>
      <c r="I47" s="45">
        <f>'Population Treasury'!W$67*'Statistics NZ'!W$392*'Economic Forecasts'!Y$8/I$7</f>
        <v>28389.736680525632</v>
      </c>
      <c r="J47" s="45">
        <f>'Population Treasury'!X$67*'Statistics NZ'!X$392*'Economic Forecasts'!Z$8/J$7</f>
        <v>27376.366904568404</v>
      </c>
      <c r="K47" s="45">
        <f>'Population Treasury'!Y$67*'Statistics NZ'!Y$392*'Economic Forecasts'!AA$8/K$7</f>
        <v>27839.644764882953</v>
      </c>
      <c r="L47" s="46">
        <f>K$47*'Population Treasury'!Z$67*'Statistics NZ'!Z$392/('Population Treasury'!Y$67*'Statistics NZ'!Y$392)</f>
        <v>27861.794512035747</v>
      </c>
      <c r="M47" s="46">
        <f>L$47*'Population Treasury'!AA$67*'Statistics NZ'!AA$392/('Population Treasury'!Z$67*'Statistics NZ'!Z$392)</f>
        <v>28785.213964671562</v>
      </c>
      <c r="N47" s="46">
        <f>M$47*'Population Treasury'!AB$67*'Statistics NZ'!AB$392/('Population Treasury'!AA$67*'Statistics NZ'!AA$392)</f>
        <v>29181.556553051811</v>
      </c>
      <c r="O47" s="46">
        <f>N$47*'Population Treasury'!AC$67*'Statistics NZ'!AC$392/('Population Treasury'!AB$67*'Statistics NZ'!AB$392)</f>
        <v>29641.356271968511</v>
      </c>
      <c r="P47" s="46">
        <f>O$47*'Population Treasury'!AD$67*'Statistics NZ'!AD$392/('Population Treasury'!AC$67*'Statistics NZ'!AC$392)</f>
        <v>30629.338829037228</v>
      </c>
      <c r="Q47" s="46">
        <f>P$47*'Population Treasury'!AE$67*'Statistics NZ'!AE$392/('Population Treasury'!AD$67*'Statistics NZ'!AD$392)</f>
        <v>31380.309648565057</v>
      </c>
      <c r="R47" s="46">
        <f>Q$47*'Population Treasury'!AF$67*'Statistics NZ'!AF$392/('Population Treasury'!AE$67*'Statistics NZ'!AE$392)</f>
        <v>32056.805640208844</v>
      </c>
      <c r="S47" s="46">
        <f>R$47*'Population Treasury'!AG$67*'Statistics NZ'!AG$392/('Population Treasury'!AF$67*'Statistics NZ'!AF$392)</f>
        <v>32844.304666570788</v>
      </c>
      <c r="T47" s="46">
        <f>S$47*'Population Treasury'!AH$67*'Statistics NZ'!AH$392/('Population Treasury'!AG$67*'Statistics NZ'!AG$392)</f>
        <v>33332.588991380646</v>
      </c>
      <c r="U47" s="46">
        <f>T$47*'Population Treasury'!AI$67*'Statistics NZ'!AI$392/('Population Treasury'!AH$67*'Statistics NZ'!AH$392)</f>
        <v>34263.492390028652</v>
      </c>
    </row>
    <row r="48" spans="1:21" x14ac:dyDescent="0.25">
      <c r="A48" s="11">
        <v>53</v>
      </c>
      <c r="B48" s="44">
        <f>'Population Treasury'!P$68*'Statistics NZ'!P$393*'Economic Forecasts'!R$8/B$7</f>
        <v>27119.866173925933</v>
      </c>
      <c r="C48" s="44">
        <f>'Population Treasury'!Q$68*'Statistics NZ'!Q$393*'Economic Forecasts'!S$8/C$7</f>
        <v>27944.295688276099</v>
      </c>
      <c r="D48" s="44">
        <f>'Population Treasury'!R$68*'Statistics NZ'!R$393*'Economic Forecasts'!T$8/D$7</f>
        <v>28782.333176083102</v>
      </c>
      <c r="E48" s="45">
        <f>'Population Treasury'!S$68*'Statistics NZ'!S$393*'Economic Forecasts'!U$8/E$7</f>
        <v>28653.952997916131</v>
      </c>
      <c r="F48" s="45">
        <f>'Population Treasury'!T$68*'Statistics NZ'!T$393*'Economic Forecasts'!V$8/F$7</f>
        <v>30835.334073703405</v>
      </c>
      <c r="G48" s="45">
        <f>'Population Treasury'!U$68*'Statistics NZ'!U$393*'Economic Forecasts'!W$8/G$7</f>
        <v>30579.384065283928</v>
      </c>
      <c r="H48" s="45">
        <f>'Population Treasury'!V$68*'Statistics NZ'!V$393*'Economic Forecasts'!X$8/H$7</f>
        <v>29699.412873825167</v>
      </c>
      <c r="I48" s="45">
        <f>'Population Treasury'!W$68*'Statistics NZ'!W$393*'Economic Forecasts'!Y$8/I$7</f>
        <v>29309.47186946938</v>
      </c>
      <c r="J48" s="45">
        <f>'Population Treasury'!X$68*'Statistics NZ'!X$393*'Economic Forecasts'!Z$8/J$7</f>
        <v>28422.85682776658</v>
      </c>
      <c r="K48" s="45">
        <f>'Population Treasury'!Y$68*'Statistics NZ'!Y$393*'Economic Forecasts'!AA$8/K$7</f>
        <v>27371.832024350926</v>
      </c>
      <c r="L48" s="46">
        <f>K$48*'Population Treasury'!Z$68*'Statistics NZ'!Z$393/('Population Treasury'!Y$68*'Statistics NZ'!Y$393)</f>
        <v>27671.309260062146</v>
      </c>
      <c r="M48" s="46">
        <f>L$48*'Population Treasury'!AA$68*'Statistics NZ'!AA$393/('Population Treasury'!Z$68*'Statistics NZ'!Z$393)</f>
        <v>27692.559279113211</v>
      </c>
      <c r="N48" s="46">
        <f>M$48*'Population Treasury'!AB$68*'Statistics NZ'!AB$393/('Population Treasury'!AA$68*'Statistics NZ'!AA$393)</f>
        <v>28595.742750936068</v>
      </c>
      <c r="O48" s="46">
        <f>N$48*'Population Treasury'!AC$68*'Statistics NZ'!AC$393/('Population Treasury'!AB$68*'Statistics NZ'!AB$393)</f>
        <v>28991.423503656017</v>
      </c>
      <c r="P48" s="46">
        <f>O$48*'Population Treasury'!AD$68*'Statistics NZ'!AD$393/('Population Treasury'!AC$68*'Statistics NZ'!AC$393)</f>
        <v>29439.747665721748</v>
      </c>
      <c r="Q48" s="46">
        <f>P$48*'Population Treasury'!AE$68*'Statistics NZ'!AE$393/('Population Treasury'!AD$68*'Statistics NZ'!AD$393)</f>
        <v>30437.770418509423</v>
      </c>
      <c r="R48" s="46">
        <f>Q$48*'Population Treasury'!AF$68*'Statistics NZ'!AF$393/('Population Treasury'!AE$68*'Statistics NZ'!AE$393)</f>
        <v>31186.742587425124</v>
      </c>
      <c r="S48" s="46">
        <f>R$48*'Population Treasury'!AG$68*'Statistics NZ'!AG$393/('Population Treasury'!AF$68*'Statistics NZ'!AF$393)</f>
        <v>31852.390926034233</v>
      </c>
      <c r="T48" s="46">
        <f>S$48*'Population Treasury'!AH$68*'Statistics NZ'!AH$393/('Population Treasury'!AG$68*'Statistics NZ'!AG$393)</f>
        <v>32619.45219286728</v>
      </c>
      <c r="U48" s="46">
        <f>T$48*'Population Treasury'!AI$68*'Statistics NZ'!AI$393/('Population Treasury'!AH$68*'Statistics NZ'!AH$393)</f>
        <v>33117.969004736144</v>
      </c>
    </row>
    <row r="49" spans="1:21" x14ac:dyDescent="0.25">
      <c r="A49" s="11">
        <v>54</v>
      </c>
      <c r="B49" s="44">
        <f>'Population Treasury'!P$69*'Statistics NZ'!P$394*'Economic Forecasts'!R$8/B$7</f>
        <v>26474.265175707969</v>
      </c>
      <c r="C49" s="44">
        <f>'Population Treasury'!Q$69*'Statistics NZ'!Q$394*'Economic Forecasts'!S$8/C$7</f>
        <v>27104.137967230785</v>
      </c>
      <c r="D49" s="44">
        <f>'Population Treasury'!R$69*'Statistics NZ'!R$394*'Economic Forecasts'!T$8/D$7</f>
        <v>27902.914085541677</v>
      </c>
      <c r="E49" s="45">
        <f>'Population Treasury'!S$69*'Statistics NZ'!S$394*'Economic Forecasts'!U$8/E$7</f>
        <v>28505.827619270967</v>
      </c>
      <c r="F49" s="45">
        <f>'Population Treasury'!T$69*'Statistics NZ'!T$394*'Economic Forecasts'!V$8/F$7</f>
        <v>29209.507102292235</v>
      </c>
      <c r="G49" s="45">
        <f>'Population Treasury'!U$69*'Statistics NZ'!U$394*'Economic Forecasts'!W$8/G$7</f>
        <v>30690.687334775572</v>
      </c>
      <c r="H49" s="45">
        <f>'Population Treasury'!V$69*'Statistics NZ'!V$394*'Economic Forecasts'!X$8/H$7</f>
        <v>30524.342758018385</v>
      </c>
      <c r="I49" s="45">
        <f>'Population Treasury'!W$69*'Statistics NZ'!W$394*'Economic Forecasts'!Y$8/I$7</f>
        <v>29698.564167080021</v>
      </c>
      <c r="J49" s="45">
        <f>'Population Treasury'!X$69*'Statistics NZ'!X$394*'Economic Forecasts'!Z$8/J$7</f>
        <v>29286.398048457573</v>
      </c>
      <c r="K49" s="45">
        <f>'Population Treasury'!Y$69*'Statistics NZ'!Y$394*'Economic Forecasts'!AA$8/K$7</f>
        <v>28361.389572325159</v>
      </c>
      <c r="L49" s="46">
        <f>K$49*'Population Treasury'!Z$69*'Statistics NZ'!Z$394/('Population Treasury'!Y$69*'Statistics NZ'!Y$394)</f>
        <v>27187.675254431211</v>
      </c>
      <c r="M49" s="46">
        <f>L$49*'Population Treasury'!AA$69*'Statistics NZ'!AA$394/('Population Treasury'!Z$69*'Statistics NZ'!Z$394)</f>
        <v>27486.038600456191</v>
      </c>
      <c r="N49" s="46">
        <f>M$49*'Population Treasury'!AB$69*'Statistics NZ'!AB$394/('Population Treasury'!AA$69*'Statistics NZ'!AA$394)</f>
        <v>27497.352267092148</v>
      </c>
      <c r="O49" s="46">
        <f>N$49*'Population Treasury'!AC$69*'Statistics NZ'!AC$394/('Population Treasury'!AB$69*'Statistics NZ'!AB$394)</f>
        <v>28398.585290761275</v>
      </c>
      <c r="P49" s="46">
        <f>O$49*'Population Treasury'!AD$69*'Statistics NZ'!AD$394/('Population Treasury'!AC$69*'Statistics NZ'!AC$394)</f>
        <v>28793.706490844757</v>
      </c>
      <c r="Q49" s="46">
        <f>P$49*'Population Treasury'!AE$69*'Statistics NZ'!AE$394/('Population Treasury'!AD$69*'Statistics NZ'!AD$394)</f>
        <v>29241.07191555226</v>
      </c>
      <c r="R49" s="46">
        <f>Q$49*'Population Treasury'!AF$69*'Statistics NZ'!AF$394/('Population Treasury'!AE$69*'Statistics NZ'!AE$394)</f>
        <v>30217.700113799918</v>
      </c>
      <c r="S49" s="46">
        <f>R$49*'Population Treasury'!AG$69*'Statistics NZ'!AG$394/('Population Treasury'!AF$69*'Statistics NZ'!AF$394)</f>
        <v>30966.053692436286</v>
      </c>
      <c r="T49" s="46">
        <f>S$49*'Population Treasury'!AH$69*'Statistics NZ'!AH$394/('Population Treasury'!AG$69*'Statistics NZ'!AG$394)</f>
        <v>31631.592018237603</v>
      </c>
      <c r="U49" s="46">
        <f>T$49*'Population Treasury'!AI$69*'Statistics NZ'!AI$394/('Population Treasury'!AH$69*'Statistics NZ'!AH$394)</f>
        <v>32387.457680369989</v>
      </c>
    </row>
    <row r="50" spans="1:21" x14ac:dyDescent="0.25">
      <c r="A50" s="11">
        <v>55</v>
      </c>
      <c r="B50" s="44">
        <f>'Population Treasury'!P$70*'Statistics NZ'!P$395*'Economic Forecasts'!R$8/B$7</f>
        <v>26650.840125084058</v>
      </c>
      <c r="C50" s="44">
        <f>'Population Treasury'!Q$70*'Statistics NZ'!Q$395*'Economic Forecasts'!S$8/C$7</f>
        <v>26385.586915757398</v>
      </c>
      <c r="D50" s="44">
        <f>'Population Treasury'!R$70*'Statistics NZ'!R$395*'Economic Forecasts'!T$8/D$7</f>
        <v>27060.887666503706</v>
      </c>
      <c r="E50" s="45">
        <f>'Population Treasury'!S$70*'Statistics NZ'!S$395*'Economic Forecasts'!U$8/E$7</f>
        <v>27826.307780444771</v>
      </c>
      <c r="F50" s="45">
        <f>'Population Treasury'!T$70*'Statistics NZ'!T$395*'Economic Forecasts'!V$8/F$7</f>
        <v>29179.892724315181</v>
      </c>
      <c r="G50" s="45">
        <f>'Population Treasury'!U$70*'Statistics NZ'!U$395*'Economic Forecasts'!W$8/G$7</f>
        <v>29112.39685730468</v>
      </c>
      <c r="H50" s="45">
        <f>'Population Treasury'!V$70*'Statistics NZ'!V$395*'Economic Forecasts'!X$8/H$7</f>
        <v>30677.054767548572</v>
      </c>
      <c r="I50" s="45">
        <f>'Population Treasury'!W$70*'Statistics NZ'!W$395*'Economic Forecasts'!Y$8/I$7</f>
        <v>30571.634360166274</v>
      </c>
      <c r="J50" s="45">
        <f>'Population Treasury'!X$70*'Statistics NZ'!X$395*'Economic Forecasts'!Z$8/J$7</f>
        <v>29702.901880479822</v>
      </c>
      <c r="K50" s="45">
        <f>'Population Treasury'!Y$70*'Statistics NZ'!Y$395*'Economic Forecasts'!AA$8/K$7</f>
        <v>29264.229716051152</v>
      </c>
      <c r="L50" s="46">
        <f>K$50*'Population Treasury'!Z$70*'Statistics NZ'!Z$395/('Population Treasury'!Y$70*'Statistics NZ'!Y$395)</f>
        <v>28219.289358862676</v>
      </c>
      <c r="M50" s="46">
        <f>L$50*'Population Treasury'!AA$70*'Statistics NZ'!AA$395/('Population Treasury'!Z$70*'Statistics NZ'!Z$395)</f>
        <v>27065.38185655326</v>
      </c>
      <c r="N50" s="46">
        <f>M$50*'Population Treasury'!AB$70*'Statistics NZ'!AB$395/('Population Treasury'!AA$70*'Statistics NZ'!AA$395)</f>
        <v>27379.044375338373</v>
      </c>
      <c r="O50" s="46">
        <f>N$50*'Population Treasury'!AC$70*'Statistics NZ'!AC$395/('Population Treasury'!AB$70*'Statistics NZ'!AB$395)</f>
        <v>27423.215757460373</v>
      </c>
      <c r="P50" s="46">
        <f>O$50*'Population Treasury'!AD$70*'Statistics NZ'!AD$395/('Population Treasury'!AC$70*'Statistics NZ'!AC$395)</f>
        <v>28316.246147094425</v>
      </c>
      <c r="Q50" s="46">
        <f>P$50*'Population Treasury'!AE$70*'Statistics NZ'!AE$395/('Population Treasury'!AD$70*'Statistics NZ'!AD$395)</f>
        <v>28720.390120987842</v>
      </c>
      <c r="R50" s="46">
        <f>Q$50*'Population Treasury'!AF$70*'Statistics NZ'!AF$395/('Population Treasury'!AE$70*'Statistics NZ'!AE$395)</f>
        <v>29163.423122822442</v>
      </c>
      <c r="S50" s="46">
        <f>R$50*'Population Treasury'!AG$70*'Statistics NZ'!AG$395/('Population Treasury'!AF$70*'Statistics NZ'!AF$395)</f>
        <v>30144.60644865366</v>
      </c>
      <c r="T50" s="46">
        <f>S$50*'Population Treasury'!AH$70*'Statistics NZ'!AH$395/('Population Treasury'!AG$70*'Statistics NZ'!AG$395)</f>
        <v>30884.32289207232</v>
      </c>
      <c r="U50" s="46">
        <f>T$50*'Population Treasury'!AI$70*'Statistics NZ'!AI$395/('Population Treasury'!AH$70*'Statistics NZ'!AH$395)</f>
        <v>31539.403917369491</v>
      </c>
    </row>
    <row r="51" spans="1:21" x14ac:dyDescent="0.25">
      <c r="A51" s="11">
        <v>56</v>
      </c>
      <c r="B51" s="44">
        <f>'Population Treasury'!P$71*'Statistics NZ'!P$396*'Economic Forecasts'!R$8/B$7</f>
        <v>27013.513651152731</v>
      </c>
      <c r="C51" s="44">
        <f>'Population Treasury'!Q$71*'Statistics NZ'!Q$396*'Economic Forecasts'!S$8/C$7</f>
        <v>26492.960735246001</v>
      </c>
      <c r="D51" s="44">
        <f>'Population Treasury'!R$71*'Statistics NZ'!R$396*'Economic Forecasts'!T$8/D$7</f>
        <v>26255.325108630688</v>
      </c>
      <c r="E51" s="45">
        <f>'Population Treasury'!S$71*'Statistics NZ'!S$396*'Economic Forecasts'!U$8/E$7</f>
        <v>26919.939217170493</v>
      </c>
      <c r="F51" s="45">
        <f>'Population Treasury'!T$71*'Statistics NZ'!T$396*'Economic Forecasts'!V$8/F$7</f>
        <v>28247.160968323078</v>
      </c>
      <c r="G51" s="45">
        <f>'Population Treasury'!U$71*'Statistics NZ'!U$396*'Economic Forecasts'!W$8/G$7</f>
        <v>28917.191111931003</v>
      </c>
      <c r="H51" s="45">
        <f>'Population Treasury'!V$71*'Statistics NZ'!V$396*'Economic Forecasts'!X$8/H$7</f>
        <v>29011.283971888024</v>
      </c>
      <c r="I51" s="45">
        <f>'Population Treasury'!W$71*'Statistics NZ'!W$396*'Economic Forecasts'!Y$8/I$7</f>
        <v>30623.036262808037</v>
      </c>
      <c r="J51" s="45">
        <f>'Population Treasury'!X$71*'Statistics NZ'!X$396*'Economic Forecasts'!Z$8/J$7</f>
        <v>30485.811887748696</v>
      </c>
      <c r="K51" s="45">
        <f>'Population Treasury'!Y$71*'Statistics NZ'!Y$396*'Economic Forecasts'!AA$8/K$7</f>
        <v>29585.855262183763</v>
      </c>
      <c r="L51" s="46">
        <f>K$51*'Population Treasury'!Z$71*'Statistics NZ'!Z$396/('Population Treasury'!Y$71*'Statistics NZ'!Y$396)</f>
        <v>29007.579802076587</v>
      </c>
      <c r="M51" s="46">
        <f>L$51*'Population Treasury'!AA$71*'Statistics NZ'!AA$396/('Population Treasury'!Z$71*'Statistics NZ'!Z$396)</f>
        <v>27991.013015428842</v>
      </c>
      <c r="N51" s="46">
        <f>M$51*'Population Treasury'!AB$71*'Statistics NZ'!AB$396/('Population Treasury'!AA$71*'Statistics NZ'!AA$396)</f>
        <v>26844.85049939758</v>
      </c>
      <c r="O51" s="46">
        <f>N$51*'Population Treasury'!AC$71*'Statistics NZ'!AC$396/('Population Treasury'!AB$71*'Statistics NZ'!AB$396)</f>
        <v>27154.728234652168</v>
      </c>
      <c r="P51" s="46">
        <f>O$51*'Population Treasury'!AD$71*'Statistics NZ'!AD$396/('Population Treasury'!AC$71*'Statistics NZ'!AC$396)</f>
        <v>27184.862529191156</v>
      </c>
      <c r="Q51" s="46">
        <f>P$51*'Population Treasury'!AE$71*'Statistics NZ'!AE$396/('Population Treasury'!AD$71*'Statistics NZ'!AD$396)</f>
        <v>28075.170453245202</v>
      </c>
      <c r="R51" s="46">
        <f>Q$51*'Population Treasury'!AF$71*'Statistics NZ'!AF$396/('Population Treasury'!AE$71*'Statistics NZ'!AE$396)</f>
        <v>28465.816516927953</v>
      </c>
      <c r="S51" s="46">
        <f>R$51*'Population Treasury'!AG$71*'Statistics NZ'!AG$396/('Population Treasury'!AF$71*'Statistics NZ'!AF$396)</f>
        <v>28905.389933829214</v>
      </c>
      <c r="T51" s="46">
        <f>S$51*'Population Treasury'!AH$71*'Statistics NZ'!AH$396/('Population Treasury'!AG$71*'Statistics NZ'!AG$396)</f>
        <v>29862.881246287903</v>
      </c>
      <c r="U51" s="46">
        <f>T$51*'Population Treasury'!AI$71*'Statistics NZ'!AI$396/('Population Treasury'!AH$71*'Statistics NZ'!AH$396)</f>
        <v>30599.683400031001</v>
      </c>
    </row>
    <row r="52" spans="1:21" x14ac:dyDescent="0.25">
      <c r="A52" s="11">
        <v>57</v>
      </c>
      <c r="B52" s="44">
        <f>'Population Treasury'!P$72*'Statistics NZ'!P$397*'Economic Forecasts'!R$8/B$7</f>
        <v>27178.665214167231</v>
      </c>
      <c r="C52" s="44">
        <f>'Population Treasury'!Q$72*'Statistics NZ'!Q$397*'Economic Forecasts'!S$8/C$7</f>
        <v>26734.843635699166</v>
      </c>
      <c r="D52" s="44">
        <f>'Population Treasury'!R$72*'Statistics NZ'!R$397*'Economic Forecasts'!T$8/D$7</f>
        <v>26231.414214240507</v>
      </c>
      <c r="E52" s="45">
        <f>'Population Treasury'!S$72*'Statistics NZ'!S$397*'Economic Forecasts'!U$8/E$7</f>
        <v>26038.820852357698</v>
      </c>
      <c r="F52" s="45">
        <f>'Population Treasury'!T$72*'Statistics NZ'!T$397*'Economic Forecasts'!V$8/F$7</f>
        <v>27242.747087553853</v>
      </c>
      <c r="G52" s="45">
        <f>'Population Treasury'!U$72*'Statistics NZ'!U$397*'Economic Forecasts'!W$8/G$7</f>
        <v>27909.736019924105</v>
      </c>
      <c r="H52" s="45">
        <f>'Population Treasury'!V$72*'Statistics NZ'!V$397*'Economic Forecasts'!X$8/H$7</f>
        <v>28732.074321401873</v>
      </c>
      <c r="I52" s="45">
        <f>'Population Treasury'!W$72*'Statistics NZ'!W$397*'Economic Forecasts'!Y$8/I$7</f>
        <v>28862.717089213173</v>
      </c>
      <c r="J52" s="45">
        <f>'Population Treasury'!X$72*'Statistics NZ'!X$397*'Economic Forecasts'!Z$8/J$7</f>
        <v>30442.81977048191</v>
      </c>
      <c r="K52" s="45">
        <f>'Population Treasury'!Y$72*'Statistics NZ'!Y$397*'Economic Forecasts'!AA$8/K$7</f>
        <v>30258.723871594877</v>
      </c>
      <c r="L52" s="46">
        <f>K$52*'Population Treasury'!Z$72*'Statistics NZ'!Z$397/('Population Treasury'!Y$72*'Statistics NZ'!Y$397)</f>
        <v>29271.12945607425</v>
      </c>
      <c r="M52" s="46">
        <f>L$52*'Population Treasury'!AA$72*'Statistics NZ'!AA$397/('Population Treasury'!Z$72*'Statistics NZ'!Z$397)</f>
        <v>28700.442237357383</v>
      </c>
      <c r="N52" s="46">
        <f>M$52*'Population Treasury'!AB$72*'Statistics NZ'!AB$397/('Population Treasury'!AA$72*'Statistics NZ'!AA$397)</f>
        <v>27682.352580094259</v>
      </c>
      <c r="O52" s="46">
        <f>N$52*'Population Treasury'!AC$72*'Statistics NZ'!AC$397/('Population Treasury'!AB$72*'Statistics NZ'!AB$397)</f>
        <v>26543.997959085107</v>
      </c>
      <c r="P52" s="46">
        <f>O$52*'Population Treasury'!AD$72*'Statistics NZ'!AD$397/('Population Treasury'!AC$72*'Statistics NZ'!AC$397)</f>
        <v>26858.765860339659</v>
      </c>
      <c r="Q52" s="46">
        <f>P$52*'Population Treasury'!AE$72*'Statistics NZ'!AE$397/('Population Treasury'!AD$72*'Statistics NZ'!AD$397)</f>
        <v>26887.114978397643</v>
      </c>
      <c r="R52" s="46">
        <f>Q$52*'Population Treasury'!AF$72*'Statistics NZ'!AF$397/('Population Treasury'!AE$72*'Statistics NZ'!AE$397)</f>
        <v>27762.557374554497</v>
      </c>
      <c r="S52" s="46">
        <f>R$52*'Population Treasury'!AG$72*'Statistics NZ'!AG$397/('Population Treasury'!AF$72*'Statistics NZ'!AF$397)</f>
        <v>28141.508946243302</v>
      </c>
      <c r="T52" s="46">
        <f>S$52*'Population Treasury'!AH$72*'Statistics NZ'!AH$397/('Population Treasury'!AG$72*'Statistics NZ'!AG$397)</f>
        <v>28577.560981830175</v>
      </c>
      <c r="U52" s="46">
        <f>T$52*'Population Treasury'!AI$72*'Statistics NZ'!AI$397/('Population Treasury'!AH$72*'Statistics NZ'!AH$397)</f>
        <v>29531.116489030101</v>
      </c>
    </row>
    <row r="53" spans="1:21" x14ac:dyDescent="0.25">
      <c r="A53" s="11">
        <v>58</v>
      </c>
      <c r="B53" s="44">
        <f>'Population Treasury'!P$73*'Statistics NZ'!P$398*'Economic Forecasts'!R$8/B$7</f>
        <v>26266.919502438475</v>
      </c>
      <c r="C53" s="44">
        <f>'Population Treasury'!Q$73*'Statistics NZ'!Q$398*'Economic Forecasts'!S$8/C$7</f>
        <v>26812.980067869514</v>
      </c>
      <c r="D53" s="44">
        <f>'Population Treasury'!R$73*'Statistics NZ'!R$398*'Economic Forecasts'!T$8/D$7</f>
        <v>26420.773468761192</v>
      </c>
      <c r="E53" s="45">
        <f>'Population Treasury'!S$73*'Statistics NZ'!S$398*'Economic Forecasts'!U$8/E$7</f>
        <v>25980.190276777867</v>
      </c>
      <c r="F53" s="45">
        <f>'Population Treasury'!T$73*'Statistics NZ'!T$398*'Economic Forecasts'!V$8/F$7</f>
        <v>26311.259678993698</v>
      </c>
      <c r="G53" s="45">
        <f>'Population Treasury'!U$73*'Statistics NZ'!U$398*'Economic Forecasts'!W$8/G$7</f>
        <v>26891.178688592805</v>
      </c>
      <c r="H53" s="45">
        <f>'Population Treasury'!V$73*'Statistics NZ'!V$398*'Economic Forecasts'!X$8/H$7</f>
        <v>27699.958988986094</v>
      </c>
      <c r="I53" s="45">
        <f>'Population Treasury'!W$73*'Statistics NZ'!W$398*'Economic Forecasts'!Y$8/I$7</f>
        <v>28568.992303097788</v>
      </c>
      <c r="J53" s="45">
        <f>'Population Treasury'!X$73*'Statistics NZ'!X$398*'Economic Forecasts'!Z$8/J$7</f>
        <v>28681.021873604172</v>
      </c>
      <c r="K53" s="45">
        <f>'Population Treasury'!Y$73*'Statistics NZ'!Y$398*'Economic Forecasts'!AA$8/K$7</f>
        <v>30215.320318389782</v>
      </c>
      <c r="L53" s="46">
        <f>K$53*'Population Treasury'!Z$73*'Statistics NZ'!Z$398/('Population Treasury'!Y$73*'Statistics NZ'!Y$398)</f>
        <v>29910.049527938892</v>
      </c>
      <c r="M53" s="46">
        <f>L$53*'Population Treasury'!AA$73*'Statistics NZ'!AA$398/('Population Treasury'!Z$73*'Statistics NZ'!Z$398)</f>
        <v>28912.748659069981</v>
      </c>
      <c r="N53" s="46">
        <f>M$53*'Population Treasury'!AB$73*'Statistics NZ'!AB$398/('Population Treasury'!AA$73*'Statistics NZ'!AA$398)</f>
        <v>28368.818502606598</v>
      </c>
      <c r="O53" s="46">
        <f>N$53*'Population Treasury'!AC$73*'Statistics NZ'!AC$398/('Population Treasury'!AB$73*'Statistics NZ'!AB$398)</f>
        <v>27366.718664884094</v>
      </c>
      <c r="P53" s="46">
        <f>O$53*'Population Treasury'!AD$73*'Statistics NZ'!AD$398/('Population Treasury'!AC$73*'Statistics NZ'!AC$398)</f>
        <v>26248.724669671294</v>
      </c>
      <c r="Q53" s="46">
        <f>P$53*'Population Treasury'!AE$73*'Statistics NZ'!AE$398/('Population Treasury'!AD$73*'Statistics NZ'!AD$398)</f>
        <v>26559.504134417115</v>
      </c>
      <c r="R53" s="46">
        <f>Q$53*'Population Treasury'!AF$73*'Statistics NZ'!AF$398/('Population Treasury'!AE$73*'Statistics NZ'!AE$398)</f>
        <v>26584.478969111817</v>
      </c>
      <c r="S53" s="46">
        <f>R$53*'Population Treasury'!AG$73*'Statistics NZ'!AG$398/('Population Treasury'!AF$73*'Statistics NZ'!AF$398)</f>
        <v>27446.698643140029</v>
      </c>
      <c r="T53" s="46">
        <f>S$53*'Population Treasury'!AH$73*'Statistics NZ'!AH$398/('Population Treasury'!AG$73*'Statistics NZ'!AG$398)</f>
        <v>27812.391785192765</v>
      </c>
      <c r="U53" s="46">
        <f>T$53*'Population Treasury'!AI$73*'Statistics NZ'!AI$398/('Population Treasury'!AH$73*'Statistics NZ'!AH$398)</f>
        <v>28253.709527486077</v>
      </c>
    </row>
    <row r="54" spans="1:21" x14ac:dyDescent="0.25">
      <c r="A54" s="11">
        <v>59</v>
      </c>
      <c r="B54" s="44">
        <f>'Population Treasury'!P$74*'Statistics NZ'!P$399*'Economic Forecasts'!R$8/B$7</f>
        <v>25031.968861630423</v>
      </c>
      <c r="C54" s="44">
        <f>'Population Treasury'!Q$74*'Statistics NZ'!Q$399*'Economic Forecasts'!S$8/C$7</f>
        <v>25782.295324150415</v>
      </c>
      <c r="D54" s="44">
        <f>'Population Treasury'!R$74*'Statistics NZ'!R$399*'Economic Forecasts'!T$8/D$7</f>
        <v>26363.593595670449</v>
      </c>
      <c r="E54" s="45">
        <f>'Population Treasury'!S$74*'Statistics NZ'!S$399*'Economic Forecasts'!U$8/E$7</f>
        <v>26044.662310664917</v>
      </c>
      <c r="F54" s="45">
        <f>'Population Treasury'!T$74*'Statistics NZ'!T$399*'Economic Forecasts'!V$8/F$7</f>
        <v>26148.605832061945</v>
      </c>
      <c r="G54" s="45">
        <f>'Population Treasury'!U$74*'Statistics NZ'!U$399*'Economic Forecasts'!W$8/G$7</f>
        <v>25873.707760220263</v>
      </c>
      <c r="H54" s="45">
        <f>'Population Treasury'!V$74*'Statistics NZ'!V$399*'Economic Forecasts'!X$8/H$7</f>
        <v>26591.356556741965</v>
      </c>
      <c r="I54" s="45">
        <f>'Population Treasury'!W$74*'Statistics NZ'!W$399*'Economic Forecasts'!Y$8/I$7</f>
        <v>27445.787999047468</v>
      </c>
      <c r="J54" s="45">
        <f>'Population Treasury'!X$74*'Statistics NZ'!X$399*'Economic Forecasts'!Z$8/J$7</f>
        <v>28290.434018698241</v>
      </c>
      <c r="K54" s="45">
        <f>'Population Treasury'!Y$74*'Statistics NZ'!Y$399*'Economic Forecasts'!AA$8/K$7</f>
        <v>28376.185931993328</v>
      </c>
      <c r="L54" s="46">
        <f>K$54*'Population Treasury'!Z$74*'Statistics NZ'!Z$399/('Population Treasury'!Y$74*'Statistics NZ'!Y$399)</f>
        <v>29720.992011924493</v>
      </c>
      <c r="M54" s="46">
        <f>L$54*'Population Treasury'!AA$74*'Statistics NZ'!AA$399/('Population Treasury'!Z$74*'Statistics NZ'!Z$399)</f>
        <v>29425.374363411218</v>
      </c>
      <c r="N54" s="46">
        <f>M$54*'Population Treasury'!AB$74*'Statistics NZ'!AB$399/('Population Treasury'!AA$74*'Statistics NZ'!AA$399)</f>
        <v>28454.859027761184</v>
      </c>
      <c r="O54" s="46">
        <f>N$54*'Population Treasury'!AC$74*'Statistics NZ'!AC$399/('Population Treasury'!AB$74*'Statistics NZ'!AB$399)</f>
        <v>27909.851810513312</v>
      </c>
      <c r="P54" s="46">
        <f>O$54*'Population Treasury'!AD$74*'Statistics NZ'!AD$399/('Population Treasury'!AC$74*'Statistics NZ'!AC$399)</f>
        <v>26927.48671879328</v>
      </c>
      <c r="Q54" s="46">
        <f>P$54*'Population Treasury'!AE$74*'Statistics NZ'!AE$399/('Population Treasury'!AD$74*'Statistics NZ'!AD$399)</f>
        <v>25845.201524827033</v>
      </c>
      <c r="R54" s="46">
        <f>Q$54*'Population Treasury'!AF$74*'Statistics NZ'!AF$399/('Population Treasury'!AE$74*'Statistics NZ'!AE$399)</f>
        <v>26143.167989121732</v>
      </c>
      <c r="S54" s="46">
        <f>R$54*'Population Treasury'!AG$74*'Statistics NZ'!AG$399/('Population Treasury'!AF$74*'Statistics NZ'!AF$399)</f>
        <v>26164.662645150671</v>
      </c>
      <c r="T54" s="46">
        <f>S$54*'Population Treasury'!AH$74*'Statistics NZ'!AH$399/('Population Treasury'!AG$74*'Statistics NZ'!AG$399)</f>
        <v>27005.12830348868</v>
      </c>
      <c r="U54" s="46">
        <f>T$54*'Population Treasury'!AI$74*'Statistics NZ'!AI$399/('Population Treasury'!AH$74*'Statistics NZ'!AH$399)</f>
        <v>27385.530899610567</v>
      </c>
    </row>
    <row r="55" spans="1:21" x14ac:dyDescent="0.25">
      <c r="A55" s="11">
        <v>60</v>
      </c>
      <c r="B55" s="44">
        <f>'Population Treasury'!P$75*'Statistics NZ'!P$400*'Economic Forecasts'!R$8/B$7</f>
        <v>23189.87473663846</v>
      </c>
      <c r="C55" s="44">
        <f>'Population Treasury'!Q$75*'Statistics NZ'!Q$400*'Economic Forecasts'!S$8/C$7</f>
        <v>24348.35351789591</v>
      </c>
      <c r="D55" s="44">
        <f>'Population Treasury'!R$75*'Statistics NZ'!R$400*'Economic Forecasts'!T$8/D$7</f>
        <v>25161.361957439971</v>
      </c>
      <c r="E55" s="45">
        <f>'Population Treasury'!S$75*'Statistics NZ'!S$400*'Economic Forecasts'!U$8/E$7</f>
        <v>25850.015439332667</v>
      </c>
      <c r="F55" s="45">
        <f>'Population Treasury'!T$75*'Statistics NZ'!T$400*'Economic Forecasts'!V$8/F$7</f>
        <v>26051.749252965343</v>
      </c>
      <c r="G55" s="45">
        <f>'Population Treasury'!U$75*'Statistics NZ'!U$400*'Economic Forecasts'!W$8/G$7</f>
        <v>25522.399621245277</v>
      </c>
      <c r="H55" s="45">
        <f>'Population Treasury'!V$75*'Statistics NZ'!V$400*'Economic Forecasts'!X$8/H$7</f>
        <v>25393.15143265641</v>
      </c>
      <c r="I55" s="45">
        <f>'Population Treasury'!W$75*'Statistics NZ'!W$400*'Economic Forecasts'!Y$8/I$7</f>
        <v>26151.053919079248</v>
      </c>
      <c r="J55" s="45">
        <f>'Population Treasury'!X$75*'Statistics NZ'!X$400*'Economic Forecasts'!Z$8/J$7</f>
        <v>26972.748321284333</v>
      </c>
      <c r="K55" s="45">
        <f>'Population Treasury'!Y$75*'Statistics NZ'!Y$400*'Economic Forecasts'!AA$8/K$7</f>
        <v>27775.48321973388</v>
      </c>
      <c r="L55" s="46">
        <f>K$55*'Population Treasury'!Z$75*'Statistics NZ'!Z$400/('Population Treasury'!Y$75*'Statistics NZ'!Y$400)</f>
        <v>27732.740498085728</v>
      </c>
      <c r="M55" s="46">
        <f>L$55*'Population Treasury'!AA$75*'Statistics NZ'!AA$400/('Population Treasury'!Z$75*'Statistics NZ'!Z$400)</f>
        <v>29060.436647158665</v>
      </c>
      <c r="N55" s="46">
        <f>M$55*'Population Treasury'!AB$75*'Statistics NZ'!AB$400/('Population Treasury'!AA$75*'Statistics NZ'!AA$400)</f>
        <v>28781.306719922552</v>
      </c>
      <c r="O55" s="46">
        <f>N$55*'Population Treasury'!AC$75*'Statistics NZ'!AC$400/('Population Treasury'!AB$75*'Statistics NZ'!AB$400)</f>
        <v>27857.838541873149</v>
      </c>
      <c r="P55" s="46">
        <f>O$55*'Population Treasury'!AD$75*'Statistics NZ'!AD$400/('Population Treasury'!AC$75*'Statistics NZ'!AC$400)</f>
        <v>27329.090091335649</v>
      </c>
      <c r="Q55" s="46">
        <f>P$55*'Population Treasury'!AE$75*'Statistics NZ'!AE$400/('Population Treasury'!AD$75*'Statistics NZ'!AD$400)</f>
        <v>26377.95259887473</v>
      </c>
      <c r="R55" s="46">
        <f>Q$55*'Population Treasury'!AF$75*'Statistics NZ'!AF$400/('Population Treasury'!AE$75*'Statistics NZ'!AE$400)</f>
        <v>25328.82135330408</v>
      </c>
      <c r="S55" s="46">
        <f>R$55*'Population Treasury'!AG$75*'Statistics NZ'!AG$400/('Population Treasury'!AF$75*'Statistics NZ'!AF$400)</f>
        <v>25624.820312143798</v>
      </c>
      <c r="T55" s="46">
        <f>S$55*'Population Treasury'!AH$75*'Statistics NZ'!AH$400/('Population Treasury'!AG$75*'Statistics NZ'!AG$400)</f>
        <v>25652.484329058661</v>
      </c>
      <c r="U55" s="46">
        <f>T$55*'Population Treasury'!AI$75*'Statistics NZ'!AI$400/('Population Treasury'!AH$75*'Statistics NZ'!AH$400)</f>
        <v>26472.208981837935</v>
      </c>
    </row>
    <row r="56" spans="1:21" x14ac:dyDescent="0.25">
      <c r="A56" s="11">
        <v>61</v>
      </c>
      <c r="B56" s="44">
        <f>'Population Treasury'!P$76*'Statistics NZ'!P$401*'Economic Forecasts'!R$8/B$7</f>
        <v>21768.177956148102</v>
      </c>
      <c r="C56" s="44">
        <f>'Population Treasury'!Q$76*'Statistics NZ'!Q$401*'Economic Forecasts'!S$8/C$7</f>
        <v>22202.238503692155</v>
      </c>
      <c r="D56" s="44">
        <f>'Population Treasury'!R$76*'Statistics NZ'!R$401*'Economic Forecasts'!T$8/D$7</f>
        <v>23414.562591032325</v>
      </c>
      <c r="E56" s="45">
        <f>'Population Treasury'!S$76*'Statistics NZ'!S$401*'Economic Forecasts'!U$8/E$7</f>
        <v>24363.101046529926</v>
      </c>
      <c r="F56" s="45">
        <f>'Population Treasury'!T$76*'Statistics NZ'!T$401*'Economic Forecasts'!V$8/F$7</f>
        <v>25450.036208563517</v>
      </c>
      <c r="G56" s="45">
        <f>'Population Treasury'!U$76*'Statistics NZ'!U$401*'Economic Forecasts'!W$8/G$7</f>
        <v>25070.131029975866</v>
      </c>
      <c r="H56" s="45">
        <f>'Population Treasury'!V$76*'Statistics NZ'!V$401*'Economic Forecasts'!X$8/H$7</f>
        <v>24718.689724338841</v>
      </c>
      <c r="I56" s="45">
        <f>'Population Treasury'!W$76*'Statistics NZ'!W$401*'Economic Forecasts'!Y$8/I$7</f>
        <v>24662.972940016611</v>
      </c>
      <c r="J56" s="45">
        <f>'Population Treasury'!X$76*'Statistics NZ'!X$401*'Economic Forecasts'!Z$8/J$7</f>
        <v>25374.014580418268</v>
      </c>
      <c r="K56" s="45">
        <f>'Population Treasury'!Y$76*'Statistics NZ'!Y$401*'Economic Forecasts'!AA$8/K$7</f>
        <v>26153.315725118249</v>
      </c>
      <c r="L56" s="46">
        <f>K$56*'Population Treasury'!Z$76*'Statistics NZ'!Z$401/('Population Treasury'!Y$76*'Statistics NZ'!Y$401)</f>
        <v>26799.877867805393</v>
      </c>
      <c r="M56" s="46">
        <f>L$56*'Population Treasury'!AA$76*'Statistics NZ'!AA$401/('Population Treasury'!Z$76*'Statistics NZ'!Z$401)</f>
        <v>26771.077356676626</v>
      </c>
      <c r="N56" s="46">
        <f>M$56*'Population Treasury'!AB$76*'Statistics NZ'!AB$401/('Population Treasury'!AA$76*'Statistics NZ'!AA$401)</f>
        <v>28043.099415453842</v>
      </c>
      <c r="O56" s="46">
        <f>N$56*'Population Treasury'!AC$76*'Statistics NZ'!AC$401/('Population Treasury'!AB$76*'Statistics NZ'!AB$401)</f>
        <v>27789.017082285121</v>
      </c>
      <c r="P56" s="46">
        <f>O$56*'Population Treasury'!AD$76*'Statistics NZ'!AD$401/('Population Treasury'!AC$76*'Statistics NZ'!AC$401)</f>
        <v>26885.139035255685</v>
      </c>
      <c r="Q56" s="46">
        <f>P$56*'Population Treasury'!AE$76*'Statistics NZ'!AE$401/('Population Treasury'!AD$76*'Statistics NZ'!AD$401)</f>
        <v>26392.243790963377</v>
      </c>
      <c r="R56" s="46">
        <f>Q$56*'Population Treasury'!AF$76*'Statistics NZ'!AF$401/('Population Treasury'!AE$76*'Statistics NZ'!AE$401)</f>
        <v>25478.335870716957</v>
      </c>
      <c r="S56" s="46">
        <f>R$56*'Population Treasury'!AG$76*'Statistics NZ'!AG$401/('Population Treasury'!AF$76*'Statistics NZ'!AF$401)</f>
        <v>24476.085660406457</v>
      </c>
      <c r="T56" s="46">
        <f>S$56*'Population Treasury'!AH$76*'Statistics NZ'!AH$401/('Population Treasury'!AG$76*'Statistics NZ'!AG$401)</f>
        <v>24746.878543623825</v>
      </c>
      <c r="U56" s="46">
        <f>T$56*'Population Treasury'!AI$76*'Statistics NZ'!AI$401/('Population Treasury'!AH$76*'Statistics NZ'!AH$401)</f>
        <v>24771.846682150153</v>
      </c>
    </row>
    <row r="57" spans="1:21" x14ac:dyDescent="0.25">
      <c r="A57" s="11">
        <v>62</v>
      </c>
      <c r="B57" s="44">
        <f>'Population Treasury'!P$77*'Statistics NZ'!P$402*'Economic Forecasts'!R$8/B$7</f>
        <v>19715.930000715434</v>
      </c>
      <c r="C57" s="44">
        <f>'Population Treasury'!Q$77*'Statistics NZ'!Q$402*'Economic Forecasts'!S$8/C$7</f>
        <v>20575.767770063412</v>
      </c>
      <c r="D57" s="44">
        <f>'Population Treasury'!R$77*'Statistics NZ'!R$402*'Economic Forecasts'!T$8/D$7</f>
        <v>20987.341769831815</v>
      </c>
      <c r="E57" s="45">
        <f>'Population Treasury'!S$77*'Statistics NZ'!S$402*'Economic Forecasts'!U$8/E$7</f>
        <v>22320.035410016302</v>
      </c>
      <c r="F57" s="45">
        <f>'Population Treasury'!T$77*'Statistics NZ'!T$402*'Economic Forecasts'!V$8/F$7</f>
        <v>23622.14223099509</v>
      </c>
      <c r="G57" s="45">
        <f>'Population Treasury'!U$77*'Statistics NZ'!U$402*'Economic Forecasts'!W$8/G$7</f>
        <v>24112.894597569677</v>
      </c>
      <c r="H57" s="45">
        <f>'Population Treasury'!V$77*'Statistics NZ'!V$402*'Economic Forecasts'!X$8/H$7</f>
        <v>23902.627322439803</v>
      </c>
      <c r="I57" s="45">
        <f>'Population Treasury'!W$77*'Statistics NZ'!W$402*'Economic Forecasts'!Y$8/I$7</f>
        <v>23639.327126835422</v>
      </c>
      <c r="J57" s="45">
        <f>'Population Treasury'!X$77*'Statistics NZ'!X$402*'Economic Forecasts'!Z$8/J$7</f>
        <v>23563.145062870899</v>
      </c>
      <c r="K57" s="45">
        <f>'Population Treasury'!Y$77*'Statistics NZ'!Y$402*'Economic Forecasts'!AA$8/K$7</f>
        <v>24233.335420135034</v>
      </c>
      <c r="L57" s="46">
        <f>K$57*'Population Treasury'!Z$77*'Statistics NZ'!Z$402/('Population Treasury'!Y$77*'Statistics NZ'!Y$402)</f>
        <v>24858.409858677689</v>
      </c>
      <c r="M57" s="46">
        <f>L$57*'Population Treasury'!AA$77*'Statistics NZ'!AA$402/('Population Treasury'!Z$77*'Statistics NZ'!Z$402)</f>
        <v>25477.586245805851</v>
      </c>
      <c r="N57" s="46">
        <f>M$57*'Population Treasury'!AB$77*'Statistics NZ'!AB$402/('Population Treasury'!AA$77*'Statistics NZ'!AA$402)</f>
        <v>25454.605877380724</v>
      </c>
      <c r="O57" s="46">
        <f>N$57*'Population Treasury'!AC$77*'Statistics NZ'!AC$402/('Population Treasury'!AB$77*'Statistics NZ'!AB$402)</f>
        <v>26668.458610309121</v>
      </c>
      <c r="P57" s="46">
        <f>O$57*'Population Treasury'!AD$77*'Statistics NZ'!AD$402/('Population Treasury'!AC$77*'Statistics NZ'!AC$402)</f>
        <v>26420.802947632521</v>
      </c>
      <c r="Q57" s="46">
        <f>P$57*'Population Treasury'!AE$77*'Statistics NZ'!AE$402/('Population Treasury'!AD$77*'Statistics NZ'!AD$402)</f>
        <v>25576.929616007619</v>
      </c>
      <c r="R57" s="46">
        <f>Q$57*'Population Treasury'!AF$77*'Statistics NZ'!AF$402/('Population Treasury'!AE$77*'Statistics NZ'!AE$402)</f>
        <v>25108.884411906303</v>
      </c>
      <c r="S57" s="46">
        <f>R$57*'Population Treasury'!AG$77*'Statistics NZ'!AG$402/('Population Treasury'!AF$77*'Statistics NZ'!AF$402)</f>
        <v>24245.762744484149</v>
      </c>
      <c r="T57" s="46">
        <f>S$57*'Population Treasury'!AH$77*'Statistics NZ'!AH$402/('Population Treasury'!AG$77*'Statistics NZ'!AG$402)</f>
        <v>23285.333941731045</v>
      </c>
      <c r="U57" s="46">
        <f>T$57*'Population Treasury'!AI$77*'Statistics NZ'!AI$402/('Population Treasury'!AH$77*'Statistics NZ'!AH$402)</f>
        <v>23546.570282061133</v>
      </c>
    </row>
    <row r="58" spans="1:21" x14ac:dyDescent="0.25">
      <c r="A58" s="11">
        <v>63</v>
      </c>
      <c r="B58" s="44">
        <f>'Population Treasury'!P$78*'Statistics NZ'!P$403*'Economic Forecasts'!R$8/B$7</f>
        <v>17379.436655395864</v>
      </c>
      <c r="C58" s="44">
        <f>'Population Treasury'!Q$78*'Statistics NZ'!Q$403*'Economic Forecasts'!S$8/C$7</f>
        <v>17994.613602120022</v>
      </c>
      <c r="D58" s="44">
        <f>'Population Treasury'!R$78*'Statistics NZ'!R$403*'Economic Forecasts'!T$8/D$7</f>
        <v>18827.487089141694</v>
      </c>
      <c r="E58" s="45">
        <f>'Population Treasury'!S$78*'Statistics NZ'!S$403*'Economic Forecasts'!U$8/E$7</f>
        <v>19378.265122882287</v>
      </c>
      <c r="F58" s="45">
        <f>'Population Treasury'!T$78*'Statistics NZ'!T$403*'Economic Forecasts'!V$8/F$7</f>
        <v>20962.426135553651</v>
      </c>
      <c r="G58" s="45">
        <f>'Population Treasury'!U$78*'Statistics NZ'!U$403*'Economic Forecasts'!W$8/G$7</f>
        <v>21677.015879916402</v>
      </c>
      <c r="H58" s="45">
        <f>'Population Treasury'!V$78*'Statistics NZ'!V$403*'Economic Forecasts'!X$8/H$7</f>
        <v>22287.267587224334</v>
      </c>
      <c r="I58" s="45">
        <f>'Population Treasury'!W$78*'Statistics NZ'!W$403*'Economic Forecasts'!Y$8/I$7</f>
        <v>22160.317218170348</v>
      </c>
      <c r="J58" s="45">
        <f>'Population Treasury'!X$78*'Statistics NZ'!X$403*'Economic Forecasts'!Z$8/J$7</f>
        <v>21916.982179266161</v>
      </c>
      <c r="K58" s="45">
        <f>'Population Treasury'!Y$78*'Statistics NZ'!Y$403*'Economic Forecasts'!AA$8/K$7</f>
        <v>21826.775998929541</v>
      </c>
      <c r="L58" s="46">
        <f>K$58*'Population Treasury'!Z$78*'Statistics NZ'!Z$403/('Population Treasury'!Y$78*'Statistics NZ'!Y$403)</f>
        <v>22335.351610434016</v>
      </c>
      <c r="M58" s="46">
        <f>L$58*'Population Treasury'!AA$78*'Statistics NZ'!AA$403/('Population Treasury'!Z$78*'Statistics NZ'!Z$403)</f>
        <v>22917.254862572932</v>
      </c>
      <c r="N58" s="46">
        <f>M$58*'Population Treasury'!AB$78*'Statistics NZ'!AB$403/('Population Treasury'!AA$78*'Statistics NZ'!AA$403)</f>
        <v>23494.035445001282</v>
      </c>
      <c r="O58" s="46">
        <f>N$58*'Population Treasury'!AC$78*'Statistics NZ'!AC$403/('Population Treasury'!AB$78*'Statistics NZ'!AB$403)</f>
        <v>23480.466803312447</v>
      </c>
      <c r="P58" s="46">
        <f>O$58*'Population Treasury'!AD$78*'Statistics NZ'!AD$403/('Population Treasury'!AC$78*'Statistics NZ'!AC$403)</f>
        <v>24600.517275148904</v>
      </c>
      <c r="Q58" s="46">
        <f>P$58*'Population Treasury'!AE$78*'Statistics NZ'!AE$403/('Population Treasury'!AD$78*'Statistics NZ'!AD$403)</f>
        <v>24373.743039279267</v>
      </c>
      <c r="R58" s="46">
        <f>Q$58*'Population Treasury'!AF$78*'Statistics NZ'!AF$403/('Population Treasury'!AE$78*'Statistics NZ'!AE$403)</f>
        <v>23608.078101805531</v>
      </c>
      <c r="S58" s="46">
        <f>R$58*'Population Treasury'!AG$78*'Statistics NZ'!AG$403/('Population Treasury'!AF$78*'Statistics NZ'!AF$403)</f>
        <v>23171.241657409399</v>
      </c>
      <c r="T58" s="46">
        <f>S$58*'Population Treasury'!AH$78*'Statistics NZ'!AH$403/('Population Treasury'!AG$78*'Statistics NZ'!AG$403)</f>
        <v>22384.631341114236</v>
      </c>
      <c r="U58" s="46">
        <f>T$58*'Population Treasury'!AI$78*'Statistics NZ'!AI$403/('Population Treasury'!AH$78*'Statistics NZ'!AH$403)</f>
        <v>21496.172164983105</v>
      </c>
    </row>
    <row r="59" spans="1:21" x14ac:dyDescent="0.25">
      <c r="A59" s="11">
        <v>64</v>
      </c>
      <c r="B59" s="44">
        <f>'Population Treasury'!P$79*'Statistics NZ'!P$404*'Economic Forecasts'!R$8/B$7</f>
        <v>15190.742890261627</v>
      </c>
      <c r="C59" s="44">
        <f>'Population Treasury'!Q$79*'Statistics NZ'!Q$404*'Economic Forecasts'!S$8/C$7</f>
        <v>15647.255456854626</v>
      </c>
      <c r="D59" s="44">
        <f>'Population Treasury'!R$79*'Statistics NZ'!R$404*'Economic Forecasts'!T$8/D$7</f>
        <v>16211.969862849361</v>
      </c>
      <c r="E59" s="45">
        <f>'Population Treasury'!S$79*'Statistics NZ'!S$404*'Economic Forecasts'!U$8/E$7</f>
        <v>17146.401336740942</v>
      </c>
      <c r="F59" s="45">
        <f>'Population Treasury'!T$79*'Statistics NZ'!T$404*'Economic Forecasts'!V$8/F$7</f>
        <v>17956.287271526246</v>
      </c>
      <c r="G59" s="45">
        <f>'Population Treasury'!U$79*'Statistics NZ'!U$404*'Economic Forecasts'!W$8/G$7</f>
        <v>18992.039699439276</v>
      </c>
      <c r="H59" s="45">
        <f>'Population Treasury'!V$79*'Statistics NZ'!V$404*'Economic Forecasts'!X$8/H$7</f>
        <v>19770.024943884822</v>
      </c>
      <c r="I59" s="45">
        <f>'Population Treasury'!W$79*'Statistics NZ'!W$404*'Economic Forecasts'!Y$8/I$7</f>
        <v>20387.052267187602</v>
      </c>
      <c r="J59" s="45">
        <f>'Population Treasury'!X$79*'Statistics NZ'!X$404*'Economic Forecasts'!Z$8/J$7</f>
        <v>20246.486736848528</v>
      </c>
      <c r="K59" s="45">
        <f>'Population Treasury'!Y$79*'Statistics NZ'!Y$404*'Economic Forecasts'!AA$8/K$7</f>
        <v>20005.139500589827</v>
      </c>
      <c r="L59" s="46">
        <f>K$59*'Population Treasury'!Z$79*'Statistics NZ'!Z$404/('Population Treasury'!Y$79*'Statistics NZ'!Y$404)</f>
        <v>19854.442231595061</v>
      </c>
      <c r="M59" s="46">
        <f>L$59*'Population Treasury'!AA$79*'Statistics NZ'!AA$404/('Population Treasury'!Z$79*'Statistics NZ'!Z$404)</f>
        <v>20326.100887067692</v>
      </c>
      <c r="N59" s="46">
        <f>M$59*'Population Treasury'!AB$79*'Statistics NZ'!AB$404/('Population Treasury'!AA$79*'Statistics NZ'!AA$404)</f>
        <v>20861.256535496392</v>
      </c>
      <c r="O59" s="46">
        <f>N$59*'Population Treasury'!AC$79*'Statistics NZ'!AC$404/('Population Treasury'!AB$79*'Statistics NZ'!AB$404)</f>
        <v>21388.54246775205</v>
      </c>
      <c r="P59" s="46">
        <f>O$59*'Population Treasury'!AD$79*'Statistics NZ'!AD$404/('Population Treasury'!AC$79*'Statistics NZ'!AC$404)</f>
        <v>21381.935051360932</v>
      </c>
      <c r="Q59" s="46">
        <f>P$59*'Population Treasury'!AE$79*'Statistics NZ'!AE$404/('Population Treasury'!AD$79*'Statistics NZ'!AD$404)</f>
        <v>22394.685053639645</v>
      </c>
      <c r="R59" s="46">
        <f>Q$59*'Population Treasury'!AF$79*'Statistics NZ'!AF$404/('Population Treasury'!AE$79*'Statistics NZ'!AE$404)</f>
        <v>22203.388905849461</v>
      </c>
      <c r="S59" s="46">
        <f>R$59*'Population Treasury'!AG$79*'Statistics NZ'!AG$404/('Population Treasury'!AF$79*'Statistics NZ'!AF$404)</f>
        <v>21498.476605381238</v>
      </c>
      <c r="T59" s="46">
        <f>S$59*'Population Treasury'!AH$79*'Statistics NZ'!AH$404/('Population Treasury'!AG$79*'Statistics NZ'!AG$404)</f>
        <v>21105.293823116688</v>
      </c>
      <c r="U59" s="46">
        <f>T$59*'Population Treasury'!AI$79*'Statistics NZ'!AI$404/('Population Treasury'!AH$79*'Statistics NZ'!AH$404)</f>
        <v>20388.013215434505</v>
      </c>
    </row>
    <row r="60" spans="1:21" x14ac:dyDescent="0.25">
      <c r="A60" s="11">
        <v>65</v>
      </c>
      <c r="B60" s="44">
        <f>'Population Treasury'!P$80*'Statistics NZ'!P$405*'Economic Forecasts'!R$8/B$7</f>
        <v>13018.122336038798</v>
      </c>
      <c r="C60" s="44">
        <f>'Population Treasury'!Q$80*'Statistics NZ'!Q$405*'Economic Forecasts'!S$8/C$7</f>
        <v>13431.3410532949</v>
      </c>
      <c r="D60" s="44">
        <f>'Population Treasury'!R$80*'Statistics NZ'!R$405*'Economic Forecasts'!T$8/D$7</f>
        <v>13850.53454481999</v>
      </c>
      <c r="E60" s="45">
        <f>'Population Treasury'!S$80*'Statistics NZ'!S$405*'Economic Forecasts'!U$8/E$7</f>
        <v>14432.525056307197</v>
      </c>
      <c r="F60" s="45">
        <f>'Population Treasury'!T$80*'Statistics NZ'!T$405*'Economic Forecasts'!V$8/F$7</f>
        <v>15564.232904847522</v>
      </c>
      <c r="G60" s="45">
        <f>'Population Treasury'!U$80*'Statistics NZ'!U$405*'Economic Forecasts'!W$8/G$7</f>
        <v>15978.674870020126</v>
      </c>
      <c r="H60" s="45">
        <f>'Population Treasury'!V$80*'Statistics NZ'!V$405*'Economic Forecasts'!X$8/H$7</f>
        <v>17012.12696567383</v>
      </c>
      <c r="I60" s="45">
        <f>'Population Treasury'!W$80*'Statistics NZ'!W$405*'Economic Forecasts'!Y$8/I$7</f>
        <v>17764.653387122707</v>
      </c>
      <c r="J60" s="45">
        <f>'Population Treasury'!X$80*'Statistics NZ'!X$405*'Economic Forecasts'!Z$8/J$7</f>
        <v>18302.769999008167</v>
      </c>
      <c r="K60" s="45">
        <f>'Population Treasury'!Y$80*'Statistics NZ'!Y$405*'Economic Forecasts'!AA$8/K$7</f>
        <v>18176.160978847784</v>
      </c>
      <c r="L60" s="46">
        <f>K$60*'Population Treasury'!Z$80*'Statistics NZ'!Z$405/('Population Treasury'!Y$80*'Statistics NZ'!Y$405)</f>
        <v>17874.577013379258</v>
      </c>
      <c r="M60" s="46">
        <f>L$60*'Population Treasury'!AA$80*'Statistics NZ'!AA$405/('Population Treasury'!Z$80*'Statistics NZ'!Z$405)</f>
        <v>17739.380994580468</v>
      </c>
      <c r="N60" s="46">
        <f>M$60*'Population Treasury'!AB$80*'Statistics NZ'!AB$405/('Population Treasury'!AA$80*'Statistics NZ'!AA$405)</f>
        <v>18161.746887399462</v>
      </c>
      <c r="O60" s="46">
        <f>N$60*'Population Treasury'!AC$80*'Statistics NZ'!AC$405/('Population Treasury'!AB$80*'Statistics NZ'!AB$405)</f>
        <v>18630.318526366354</v>
      </c>
      <c r="P60" s="46">
        <f>O$60*'Population Treasury'!AD$80*'Statistics NZ'!AD$405/('Population Treasury'!AC$80*'Statistics NZ'!AC$405)</f>
        <v>19095.864156033356</v>
      </c>
      <c r="Q60" s="46">
        <f>P$60*'Population Treasury'!AE$80*'Statistics NZ'!AE$405/('Population Treasury'!AD$80*'Statistics NZ'!AD$405)</f>
        <v>19086.156495881423</v>
      </c>
      <c r="R60" s="46">
        <f>Q$60*'Population Treasury'!AF$80*'Statistics NZ'!AF$405/('Population Treasury'!AE$80*'Statistics NZ'!AE$405)</f>
        <v>19984.270886617654</v>
      </c>
      <c r="S60" s="46">
        <f>R$60*'Population Treasury'!AG$80*'Statistics NZ'!AG$405/('Population Treasury'!AF$80*'Statistics NZ'!AF$405)</f>
        <v>19813.338435097128</v>
      </c>
      <c r="T60" s="46">
        <f>S$60*'Population Treasury'!AH$80*'Statistics NZ'!AH$405/('Population Treasury'!AG$80*'Statistics NZ'!AG$405)</f>
        <v>19184.46119630013</v>
      </c>
      <c r="U60" s="46">
        <f>T$60*'Population Treasury'!AI$80*'Statistics NZ'!AI$405/('Population Treasury'!AH$80*'Statistics NZ'!AH$405)</f>
        <v>18837.567726814857</v>
      </c>
    </row>
    <row r="61" spans="1:21" x14ac:dyDescent="0.25">
      <c r="A61" s="11">
        <v>66</v>
      </c>
      <c r="B61" s="44">
        <f>'Population Treasury'!P$81*'Statistics NZ'!P$406*'Economic Forecasts'!R$8/B$7</f>
        <v>10786.210480069791</v>
      </c>
      <c r="C61" s="44">
        <f>'Population Treasury'!Q$81*'Statistics NZ'!Q$406*'Economic Forecasts'!S$8/C$7</f>
        <v>11208.350463671752</v>
      </c>
      <c r="D61" s="44">
        <f>'Population Treasury'!R$81*'Statistics NZ'!R$406*'Economic Forecasts'!T$8/D$7</f>
        <v>11573.882413338355</v>
      </c>
      <c r="E61" s="45">
        <f>'Population Treasury'!S$81*'Statistics NZ'!S$406*'Economic Forecasts'!U$8/E$7</f>
        <v>12018.480363526618</v>
      </c>
      <c r="F61" s="45">
        <f>'Population Treasury'!T$81*'Statistics NZ'!T$406*'Economic Forecasts'!V$8/F$7</f>
        <v>12856.0282213587</v>
      </c>
      <c r="G61" s="45">
        <f>'Population Treasury'!U$81*'Statistics NZ'!U$406*'Economic Forecasts'!W$8/G$7</f>
        <v>13554.059514664454</v>
      </c>
      <c r="H61" s="45">
        <f>'Population Treasury'!V$81*'Statistics NZ'!V$406*'Economic Forecasts'!X$8/H$7</f>
        <v>13976.289580239514</v>
      </c>
      <c r="I61" s="45">
        <f>'Population Treasury'!W$81*'Statistics NZ'!W$406*'Economic Forecasts'!Y$8/I$7</f>
        <v>14920.91054597147</v>
      </c>
      <c r="J61" s="45">
        <f>'Population Treasury'!X$81*'Statistics NZ'!X$406*'Economic Forecasts'!Z$8/J$7</f>
        <v>15571.989492310944</v>
      </c>
      <c r="K61" s="45">
        <f>'Population Treasury'!Y$81*'Statistics NZ'!Y$406*'Economic Forecasts'!AA$8/K$7</f>
        <v>16031.421514193466</v>
      </c>
      <c r="L61" s="46">
        <f>K$61*'Population Treasury'!Z$81*'Statistics NZ'!Z$406/('Population Treasury'!Y$81*'Statistics NZ'!Y$406)</f>
        <v>15842.164249214122</v>
      </c>
      <c r="M61" s="46">
        <f>L$61*'Population Treasury'!AA$81*'Statistics NZ'!AA$406/('Population Treasury'!Z$81*'Statistics NZ'!Z$406)</f>
        <v>15599.593826730654</v>
      </c>
      <c r="N61" s="46">
        <f>M$61*'Population Treasury'!AB$81*'Statistics NZ'!AB$406/('Population Treasury'!AA$81*'Statistics NZ'!AA$406)</f>
        <v>15477.968097330986</v>
      </c>
      <c r="O61" s="46">
        <f>N$61*'Population Treasury'!AC$81*'Statistics NZ'!AC$406/('Population Treasury'!AB$81*'Statistics NZ'!AB$406)</f>
        <v>15834.837353942003</v>
      </c>
      <c r="P61" s="46">
        <f>O$61*'Population Treasury'!AD$81*'Statistics NZ'!AD$406/('Population Treasury'!AC$81*'Statistics NZ'!AC$406)</f>
        <v>16259.114952591828</v>
      </c>
      <c r="Q61" s="46">
        <f>P$61*'Population Treasury'!AE$81*'Statistics NZ'!AE$406/('Population Treasury'!AD$81*'Statistics NZ'!AD$406)</f>
        <v>16662.279616995576</v>
      </c>
      <c r="R61" s="46">
        <f>Q$61*'Population Treasury'!AF$81*'Statistics NZ'!AF$406/('Population Treasury'!AE$81*'Statistics NZ'!AE$406)</f>
        <v>16656.871823076908</v>
      </c>
      <c r="S61" s="46">
        <f>R$61*'Population Treasury'!AG$81*'Statistics NZ'!AG$406/('Population Treasury'!AF$81*'Statistics NZ'!AF$406)</f>
        <v>17446.781813557678</v>
      </c>
      <c r="T61" s="46">
        <f>S$61*'Population Treasury'!AH$81*'Statistics NZ'!AH$406/('Population Treasury'!AG$81*'Statistics NZ'!AG$406)</f>
        <v>17291.701149138142</v>
      </c>
      <c r="U61" s="46">
        <f>T$61*'Population Treasury'!AI$81*'Statistics NZ'!AI$406/('Population Treasury'!AH$81*'Statistics NZ'!AH$406)</f>
        <v>16752.342988960201</v>
      </c>
    </row>
    <row r="62" spans="1:21" x14ac:dyDescent="0.25">
      <c r="A62" s="11">
        <v>67</v>
      </c>
      <c r="B62" s="44">
        <f>'Population Treasury'!P$82*'Statistics NZ'!P$407*'Economic Forecasts'!R$8/B$7</f>
        <v>9040.4069800987982</v>
      </c>
      <c r="C62" s="44">
        <f>'Population Treasury'!Q$82*'Statistics NZ'!Q$407*'Economic Forecasts'!S$8/C$7</f>
        <v>9378.6689666961265</v>
      </c>
      <c r="D62" s="44">
        <f>'Population Treasury'!R$82*'Statistics NZ'!R$407*'Economic Forecasts'!T$8/D$7</f>
        <v>9779.3789958706839</v>
      </c>
      <c r="E62" s="45">
        <f>'Population Treasury'!S$82*'Statistics NZ'!S$407*'Economic Forecasts'!U$8/E$7</f>
        <v>10185.245067300479</v>
      </c>
      <c r="F62" s="45">
        <f>'Population Treasury'!T$82*'Statistics NZ'!T$407*'Economic Forecasts'!V$8/F$7</f>
        <v>10863.747347150706</v>
      </c>
      <c r="G62" s="45">
        <f>'Population Treasury'!U$82*'Statistics NZ'!U$407*'Economic Forecasts'!W$8/G$7</f>
        <v>11355.778696441776</v>
      </c>
      <c r="H62" s="45">
        <f>'Population Treasury'!V$82*'Statistics NZ'!V$407*'Economic Forecasts'!X$8/H$7</f>
        <v>12013.286627380334</v>
      </c>
      <c r="I62" s="45">
        <f>'Population Treasury'!W$82*'Statistics NZ'!W$407*'Economic Forecasts'!Y$8/I$7</f>
        <v>12412.987469380943</v>
      </c>
      <c r="J62" s="45">
        <f>'Population Treasury'!X$82*'Statistics NZ'!X$407*'Economic Forecasts'!Z$8/J$7</f>
        <v>13240.051269507196</v>
      </c>
      <c r="K62" s="45">
        <f>'Population Treasury'!Y$82*'Statistics NZ'!Y$407*'Economic Forecasts'!AA$8/K$7</f>
        <v>13802.809296987025</v>
      </c>
      <c r="L62" s="46">
        <f>K$62*'Population Treasury'!Z$82*'Statistics NZ'!Z$407/('Population Treasury'!Y$82*'Statistics NZ'!Y$407)</f>
        <v>14121.757229774623</v>
      </c>
      <c r="M62" s="46">
        <f>L$62*'Population Treasury'!AA$82*'Statistics NZ'!AA$407/('Population Treasury'!Z$82*'Statistics NZ'!Z$407)</f>
        <v>13964.764122930121</v>
      </c>
      <c r="N62" s="46">
        <f>M$62*'Population Treasury'!AB$82*'Statistics NZ'!AB$407/('Population Treasury'!AA$82*'Statistics NZ'!AA$407)</f>
        <v>13739.760256890026</v>
      </c>
      <c r="O62" s="46">
        <f>N$62*'Population Treasury'!AC$82*'Statistics NZ'!AC$407/('Population Treasury'!AB$82*'Statistics NZ'!AB$407)</f>
        <v>13641.830348156878</v>
      </c>
      <c r="P62" s="46">
        <f>O$62*'Population Treasury'!AD$82*'Statistics NZ'!AD$407/('Population Treasury'!AC$82*'Statistics NZ'!AC$407)</f>
        <v>13957.042889291934</v>
      </c>
      <c r="Q62" s="46">
        <f>P$62*'Population Treasury'!AE$82*'Statistics NZ'!AE$407/('Population Treasury'!AD$82*'Statistics NZ'!AD$407)</f>
        <v>14324.62568977209</v>
      </c>
      <c r="R62" s="46">
        <f>Q$62*'Population Treasury'!AF$82*'Statistics NZ'!AF$407/('Population Treasury'!AE$82*'Statistics NZ'!AE$407)</f>
        <v>14688.001531323454</v>
      </c>
      <c r="S62" s="46">
        <f>R$62*'Population Treasury'!AG$82*'Statistics NZ'!AG$407/('Population Treasury'!AF$82*'Statistics NZ'!AF$407)</f>
        <v>14675.879014293732</v>
      </c>
      <c r="T62" s="46">
        <f>S$62*'Population Treasury'!AH$82*'Statistics NZ'!AH$407/('Population Treasury'!AG$82*'Statistics NZ'!AG$407)</f>
        <v>15364.253130787367</v>
      </c>
      <c r="U62" s="46">
        <f>T$62*'Population Treasury'!AI$82*'Statistics NZ'!AI$407/('Population Treasury'!AH$82*'Statistics NZ'!AH$407)</f>
        <v>15240.539365892475</v>
      </c>
    </row>
    <row r="63" spans="1:21" x14ac:dyDescent="0.25">
      <c r="A63" s="11">
        <v>68</v>
      </c>
      <c r="B63" s="44">
        <f>'Population Treasury'!P$83*'Statistics NZ'!P$408*'Economic Forecasts'!R$8/B$7</f>
        <v>7576.3291216475936</v>
      </c>
      <c r="C63" s="44">
        <f>'Population Treasury'!Q$83*'Statistics NZ'!Q$408*'Economic Forecasts'!S$8/C$7</f>
        <v>7813.5402902609312</v>
      </c>
      <c r="D63" s="44">
        <f>'Population Treasury'!R$83*'Statistics NZ'!R$408*'Economic Forecasts'!T$8/D$7</f>
        <v>8124.2559509113989</v>
      </c>
      <c r="E63" s="45">
        <f>'Population Treasury'!S$83*'Statistics NZ'!S$408*'Economic Forecasts'!U$8/E$7</f>
        <v>8542.0925574614448</v>
      </c>
      <c r="F63" s="45">
        <f>'Population Treasury'!T$83*'Statistics NZ'!T$408*'Economic Forecasts'!V$8/F$7</f>
        <v>9137.0807173779795</v>
      </c>
      <c r="G63" s="45">
        <f>'Population Treasury'!U$83*'Statistics NZ'!U$408*'Economic Forecasts'!W$8/G$7</f>
        <v>9511.3481931791885</v>
      </c>
      <c r="H63" s="45">
        <f>'Population Treasury'!V$83*'Statistics NZ'!V$408*'Economic Forecasts'!X$8/H$7</f>
        <v>9984.0357718284667</v>
      </c>
      <c r="I63" s="45">
        <f>'Population Treasury'!W$83*'Statistics NZ'!W$408*'Economic Forecasts'!Y$8/I$7</f>
        <v>10597.504411703258</v>
      </c>
      <c r="J63" s="45">
        <f>'Population Treasury'!X$83*'Statistics NZ'!X$408*'Economic Forecasts'!Z$8/J$7</f>
        <v>10932.96085031634</v>
      </c>
      <c r="K63" s="45">
        <f>'Population Treasury'!Y$83*'Statistics NZ'!Y$408*'Economic Forecasts'!AA$8/K$7</f>
        <v>11648.937026276175</v>
      </c>
      <c r="L63" s="46">
        <f>K$63*'Population Treasury'!Z$83*'Statistics NZ'!Z$408/('Population Treasury'!Y$83*'Statistics NZ'!Y$408)</f>
        <v>12070.711344674173</v>
      </c>
      <c r="M63" s="46">
        <f>L$63*'Population Treasury'!AA$83*'Statistics NZ'!AA$408/('Population Treasury'!Z$83*'Statistics NZ'!Z$408)</f>
        <v>12353.713518486325</v>
      </c>
      <c r="N63" s="46">
        <f>M$63*'Population Treasury'!AB$83*'Statistics NZ'!AB$408/('Population Treasury'!AA$83*'Statistics NZ'!AA$408)</f>
        <v>12214.185822692023</v>
      </c>
      <c r="O63" s="46">
        <f>N$63*'Population Treasury'!AC$83*'Statistics NZ'!AC$408/('Population Treasury'!AB$83*'Statistics NZ'!AB$408)</f>
        <v>12024.552331401652</v>
      </c>
      <c r="P63" s="46">
        <f>O$63*'Population Treasury'!AD$83*'Statistics NZ'!AD$408/('Population Treasury'!AC$83*'Statistics NZ'!AC$408)</f>
        <v>11935.280614489098</v>
      </c>
      <c r="Q63" s="46">
        <f>P$63*'Population Treasury'!AE$83*'Statistics NZ'!AE$408/('Population Treasury'!AD$83*'Statistics NZ'!AD$408)</f>
        <v>12207.400620583143</v>
      </c>
      <c r="R63" s="46">
        <f>Q$63*'Population Treasury'!AF$83*'Statistics NZ'!AF$408/('Population Treasury'!AE$83*'Statistics NZ'!AE$408)</f>
        <v>12526.947849038388</v>
      </c>
      <c r="S63" s="46">
        <f>R$63*'Population Treasury'!AG$83*'Statistics NZ'!AG$408/('Population Treasury'!AF$83*'Statistics NZ'!AF$408)</f>
        <v>12834.67987273275</v>
      </c>
      <c r="T63" s="46">
        <f>S$63*'Population Treasury'!AH$83*'Statistics NZ'!AH$408/('Population Treasury'!AG$83*'Statistics NZ'!AG$408)</f>
        <v>12836.135456501732</v>
      </c>
      <c r="U63" s="46">
        <f>T$63*'Population Treasury'!AI$83*'Statistics NZ'!AI$408/('Population Treasury'!AH$83*'Statistics NZ'!AH$408)</f>
        <v>13442.664320612883</v>
      </c>
    </row>
    <row r="64" spans="1:21" x14ac:dyDescent="0.25">
      <c r="A64" s="11">
        <v>69</v>
      </c>
      <c r="B64" s="44">
        <f>'Population Treasury'!P$84*'Statistics NZ'!P$409*'Economic Forecasts'!R$8/B$7</f>
        <v>6251.7880817346995</v>
      </c>
      <c r="C64" s="44">
        <f>'Population Treasury'!Q$84*'Statistics NZ'!Q$409*'Economic Forecasts'!S$8/C$7</f>
        <v>6504.2436959127035</v>
      </c>
      <c r="D64" s="44">
        <f>'Population Treasury'!R$84*'Statistics NZ'!R$409*'Economic Forecasts'!T$8/D$7</f>
        <v>6707.2122787309299</v>
      </c>
      <c r="E64" s="45">
        <f>'Population Treasury'!S$84*'Statistics NZ'!S$409*'Economic Forecasts'!U$8/E$7</f>
        <v>7035.3120610484521</v>
      </c>
      <c r="F64" s="45">
        <f>'Population Treasury'!T$84*'Statistics NZ'!T$409*'Economic Forecasts'!V$8/F$7</f>
        <v>7592.7621752761133</v>
      </c>
      <c r="G64" s="45">
        <f>'Population Treasury'!U$84*'Statistics NZ'!U$409*'Economic Forecasts'!W$8/G$7</f>
        <v>7934.1473997487956</v>
      </c>
      <c r="H64" s="45">
        <f>'Population Treasury'!V$84*'Statistics NZ'!V$409*'Economic Forecasts'!X$8/H$7</f>
        <v>8297.2521513958782</v>
      </c>
      <c r="I64" s="45">
        <f>'Population Treasury'!W$84*'Statistics NZ'!W$409*'Economic Forecasts'!Y$8/I$7</f>
        <v>8722.9006563342446</v>
      </c>
      <c r="J64" s="45">
        <f>'Population Treasury'!X$84*'Statistics NZ'!X$409*'Economic Forecasts'!Z$8/J$7</f>
        <v>9237.8296423181982</v>
      </c>
      <c r="K64" s="45">
        <f>'Population Treasury'!Y$84*'Statistics NZ'!Y$409*'Economic Forecasts'!AA$8/K$7</f>
        <v>9533.0217500571634</v>
      </c>
      <c r="L64" s="46">
        <f>K$64*'Population Treasury'!Z$84*'Statistics NZ'!Z$409/('Population Treasury'!Y$84*'Statistics NZ'!Y$409)</f>
        <v>10083.99620622375</v>
      </c>
      <c r="M64" s="46">
        <f>L$64*'Population Treasury'!AA$84*'Statistics NZ'!AA$409/('Population Treasury'!Z$84*'Statistics NZ'!Z$409)</f>
        <v>10450.850236629789</v>
      </c>
      <c r="N64" s="46">
        <f>M$64*'Population Treasury'!AB$84*'Statistics NZ'!AB$409/('Population Treasury'!AA$84*'Statistics NZ'!AA$409)</f>
        <v>10704.270496200068</v>
      </c>
      <c r="O64" s="46">
        <f>N$64*'Population Treasury'!AC$84*'Statistics NZ'!AC$409/('Population Treasury'!AB$84*'Statistics NZ'!AB$409)</f>
        <v>10579.340960456993</v>
      </c>
      <c r="P64" s="46">
        <f>O$64*'Population Treasury'!AD$84*'Statistics NZ'!AD$409/('Population Treasury'!AC$84*'Statistics NZ'!AC$409)</f>
        <v>10415.018721139797</v>
      </c>
      <c r="Q64" s="46">
        <f>P$64*'Population Treasury'!AE$84*'Statistics NZ'!AE$409/('Population Treasury'!AD$84*'Statistics NZ'!AD$409)</f>
        <v>10331.416656857278</v>
      </c>
      <c r="R64" s="46">
        <f>Q$64*'Population Treasury'!AF$84*'Statistics NZ'!AF$409/('Population Treasury'!AE$84*'Statistics NZ'!AE$409)</f>
        <v>10567.206574147946</v>
      </c>
      <c r="S64" s="46">
        <f>R$64*'Population Treasury'!AG$84*'Statistics NZ'!AG$409/('Population Treasury'!AF$84*'Statistics NZ'!AF$409)</f>
        <v>10840.103342740511</v>
      </c>
      <c r="T64" s="46">
        <f>S$64*'Population Treasury'!AH$84*'Statistics NZ'!AH$409/('Population Treasury'!AG$84*'Statistics NZ'!AG$409)</f>
        <v>11113.720728092632</v>
      </c>
      <c r="U64" s="46">
        <f>T$64*'Population Treasury'!AI$84*'Statistics NZ'!AI$409/('Population Treasury'!AH$84*'Statistics NZ'!AH$409)</f>
        <v>11100.17244498531</v>
      </c>
    </row>
    <row r="65" spans="1:21" x14ac:dyDescent="0.25">
      <c r="A65" s="11">
        <v>70</v>
      </c>
      <c r="B65" s="44">
        <f>'Population Treasury'!P$85*'Statistics NZ'!P$410*'Economic Forecasts'!R$8/B$7</f>
        <v>5292.971534729937</v>
      </c>
      <c r="C65" s="44">
        <f>'Population Treasury'!Q$85*'Statistics NZ'!Q$410*'Economic Forecasts'!S$8/C$7</f>
        <v>5312.9798672448524</v>
      </c>
      <c r="D65" s="44">
        <f>'Population Treasury'!R$85*'Statistics NZ'!R$410*'Economic Forecasts'!T$8/D$7</f>
        <v>5533.7270674867559</v>
      </c>
      <c r="E65" s="45">
        <f>'Population Treasury'!S$85*'Statistics NZ'!S$410*'Economic Forecasts'!U$8/E$7</f>
        <v>5732.5809136206954</v>
      </c>
      <c r="F65" s="45">
        <f>'Population Treasury'!T$85*'Statistics NZ'!T$410*'Economic Forecasts'!V$8/F$7</f>
        <v>6190.8707204062293</v>
      </c>
      <c r="G65" s="45">
        <f>'Population Treasury'!U$85*'Statistics NZ'!U$410*'Economic Forecasts'!W$8/G$7</f>
        <v>6521.4061397308433</v>
      </c>
      <c r="H65" s="45">
        <f>'Population Treasury'!V$85*'Statistics NZ'!V$410*'Economic Forecasts'!X$8/H$7</f>
        <v>6843.3645307707793</v>
      </c>
      <c r="I65" s="45">
        <f>'Population Treasury'!W$85*'Statistics NZ'!W$410*'Economic Forecasts'!Y$8/I$7</f>
        <v>7168.674591050004</v>
      </c>
      <c r="J65" s="45">
        <f>'Population Treasury'!X$85*'Statistics NZ'!X$410*'Economic Forecasts'!Z$8/J$7</f>
        <v>7521.4689787000088</v>
      </c>
      <c r="K65" s="45">
        <f>'Population Treasury'!Y$85*'Statistics NZ'!Y$410*'Economic Forecasts'!AA$8/K$7</f>
        <v>7958.0767150694282</v>
      </c>
      <c r="L65" s="46">
        <f>K$65*'Population Treasury'!Z$85*'Statistics NZ'!Z$410/('Population Treasury'!Y$85*'Statistics NZ'!Y$410)</f>
        <v>8149.0823818428898</v>
      </c>
      <c r="M65" s="46">
        <f>L$65*'Population Treasury'!AA$85*'Statistics NZ'!AA$410/('Population Treasury'!Z$85*'Statistics NZ'!Z$410)</f>
        <v>8619.010689377692</v>
      </c>
      <c r="N65" s="46">
        <f>M$65*'Population Treasury'!AB$85*'Statistics NZ'!AB$410/('Population Treasury'!AA$85*'Statistics NZ'!AA$410)</f>
        <v>8928.3691856076766</v>
      </c>
      <c r="O65" s="46">
        <f>N$65*'Population Treasury'!AC$85*'Statistics NZ'!AC$410/('Population Treasury'!AB$85*'Statistics NZ'!AB$410)</f>
        <v>9139.2256630447791</v>
      </c>
      <c r="P65" s="46">
        <f>O$65*'Population Treasury'!AD$85*'Statistics NZ'!AD$410/('Population Treasury'!AC$85*'Statistics NZ'!AC$410)</f>
        <v>9020.2758209644289</v>
      </c>
      <c r="Q65" s="46">
        <f>P$65*'Population Treasury'!AE$85*'Statistics NZ'!AE$410/('Population Treasury'!AD$85*'Statistics NZ'!AD$410)</f>
        <v>8872.4345332905632</v>
      </c>
      <c r="R65" s="46">
        <f>Q$65*'Population Treasury'!AF$85*'Statistics NZ'!AF$410/('Population Treasury'!AE$85*'Statistics NZ'!AE$410)</f>
        <v>8797.1536823061888</v>
      </c>
      <c r="S65" s="46">
        <f>R$65*'Population Treasury'!AG$85*'Statistics NZ'!AG$410/('Population Treasury'!AF$85*'Statistics NZ'!AF$410)</f>
        <v>9006.6559989183606</v>
      </c>
      <c r="T65" s="46">
        <f>S$65*'Population Treasury'!AH$85*'Statistics NZ'!AH$410/('Population Treasury'!AG$85*'Statistics NZ'!AG$410)</f>
        <v>9228.6927795748234</v>
      </c>
      <c r="U65" s="46">
        <f>T$65*'Population Treasury'!AI$85*'Statistics NZ'!AI$410/('Population Treasury'!AH$85*'Statistics NZ'!AH$410)</f>
        <v>9457.8425308734895</v>
      </c>
    </row>
    <row r="66" spans="1:21" x14ac:dyDescent="0.25">
      <c r="A66" s="11">
        <v>71</v>
      </c>
      <c r="B66" s="44">
        <f>'Population Treasury'!P$86*'Statistics NZ'!P$411*'Economic Forecasts'!R$8/B$7</f>
        <v>4285.1745366486284</v>
      </c>
      <c r="C66" s="44">
        <f>'Population Treasury'!Q$86*'Statistics NZ'!Q$411*'Economic Forecasts'!S$8/C$7</f>
        <v>4457.1847064106923</v>
      </c>
      <c r="D66" s="44">
        <f>'Population Treasury'!R$86*'Statistics NZ'!R$411*'Economic Forecasts'!T$8/D$7</f>
        <v>4482.6768901501227</v>
      </c>
      <c r="E66" s="45">
        <f>'Population Treasury'!S$86*'Statistics NZ'!S$411*'Economic Forecasts'!U$8/E$7</f>
        <v>4682.1482145695772</v>
      </c>
      <c r="F66" s="45">
        <f>'Population Treasury'!T$86*'Statistics NZ'!T$411*'Economic Forecasts'!V$8/F$7</f>
        <v>5008.9304383130302</v>
      </c>
      <c r="G66" s="45">
        <f>'Population Treasury'!U$86*'Statistics NZ'!U$411*'Economic Forecasts'!W$8/G$7</f>
        <v>5277.1106589630226</v>
      </c>
      <c r="H66" s="45">
        <f>'Population Treasury'!V$86*'Statistics NZ'!V$411*'Economic Forecasts'!X$8/H$7</f>
        <v>5572.9430165696485</v>
      </c>
      <c r="I66" s="45">
        <f>'Population Treasury'!W$86*'Statistics NZ'!W$411*'Economic Forecasts'!Y$8/I$7</f>
        <v>5855.1758783398373</v>
      </c>
      <c r="J66" s="45">
        <f>'Population Treasury'!X$86*'Statistics NZ'!X$411*'Economic Forecasts'!Z$8/J$7</f>
        <v>6125.6681924183958</v>
      </c>
      <c r="K66" s="45">
        <f>'Population Treasury'!Y$86*'Statistics NZ'!Y$411*'Economic Forecasts'!AA$8/K$7</f>
        <v>6418.7687491913921</v>
      </c>
      <c r="L66" s="46">
        <f>K$66*'Population Treasury'!Z$86*'Statistics NZ'!Z$411/('Population Treasury'!Y$86*'Statistics NZ'!Y$411)</f>
        <v>6747.359262720719</v>
      </c>
      <c r="M66" s="46">
        <f>L$66*'Population Treasury'!AA$86*'Statistics NZ'!AA$411/('Population Treasury'!Z$86*'Statistics NZ'!Z$411)</f>
        <v>6904.1184344914991</v>
      </c>
      <c r="N66" s="46">
        <f>M$66*'Population Treasury'!AB$86*'Statistics NZ'!AB$411/('Population Treasury'!AA$86*'Statistics NZ'!AA$411)</f>
        <v>7308.0816077563049</v>
      </c>
      <c r="O66" s="46">
        <f>N$66*'Population Treasury'!AC$86*'Statistics NZ'!AC$411/('Population Treasury'!AB$86*'Statistics NZ'!AB$411)</f>
        <v>7563.9225094990434</v>
      </c>
      <c r="P66" s="46">
        <f>O$66*'Population Treasury'!AD$86*'Statistics NZ'!AD$411/('Population Treasury'!AC$86*'Statistics NZ'!AC$411)</f>
        <v>7735.4149787652432</v>
      </c>
      <c r="Q66" s="46">
        <f>P$66*'Population Treasury'!AE$86*'Statistics NZ'!AE$411/('Population Treasury'!AD$86*'Statistics NZ'!AD$411)</f>
        <v>7638.5089125023824</v>
      </c>
      <c r="R66" s="46">
        <f>Q$66*'Population Treasury'!AF$86*'Statistics NZ'!AF$411/('Population Treasury'!AE$86*'Statistics NZ'!AE$411)</f>
        <v>7507.5832370832914</v>
      </c>
      <c r="S66" s="46">
        <f>R$66*'Population Treasury'!AG$86*'Statistics NZ'!AG$411/('Population Treasury'!AF$86*'Statistics NZ'!AF$411)</f>
        <v>7445.1635185363166</v>
      </c>
      <c r="T66" s="46">
        <f>S$66*'Population Treasury'!AH$86*'Statistics NZ'!AH$411/('Population Treasury'!AG$86*'Statistics NZ'!AG$411)</f>
        <v>7619.8523321160228</v>
      </c>
      <c r="U66" s="46">
        <f>T$66*'Population Treasury'!AI$86*'Statistics NZ'!AI$411/('Population Treasury'!AH$86*'Statistics NZ'!AH$411)</f>
        <v>7810.5656221008476</v>
      </c>
    </row>
    <row r="67" spans="1:21" x14ac:dyDescent="0.25">
      <c r="A67" s="11">
        <v>72</v>
      </c>
      <c r="B67" s="44">
        <f>'Population Treasury'!P$87*'Statistics NZ'!P$412*'Economic Forecasts'!R$8/B$7</f>
        <v>3621.5044261577332</v>
      </c>
      <c r="C67" s="44">
        <f>'Population Treasury'!Q$87*'Statistics NZ'!Q$412*'Economic Forecasts'!S$8/C$7</f>
        <v>3575.6487970752692</v>
      </c>
      <c r="D67" s="44">
        <f>'Population Treasury'!R$87*'Statistics NZ'!R$412*'Economic Forecasts'!T$8/D$7</f>
        <v>3715.4282589670674</v>
      </c>
      <c r="E67" s="45">
        <f>'Population Treasury'!S$87*'Statistics NZ'!S$412*'Economic Forecasts'!U$8/E$7</f>
        <v>3757.7124044818988</v>
      </c>
      <c r="F67" s="45">
        <f>'Population Treasury'!T$87*'Statistics NZ'!T$412*'Economic Forecasts'!V$8/F$7</f>
        <v>4063.5285911259448</v>
      </c>
      <c r="G67" s="45">
        <f>'Population Treasury'!U$87*'Statistics NZ'!U$412*'Economic Forecasts'!W$8/G$7</f>
        <v>4244.9921069175398</v>
      </c>
      <c r="H67" s="45">
        <f>'Population Treasury'!V$87*'Statistics NZ'!V$412*'Economic Forecasts'!X$8/H$7</f>
        <v>4472.586284742717</v>
      </c>
      <c r="I67" s="45">
        <f>'Population Treasury'!W$87*'Statistics NZ'!W$412*'Economic Forecasts'!Y$8/I$7</f>
        <v>4741.2348497152916</v>
      </c>
      <c r="J67" s="45">
        <f>'Population Treasury'!X$87*'Statistics NZ'!X$412*'Economic Forecasts'!Z$8/J$7</f>
        <v>4972.7477469990272</v>
      </c>
      <c r="K67" s="45">
        <f>'Population Treasury'!Y$87*'Statistics NZ'!Y$412*'Economic Forecasts'!AA$8/K$7</f>
        <v>5189.164162375876</v>
      </c>
      <c r="L67" s="46">
        <f>K$67*'Population Treasury'!Z$87*'Statistics NZ'!Z$412/('Population Treasury'!Y$87*'Statistics NZ'!Y$412)</f>
        <v>5403.085143913283</v>
      </c>
      <c r="M67" s="46">
        <f>L$67*'Population Treasury'!AA$87*'Statistics NZ'!AA$412/('Population Treasury'!Z$87*'Statistics NZ'!Z$412)</f>
        <v>5678.7980379801438</v>
      </c>
      <c r="N67" s="46">
        <f>M$67*'Population Treasury'!AB$87*'Statistics NZ'!AB$412/('Population Treasury'!AA$87*'Statistics NZ'!AA$412)</f>
        <v>5819.1461503406763</v>
      </c>
      <c r="O67" s="46">
        <f>N$67*'Population Treasury'!AC$87*'Statistics NZ'!AC$412/('Population Treasury'!AB$87*'Statistics NZ'!AB$412)</f>
        <v>6147.0476827896218</v>
      </c>
      <c r="P67" s="46">
        <f>O$67*'Population Treasury'!AD$87*'Statistics NZ'!AD$412/('Population Treasury'!AC$87*'Statistics NZ'!AC$412)</f>
        <v>6360.0619733227577</v>
      </c>
      <c r="Q67" s="46">
        <f>P$67*'Population Treasury'!AE$87*'Statistics NZ'!AE$412/('Population Treasury'!AD$87*'Statistics NZ'!AD$412)</f>
        <v>6502.4646416395899</v>
      </c>
      <c r="R67" s="46">
        <f>Q$67*'Population Treasury'!AF$87*'Statistics NZ'!AF$412/('Population Treasury'!AE$87*'Statistics NZ'!AE$412)</f>
        <v>6423.0789046788414</v>
      </c>
      <c r="S67" s="46">
        <f>R$67*'Population Treasury'!AG$87*'Statistics NZ'!AG$412/('Population Treasury'!AF$87*'Statistics NZ'!AF$412)</f>
        <v>6314.0748216937845</v>
      </c>
      <c r="T67" s="46">
        <f>S$67*'Population Treasury'!AH$87*'Statistics NZ'!AH$412/('Population Treasury'!AG$87*'Statistics NZ'!AG$412)</f>
        <v>6259.7887553204328</v>
      </c>
      <c r="U67" s="46">
        <f>T$67*'Population Treasury'!AI$87*'Statistics NZ'!AI$412/('Population Treasury'!AH$87*'Statistics NZ'!AH$412)</f>
        <v>6402.1369189784982</v>
      </c>
    </row>
    <row r="68" spans="1:21" x14ac:dyDescent="0.25">
      <c r="A68" s="11">
        <v>73</v>
      </c>
      <c r="B68" s="44">
        <f>'Population Treasury'!P$88*'Statistics NZ'!P$413*'Economic Forecasts'!R$8/B$7</f>
        <v>2933.7036038388378</v>
      </c>
      <c r="C68" s="44">
        <f>'Population Treasury'!Q$88*'Statistics NZ'!Q$413*'Economic Forecasts'!S$8/C$7</f>
        <v>2999.9604514761454</v>
      </c>
      <c r="D68" s="44">
        <f>'Population Treasury'!R$88*'Statistics NZ'!R$413*'Economic Forecasts'!T$8/D$7</f>
        <v>2961.839330030989</v>
      </c>
      <c r="E68" s="45">
        <f>'Population Treasury'!S$88*'Statistics NZ'!S$413*'Economic Forecasts'!U$8/E$7</f>
        <v>3098.2763681366819</v>
      </c>
      <c r="F68" s="45">
        <f>'Population Treasury'!T$88*'Statistics NZ'!T$413*'Economic Forecasts'!V$8/F$7</f>
        <v>3235.8350110222382</v>
      </c>
      <c r="G68" s="45">
        <f>'Population Treasury'!U$88*'Statistics NZ'!U$413*'Economic Forecasts'!W$8/G$7</f>
        <v>3418.6574951625557</v>
      </c>
      <c r="H68" s="45">
        <f>'Population Treasury'!V$88*'Statistics NZ'!V$413*'Economic Forecasts'!X$8/H$7</f>
        <v>3576.9672555683087</v>
      </c>
      <c r="I68" s="45">
        <f>'Population Treasury'!W$88*'Statistics NZ'!W$413*'Economic Forecasts'!Y$8/I$7</f>
        <v>3782.4187173172813</v>
      </c>
      <c r="J68" s="45">
        <f>'Population Treasury'!X$88*'Statistics NZ'!X$413*'Economic Forecasts'!Z$8/J$7</f>
        <v>4001.1910497372833</v>
      </c>
      <c r="K68" s="45">
        <f>'Population Treasury'!Y$88*'Statistics NZ'!Y$413*'Economic Forecasts'!AA$8/K$7</f>
        <v>4187.8408869864652</v>
      </c>
      <c r="L68" s="46">
        <f>K$68*'Population Treasury'!Z$88*'Statistics NZ'!Z$413/('Population Treasury'!Y$88*'Statistics NZ'!Y$413)</f>
        <v>4341.1969917107835</v>
      </c>
      <c r="M68" s="46">
        <f>L$68*'Population Treasury'!AA$88*'Statistics NZ'!AA$413/('Population Treasury'!Z$88*'Statistics NZ'!Z$413)</f>
        <v>4527.6489239697257</v>
      </c>
      <c r="N68" s="46">
        <f>M$68*'Population Treasury'!AB$88*'Statistics NZ'!AB$413/('Population Treasury'!AA$88*'Statistics NZ'!AA$413)</f>
        <v>4748.6071885277752</v>
      </c>
      <c r="O68" s="46">
        <f>N$68*'Population Treasury'!AC$88*'Statistics NZ'!AC$413/('Population Treasury'!AB$88*'Statistics NZ'!AB$413)</f>
        <v>4861.5451984390329</v>
      </c>
      <c r="P68" s="46">
        <f>O$68*'Population Treasury'!AD$88*'Statistics NZ'!AD$413/('Population Treasury'!AC$88*'Statistics NZ'!AC$413)</f>
        <v>5143.576852638038</v>
      </c>
      <c r="Q68" s="46">
        <f>P$68*'Population Treasury'!AE$88*'Statistics NZ'!AE$413/('Population Treasury'!AD$88*'Statistics NZ'!AD$413)</f>
        <v>5313.9099160319784</v>
      </c>
      <c r="R68" s="46">
        <f>Q$68*'Population Treasury'!AF$88*'Statistics NZ'!AF$413/('Population Treasury'!AE$88*'Statistics NZ'!AE$413)</f>
        <v>5439.1250329385675</v>
      </c>
      <c r="S68" s="46">
        <f>R$68*'Population Treasury'!AG$88*'Statistics NZ'!AG$413/('Population Treasury'!AF$88*'Statistics NZ'!AF$413)</f>
        <v>5369.3230507081962</v>
      </c>
      <c r="T68" s="46">
        <f>S$68*'Population Treasury'!AH$88*'Statistics NZ'!AH$413/('Population Treasury'!AG$88*'Statistics NZ'!AG$413)</f>
        <v>5278.3959076397114</v>
      </c>
      <c r="U68" s="46">
        <f>T$68*'Population Treasury'!AI$88*'Statistics NZ'!AI$413/('Population Treasury'!AH$88*'Statistics NZ'!AH$413)</f>
        <v>5236.3896495246026</v>
      </c>
    </row>
    <row r="69" spans="1:21" x14ac:dyDescent="0.25">
      <c r="A69" s="11">
        <v>74</v>
      </c>
      <c r="B69" s="44">
        <f>'Population Treasury'!P$89*'Statistics NZ'!P$414*'Economic Forecasts'!R$8/B$7</f>
        <v>2045.660608289098</v>
      </c>
      <c r="C69" s="44">
        <f>'Population Treasury'!Q$89*'Statistics NZ'!Q$414*'Economic Forecasts'!S$8/C$7</f>
        <v>2420.836958674206</v>
      </c>
      <c r="D69" s="44">
        <f>'Population Treasury'!R$89*'Statistics NZ'!R$414*'Economic Forecasts'!T$8/D$7</f>
        <v>2475.1282843758454</v>
      </c>
      <c r="E69" s="45">
        <f>'Population Treasury'!S$89*'Statistics NZ'!S$414*'Economic Forecasts'!U$8/E$7</f>
        <v>2452.1315843199195</v>
      </c>
      <c r="F69" s="45">
        <f>'Population Treasury'!T$89*'Statistics NZ'!T$414*'Economic Forecasts'!V$8/F$7</f>
        <v>2650.6631519430398</v>
      </c>
      <c r="G69" s="45">
        <f>'Population Treasury'!U$89*'Statistics NZ'!U$414*'Economic Forecasts'!W$8/G$7</f>
        <v>2709.9677252989936</v>
      </c>
      <c r="H69" s="45">
        <f>'Population Treasury'!V$89*'Statistics NZ'!V$414*'Economic Forecasts'!X$8/H$7</f>
        <v>2870.3620887037778</v>
      </c>
      <c r="I69" s="45">
        <f>'Population Treasury'!W$89*'Statistics NZ'!W$414*'Economic Forecasts'!Y$8/I$7</f>
        <v>3002.566910149028</v>
      </c>
      <c r="J69" s="45">
        <f>'Population Treasury'!X$89*'Statistics NZ'!X$414*'Economic Forecasts'!Z$8/J$7</f>
        <v>3170.8101361801646</v>
      </c>
      <c r="K69" s="45">
        <f>'Population Treasury'!Y$89*'Statistics NZ'!Y$414*'Economic Forecasts'!AA$8/K$7</f>
        <v>3350.6141776416544</v>
      </c>
      <c r="L69" s="46">
        <f>K$69*'Population Treasury'!Z$89*'Statistics NZ'!Z$414/('Population Treasury'!Y$89*'Statistics NZ'!Y$414)</f>
        <v>3491.0281787532463</v>
      </c>
      <c r="M69" s="46">
        <f>L$69*'Population Treasury'!AA$89*'Statistics NZ'!AA$414/('Population Treasury'!Z$89*'Statistics NZ'!Z$414)</f>
        <v>3620.8857648446046</v>
      </c>
      <c r="N69" s="46">
        <f>M$69*'Population Treasury'!AB$89*'Statistics NZ'!AB$414/('Population Treasury'!AA$89*'Statistics NZ'!AA$414)</f>
        <v>3777.6741072330747</v>
      </c>
      <c r="O69" s="46">
        <f>N$69*'Population Treasury'!AC$89*'Statistics NZ'!AC$414/('Population Treasury'!AB$89*'Statistics NZ'!AB$414)</f>
        <v>3965.2564907012361</v>
      </c>
      <c r="P69" s="46">
        <f>O$69*'Population Treasury'!AD$89*'Statistics NZ'!AD$414/('Population Treasury'!AC$89*'Statistics NZ'!AC$414)</f>
        <v>4060.654433364839</v>
      </c>
      <c r="Q69" s="46">
        <f>P$69*'Population Treasury'!AE$89*'Statistics NZ'!AE$414/('Population Treasury'!AD$89*'Statistics NZ'!AD$414)</f>
        <v>4290.0142147126262</v>
      </c>
      <c r="R69" s="46">
        <f>Q$69*'Population Treasury'!AF$89*'Statistics NZ'!AF$414/('Population Treasury'!AE$89*'Statistics NZ'!AE$414)</f>
        <v>4438.8125439330706</v>
      </c>
      <c r="S69" s="46">
        <f>R$69*'Population Treasury'!AG$89*'Statistics NZ'!AG$414/('Population Treasury'!AF$89*'Statistics NZ'!AF$414)</f>
        <v>4532.7101041754968</v>
      </c>
      <c r="T69" s="46">
        <f>S$69*'Population Treasury'!AH$89*'Statistics NZ'!AH$414/('Population Treasury'!AG$89*'Statistics NZ'!AG$414)</f>
        <v>4483.1258683665401</v>
      </c>
      <c r="U69" s="46">
        <f>T$69*'Population Treasury'!AI$89*'Statistics NZ'!AI$414/('Population Treasury'!AH$89*'Statistics NZ'!AH$414)</f>
        <v>4401.9725818814277</v>
      </c>
    </row>
    <row r="70" spans="1:21" x14ac:dyDescent="0.25">
      <c r="A70" s="11">
        <v>75</v>
      </c>
      <c r="B70" s="44">
        <f>'Population Treasury'!P$90*'Statistics NZ'!P$415*'Economic Forecasts'!R$8/B$7</f>
        <v>1574.930285220596</v>
      </c>
      <c r="C70" s="44">
        <f>'Population Treasury'!Q$90*'Statistics NZ'!Q$415*'Economic Forecasts'!S$8/C$7</f>
        <v>1688.8938784361144</v>
      </c>
      <c r="D70" s="44">
        <f>'Population Treasury'!R$90*'Statistics NZ'!R$415*'Economic Forecasts'!T$8/D$7</f>
        <v>2001.0780359399507</v>
      </c>
      <c r="E70" s="45">
        <f>'Population Treasury'!S$90*'Statistics NZ'!S$415*'Economic Forecasts'!U$8/E$7</f>
        <v>2057.6543772393788</v>
      </c>
      <c r="F70" s="45">
        <f>'Population Treasury'!T$90*'Statistics NZ'!T$415*'Economic Forecasts'!V$8/F$7</f>
        <v>2116.462327458572</v>
      </c>
      <c r="G70" s="45">
        <f>'Population Treasury'!U$90*'Statistics NZ'!U$415*'Economic Forecasts'!W$8/G$7</f>
        <v>2235.8503087381391</v>
      </c>
      <c r="H70" s="45">
        <f>'Population Treasury'!V$90*'Statistics NZ'!V$415*'Economic Forecasts'!X$8/H$7</f>
        <v>2281.0252643412782</v>
      </c>
      <c r="I70" s="45">
        <f>'Population Treasury'!W$90*'Statistics NZ'!W$415*'Economic Forecasts'!Y$8/I$7</f>
        <v>2422.0780080301392</v>
      </c>
      <c r="J70" s="45">
        <f>'Population Treasury'!X$90*'Statistics NZ'!X$415*'Economic Forecasts'!Z$8/J$7</f>
        <v>2539.47475032684</v>
      </c>
      <c r="K70" s="45">
        <f>'Population Treasury'!Y$90*'Statistics NZ'!Y$415*'Economic Forecasts'!AA$8/K$7</f>
        <v>2682.7707794435964</v>
      </c>
      <c r="L70" s="46">
        <f>K$70*'Population Treasury'!Z$90*'Statistics NZ'!Z$415/('Population Treasury'!Y$90*'Statistics NZ'!Y$415)</f>
        <v>2810.3892516035858</v>
      </c>
      <c r="M70" s="46">
        <f>L$70*'Population Treasury'!AA$90*'Statistics NZ'!AA$415/('Population Treasury'!Z$90*'Statistics NZ'!Z$415)</f>
        <v>2928.6161169745055</v>
      </c>
      <c r="N70" s="46">
        <f>M$70*'Population Treasury'!AB$90*'Statistics NZ'!AB$415/('Population Treasury'!AA$90*'Statistics NZ'!AA$415)</f>
        <v>3037.4961775085053</v>
      </c>
      <c r="O70" s="46">
        <f>N$70*'Population Treasury'!AC$90*'Statistics NZ'!AC$415/('Population Treasury'!AB$90*'Statistics NZ'!AB$415)</f>
        <v>3162.8007364065561</v>
      </c>
      <c r="P70" s="46">
        <f>O$70*'Population Treasury'!AD$90*'Statistics NZ'!AD$415/('Population Treasury'!AC$90*'Statistics NZ'!AC$415)</f>
        <v>3317.064985263376</v>
      </c>
      <c r="Q70" s="46">
        <f>P$70*'Population Treasury'!AE$90*'Statistics NZ'!AE$415/('Population Treasury'!AD$90*'Statistics NZ'!AD$415)</f>
        <v>3395.291326729563</v>
      </c>
      <c r="R70" s="46">
        <f>Q$70*'Population Treasury'!AF$90*'Statistics NZ'!AF$415/('Population Treasury'!AE$90*'Statistics NZ'!AE$415)</f>
        <v>3591.4597662221463</v>
      </c>
      <c r="S70" s="46">
        <f>R$70*'Population Treasury'!AG$90*'Statistics NZ'!AG$415/('Population Treasury'!AF$90*'Statistics NZ'!AF$415)</f>
        <v>3716.3022702814292</v>
      </c>
      <c r="T70" s="46">
        <f>S$70*'Population Treasury'!AH$90*'Statistics NZ'!AH$415/('Population Treasury'!AG$90*'Statistics NZ'!AG$415)</f>
        <v>3801.1133141530468</v>
      </c>
      <c r="U70" s="46">
        <f>T$70*'Population Treasury'!AI$90*'Statistics NZ'!AI$415/('Population Treasury'!AH$90*'Statistics NZ'!AH$415)</f>
        <v>3753.3632432917002</v>
      </c>
    </row>
    <row r="71" spans="1:21" x14ac:dyDescent="0.25">
      <c r="A71" s="11">
        <v>76</v>
      </c>
      <c r="B71" s="44">
        <f>'Population Treasury'!P$91*'Statistics NZ'!P$416*'Economic Forecasts'!R$8/B$7</f>
        <v>1242.2800140762322</v>
      </c>
      <c r="C71" s="44">
        <f>'Population Treasury'!Q$91*'Statistics NZ'!Q$416*'Economic Forecasts'!S$8/C$7</f>
        <v>1322.387382407916</v>
      </c>
      <c r="D71" s="44">
        <f>'Population Treasury'!R$91*'Statistics NZ'!R$416*'Economic Forecasts'!T$8/D$7</f>
        <v>1415.5827992331938</v>
      </c>
      <c r="E71" s="45">
        <f>'Population Treasury'!S$91*'Statistics NZ'!S$416*'Economic Forecasts'!U$8/E$7</f>
        <v>1683.8060666978822</v>
      </c>
      <c r="F71" s="45">
        <f>'Population Treasury'!T$91*'Statistics NZ'!T$416*'Economic Forecasts'!V$8/F$7</f>
        <v>1796.0683883043932</v>
      </c>
      <c r="G71" s="45">
        <f>'Population Treasury'!U$91*'Statistics NZ'!U$416*'Economic Forecasts'!W$8/G$7</f>
        <v>1804.7743733214718</v>
      </c>
      <c r="H71" s="45">
        <f>'Population Treasury'!V$91*'Statistics NZ'!V$416*'Economic Forecasts'!X$8/H$7</f>
        <v>1918.4980077887496</v>
      </c>
      <c r="I71" s="45">
        <f>'Population Treasury'!W$91*'Statistics NZ'!W$416*'Economic Forecasts'!Y$8/I$7</f>
        <v>1964.2012361769209</v>
      </c>
      <c r="J71" s="45">
        <f>'Population Treasury'!X$91*'Statistics NZ'!X$416*'Economic Forecasts'!Z$8/J$7</f>
        <v>2081.0692733090582</v>
      </c>
      <c r="K71" s="45">
        <f>'Population Treasury'!Y$91*'Statistics NZ'!Y$416*'Economic Forecasts'!AA$8/K$7</f>
        <v>2173.7971272614345</v>
      </c>
      <c r="L71" s="46">
        <f>K$71*'Population Treasury'!Z$91*'Statistics NZ'!Z$416/('Population Treasury'!Y$91*'Statistics NZ'!Y$416)</f>
        <v>2282.1112833253774</v>
      </c>
      <c r="M71" s="46">
        <f>L$71*'Population Treasury'!AA$91*'Statistics NZ'!AA$416/('Population Treasury'!Z$91*'Statistics NZ'!Z$416)</f>
        <v>2397.9403841770513</v>
      </c>
      <c r="N71" s="46">
        <f>M$71*'Population Treasury'!AB$91*'Statistics NZ'!AB$416/('Population Treasury'!AA$91*'Statistics NZ'!AA$416)</f>
        <v>2495.6936854652013</v>
      </c>
      <c r="O71" s="46">
        <f>N$71*'Population Treasury'!AC$91*'Statistics NZ'!AC$416/('Population Treasury'!AB$91*'Statistics NZ'!AB$416)</f>
        <v>2581.9776934147858</v>
      </c>
      <c r="P71" s="46">
        <f>O$71*'Population Treasury'!AD$91*'Statistics NZ'!AD$416/('Population Treasury'!AC$91*'Statistics NZ'!AC$416)</f>
        <v>2688.7229901887522</v>
      </c>
      <c r="Q71" s="46">
        <f>P$71*'Population Treasury'!AE$91*'Statistics NZ'!AE$416/('Population Treasury'!AD$91*'Statistics NZ'!AD$416)</f>
        <v>2830.385839351381</v>
      </c>
      <c r="R71" s="46">
        <f>Q$71*'Population Treasury'!AF$91*'Statistics NZ'!AF$416/('Population Treasury'!AE$91*'Statistics NZ'!AE$416)</f>
        <v>2890.7664541218705</v>
      </c>
      <c r="S71" s="46">
        <f>R$71*'Population Treasury'!AG$91*'Statistics NZ'!AG$416/('Population Treasury'!AF$91*'Statistics NZ'!AF$416)</f>
        <v>3062.7970523630388</v>
      </c>
      <c r="T71" s="46">
        <f>S$71*'Population Treasury'!AH$91*'Statistics NZ'!AH$416/('Population Treasury'!AG$91*'Statistics NZ'!AG$416)</f>
        <v>3167.747668306537</v>
      </c>
      <c r="U71" s="46">
        <f>T$71*'Population Treasury'!AI$91*'Statistics NZ'!AI$416/('Population Treasury'!AH$91*'Statistics NZ'!AH$416)</f>
        <v>3233.8706894229467</v>
      </c>
    </row>
    <row r="72" spans="1:21" x14ac:dyDescent="0.25">
      <c r="A72" s="11">
        <v>77</v>
      </c>
      <c r="B72" s="44">
        <f>'Population Treasury'!P$92*'Statistics NZ'!P$417*'Economic Forecasts'!R$8/B$7</f>
        <v>929.84573104049934</v>
      </c>
      <c r="C72" s="44">
        <f>'Population Treasury'!Q$92*'Statistics NZ'!Q$417*'Economic Forecasts'!S$8/C$7</f>
        <v>1048.4482148699483</v>
      </c>
      <c r="D72" s="44">
        <f>'Population Treasury'!R$92*'Statistics NZ'!R$417*'Economic Forecasts'!T$8/D$7</f>
        <v>1113.2453282786241</v>
      </c>
      <c r="E72" s="45">
        <f>'Population Treasury'!S$92*'Statistics NZ'!S$417*'Economic Forecasts'!U$8/E$7</f>
        <v>1207.9146893587697</v>
      </c>
      <c r="F72" s="45">
        <f>'Population Treasury'!T$92*'Statistics NZ'!T$417*'Economic Forecasts'!V$8/F$7</f>
        <v>1495.1556444947287</v>
      </c>
      <c r="G72" s="45">
        <f>'Population Treasury'!U$92*'Statistics NZ'!U$417*'Economic Forecasts'!W$8/G$7</f>
        <v>1555.118412726682</v>
      </c>
      <c r="H72" s="45">
        <f>'Population Treasury'!V$92*'Statistics NZ'!V$417*'Economic Forecasts'!X$8/H$7</f>
        <v>1557.1212450902372</v>
      </c>
      <c r="I72" s="45">
        <f>'Population Treasury'!W$92*'Statistics NZ'!W$417*'Economic Forecasts'!Y$8/I$7</f>
        <v>1661.6131755134511</v>
      </c>
      <c r="J72" s="45">
        <f>'Population Treasury'!X$92*'Statistics NZ'!X$417*'Economic Forecasts'!Z$8/J$7</f>
        <v>1694.3796941101175</v>
      </c>
      <c r="K72" s="45">
        <f>'Population Treasury'!Y$92*'Statistics NZ'!Y$417*'Economic Forecasts'!AA$8/K$7</f>
        <v>1797.6909596480969</v>
      </c>
      <c r="L72" s="46">
        <f>K$72*'Population Treasury'!Z$92*'Statistics NZ'!Z$417/('Population Treasury'!Y$92*'Statistics NZ'!Y$417)</f>
        <v>1867.5068241631782</v>
      </c>
      <c r="M72" s="46">
        <f>L$72*'Population Treasury'!AA$92*'Statistics NZ'!AA$417/('Population Treasury'!Z$92*'Statistics NZ'!Z$417)</f>
        <v>1954.8313527433536</v>
      </c>
      <c r="N72" s="46">
        <f>M$72*'Population Treasury'!AB$92*'Statistics NZ'!AB$417/('Population Treasury'!AA$92*'Statistics NZ'!AA$417)</f>
        <v>2060.8597129143509</v>
      </c>
      <c r="O72" s="46">
        <f>N$72*'Population Treasury'!AC$92*'Statistics NZ'!AC$417/('Population Treasury'!AB$92*'Statistics NZ'!AB$417)</f>
        <v>2136.2967986144245</v>
      </c>
      <c r="P72" s="46">
        <f>O$72*'Population Treasury'!AD$92*'Statistics NZ'!AD$417/('Population Treasury'!AC$92*'Statistics NZ'!AC$417)</f>
        <v>2223.0634635189203</v>
      </c>
      <c r="Q72" s="46">
        <f>P$72*'Population Treasury'!AE$92*'Statistics NZ'!AE$417/('Population Treasury'!AD$92*'Statistics NZ'!AD$417)</f>
        <v>2308.978404760117</v>
      </c>
      <c r="R72" s="46">
        <f>Q$72*'Population Treasury'!AF$92*'Statistics NZ'!AF$417/('Population Treasury'!AE$92*'Statistics NZ'!AE$417)</f>
        <v>2428.9096976541327</v>
      </c>
      <c r="S72" s="46">
        <f>R$72*'Population Treasury'!AG$92*'Statistics NZ'!AG$417/('Population Treasury'!AF$92*'Statistics NZ'!AF$417)</f>
        <v>2489.9334504748149</v>
      </c>
      <c r="T72" s="46">
        <f>S$72*'Population Treasury'!AH$92*'Statistics NZ'!AH$417/('Population Treasury'!AG$92*'Statistics NZ'!AG$417)</f>
        <v>2630.815951954648</v>
      </c>
      <c r="U72" s="46">
        <f>T$72*'Population Treasury'!AI$92*'Statistics NZ'!AI$417/('Population Treasury'!AH$92*'Statistics NZ'!AH$417)</f>
        <v>2715.6439766114054</v>
      </c>
    </row>
    <row r="73" spans="1:21" x14ac:dyDescent="0.25">
      <c r="A73" s="11">
        <v>78</v>
      </c>
      <c r="B73" s="44">
        <f>'Population Treasury'!P$93*'Statistics NZ'!P$418*'Economic Forecasts'!R$8/B$7</f>
        <v>871.11863223794126</v>
      </c>
      <c r="C73" s="44">
        <f>'Population Treasury'!Q$93*'Statistics NZ'!Q$418*'Economic Forecasts'!S$8/C$7</f>
        <v>781.24789203899581</v>
      </c>
      <c r="D73" s="44">
        <f>'Population Treasury'!R$93*'Statistics NZ'!R$418*'Economic Forecasts'!T$8/D$7</f>
        <v>886.87198863606</v>
      </c>
      <c r="E73" s="45">
        <f>'Population Treasury'!S$93*'Statistics NZ'!S$418*'Economic Forecasts'!U$8/E$7</f>
        <v>946.1561438316927</v>
      </c>
      <c r="F73" s="45">
        <f>'Population Treasury'!T$93*'Statistics NZ'!T$418*'Economic Forecasts'!V$8/F$7</f>
        <v>1066.7315882616717</v>
      </c>
      <c r="G73" s="45">
        <f>'Population Treasury'!U$93*'Statistics NZ'!U$418*'Economic Forecasts'!W$8/G$7</f>
        <v>1283.1050689284984</v>
      </c>
      <c r="H73" s="45">
        <f>'Population Treasury'!V$93*'Statistics NZ'!V$418*'Economic Forecasts'!X$8/H$7</f>
        <v>1345.7917994246095</v>
      </c>
      <c r="I73" s="45">
        <f>'Population Treasury'!W$93*'Statistics NZ'!W$418*'Economic Forecasts'!Y$8/I$7</f>
        <v>1349.617574059082</v>
      </c>
      <c r="J73" s="45">
        <f>'Population Treasury'!X$93*'Statistics NZ'!X$418*'Economic Forecasts'!Z$8/J$7</f>
        <v>1431.0866080983433</v>
      </c>
      <c r="K73" s="45">
        <f>'Population Treasury'!Y$93*'Statistics NZ'!Y$418*'Economic Forecasts'!AA$8/K$7</f>
        <v>1471.2007475421124</v>
      </c>
      <c r="L73" s="46">
        <f>K$73*'Population Treasury'!Z$93*'Statistics NZ'!Z$418/('Population Treasury'!Y$93*'Statistics NZ'!Y$418)</f>
        <v>1542.931682951536</v>
      </c>
      <c r="M73" s="46">
        <f>L$73*'Population Treasury'!AA$93*'Statistics NZ'!AA$418/('Population Treasury'!Z$93*'Statistics NZ'!Z$418)</f>
        <v>1602.6284947299337</v>
      </c>
      <c r="N73" s="46">
        <f>M$73*'Population Treasury'!AB$93*'Statistics NZ'!AB$418/('Population Treasury'!AA$93*'Statistics NZ'!AA$418)</f>
        <v>1680.2535862134082</v>
      </c>
      <c r="O73" s="46">
        <f>N$73*'Population Treasury'!AC$93*'Statistics NZ'!AC$418/('Population Treasury'!AB$93*'Statistics NZ'!AB$418)</f>
        <v>1765.1045673220137</v>
      </c>
      <c r="P73" s="46">
        <f>O$73*'Population Treasury'!AD$93*'Statistics NZ'!AD$418/('Population Treasury'!AC$93*'Statistics NZ'!AC$418)</f>
        <v>1840.1936981079123</v>
      </c>
      <c r="Q73" s="46">
        <f>P$73*'Population Treasury'!AE$93*'Statistics NZ'!AE$418/('Population Treasury'!AD$93*'Statistics NZ'!AD$418)</f>
        <v>1904.8144685494183</v>
      </c>
      <c r="R73" s="46">
        <f>Q$73*'Population Treasury'!AF$93*'Statistics NZ'!AF$418/('Population Treasury'!AE$93*'Statistics NZ'!AE$418)</f>
        <v>1981.9858291579485</v>
      </c>
      <c r="S73" s="46">
        <f>R$73*'Population Treasury'!AG$93*'Statistics NZ'!AG$418/('Population Treasury'!AF$93*'Statistics NZ'!AF$418)</f>
        <v>2080.3122797746378</v>
      </c>
      <c r="T73" s="46">
        <f>S$73*'Population Treasury'!AH$93*'Statistics NZ'!AH$418/('Population Treasury'!AG$93*'Statistics NZ'!AG$418)</f>
        <v>2132.3551050496121</v>
      </c>
      <c r="U73" s="46">
        <f>T$73*'Population Treasury'!AI$93*'Statistics NZ'!AI$418/('Population Treasury'!AH$93*'Statistics NZ'!AH$418)</f>
        <v>2251.6305592477247</v>
      </c>
    </row>
    <row r="74" spans="1:21" x14ac:dyDescent="0.25">
      <c r="A74" s="11">
        <v>79</v>
      </c>
      <c r="B74" s="44">
        <f>'Population Treasury'!P$94*'Statistics NZ'!P$419*'Economic Forecasts'!R$8/B$7</f>
        <v>704.24117108012354</v>
      </c>
      <c r="C74" s="44">
        <f>'Population Treasury'!Q$94*'Statistics NZ'!Q$419*'Economic Forecasts'!S$8/C$7</f>
        <v>732.38104013634597</v>
      </c>
      <c r="D74" s="44">
        <f>'Population Treasury'!R$94*'Statistics NZ'!R$419*'Economic Forecasts'!T$8/D$7</f>
        <v>658.53293901865129</v>
      </c>
      <c r="E74" s="45">
        <f>'Population Treasury'!S$94*'Statistics NZ'!S$419*'Economic Forecasts'!U$8/E$7</f>
        <v>748.47169341520191</v>
      </c>
      <c r="F74" s="45">
        <f>'Population Treasury'!T$94*'Statistics NZ'!T$419*'Economic Forecasts'!V$8/F$7</f>
        <v>838.87675031517745</v>
      </c>
      <c r="G74" s="45">
        <f>'Population Treasury'!U$94*'Statistics NZ'!U$419*'Economic Forecasts'!W$8/G$7</f>
        <v>915.1339942329804</v>
      </c>
      <c r="H74" s="45">
        <f>'Population Treasury'!V$94*'Statistics NZ'!V$419*'Economic Forecasts'!X$8/H$7</f>
        <v>1114.7527970915171</v>
      </c>
      <c r="I74" s="45">
        <f>'Population Treasury'!W$94*'Statistics NZ'!W$419*'Economic Forecasts'!Y$8/I$7</f>
        <v>1156.3273912945992</v>
      </c>
      <c r="J74" s="45">
        <f>'Population Treasury'!X$94*'Statistics NZ'!X$419*'Economic Forecasts'!Z$8/J$7</f>
        <v>1169.4224204026959</v>
      </c>
      <c r="K74" s="45">
        <f>'Population Treasury'!Y$94*'Statistics NZ'!Y$419*'Economic Forecasts'!AA$8/K$7</f>
        <v>1238.9292317048189</v>
      </c>
      <c r="L74" s="46">
        <f>K$74*'Population Treasury'!Z$94*'Statistics NZ'!Z$419/('Population Treasury'!Y$94*'Statistics NZ'!Y$419)</f>
        <v>1259.6268898084954</v>
      </c>
      <c r="M74" s="46">
        <f>L$74*'Population Treasury'!AA$94*'Statistics NZ'!AA$419/('Population Treasury'!Z$94*'Statistics NZ'!Z$419)</f>
        <v>1321.0206732588169</v>
      </c>
      <c r="N74" s="46">
        <f>M$74*'Population Treasury'!AB$94*'Statistics NZ'!AB$419/('Population Treasury'!AA$94*'Statistics NZ'!AA$419)</f>
        <v>1370.5778038151268</v>
      </c>
      <c r="O74" s="46">
        <f>N$74*'Population Treasury'!AC$94*'Statistics NZ'!AC$419/('Population Treasury'!AB$94*'Statistics NZ'!AB$419)</f>
        <v>1438.4334439976842</v>
      </c>
      <c r="P74" s="46">
        <f>O$74*'Population Treasury'!AD$94*'Statistics NZ'!AD$419/('Population Treasury'!AC$94*'Statistics NZ'!AC$419)</f>
        <v>1511.9672794795101</v>
      </c>
      <c r="Q74" s="46">
        <f>P$74*'Population Treasury'!AE$94*'Statistics NZ'!AE$419/('Population Treasury'!AD$94*'Statistics NZ'!AD$419)</f>
        <v>1576.9497461251685</v>
      </c>
      <c r="R74" s="46">
        <f>Q$74*'Population Treasury'!AF$94*'Statistics NZ'!AF$419/('Population Treasury'!AE$94*'Statistics NZ'!AE$419)</f>
        <v>1630.8292648036179</v>
      </c>
      <c r="S74" s="46">
        <f>R$74*'Population Treasury'!AG$94*'Statistics NZ'!AG$419/('Population Treasury'!AF$94*'Statistics NZ'!AF$419)</f>
        <v>1698.2935021018025</v>
      </c>
      <c r="T74" s="46">
        <f>S$74*'Population Treasury'!AH$94*'Statistics NZ'!AH$419/('Population Treasury'!AG$94*'Statistics NZ'!AG$419)</f>
        <v>1785.5772985491308</v>
      </c>
      <c r="U74" s="46">
        <f>T$74*'Population Treasury'!AI$94*'Statistics NZ'!AI$419/('Population Treasury'!AH$94*'Statistics NZ'!AH$419)</f>
        <v>1828.4427775572246</v>
      </c>
    </row>
    <row r="75" spans="1:21" x14ac:dyDescent="0.25">
      <c r="A75" s="11" t="s">
        <v>15</v>
      </c>
      <c r="B75" s="44">
        <f>SUM('Population Treasury'!P$95:P$110)*'Statistics NZ'!P$420*'Economic Forecasts'!R$8/B$7</f>
        <v>2544.8409481108392</v>
      </c>
      <c r="C75" s="44">
        <f>SUM('Population Treasury'!Q$95:Q$110)*'Statistics NZ'!Q$420*'Economic Forecasts'!S$8/C$7</f>
        <v>2677.3235592278197</v>
      </c>
      <c r="D75" s="44">
        <f>SUM('Population Treasury'!R$95:R$110)*'Statistics NZ'!R$420*'Economic Forecasts'!T$8/D$7</f>
        <v>2803.459832766122</v>
      </c>
      <c r="E75" s="45">
        <f>SUM('Population Treasury'!S$95:S$110)*'Statistics NZ'!S$420*'Economic Forecasts'!U$8/E$7</f>
        <v>2894.3151757993269</v>
      </c>
      <c r="F75" s="45">
        <f>SUM('Population Treasury'!T$95:T$110)*'Statistics NZ'!T$420*'Economic Forecasts'!V$8/F$7</f>
        <v>3270.8050540301492</v>
      </c>
      <c r="G75" s="45">
        <f>SUM('Population Treasury'!U$95:U$110)*'Statistics NZ'!U$420*'Economic Forecasts'!W$8/G$7</f>
        <v>3476.5471293142655</v>
      </c>
      <c r="H75" s="45">
        <f>SUM('Population Treasury'!V$95:V$110)*'Statistics NZ'!V$420*'Economic Forecasts'!X$8/H$7</f>
        <v>3797.2645456868545</v>
      </c>
      <c r="I75" s="45">
        <f>SUM('Population Treasury'!W$95:W$110)*'Statistics NZ'!W$420*'Economic Forecasts'!Y$8/I$7</f>
        <v>4126.6184227709564</v>
      </c>
      <c r="J75" s="45">
        <f>SUM('Population Treasury'!X$95:X$110)*'Statistics NZ'!X$420*'Economic Forecasts'!Z$8/J$7</f>
        <v>4562.9347205264139</v>
      </c>
      <c r="K75" s="45">
        <f>SUM('Population Treasury'!Y$95:Y$110)*'Statistics NZ'!Y$420*'Economic Forecasts'!AA$8/K$7</f>
        <v>4891.4170528053755</v>
      </c>
      <c r="L75" s="46">
        <f>K$75*SUM('Population Treasury'!Z$95:Z$110)*'Statistics NZ'!Z$420/(SUM('Population Treasury'!Y$95:Y$110)*'Statistics NZ'!Y$420)</f>
        <v>5187.6327913260884</v>
      </c>
      <c r="M75" s="46">
        <f>L$75*SUM('Population Treasury'!AA$95:AA$110)*'Statistics NZ'!AA$420/(SUM('Population Treasury'!Z$95:Z$110)*'Statistics NZ'!Z$420)</f>
        <v>5485.3290597731111</v>
      </c>
      <c r="N75" s="46">
        <f>M$75*SUM('Population Treasury'!AB$95:AB$110)*'Statistics NZ'!AB$420/(SUM('Population Treasury'!AA$95:AA$110)*'Statistics NZ'!AA$420)</f>
        <v>5782.9604839531903</v>
      </c>
      <c r="O75" s="46">
        <f>N$75*SUM('Population Treasury'!AC$95:AC$110)*'Statistics NZ'!AC$420/(SUM('Population Treasury'!AB$95:AB$110)*'Statistics NZ'!AB$420)</f>
        <v>6080.8696870690173</v>
      </c>
      <c r="P75" s="46">
        <f>O$75*SUM('Population Treasury'!AD$95:AD$110)*'Statistics NZ'!AD$420/(SUM('Population Treasury'!AC$95:AC$110)*'Statistics NZ'!AC$420)</f>
        <v>6375.9772161846804</v>
      </c>
      <c r="Q75" s="46">
        <f>P$75*SUM('Population Treasury'!AE$95:AE$110)*'Statistics NZ'!AE$420/(SUM('Population Treasury'!AD$95:AD$110)*'Statistics NZ'!AD$420)</f>
        <v>6671.2497006611629</v>
      </c>
      <c r="R75" s="46">
        <f>Q$75*SUM('Population Treasury'!AF$95:AF$110)*'Statistics NZ'!AF$420/(SUM('Population Treasury'!AE$95:AE$110)*'Statistics NZ'!AE$420)</f>
        <v>6967.2985036720438</v>
      </c>
      <c r="S75" s="46">
        <f>R$75*SUM('Population Treasury'!AG$95:AG$110)*'Statistics NZ'!AG$420/(SUM('Population Treasury'!AF$95:AF$110)*'Statistics NZ'!AF$420)</f>
        <v>7263.8171851942125</v>
      </c>
      <c r="T75" s="46">
        <f>S$75*SUM('Population Treasury'!AH$95:AH$110)*'Statistics NZ'!AH$420/(SUM('Population Treasury'!AG$95:AG$110)*'Statistics NZ'!AG$420)</f>
        <v>7560.3318116352257</v>
      </c>
      <c r="U75" s="46">
        <f>T$75*SUM('Population Treasury'!AI$95:AI$110)*'Statistics NZ'!AI$420/(SUM('Population Treasury'!AH$95:AH$110)*'Statistics NZ'!AH$420)</f>
        <v>7960.8283180278477</v>
      </c>
    </row>
    <row r="76" spans="1:21" x14ac:dyDescent="0.25">
      <c r="A76" s="9" t="s">
        <v>11</v>
      </c>
      <c r="B76" s="80">
        <f>SUM(B$10:B$75)</f>
        <v>1326246.7966469291</v>
      </c>
      <c r="C76" s="80">
        <f>SUM(C$10:C$75)</f>
        <v>1340954.0860300271</v>
      </c>
      <c r="D76" s="80">
        <f t="shared" ref="D76:K76" si="2">SUM(D$10:D$75)</f>
        <v>1355535.7969050638</v>
      </c>
      <c r="E76" s="81">
        <f t="shared" si="2"/>
        <v>1395630.388230558</v>
      </c>
      <c r="F76" s="81">
        <f t="shared" si="2"/>
        <v>1432255.1941406142</v>
      </c>
      <c r="G76" s="81">
        <f t="shared" si="2"/>
        <v>1437619.8769687924</v>
      </c>
      <c r="H76" s="81">
        <f t="shared" si="2"/>
        <v>1460807.672312662</v>
      </c>
      <c r="I76" s="81">
        <f t="shared" si="2"/>
        <v>1487619.5684067504</v>
      </c>
      <c r="J76" s="81">
        <f t="shared" si="2"/>
        <v>1512842.8135021222</v>
      </c>
      <c r="K76" s="81">
        <f t="shared" si="2"/>
        <v>1535961.8945928284</v>
      </c>
      <c r="L76" s="82">
        <f t="shared" ref="L76:U76" si="3">SUM(L$10:L$75)</f>
        <v>1553580.9309643917</v>
      </c>
      <c r="M76" s="82">
        <f t="shared" si="3"/>
        <v>1570133.2268825355</v>
      </c>
      <c r="N76" s="82">
        <f t="shared" si="3"/>
        <v>1585723.7995117547</v>
      </c>
      <c r="O76" s="82">
        <f t="shared" si="3"/>
        <v>1600284.8473126541</v>
      </c>
      <c r="P76" s="82">
        <f t="shared" si="3"/>
        <v>1613695.478299571</v>
      </c>
      <c r="Q76" s="82">
        <f t="shared" si="3"/>
        <v>1626079.8570744898</v>
      </c>
      <c r="R76" s="82">
        <f t="shared" si="3"/>
        <v>1637480.9230625776</v>
      </c>
      <c r="S76" s="82">
        <f t="shared" si="3"/>
        <v>1648312.1427205065</v>
      </c>
      <c r="T76" s="82">
        <f t="shared" si="3"/>
        <v>1658316.7993897526</v>
      </c>
      <c r="U76" s="82">
        <f t="shared" si="3"/>
        <v>1667809.9023003213</v>
      </c>
    </row>
    <row r="77" spans="1:21" x14ac:dyDescent="0.25">
      <c r="A77" s="9"/>
      <c r="B77" s="11"/>
      <c r="C77" s="11"/>
      <c r="D77" s="11"/>
      <c r="E77" s="11"/>
      <c r="F77" s="11"/>
      <c r="G77" s="11"/>
      <c r="H77" s="11"/>
      <c r="I77" s="11"/>
      <c r="J77" s="11"/>
      <c r="K77" s="11"/>
      <c r="L77" s="11"/>
      <c r="M77" s="11"/>
      <c r="N77" s="11"/>
      <c r="O77" s="11"/>
      <c r="P77" s="11"/>
      <c r="Q77" s="11"/>
      <c r="R77" s="11"/>
      <c r="S77" s="11"/>
      <c r="T77" s="11"/>
      <c r="U77" s="11"/>
    </row>
    <row r="78" spans="1:21" x14ac:dyDescent="0.25">
      <c r="A78" s="9"/>
      <c r="B78" s="11"/>
      <c r="C78" s="11"/>
      <c r="D78" s="11"/>
      <c r="E78" s="11"/>
      <c r="F78" s="11"/>
      <c r="G78" s="11"/>
      <c r="H78" s="11"/>
      <c r="I78" s="11"/>
      <c r="J78" s="11"/>
      <c r="K78" s="11"/>
      <c r="L78" s="11"/>
      <c r="M78" s="11"/>
      <c r="N78" s="11"/>
      <c r="O78" s="11"/>
      <c r="P78" s="11"/>
      <c r="Q78" s="11"/>
      <c r="R78" s="11"/>
      <c r="S78" s="11"/>
      <c r="T78" s="11"/>
      <c r="U78" s="11"/>
    </row>
    <row r="79" spans="1:21" x14ac:dyDescent="0.25">
      <c r="A79" s="9" t="s">
        <v>16</v>
      </c>
      <c r="B79" s="11"/>
      <c r="C79" s="11"/>
      <c r="D79" s="11"/>
      <c r="E79" s="11"/>
      <c r="F79" s="11"/>
      <c r="G79" s="11"/>
      <c r="H79" s="11"/>
      <c r="I79" s="11"/>
      <c r="J79" s="11"/>
      <c r="K79" s="11"/>
      <c r="L79" s="11"/>
      <c r="M79" s="11"/>
      <c r="N79" s="11"/>
      <c r="O79" s="11"/>
      <c r="P79" s="11"/>
      <c r="Q79" s="11"/>
      <c r="R79" s="11"/>
      <c r="S79" s="11"/>
      <c r="T79" s="11"/>
      <c r="U79" s="11"/>
    </row>
    <row r="80" spans="1:21" x14ac:dyDescent="0.25">
      <c r="A80" s="11">
        <f>$A$10</f>
        <v>15</v>
      </c>
      <c r="B80" s="44">
        <f>'Population Treasury'!P$130*'Statistics NZ'!P$425*'Economic Forecasts'!R$8/B$7</f>
        <v>5642.2814501327784</v>
      </c>
      <c r="C80" s="44">
        <f>'Population Treasury'!Q$130*'Statistics NZ'!Q$425*'Economic Forecasts'!S$8/C$7</f>
        <v>5741.6147587969963</v>
      </c>
      <c r="D80" s="44">
        <f>'Population Treasury'!R$130*'Statistics NZ'!R$425*'Economic Forecasts'!T$8/D$7</f>
        <v>6063.4699345637628</v>
      </c>
      <c r="E80" s="45">
        <f>'Population Treasury'!S$130*'Statistics NZ'!S$425*'Economic Forecasts'!U$8/E$7</f>
        <v>6472.0407954833536</v>
      </c>
      <c r="F80" s="45">
        <f>'Population Treasury'!T$130*'Statistics NZ'!T$425*'Economic Forecasts'!V$8/F$7</f>
        <v>6577.1558353809878</v>
      </c>
      <c r="G80" s="45">
        <f>'Population Treasury'!U$130*'Statistics NZ'!U$425*'Economic Forecasts'!W$8/G$7</f>
        <v>6501.6096850122176</v>
      </c>
      <c r="H80" s="45">
        <f>'Population Treasury'!V$130*'Statistics NZ'!V$425*'Economic Forecasts'!X$8/H$7</f>
        <v>6440.29427366454</v>
      </c>
      <c r="I80" s="45">
        <f>'Population Treasury'!W$130*'Statistics NZ'!W$425*'Economic Forecasts'!Y$8/I$7</f>
        <v>6414.1494156492017</v>
      </c>
      <c r="J80" s="45">
        <f>'Population Treasury'!X$130*'Statistics NZ'!X$425*'Economic Forecasts'!Z$8/J$7</f>
        <v>6371.2163998127899</v>
      </c>
      <c r="K80" s="45">
        <f>'Population Treasury'!Y$130*'Statistics NZ'!Y$425*'Economic Forecasts'!AA$8/K$7</f>
        <v>6301.1628827741843</v>
      </c>
      <c r="L80" s="46">
        <f>K$80*'Population Treasury'!Z$130*'Statistics NZ'!Z$425/('Population Treasury'!Y$130*'Statistics NZ'!Y$425)</f>
        <v>6281.5514876625202</v>
      </c>
      <c r="M80" s="46">
        <f>L$80*'Population Treasury'!AA$130*'Statistics NZ'!AA$425/('Population Treasury'!Z$130*'Statistics NZ'!Z$425)</f>
        <v>6244.3464984734337</v>
      </c>
      <c r="N80" s="46">
        <f>M$80*'Population Treasury'!AB$130*'Statistics NZ'!AB$425/('Population Treasury'!AA$130*'Statistics NZ'!AA$425)</f>
        <v>6185.3343475966358</v>
      </c>
      <c r="O80" s="46">
        <f>N$80*'Population Treasury'!AC$130*'Statistics NZ'!AC$425/('Population Treasury'!AB$130*'Statistics NZ'!AB$425)</f>
        <v>6073.7205876123908</v>
      </c>
      <c r="P80" s="46">
        <f>O$80*'Population Treasury'!AD$130*'Statistics NZ'!AD$425/('Population Treasury'!AC$130*'Statistics NZ'!AC$425)</f>
        <v>6070.4573123060973</v>
      </c>
      <c r="Q80" s="46">
        <f>P$80*'Population Treasury'!AE$130*'Statistics NZ'!AE$425/('Population Treasury'!AD$130*'Statistics NZ'!AD$425)</f>
        <v>5926.8059493199389</v>
      </c>
      <c r="R80" s="46">
        <f>Q$80*'Population Treasury'!AF$130*'Statistics NZ'!AF$425/('Population Treasury'!AE$130*'Statistics NZ'!AE$425)</f>
        <v>6068.3167782407372</v>
      </c>
      <c r="S80" s="46">
        <f>R$80*'Population Treasury'!AG$130*'Statistics NZ'!AG$425/('Population Treasury'!AF$130*'Statistics NZ'!AF$425)</f>
        <v>6025.8294181421734</v>
      </c>
      <c r="T80" s="46">
        <f>S$80*'Population Treasury'!AH$130*'Statistics NZ'!AH$425/('Population Treasury'!AG$130*'Statistics NZ'!AG$425)</f>
        <v>5939.7855040143677</v>
      </c>
      <c r="U80" s="46">
        <f>T$80*'Population Treasury'!AI$130*'Statistics NZ'!AI$425/('Population Treasury'!AH$130*'Statistics NZ'!AH$425)</f>
        <v>5940.8749519984003</v>
      </c>
    </row>
    <row r="81" spans="1:21" x14ac:dyDescent="0.25">
      <c r="A81" s="11">
        <f>$A$11</f>
        <v>16</v>
      </c>
      <c r="B81" s="44">
        <f>'Population Treasury'!P$131*'Statistics NZ'!P$426*'Economic Forecasts'!R$8/B$7</f>
        <v>10052.543870735075</v>
      </c>
      <c r="C81" s="44">
        <f>'Population Treasury'!Q$131*'Statistics NZ'!Q$426*'Economic Forecasts'!S$8/C$7</f>
        <v>10059.429452421771</v>
      </c>
      <c r="D81" s="44">
        <f>'Population Treasury'!R$131*'Statistics NZ'!R$426*'Economic Forecasts'!T$8/D$7</f>
        <v>10310.504703144848</v>
      </c>
      <c r="E81" s="45">
        <f>'Population Treasury'!S$131*'Statistics NZ'!S$426*'Economic Forecasts'!U$8/E$7</f>
        <v>11364.19159898923</v>
      </c>
      <c r="F81" s="45">
        <f>'Population Treasury'!T$131*'Statistics NZ'!T$426*'Economic Forecasts'!V$8/F$7</f>
        <v>11768.87585497587</v>
      </c>
      <c r="G81" s="45">
        <f>'Population Treasury'!U$131*'Statistics NZ'!U$426*'Economic Forecasts'!W$8/G$7</f>
        <v>11769.742276019939</v>
      </c>
      <c r="H81" s="45">
        <f>'Population Treasury'!V$131*'Statistics NZ'!V$426*'Economic Forecasts'!X$8/H$7</f>
        <v>11921.432802947584</v>
      </c>
      <c r="I81" s="45">
        <f>'Population Treasury'!W$131*'Statistics NZ'!W$426*'Economic Forecasts'!Y$8/I$7</f>
        <v>11893.476983667486</v>
      </c>
      <c r="J81" s="45">
        <f>'Population Treasury'!X$131*'Statistics NZ'!X$426*'Economic Forecasts'!Z$8/J$7</f>
        <v>11865.623167545971</v>
      </c>
      <c r="K81" s="45">
        <f>'Population Treasury'!Y$131*'Statistics NZ'!Y$426*'Economic Forecasts'!AA$8/K$7</f>
        <v>11829.97560902234</v>
      </c>
      <c r="L81" s="46">
        <f>K$81*'Population Treasury'!Z$131*'Statistics NZ'!Z$426/('Population Treasury'!Y$131*'Statistics NZ'!Y$426)</f>
        <v>11731.460629073443</v>
      </c>
      <c r="M81" s="46">
        <f>L$81*'Population Treasury'!AA$131*'Statistics NZ'!AA$426/('Population Treasury'!Z$131*'Statistics NZ'!Z$426)</f>
        <v>11723.878470284993</v>
      </c>
      <c r="N81" s="46">
        <f>M$81*'Population Treasury'!AB$131*'Statistics NZ'!AB$426/('Population Treasury'!AA$131*'Statistics NZ'!AA$426)</f>
        <v>11673.926249473012</v>
      </c>
      <c r="O81" s="46">
        <f>N$81*'Population Treasury'!AC$131*'Statistics NZ'!AC$426/('Population Treasury'!AB$131*'Statistics NZ'!AB$426)</f>
        <v>11603.291866147489</v>
      </c>
      <c r="P81" s="46">
        <f>O$81*'Population Treasury'!AD$131*'Statistics NZ'!AD$426/('Population Treasury'!AC$131*'Statistics NZ'!AC$426)</f>
        <v>11424.395542144921</v>
      </c>
      <c r="Q81" s="46">
        <f>P$81*'Population Treasury'!AE$131*'Statistics NZ'!AE$426/('Population Treasury'!AD$131*'Statistics NZ'!AD$426)</f>
        <v>11426.602892656963</v>
      </c>
      <c r="R81" s="46">
        <f>Q$81*'Population Treasury'!AF$131*'Statistics NZ'!AF$426/('Population Treasury'!AE$131*'Statistics NZ'!AE$426)</f>
        <v>11183.804532134422</v>
      </c>
      <c r="S81" s="46">
        <f>R$81*'Population Treasury'!AG$131*'Statistics NZ'!AG$426/('Population Treasury'!AF$131*'Statistics NZ'!AF$426)</f>
        <v>11468.83365707902</v>
      </c>
      <c r="T81" s="46">
        <f>S$81*'Population Treasury'!AH$131*'Statistics NZ'!AH$426/('Population Treasury'!AG$131*'Statistics NZ'!AG$426)</f>
        <v>11402.168193447571</v>
      </c>
      <c r="U81" s="46">
        <f>T$81*'Population Treasury'!AI$131*'Statistics NZ'!AI$426/('Population Treasury'!AH$131*'Statistics NZ'!AH$426)</f>
        <v>11263.574928150707</v>
      </c>
    </row>
    <row r="82" spans="1:21" x14ac:dyDescent="0.25">
      <c r="A82" s="11">
        <f>$A$12</f>
        <v>17</v>
      </c>
      <c r="B82" s="44">
        <f>'Population Treasury'!P$132*'Statistics NZ'!P$427*'Economic Forecasts'!R$8/B$7</f>
        <v>15059.413311840932</v>
      </c>
      <c r="C82" s="44">
        <f>'Population Treasury'!Q$132*'Statistics NZ'!Q$427*'Economic Forecasts'!S$8/C$7</f>
        <v>15032.451891934443</v>
      </c>
      <c r="D82" s="44">
        <f>'Population Treasury'!R$132*'Statistics NZ'!R$427*'Economic Forecasts'!T$8/D$7</f>
        <v>15126.796137885402</v>
      </c>
      <c r="E82" s="45">
        <f>'Population Treasury'!S$132*'Statistics NZ'!S$427*'Economic Forecasts'!U$8/E$7</f>
        <v>16219.95717772151</v>
      </c>
      <c r="F82" s="45">
        <f>'Population Treasury'!T$132*'Statistics NZ'!T$427*'Economic Forecasts'!V$8/F$7</f>
        <v>17265.862671415412</v>
      </c>
      <c r="G82" s="45">
        <f>'Population Treasury'!U$132*'Statistics NZ'!U$427*'Economic Forecasts'!W$8/G$7</f>
        <v>17550.408058568737</v>
      </c>
      <c r="H82" s="45">
        <f>'Population Treasury'!V$132*'Statistics NZ'!V$427*'Economic Forecasts'!X$8/H$7</f>
        <v>17933.988061251737</v>
      </c>
      <c r="I82" s="45">
        <f>'Population Treasury'!W$132*'Statistics NZ'!W$427*'Economic Forecasts'!Y$8/I$7</f>
        <v>18253.990799187002</v>
      </c>
      <c r="J82" s="45">
        <f>'Population Treasury'!X$132*'Statistics NZ'!X$427*'Economic Forecasts'!Z$8/J$7</f>
        <v>18227.813581543734</v>
      </c>
      <c r="K82" s="45">
        <f>'Population Treasury'!Y$132*'Statistics NZ'!Y$427*'Economic Forecasts'!AA$8/K$7</f>
        <v>18196.983719580519</v>
      </c>
      <c r="L82" s="46">
        <f>K$82*'Population Treasury'!Z$132*'Statistics NZ'!Z$427/('Population Treasury'!Y$132*'Statistics NZ'!Y$427)</f>
        <v>18140.906216946438</v>
      </c>
      <c r="M82" s="46">
        <f>L$82*'Population Treasury'!AA$132*'Statistics NZ'!AA$427/('Population Treasury'!Z$132*'Statistics NZ'!Z$427)</f>
        <v>18003.832892731625</v>
      </c>
      <c r="N82" s="46">
        <f>M$82*'Population Treasury'!AB$132*'Statistics NZ'!AB$427/('Population Treasury'!AA$132*'Statistics NZ'!AA$427)</f>
        <v>17987.941182875384</v>
      </c>
      <c r="O82" s="46">
        <f>N$82*'Population Treasury'!AC$132*'Statistics NZ'!AC$427/('Population Treasury'!AB$132*'Statistics NZ'!AB$427)</f>
        <v>17945.221930564734</v>
      </c>
      <c r="P82" s="46">
        <f>O$82*'Population Treasury'!AD$132*'Statistics NZ'!AD$427/('Population Treasury'!AC$132*'Statistics NZ'!AC$427)</f>
        <v>17829.655516283758</v>
      </c>
      <c r="Q82" s="46">
        <f>P$82*'Population Treasury'!AE$132*'Statistics NZ'!AE$427/('Population Treasury'!AD$132*'Statistics NZ'!AD$427)</f>
        <v>17562.824897304665</v>
      </c>
      <c r="R82" s="46">
        <f>Q$82*'Population Treasury'!AF$132*'Statistics NZ'!AF$427/('Population Treasury'!AE$132*'Statistics NZ'!AE$427)</f>
        <v>17572.068463750828</v>
      </c>
      <c r="S82" s="46">
        <f>R$82*'Population Treasury'!AG$132*'Statistics NZ'!AG$427/('Population Treasury'!AF$132*'Statistics NZ'!AF$427)</f>
        <v>17207.839062485695</v>
      </c>
      <c r="T82" s="46">
        <f>S$82*'Population Treasury'!AH$132*'Statistics NZ'!AH$427/('Population Treasury'!AG$132*'Statistics NZ'!AG$427)</f>
        <v>17635.570079620782</v>
      </c>
      <c r="U82" s="46">
        <f>T$82*'Population Treasury'!AI$132*'Statistics NZ'!AI$427/('Population Treasury'!AH$132*'Statistics NZ'!AH$427)</f>
        <v>17536.090799693622</v>
      </c>
    </row>
    <row r="83" spans="1:21" x14ac:dyDescent="0.25">
      <c r="A83" s="11">
        <f>$A$13</f>
        <v>18</v>
      </c>
      <c r="B83" s="44">
        <f>'Population Treasury'!P$133*'Statistics NZ'!P$428*'Economic Forecasts'!R$8/B$7</f>
        <v>20495.757482092686</v>
      </c>
      <c r="C83" s="44">
        <f>'Population Treasury'!Q$133*'Statistics NZ'!Q$428*'Economic Forecasts'!S$8/C$7</f>
        <v>20630.831928112919</v>
      </c>
      <c r="D83" s="44">
        <f>'Population Treasury'!R$133*'Statistics NZ'!R$428*'Economic Forecasts'!T$8/D$7</f>
        <v>20731.761460450918</v>
      </c>
      <c r="E83" s="45">
        <f>'Population Treasury'!S$133*'Statistics NZ'!S$428*'Economic Forecasts'!U$8/E$7</f>
        <v>21854.001251866415</v>
      </c>
      <c r="F83" s="45">
        <f>'Population Treasury'!T$133*'Statistics NZ'!T$428*'Economic Forecasts'!V$8/F$7</f>
        <v>22599.044281921455</v>
      </c>
      <c r="G83" s="45">
        <f>'Population Treasury'!U$133*'Statistics NZ'!U$428*'Economic Forecasts'!W$8/G$7</f>
        <v>23626.787178752675</v>
      </c>
      <c r="H83" s="45">
        <f>'Population Treasury'!V$133*'Statistics NZ'!V$428*'Economic Forecasts'!X$8/H$7</f>
        <v>24563.187249973467</v>
      </c>
      <c r="I83" s="45">
        <f>'Population Treasury'!W$133*'Statistics NZ'!W$428*'Economic Forecasts'!Y$8/I$7</f>
        <v>25192.879069073177</v>
      </c>
      <c r="J83" s="45">
        <f>'Population Treasury'!X$133*'Statistics NZ'!X$428*'Economic Forecasts'!Z$8/J$7</f>
        <v>25633.604951471982</v>
      </c>
      <c r="K83" s="45">
        <f>'Population Treasury'!Y$133*'Statistics NZ'!Y$428*'Economic Forecasts'!AA$8/K$7</f>
        <v>25578.795368207349</v>
      </c>
      <c r="L83" s="46">
        <f>K$83*'Population Treasury'!Z$133*'Statistics NZ'!Z$428/('Population Treasury'!Y$133*'Statistics NZ'!Y$428)</f>
        <v>25511.365741845184</v>
      </c>
      <c r="M83" s="46">
        <f>L$83*'Population Treasury'!AA$133*'Statistics NZ'!AA$428/('Population Treasury'!Z$133*'Statistics NZ'!Z$428)</f>
        <v>25444.157000028212</v>
      </c>
      <c r="N83" s="46">
        <f>M$83*'Population Treasury'!AB$133*'Statistics NZ'!AB$428/('Population Treasury'!AA$133*'Statistics NZ'!AA$428)</f>
        <v>25242.929377311437</v>
      </c>
      <c r="O83" s="46">
        <f>N$83*'Population Treasury'!AC$133*'Statistics NZ'!AC$428/('Population Treasury'!AB$133*'Statistics NZ'!AB$428)</f>
        <v>25233.950302210797</v>
      </c>
      <c r="P83" s="46">
        <f>O$83*'Population Treasury'!AD$133*'Statistics NZ'!AD$428/('Population Treasury'!AC$133*'Statistics NZ'!AC$428)</f>
        <v>25161.304623053282</v>
      </c>
      <c r="Q83" s="46">
        <f>P$83*'Population Treasury'!AE$133*'Statistics NZ'!AE$428/('Population Treasury'!AD$133*'Statistics NZ'!AD$428)</f>
        <v>25015.493203836042</v>
      </c>
      <c r="R83" s="46">
        <f>Q$83*'Population Treasury'!AF$133*'Statistics NZ'!AF$428/('Population Treasury'!AE$133*'Statistics NZ'!AE$428)</f>
        <v>24628.02389441105</v>
      </c>
      <c r="S83" s="46">
        <f>R$83*'Population Treasury'!AG$133*'Statistics NZ'!AG$428/('Population Treasury'!AF$133*'Statistics NZ'!AF$428)</f>
        <v>24634.984059431488</v>
      </c>
      <c r="T83" s="46">
        <f>S$83*'Population Treasury'!AH$133*'Statistics NZ'!AH$428/('Population Treasury'!AG$133*'Statistics NZ'!AG$428)</f>
        <v>24130.876643606527</v>
      </c>
      <c r="U83" s="46">
        <f>T$83*'Population Treasury'!AI$133*'Statistics NZ'!AI$428/('Population Treasury'!AH$133*'Statistics NZ'!AH$428)</f>
        <v>24717.938316886215</v>
      </c>
    </row>
    <row r="84" spans="1:21" x14ac:dyDescent="0.25">
      <c r="A84" s="11">
        <f>$A$14</f>
        <v>19</v>
      </c>
      <c r="B84" s="44">
        <f>'Population Treasury'!P$134*'Statistics NZ'!P$429*'Economic Forecasts'!R$8/B$7</f>
        <v>23913.204079293308</v>
      </c>
      <c r="C84" s="44">
        <f>'Population Treasury'!Q$134*'Statistics NZ'!Q$429*'Economic Forecasts'!S$8/C$7</f>
        <v>22848.059627508985</v>
      </c>
      <c r="D84" s="44">
        <f>'Population Treasury'!R$134*'Statistics NZ'!R$429*'Economic Forecasts'!T$8/D$7</f>
        <v>23185.017955921583</v>
      </c>
      <c r="E84" s="45">
        <f>'Population Treasury'!S$134*'Statistics NZ'!S$429*'Economic Forecasts'!U$8/E$7</f>
        <v>24357.430710594388</v>
      </c>
      <c r="F84" s="45">
        <f>'Population Treasury'!T$134*'Statistics NZ'!T$429*'Economic Forecasts'!V$8/F$7</f>
        <v>24761.984386796765</v>
      </c>
      <c r="G84" s="45">
        <f>'Population Treasury'!U$134*'Statistics NZ'!U$429*'Economic Forecasts'!W$8/G$7</f>
        <v>25148.844794404307</v>
      </c>
      <c r="H84" s="45">
        <f>'Population Treasury'!V$134*'Statistics NZ'!V$429*'Economic Forecasts'!X$8/H$7</f>
        <v>26884.835248037038</v>
      </c>
      <c r="I84" s="45">
        <f>'Population Treasury'!W$134*'Statistics NZ'!W$429*'Economic Forecasts'!Y$8/I$7</f>
        <v>28046.877781089166</v>
      </c>
      <c r="J84" s="45">
        <f>'Population Treasury'!X$134*'Statistics NZ'!X$429*'Economic Forecasts'!Z$8/J$7</f>
        <v>28732.126679026926</v>
      </c>
      <c r="K84" s="45">
        <f>'Population Treasury'!Y$134*'Statistics NZ'!Y$429*'Economic Forecasts'!AA$8/K$7</f>
        <v>29192.570372397193</v>
      </c>
      <c r="L84" s="46">
        <f>K$84*'Population Treasury'!Z$134*'Statistics NZ'!Z$429/('Population Treasury'!Y$134*'Statistics NZ'!Y$429)</f>
        <v>29112.844759394968</v>
      </c>
      <c r="M84" s="46">
        <f>L$84*'Population Treasury'!AA$134*'Statistics NZ'!AA$429/('Population Treasury'!Z$134*'Statistics NZ'!Z$429)</f>
        <v>29044.237121468701</v>
      </c>
      <c r="N84" s="46">
        <f>M$84*'Population Treasury'!AB$134*'Statistics NZ'!AB$429/('Population Treasury'!AA$134*'Statistics NZ'!AA$429)</f>
        <v>28955.717421771529</v>
      </c>
      <c r="O84" s="46">
        <f>N$84*'Population Treasury'!AC$134*'Statistics NZ'!AC$429/('Population Treasury'!AB$134*'Statistics NZ'!AB$429)</f>
        <v>28716.27237103173</v>
      </c>
      <c r="P84" s="46">
        <f>O$84*'Population Treasury'!AD$134*'Statistics NZ'!AD$429/('Population Treasury'!AC$134*'Statistics NZ'!AC$429)</f>
        <v>28693.797547977862</v>
      </c>
      <c r="Q84" s="46">
        <f>P$84*'Population Treasury'!AE$134*'Statistics NZ'!AE$429/('Population Treasury'!AD$134*'Statistics NZ'!AD$429)</f>
        <v>28592.82246612784</v>
      </c>
      <c r="R84" s="46">
        <f>Q$84*'Population Treasury'!AF$134*'Statistics NZ'!AF$429/('Population Treasury'!AE$134*'Statistics NZ'!AE$429)</f>
        <v>28416.192625422562</v>
      </c>
      <c r="S84" s="46">
        <f>R$84*'Population Treasury'!AG$134*'Statistics NZ'!AG$429/('Population Treasury'!AF$134*'Statistics NZ'!AF$429)</f>
        <v>27982.642978413107</v>
      </c>
      <c r="T84" s="46">
        <f>S$84*'Population Treasury'!AH$134*'Statistics NZ'!AH$429/('Population Treasury'!AG$134*'Statistics NZ'!AG$429)</f>
        <v>27974.042021665202</v>
      </c>
      <c r="U84" s="46">
        <f>T$84*'Population Treasury'!AI$134*'Statistics NZ'!AI$429/('Population Treasury'!AH$134*'Statistics NZ'!AH$429)</f>
        <v>27404.202664856701</v>
      </c>
    </row>
    <row r="85" spans="1:21" x14ac:dyDescent="0.25">
      <c r="A85" s="11">
        <f>$A$15</f>
        <v>20</v>
      </c>
      <c r="B85" s="44">
        <f>'Population Treasury'!P$135*'Statistics NZ'!P$430*'Economic Forecasts'!R$8/B$7</f>
        <v>24834.389370786761</v>
      </c>
      <c r="C85" s="44">
        <f>'Population Treasury'!Q$135*'Statistics NZ'!Q$430*'Economic Forecasts'!S$8/C$7</f>
        <v>24409.572609342595</v>
      </c>
      <c r="D85" s="44">
        <f>'Population Treasury'!R$135*'Statistics NZ'!R$430*'Economic Forecasts'!T$8/D$7</f>
        <v>23597.77569098704</v>
      </c>
      <c r="E85" s="45">
        <f>'Population Treasury'!S$135*'Statistics NZ'!S$430*'Economic Forecasts'!U$8/E$7</f>
        <v>23509.666921389966</v>
      </c>
      <c r="F85" s="45">
        <f>'Population Treasury'!T$135*'Statistics NZ'!T$430*'Economic Forecasts'!V$8/F$7</f>
        <v>24457.070840399585</v>
      </c>
      <c r="G85" s="45">
        <f>'Population Treasury'!U$135*'Statistics NZ'!U$430*'Economic Forecasts'!W$8/G$7</f>
        <v>24991.433338198145</v>
      </c>
      <c r="H85" s="45">
        <f>'Population Treasury'!V$135*'Statistics NZ'!V$430*'Economic Forecasts'!X$8/H$7</f>
        <v>26044.038737731975</v>
      </c>
      <c r="I85" s="45">
        <f>'Population Treasury'!W$135*'Statistics NZ'!W$430*'Economic Forecasts'!Y$8/I$7</f>
        <v>27920.559581084937</v>
      </c>
      <c r="J85" s="45">
        <f>'Population Treasury'!X$135*'Statistics NZ'!X$430*'Economic Forecasts'!Z$8/J$7</f>
        <v>29082.052020040504</v>
      </c>
      <c r="K85" s="45">
        <f>'Population Treasury'!Y$135*'Statistics NZ'!Y$430*'Economic Forecasts'!AA$8/K$7</f>
        <v>29759.786053380576</v>
      </c>
      <c r="L85" s="46">
        <f>K$85*'Population Treasury'!Z$135*'Statistics NZ'!Z$430/('Population Treasury'!Y$135*'Statistics NZ'!Y$430)</f>
        <v>30032.438944867023</v>
      </c>
      <c r="M85" s="46">
        <f>L$85*'Population Treasury'!AA$135*'Statistics NZ'!AA$430/('Population Treasury'!Z$135*'Statistics NZ'!Z$430)</f>
        <v>29768.592017423511</v>
      </c>
      <c r="N85" s="46">
        <f>M$85*'Population Treasury'!AB$135*'Statistics NZ'!AB$430/('Population Treasury'!AA$135*'Statistics NZ'!AA$430)</f>
        <v>29543.69463193199</v>
      </c>
      <c r="O85" s="46">
        <f>N$85*'Population Treasury'!AC$135*'Statistics NZ'!AC$430/('Population Treasury'!AB$135*'Statistics NZ'!AB$430)</f>
        <v>29327.351862389325</v>
      </c>
      <c r="P85" s="46">
        <f>O$85*'Population Treasury'!AD$135*'Statistics NZ'!AD$430/('Population Treasury'!AC$135*'Statistics NZ'!AC$430)</f>
        <v>28992.474112540935</v>
      </c>
      <c r="Q85" s="46">
        <f>P$85*'Population Treasury'!AE$135*'Statistics NZ'!AE$430/('Population Treasury'!AD$135*'Statistics NZ'!AD$430)</f>
        <v>28873.53733678607</v>
      </c>
      <c r="R85" s="46">
        <f>Q$85*'Population Treasury'!AF$135*'Statistics NZ'!AF$430/('Population Treasury'!AE$135*'Statistics NZ'!AE$430)</f>
        <v>28707.216293520331</v>
      </c>
      <c r="S85" s="46">
        <f>R$85*'Population Treasury'!AG$135*'Statistics NZ'!AG$430/('Population Treasury'!AF$135*'Statistics NZ'!AF$430)</f>
        <v>28476.246295733436</v>
      </c>
      <c r="T85" s="46">
        <f>S$85*'Population Treasury'!AH$135*'Statistics NZ'!AH$430/('Population Treasury'!AG$135*'Statistics NZ'!AG$430)</f>
        <v>27981.168197670122</v>
      </c>
      <c r="U85" s="46">
        <f>T$85*'Population Treasury'!AI$135*'Statistics NZ'!AI$430/('Population Treasury'!AH$135*'Statistics NZ'!AH$430)</f>
        <v>27960.150803963545</v>
      </c>
    </row>
    <row r="86" spans="1:21" x14ac:dyDescent="0.25">
      <c r="A86" s="11">
        <f>$A$16</f>
        <v>21</v>
      </c>
      <c r="B86" s="44">
        <f>'Population Treasury'!P$136*'Statistics NZ'!P$431*'Economic Forecasts'!R$8/B$7</f>
        <v>25754.041498295232</v>
      </c>
      <c r="C86" s="44">
        <f>'Population Treasury'!Q$136*'Statistics NZ'!Q$431*'Economic Forecasts'!S$8/C$7</f>
        <v>26253.640896987352</v>
      </c>
      <c r="D86" s="44">
        <f>'Population Treasury'!R$136*'Statistics NZ'!R$431*'Economic Forecasts'!T$8/D$7</f>
        <v>26069.765725530902</v>
      </c>
      <c r="E86" s="45">
        <f>'Population Treasury'!S$136*'Statistics NZ'!S$431*'Economic Forecasts'!U$8/E$7</f>
        <v>24554.023560525216</v>
      </c>
      <c r="F86" s="45">
        <f>'Population Treasury'!T$136*'Statistics NZ'!T$431*'Economic Forecasts'!V$8/F$7</f>
        <v>25663.207766040417</v>
      </c>
      <c r="G86" s="45">
        <f>'Population Treasury'!U$136*'Statistics NZ'!U$431*'Economic Forecasts'!W$8/G$7</f>
        <v>26156.275970162806</v>
      </c>
      <c r="H86" s="45">
        <f>'Population Treasury'!V$136*'Statistics NZ'!V$431*'Economic Forecasts'!X$8/H$7</f>
        <v>26805.052935101132</v>
      </c>
      <c r="I86" s="45">
        <f>'Population Treasury'!W$136*'Statistics NZ'!W$431*'Economic Forecasts'!Y$8/I$7</f>
        <v>27964.432244177766</v>
      </c>
      <c r="J86" s="45">
        <f>'Population Treasury'!X$136*'Statistics NZ'!X$431*'Economic Forecasts'!Z$8/J$7</f>
        <v>29937.912429197138</v>
      </c>
      <c r="K86" s="45">
        <f>'Population Treasury'!Y$136*'Statistics NZ'!Y$431*'Economic Forecasts'!AA$8/K$7</f>
        <v>31138.56790424927</v>
      </c>
      <c r="L86" s="46">
        <f>K$86*'Population Treasury'!Z$136*'Statistics NZ'!Z$431/('Population Treasury'!Y$136*'Statistics NZ'!Y$431)</f>
        <v>31627.365677966769</v>
      </c>
      <c r="M86" s="46">
        <f>L$86*'Population Treasury'!AA$136*'Statistics NZ'!AA$431/('Population Treasury'!Z$136*'Statistics NZ'!Z$431)</f>
        <v>31918.339406846761</v>
      </c>
      <c r="N86" s="46">
        <f>M$86*'Population Treasury'!AB$136*'Statistics NZ'!AB$431/('Population Treasury'!AA$136*'Statistics NZ'!AA$431)</f>
        <v>31653.533959877423</v>
      </c>
      <c r="O86" s="46">
        <f>N$86*'Population Treasury'!AC$136*'Statistics NZ'!AC$431/('Population Treasury'!AB$136*'Statistics NZ'!AB$431)</f>
        <v>31434.369186957098</v>
      </c>
      <c r="P86" s="46">
        <f>O$86*'Population Treasury'!AD$136*'Statistics NZ'!AD$431/('Population Treasury'!AC$136*'Statistics NZ'!AC$431)</f>
        <v>31211.097763900485</v>
      </c>
      <c r="Q86" s="46">
        <f>P$86*'Population Treasury'!AE$136*'Statistics NZ'!AE$431/('Population Treasury'!AD$136*'Statistics NZ'!AD$431)</f>
        <v>30838.831653461461</v>
      </c>
      <c r="R86" s="46">
        <f>Q$86*'Population Treasury'!AF$136*'Statistics NZ'!AF$431/('Population Treasury'!AE$136*'Statistics NZ'!AE$431)</f>
        <v>30727.524682802145</v>
      </c>
      <c r="S86" s="46">
        <f>R$86*'Population Treasury'!AG$136*'Statistics NZ'!AG$431/('Population Treasury'!AF$136*'Statistics NZ'!AF$431)</f>
        <v>30550.192905016753</v>
      </c>
      <c r="T86" s="46">
        <f>S$86*'Population Treasury'!AH$136*'Statistics NZ'!AH$431/('Population Treasury'!AG$136*'Statistics NZ'!AG$431)</f>
        <v>30317.190953920355</v>
      </c>
      <c r="U86" s="46">
        <f>T$86*'Population Treasury'!AI$136*'Statistics NZ'!AI$431/('Population Treasury'!AH$136*'Statistics NZ'!AH$431)</f>
        <v>29807.250158339848</v>
      </c>
    </row>
    <row r="87" spans="1:21" x14ac:dyDescent="0.25">
      <c r="A87" s="11">
        <f>$A$17</f>
        <v>22</v>
      </c>
      <c r="B87" s="44">
        <f>'Population Treasury'!P$137*'Statistics NZ'!P$432*'Economic Forecasts'!R$8/B$7</f>
        <v>28275.363588367254</v>
      </c>
      <c r="C87" s="44">
        <f>'Population Treasury'!Q$137*'Statistics NZ'!Q$432*'Economic Forecasts'!S$8/C$7</f>
        <v>27341.434842517105</v>
      </c>
      <c r="D87" s="44">
        <f>'Population Treasury'!R$137*'Statistics NZ'!R$432*'Economic Forecasts'!T$8/D$7</f>
        <v>28149.676067934859</v>
      </c>
      <c r="E87" s="45">
        <f>'Population Treasury'!S$137*'Statistics NZ'!S$432*'Economic Forecasts'!U$8/E$7</f>
        <v>27188.964123511618</v>
      </c>
      <c r="F87" s="45">
        <f>'Population Treasury'!T$137*'Statistics NZ'!T$432*'Economic Forecasts'!V$8/F$7</f>
        <v>26850.481166964659</v>
      </c>
      <c r="G87" s="45">
        <f>'Population Treasury'!U$137*'Statistics NZ'!U$432*'Economic Forecasts'!W$8/G$7</f>
        <v>27501.212656402284</v>
      </c>
      <c r="H87" s="45">
        <f>'Population Treasury'!V$137*'Statistics NZ'!V$432*'Economic Forecasts'!X$8/H$7</f>
        <v>28104.582865970555</v>
      </c>
      <c r="I87" s="45">
        <f>'Population Treasury'!W$137*'Statistics NZ'!W$432*'Economic Forecasts'!Y$8/I$7</f>
        <v>28841.612219468781</v>
      </c>
      <c r="J87" s="45">
        <f>'Population Treasury'!X$137*'Statistics NZ'!X$432*'Economic Forecasts'!Z$8/J$7</f>
        <v>30051.757570772035</v>
      </c>
      <c r="K87" s="45">
        <f>'Population Treasury'!Y$137*'Statistics NZ'!Y$432*'Economic Forecasts'!AA$8/K$7</f>
        <v>32141.60574584347</v>
      </c>
      <c r="L87" s="46">
        <f>K$87*'Population Treasury'!Z$137*'Statistics NZ'!Z$432/('Population Treasury'!Y$137*'Statistics NZ'!Y$432)</f>
        <v>33171.724643010952</v>
      </c>
      <c r="M87" s="46">
        <f>L$87*'Population Treasury'!AA$137*'Statistics NZ'!AA$432/('Population Treasury'!Z$137*'Statistics NZ'!Z$432)</f>
        <v>33699.139302478106</v>
      </c>
      <c r="N87" s="46">
        <f>M$87*'Population Treasury'!AB$137*'Statistics NZ'!AB$432/('Population Treasury'!AA$137*'Statistics NZ'!AA$432)</f>
        <v>34007.873862782319</v>
      </c>
      <c r="O87" s="46">
        <f>N$87*'Population Treasury'!AC$137*'Statistics NZ'!AC$432/('Population Treasury'!AB$137*'Statistics NZ'!AB$432)</f>
        <v>33726.020320342657</v>
      </c>
      <c r="P87" s="46">
        <f>O$87*'Population Treasury'!AD$137*'Statistics NZ'!AD$432/('Population Treasury'!AC$137*'Statistics NZ'!AC$432)</f>
        <v>33494.086948616539</v>
      </c>
      <c r="Q87" s="46">
        <f>P$87*'Population Treasury'!AE$137*'Statistics NZ'!AE$432/('Population Treasury'!AD$137*'Statistics NZ'!AD$432)</f>
        <v>33253.874216780918</v>
      </c>
      <c r="R87" s="46">
        <f>Q$87*'Population Treasury'!AF$137*'Statistics NZ'!AF$432/('Population Treasury'!AE$137*'Statistics NZ'!AE$432)</f>
        <v>32878.350673428482</v>
      </c>
      <c r="S87" s="46">
        <f>R$87*'Population Treasury'!AG$137*'Statistics NZ'!AG$432/('Population Treasury'!AF$137*'Statistics NZ'!AF$432)</f>
        <v>32756.409988264841</v>
      </c>
      <c r="T87" s="46">
        <f>S$87*'Population Treasury'!AH$137*'Statistics NZ'!AH$432/('Population Treasury'!AG$137*'Statistics NZ'!AG$432)</f>
        <v>32576.810439050954</v>
      </c>
      <c r="U87" s="46">
        <f>T$87*'Population Treasury'!AI$137*'Statistics NZ'!AI$432/('Population Treasury'!AH$137*'Statistics NZ'!AH$432)</f>
        <v>32315.042617525556</v>
      </c>
    </row>
    <row r="88" spans="1:21" x14ac:dyDescent="0.25">
      <c r="A88" s="11">
        <f>$A$18</f>
        <v>23</v>
      </c>
      <c r="B88" s="44">
        <f>'Population Treasury'!P$138*'Statistics NZ'!P$433*'Economic Forecasts'!R$8/B$7</f>
        <v>29987.672666249298</v>
      </c>
      <c r="C88" s="44">
        <f>'Population Treasury'!Q$138*'Statistics NZ'!Q$433*'Economic Forecasts'!S$8/C$7</f>
        <v>29570.025284955555</v>
      </c>
      <c r="D88" s="44">
        <f>'Population Treasury'!R$138*'Statistics NZ'!R$433*'Economic Forecasts'!T$8/D$7</f>
        <v>28828.841136386014</v>
      </c>
      <c r="E88" s="45">
        <f>'Population Treasury'!S$138*'Statistics NZ'!S$433*'Economic Forecasts'!U$8/E$7</f>
        <v>28931.111763060744</v>
      </c>
      <c r="F88" s="45">
        <f>'Population Treasury'!T$138*'Statistics NZ'!T$433*'Economic Forecasts'!V$8/F$7</f>
        <v>29295.314408995528</v>
      </c>
      <c r="G88" s="45">
        <f>'Population Treasury'!U$138*'Statistics NZ'!U$433*'Economic Forecasts'!W$8/G$7</f>
        <v>28367.683088198239</v>
      </c>
      <c r="H88" s="45">
        <f>'Population Treasury'!V$138*'Statistics NZ'!V$433*'Economic Forecasts'!X$8/H$7</f>
        <v>29142.721274458363</v>
      </c>
      <c r="I88" s="45">
        <f>'Population Treasury'!W$138*'Statistics NZ'!W$433*'Economic Forecasts'!Y$8/I$7</f>
        <v>29823.864749896697</v>
      </c>
      <c r="J88" s="45">
        <f>'Population Treasury'!X$138*'Statistics NZ'!X$433*'Economic Forecasts'!Z$8/J$7</f>
        <v>30571.974875097123</v>
      </c>
      <c r="K88" s="45">
        <f>'Population Treasury'!Y$138*'Statistics NZ'!Y$433*'Economic Forecasts'!AA$8/K$7</f>
        <v>31825.615607747062</v>
      </c>
      <c r="L88" s="46">
        <f>K$88*'Population Treasury'!Z$138*'Statistics NZ'!Z$433/('Population Treasury'!Y$138*'Statistics NZ'!Y$433)</f>
        <v>33741.346808885733</v>
      </c>
      <c r="M88" s="46">
        <f>L$88*'Population Treasury'!AA$138*'Statistics NZ'!AA$433/('Population Treasury'!Z$138*'Statistics NZ'!Z$433)</f>
        <v>34832.839869787516</v>
      </c>
      <c r="N88" s="46">
        <f>M$88*'Population Treasury'!AB$138*'Statistics NZ'!AB$433/('Population Treasury'!AA$138*'Statistics NZ'!AA$433)</f>
        <v>35395.146456730115</v>
      </c>
      <c r="O88" s="46">
        <f>N$88*'Population Treasury'!AC$138*'Statistics NZ'!AC$433/('Population Treasury'!AB$138*'Statistics NZ'!AB$433)</f>
        <v>35714.139961745903</v>
      </c>
      <c r="P88" s="46">
        <f>O$88*'Population Treasury'!AD$138*'Statistics NZ'!AD$433/('Population Treasury'!AC$138*'Statistics NZ'!AC$433)</f>
        <v>35433.106895103752</v>
      </c>
      <c r="Q88" s="46">
        <f>P$88*'Population Treasury'!AE$138*'Statistics NZ'!AE$433/('Population Treasury'!AD$138*'Statistics NZ'!AD$433)</f>
        <v>35189.76607574692</v>
      </c>
      <c r="R88" s="46">
        <f>Q$88*'Population Treasury'!AF$138*'Statistics NZ'!AF$433/('Population Treasury'!AE$138*'Statistics NZ'!AE$433)</f>
        <v>34934.277815938753</v>
      </c>
      <c r="S88" s="46">
        <f>R$88*'Population Treasury'!AG$138*'Statistics NZ'!AG$433/('Population Treasury'!AF$138*'Statistics NZ'!AF$433)</f>
        <v>34548.494387433966</v>
      </c>
      <c r="T88" s="46">
        <f>S$88*'Population Treasury'!AH$138*'Statistics NZ'!AH$433/('Population Treasury'!AG$138*'Statistics NZ'!AG$433)</f>
        <v>34436.430963818784</v>
      </c>
      <c r="U88" s="46">
        <f>T$88*'Population Treasury'!AI$138*'Statistics NZ'!AI$433/('Population Treasury'!AH$138*'Statistics NZ'!AH$433)</f>
        <v>34234.580708819696</v>
      </c>
    </row>
    <row r="89" spans="1:21" x14ac:dyDescent="0.25">
      <c r="A89" s="11">
        <f>$A$19</f>
        <v>24</v>
      </c>
      <c r="B89" s="44">
        <f>'Population Treasury'!P$139*'Statistics NZ'!P$434*'Economic Forecasts'!R$8/B$7</f>
        <v>32516.005855120777</v>
      </c>
      <c r="C89" s="44">
        <f>'Population Treasury'!Q$139*'Statistics NZ'!Q$434*'Economic Forecasts'!S$8/C$7</f>
        <v>31048.953300039317</v>
      </c>
      <c r="D89" s="44">
        <f>'Population Treasury'!R$139*'Statistics NZ'!R$434*'Economic Forecasts'!T$8/D$7</f>
        <v>30948.420599804136</v>
      </c>
      <c r="E89" s="45">
        <f>'Population Treasury'!S$139*'Statistics NZ'!S$434*'Economic Forecasts'!U$8/E$7</f>
        <v>29380.963621933341</v>
      </c>
      <c r="F89" s="45">
        <f>'Population Treasury'!T$139*'Statistics NZ'!T$434*'Economic Forecasts'!V$8/F$7</f>
        <v>30916.918246901183</v>
      </c>
      <c r="G89" s="45">
        <f>'Population Treasury'!U$139*'Statistics NZ'!U$434*'Economic Forecasts'!W$8/G$7</f>
        <v>30695.623674405731</v>
      </c>
      <c r="H89" s="45">
        <f>'Population Treasury'!V$139*'Statistics NZ'!V$434*'Economic Forecasts'!X$8/H$7</f>
        <v>29826.179985835934</v>
      </c>
      <c r="I89" s="45">
        <f>'Population Treasury'!W$139*'Statistics NZ'!W$434*'Economic Forecasts'!Y$8/I$7</f>
        <v>30664.546646606232</v>
      </c>
      <c r="J89" s="45">
        <f>'Population Treasury'!X$139*'Statistics NZ'!X$434*'Economic Forecasts'!Z$8/J$7</f>
        <v>31356.028934382077</v>
      </c>
      <c r="K89" s="45">
        <f>'Population Treasury'!Y$139*'Statistics NZ'!Y$434*'Economic Forecasts'!AA$8/K$7</f>
        <v>32111.759338231204</v>
      </c>
      <c r="L89" s="46">
        <f>K$89*'Population Treasury'!Z$139*'Statistics NZ'!Z$434/('Population Treasury'!Y$139*'Statistics NZ'!Y$434)</f>
        <v>33164.246262842193</v>
      </c>
      <c r="M89" s="46">
        <f>L$89*'Population Treasury'!AA$139*'Statistics NZ'!AA$434/('Population Treasury'!Z$139*'Statistics NZ'!Z$434)</f>
        <v>35172.643765486937</v>
      </c>
      <c r="N89" s="46">
        <f>M$89*'Population Treasury'!AB$139*'Statistics NZ'!AB$434/('Population Treasury'!AA$139*'Statistics NZ'!AA$434)</f>
        <v>36314.661638581623</v>
      </c>
      <c r="O89" s="46">
        <f>N$89*'Population Treasury'!AC$139*'Statistics NZ'!AC$434/('Population Treasury'!AB$139*'Statistics NZ'!AB$434)</f>
        <v>36883.401109699327</v>
      </c>
      <c r="P89" s="46">
        <f>O$89*'Population Treasury'!AD$139*'Statistics NZ'!AD$434/('Population Treasury'!AC$139*'Statistics NZ'!AC$434)</f>
        <v>37231.767359541933</v>
      </c>
      <c r="Q89" s="46">
        <f>P$89*'Population Treasury'!AE$139*'Statistics NZ'!AE$434/('Population Treasury'!AD$139*'Statistics NZ'!AD$434)</f>
        <v>36933.930250456157</v>
      </c>
      <c r="R89" s="46">
        <f>Q$89*'Population Treasury'!AF$139*'Statistics NZ'!AF$434/('Population Treasury'!AE$139*'Statistics NZ'!AE$434)</f>
        <v>36680.082629589881</v>
      </c>
      <c r="S89" s="46">
        <f>R$89*'Population Treasury'!AG$139*'Statistics NZ'!AG$434/('Population Treasury'!AF$139*'Statistics NZ'!AF$434)</f>
        <v>36438.129961942337</v>
      </c>
      <c r="T89" s="46">
        <f>S$89*'Population Treasury'!AH$139*'Statistics NZ'!AH$434/('Population Treasury'!AG$139*'Statistics NZ'!AG$434)</f>
        <v>36032.389479967074</v>
      </c>
      <c r="U89" s="46">
        <f>T$89*'Population Treasury'!AI$139*'Statistics NZ'!AI$434/('Population Treasury'!AH$139*'Statistics NZ'!AH$434)</f>
        <v>35912.850793157966</v>
      </c>
    </row>
    <row r="90" spans="1:21" x14ac:dyDescent="0.25">
      <c r="A90" s="11">
        <f>$A$20</f>
        <v>25</v>
      </c>
      <c r="B90" s="44">
        <f>'Population Treasury'!P$140*'Statistics NZ'!P$435*'Economic Forecasts'!R$8/B$7</f>
        <v>33402.404286543271</v>
      </c>
      <c r="C90" s="44">
        <f>'Population Treasury'!Q$140*'Statistics NZ'!Q$435*'Economic Forecasts'!S$8/C$7</f>
        <v>32805.362422640974</v>
      </c>
      <c r="D90" s="44">
        <f>'Population Treasury'!R$140*'Statistics NZ'!R$435*'Economic Forecasts'!T$8/D$7</f>
        <v>31565.098162933631</v>
      </c>
      <c r="E90" s="45">
        <f>'Population Treasury'!S$140*'Statistics NZ'!S$435*'Economic Forecasts'!U$8/E$7</f>
        <v>32020.8327891718</v>
      </c>
      <c r="F90" s="45">
        <f>'Population Treasury'!T$140*'Statistics NZ'!T$435*'Economic Forecasts'!V$8/F$7</f>
        <v>31310.757723614497</v>
      </c>
      <c r="G90" s="45">
        <f>'Population Treasury'!U$140*'Statistics NZ'!U$435*'Economic Forecasts'!W$8/G$7</f>
        <v>31740.884977646398</v>
      </c>
      <c r="H90" s="45">
        <f>'Population Treasury'!V$140*'Statistics NZ'!V$435*'Economic Forecasts'!X$8/H$7</f>
        <v>31557.820565809117</v>
      </c>
      <c r="I90" s="45">
        <f>'Population Treasury'!W$140*'Statistics NZ'!W$435*'Economic Forecasts'!Y$8/I$7</f>
        <v>30719.751804905012</v>
      </c>
      <c r="J90" s="45">
        <f>'Population Treasury'!X$140*'Statistics NZ'!X$435*'Economic Forecasts'!Z$8/J$7</f>
        <v>31570.291688988513</v>
      </c>
      <c r="K90" s="45">
        <f>'Population Treasury'!Y$140*'Statistics NZ'!Y$435*'Economic Forecasts'!AA$8/K$7</f>
        <v>32240.390333847819</v>
      </c>
      <c r="L90" s="46">
        <f>K$90*'Population Treasury'!Z$140*'Statistics NZ'!Z$435/('Population Treasury'!Y$140*'Statistics NZ'!Y$435)</f>
        <v>32921.486303338628</v>
      </c>
      <c r="M90" s="46">
        <f>L$90*'Population Treasury'!AA$140*'Statistics NZ'!AA$435/('Population Treasury'!Z$140*'Statistics NZ'!Z$435)</f>
        <v>34129.323169298048</v>
      </c>
      <c r="N90" s="46">
        <f>M$90*'Population Treasury'!AB$140*'Statistics NZ'!AB$435/('Population Treasury'!AA$140*'Statistics NZ'!AA$435)</f>
        <v>36285.757186376919</v>
      </c>
      <c r="O90" s="46">
        <f>N$90*'Population Treasury'!AC$140*'Statistics NZ'!AC$435/('Population Treasury'!AB$140*'Statistics NZ'!AB$435)</f>
        <v>37547.826758391246</v>
      </c>
      <c r="P90" s="46">
        <f>O$90*'Population Treasury'!AD$140*'Statistics NZ'!AD$435/('Population Treasury'!AC$140*'Statistics NZ'!AC$435)</f>
        <v>38227.721081929485</v>
      </c>
      <c r="Q90" s="46">
        <f>P$90*'Population Treasury'!AE$140*'Statistics NZ'!AE$435/('Population Treasury'!AD$140*'Statistics NZ'!AD$435)</f>
        <v>38647.761799094253</v>
      </c>
      <c r="R90" s="46">
        <f>Q$90*'Population Treasury'!AF$140*'Statistics NZ'!AF$435/('Population Treasury'!AE$140*'Statistics NZ'!AE$435)</f>
        <v>38405.629704034523</v>
      </c>
      <c r="S90" s="46">
        <f>R$90*'Population Treasury'!AG$140*'Statistics NZ'!AG$435/('Population Treasury'!AF$140*'Statistics NZ'!AF$435)</f>
        <v>38189.00155177556</v>
      </c>
      <c r="T90" s="46">
        <f>S$90*'Population Treasury'!AH$140*'Statistics NZ'!AH$435/('Population Treasury'!AG$140*'Statistics NZ'!AG$435)</f>
        <v>37958.194316595494</v>
      </c>
      <c r="U90" s="46">
        <f>T$90*'Population Treasury'!AI$140*'Statistics NZ'!AI$435/('Population Treasury'!AH$140*'Statistics NZ'!AH$435)</f>
        <v>37555.39984655624</v>
      </c>
    </row>
    <row r="91" spans="1:21" x14ac:dyDescent="0.25">
      <c r="A91" s="11">
        <f>$A$21</f>
        <v>26</v>
      </c>
      <c r="B91" s="44">
        <f>'Population Treasury'!P$141*'Statistics NZ'!P$436*'Economic Forecasts'!R$8/B$7</f>
        <v>34035.719947812569</v>
      </c>
      <c r="C91" s="44">
        <f>'Population Treasury'!Q$141*'Statistics NZ'!Q$436*'Economic Forecasts'!S$8/C$7</f>
        <v>33506.908545438113</v>
      </c>
      <c r="D91" s="44">
        <f>'Population Treasury'!R$141*'Statistics NZ'!R$436*'Economic Forecasts'!T$8/D$7</f>
        <v>33084.854436590809</v>
      </c>
      <c r="E91" s="45">
        <f>'Population Treasury'!S$141*'Statistics NZ'!S$436*'Economic Forecasts'!U$8/E$7</f>
        <v>32580.76209100604</v>
      </c>
      <c r="F91" s="45">
        <f>'Population Treasury'!T$141*'Statistics NZ'!T$436*'Economic Forecasts'!V$8/F$7</f>
        <v>32680.100909116449</v>
      </c>
      <c r="G91" s="45">
        <f>'Population Treasury'!U$141*'Statistics NZ'!U$436*'Economic Forecasts'!W$8/G$7</f>
        <v>31325.158491566162</v>
      </c>
      <c r="H91" s="45">
        <f>'Population Treasury'!V$141*'Statistics NZ'!V$436*'Economic Forecasts'!X$8/H$7</f>
        <v>32338.114031494002</v>
      </c>
      <c r="I91" s="45">
        <f>'Population Treasury'!W$141*'Statistics NZ'!W$436*'Economic Forecasts'!Y$8/I$7</f>
        <v>32253.095435439063</v>
      </c>
      <c r="J91" s="45">
        <f>'Population Treasury'!X$141*'Statistics NZ'!X$436*'Economic Forecasts'!Z$8/J$7</f>
        <v>31357.439886963351</v>
      </c>
      <c r="K91" s="45">
        <f>'Population Treasury'!Y$141*'Statistics NZ'!Y$436*'Economic Forecasts'!AA$8/K$7</f>
        <v>32199.051624875297</v>
      </c>
      <c r="L91" s="46">
        <f>K$91*'Population Treasury'!Z$141*'Statistics NZ'!Z$436/('Population Treasury'!Y$141*'Statistics NZ'!Y$436)</f>
        <v>32794.685929389001</v>
      </c>
      <c r="M91" s="46">
        <f>L$91*'Population Treasury'!AA$141*'Statistics NZ'!AA$436/('Population Treasury'!Z$141*'Statistics NZ'!Z$436)</f>
        <v>33455.406038818997</v>
      </c>
      <c r="N91" s="46">
        <f>M$91*'Population Treasury'!AB$141*'Statistics NZ'!AB$436/('Population Treasury'!AA$141*'Statistics NZ'!AA$436)</f>
        <v>34672.062212757723</v>
      </c>
      <c r="O91" s="46">
        <f>N$91*'Population Treasury'!AC$141*'Statistics NZ'!AC$436/('Population Treasury'!AB$141*'Statistics NZ'!AB$436)</f>
        <v>36827.779821206132</v>
      </c>
      <c r="P91" s="46">
        <f>O$91*'Population Treasury'!AD$141*'Statistics NZ'!AD$436/('Population Treasury'!AC$141*'Statistics NZ'!AC$436)</f>
        <v>38089.003098265792</v>
      </c>
      <c r="Q91" s="46">
        <f>P$91*'Population Treasury'!AE$141*'Statistics NZ'!AE$436/('Population Treasury'!AD$141*'Statistics NZ'!AD$436)</f>
        <v>38757.603112776778</v>
      </c>
      <c r="R91" s="46">
        <f>Q$91*'Population Treasury'!AF$141*'Statistics NZ'!AF$436/('Population Treasury'!AE$141*'Statistics NZ'!AE$436)</f>
        <v>39174.319346241857</v>
      </c>
      <c r="S91" s="46">
        <f>R$91*'Population Treasury'!AG$141*'Statistics NZ'!AG$436/('Population Treasury'!AF$141*'Statistics NZ'!AF$436)</f>
        <v>38908.251973338563</v>
      </c>
      <c r="T91" s="46">
        <f>S$91*'Population Treasury'!AH$141*'Statistics NZ'!AH$436/('Population Treasury'!AG$141*'Statistics NZ'!AG$436)</f>
        <v>38697.899524908149</v>
      </c>
      <c r="U91" s="46">
        <f>T$91*'Population Treasury'!AI$141*'Statistics NZ'!AI$436/('Population Treasury'!AH$141*'Statistics NZ'!AH$436)</f>
        <v>38443.274835697339</v>
      </c>
    </row>
    <row r="92" spans="1:21" x14ac:dyDescent="0.25">
      <c r="A92" s="11">
        <f>$A$22</f>
        <v>27</v>
      </c>
      <c r="B92" s="44">
        <f>'Population Treasury'!P$142*'Statistics NZ'!P$437*'Economic Forecasts'!R$8/B$7</f>
        <v>35854.687183230613</v>
      </c>
      <c r="C92" s="44">
        <f>'Population Treasury'!Q$142*'Statistics NZ'!Q$437*'Economic Forecasts'!S$8/C$7</f>
        <v>34176.533051772902</v>
      </c>
      <c r="D92" s="44">
        <f>'Population Treasury'!R$142*'Statistics NZ'!R$437*'Economic Forecasts'!T$8/D$7</f>
        <v>33769.212306929294</v>
      </c>
      <c r="E92" s="45">
        <f>'Population Treasury'!S$142*'Statistics NZ'!S$437*'Economic Forecasts'!U$8/E$7</f>
        <v>34186.420835501092</v>
      </c>
      <c r="F92" s="45">
        <f>'Population Treasury'!T$142*'Statistics NZ'!T$437*'Economic Forecasts'!V$8/F$7</f>
        <v>33286.203258656271</v>
      </c>
      <c r="G92" s="45">
        <f>'Population Treasury'!U$142*'Statistics NZ'!U$437*'Economic Forecasts'!W$8/G$7</f>
        <v>32734.438280466682</v>
      </c>
      <c r="H92" s="45">
        <f>'Population Treasury'!V$142*'Statistics NZ'!V$437*'Economic Forecasts'!X$8/H$7</f>
        <v>31936.065903700041</v>
      </c>
      <c r="I92" s="45">
        <f>'Population Treasury'!W$142*'Statistics NZ'!W$437*'Economic Forecasts'!Y$8/I$7</f>
        <v>33057.60598152977</v>
      </c>
      <c r="J92" s="45">
        <f>'Population Treasury'!X$142*'Statistics NZ'!X$437*'Economic Forecasts'!Z$8/J$7</f>
        <v>32948.633395730169</v>
      </c>
      <c r="K92" s="45">
        <f>'Population Treasury'!Y$142*'Statistics NZ'!Y$437*'Economic Forecasts'!AA$8/K$7</f>
        <v>31991.595901773228</v>
      </c>
      <c r="L92" s="46">
        <f>K$92*'Population Treasury'!Z$142*'Statistics NZ'!Z$437/('Population Treasury'!Y$142*'Statistics NZ'!Y$437)</f>
        <v>32767.232268230731</v>
      </c>
      <c r="M92" s="46">
        <f>L$92*'Population Treasury'!AA$142*'Statistics NZ'!AA$437/('Population Treasury'!Z$142*'Statistics NZ'!Z$437)</f>
        <v>33352.068098693999</v>
      </c>
      <c r="N92" s="46">
        <f>M$92*'Population Treasury'!AB$142*'Statistics NZ'!AB$437/('Population Treasury'!AA$142*'Statistics NZ'!AA$437)</f>
        <v>34011.895947740988</v>
      </c>
      <c r="O92" s="46">
        <f>N$92*'Population Treasury'!AC$142*'Statistics NZ'!AC$437/('Population Treasury'!AB$142*'Statistics NZ'!AB$437)</f>
        <v>35216.733153799229</v>
      </c>
      <c r="P92" s="46">
        <f>O$92*'Population Treasury'!AD$142*'Statistics NZ'!AD$437/('Population Treasury'!AC$142*'Statistics NZ'!AC$437)</f>
        <v>37381.878478737795</v>
      </c>
      <c r="Q92" s="46">
        <f>P$92*'Population Treasury'!AE$142*'Statistics NZ'!AE$437/('Population Treasury'!AD$142*'Statistics NZ'!AD$437)</f>
        <v>38632.117930864209</v>
      </c>
      <c r="R92" s="46">
        <f>Q$92*'Population Treasury'!AF$142*'Statistics NZ'!AF$437/('Population Treasury'!AE$142*'Statistics NZ'!AE$437)</f>
        <v>39297.605339425885</v>
      </c>
      <c r="S92" s="46">
        <f>R$92*'Population Treasury'!AG$142*'Statistics NZ'!AG$437/('Population Treasury'!AF$142*'Statistics NZ'!AF$437)</f>
        <v>39700.093958049976</v>
      </c>
      <c r="T92" s="46">
        <f>S$92*'Population Treasury'!AH$142*'Statistics NZ'!AH$437/('Population Treasury'!AG$142*'Statistics NZ'!AG$437)</f>
        <v>39420.553705628852</v>
      </c>
      <c r="U92" s="46">
        <f>T$92*'Population Treasury'!AI$142*'Statistics NZ'!AI$437/('Population Treasury'!AH$142*'Statistics NZ'!AH$437)</f>
        <v>39186.329240091065</v>
      </c>
    </row>
    <row r="93" spans="1:21" x14ac:dyDescent="0.25">
      <c r="A93" s="11">
        <f>$A$23</f>
        <v>28</v>
      </c>
      <c r="B93" s="44">
        <f>'Population Treasury'!P$143*'Statistics NZ'!P$438*'Economic Forecasts'!R$8/B$7</f>
        <v>36861.506584638861</v>
      </c>
      <c r="C93" s="44">
        <f>'Population Treasury'!Q$143*'Statistics NZ'!Q$438*'Economic Forecasts'!S$8/C$7</f>
        <v>35954.783494618001</v>
      </c>
      <c r="D93" s="44">
        <f>'Population Treasury'!R$143*'Statistics NZ'!R$438*'Economic Forecasts'!T$8/D$7</f>
        <v>34422.929146179442</v>
      </c>
      <c r="E93" s="45">
        <f>'Population Treasury'!S$143*'Statistics NZ'!S$438*'Economic Forecasts'!U$8/E$7</f>
        <v>34911.410183116197</v>
      </c>
      <c r="F93" s="45">
        <f>'Population Treasury'!T$143*'Statistics NZ'!T$438*'Economic Forecasts'!V$8/F$7</f>
        <v>34968.284655949712</v>
      </c>
      <c r="G93" s="45">
        <f>'Population Treasury'!U$143*'Statistics NZ'!U$438*'Economic Forecasts'!W$8/G$7</f>
        <v>33374.193420240474</v>
      </c>
      <c r="H93" s="45">
        <f>'Population Treasury'!V$143*'Statistics NZ'!V$438*'Economic Forecasts'!X$8/H$7</f>
        <v>33400.526200634224</v>
      </c>
      <c r="I93" s="45">
        <f>'Population Treasury'!W$143*'Statistics NZ'!W$438*'Economic Forecasts'!Y$8/I$7</f>
        <v>32696.108767302056</v>
      </c>
      <c r="J93" s="45">
        <f>'Population Treasury'!X$143*'Statistics NZ'!X$438*'Economic Forecasts'!Z$8/J$7</f>
        <v>33803.471191869168</v>
      </c>
      <c r="K93" s="45">
        <f>'Population Treasury'!Y$143*'Statistics NZ'!Y$438*'Economic Forecasts'!AA$8/K$7</f>
        <v>33637.868957860701</v>
      </c>
      <c r="L93" s="46">
        <f>K$93*'Population Treasury'!Z$143*'Statistics NZ'!Z$438/('Population Treasury'!Y$143*'Statistics NZ'!Y$438)</f>
        <v>32625.66105762016</v>
      </c>
      <c r="M93" s="46">
        <f>L$93*'Population Treasury'!AA$143*'Statistics NZ'!AA$438/('Population Treasury'!Z$143*'Statistics NZ'!Z$438)</f>
        <v>33379.365046794788</v>
      </c>
      <c r="N93" s="46">
        <f>M$93*'Population Treasury'!AB$143*'Statistics NZ'!AB$438/('Population Treasury'!AA$143*'Statistics NZ'!AA$438)</f>
        <v>33952.602241042478</v>
      </c>
      <c r="O93" s="46">
        <f>N$93*'Population Treasury'!AC$143*'Statistics NZ'!AC$438/('Population Treasury'!AB$143*'Statistics NZ'!AB$438)</f>
        <v>34610.112937871425</v>
      </c>
      <c r="P93" s="46">
        <f>O$93*'Population Treasury'!AD$143*'Statistics NZ'!AD$438/('Population Treasury'!AC$143*'Statistics NZ'!AC$438)</f>
        <v>35814.043344126476</v>
      </c>
      <c r="Q93" s="46">
        <f>P$93*'Population Treasury'!AE$143*'Statistics NZ'!AE$438/('Population Treasury'!AD$143*'Statistics NZ'!AD$438)</f>
        <v>37977.451394637064</v>
      </c>
      <c r="R93" s="46">
        <f>Q$93*'Population Treasury'!AF$143*'Statistics NZ'!AF$438/('Population Treasury'!AE$143*'Statistics NZ'!AE$438)</f>
        <v>39234.922759752095</v>
      </c>
      <c r="S93" s="46">
        <f>R$93*'Population Treasury'!AG$143*'Statistics NZ'!AG$438/('Population Treasury'!AF$143*'Statistics NZ'!AF$438)</f>
        <v>39867.441235645019</v>
      </c>
      <c r="T93" s="46">
        <f>S$93*'Population Treasury'!AH$143*'Statistics NZ'!AH$438/('Population Treasury'!AG$143*'Statistics NZ'!AG$438)</f>
        <v>40276.450106739845</v>
      </c>
      <c r="U93" s="46">
        <f>T$93*'Population Treasury'!AI$143*'Statistics NZ'!AI$438/('Population Treasury'!AH$143*'Statistics NZ'!AH$438)</f>
        <v>39993.007944289195</v>
      </c>
    </row>
    <row r="94" spans="1:21" x14ac:dyDescent="0.25">
      <c r="A94" s="11">
        <f>$A$24</f>
        <v>29</v>
      </c>
      <c r="B94" s="44">
        <f>'Population Treasury'!P$144*'Statistics NZ'!P$439*'Economic Forecasts'!R$8/B$7</f>
        <v>37179.724289794889</v>
      </c>
      <c r="C94" s="44">
        <f>'Population Treasury'!Q$144*'Statistics NZ'!Q$439*'Economic Forecasts'!S$8/C$7</f>
        <v>37034.918528167305</v>
      </c>
      <c r="D94" s="44">
        <f>'Population Treasury'!R$144*'Statistics NZ'!R$439*'Economic Forecasts'!T$8/D$7</f>
        <v>36044.704233269076</v>
      </c>
      <c r="E94" s="45">
        <f>'Population Treasury'!S$144*'Statistics NZ'!S$439*'Economic Forecasts'!U$8/E$7</f>
        <v>35610.609851504174</v>
      </c>
      <c r="F94" s="45">
        <f>'Population Treasury'!T$144*'Statistics NZ'!T$439*'Economic Forecasts'!V$8/F$7</f>
        <v>35759.802723125264</v>
      </c>
      <c r="G94" s="45">
        <f>'Population Treasury'!U$144*'Statistics NZ'!U$439*'Economic Forecasts'!W$8/G$7</f>
        <v>35129.779184175859</v>
      </c>
      <c r="H94" s="45">
        <f>'Population Treasury'!V$144*'Statistics NZ'!V$439*'Economic Forecasts'!X$8/H$7</f>
        <v>34094.308817621182</v>
      </c>
      <c r="I94" s="45">
        <f>'Population Treasury'!W$144*'Statistics NZ'!W$439*'Economic Forecasts'!Y$8/I$7</f>
        <v>34204.016981485162</v>
      </c>
      <c r="J94" s="45">
        <f>'Population Treasury'!X$144*'Statistics NZ'!X$439*'Economic Forecasts'!Z$8/J$7</f>
        <v>33449.752226457451</v>
      </c>
      <c r="K94" s="45">
        <f>'Population Treasury'!Y$144*'Statistics NZ'!Y$439*'Economic Forecasts'!AA$8/K$7</f>
        <v>34528.309838189285</v>
      </c>
      <c r="L94" s="46">
        <f>K$94*'Population Treasury'!Z$144*'Statistics NZ'!Z$439/('Population Treasury'!Y$144*'Statistics NZ'!Y$439)</f>
        <v>34289.244488476754</v>
      </c>
      <c r="M94" s="46">
        <f>L$94*'Population Treasury'!AA$144*'Statistics NZ'!AA$439/('Population Treasury'!Z$144*'Statistics NZ'!Z$439)</f>
        <v>33275.125822902599</v>
      </c>
      <c r="N94" s="46">
        <f>M$94*'Population Treasury'!AB$144*'Statistics NZ'!AB$439/('Population Treasury'!AA$144*'Statistics NZ'!AA$439)</f>
        <v>34026.078679413535</v>
      </c>
      <c r="O94" s="46">
        <f>N$94*'Population Treasury'!AC$144*'Statistics NZ'!AC$439/('Population Treasury'!AB$144*'Statistics NZ'!AB$439)</f>
        <v>34587.326924891015</v>
      </c>
      <c r="P94" s="46">
        <f>O$94*'Population Treasury'!AD$144*'Statistics NZ'!AD$439/('Population Treasury'!AC$144*'Statistics NZ'!AC$439)</f>
        <v>35222.620322481504</v>
      </c>
      <c r="Q94" s="46">
        <f>P$94*'Population Treasury'!AE$144*'Statistics NZ'!AE$439/('Population Treasury'!AD$144*'Statistics NZ'!AD$439)</f>
        <v>36413.55879293249</v>
      </c>
      <c r="R94" s="46">
        <f>Q$94*'Population Treasury'!AF$144*'Statistics NZ'!AF$439/('Population Treasury'!AE$144*'Statistics NZ'!AE$439)</f>
        <v>38584.854291200973</v>
      </c>
      <c r="S94" s="46">
        <f>R$94*'Population Treasury'!AG$144*'Statistics NZ'!AG$439/('Population Treasury'!AF$144*'Statistics NZ'!AF$439)</f>
        <v>39820.324115817202</v>
      </c>
      <c r="T94" s="46">
        <f>S$94*'Population Treasury'!AH$144*'Statistics NZ'!AH$439/('Population Treasury'!AG$144*'Statistics NZ'!AG$439)</f>
        <v>40470.081897920652</v>
      </c>
      <c r="U94" s="46">
        <f>T$94*'Population Treasury'!AI$144*'Statistics NZ'!AI$439/('Population Treasury'!AH$144*'Statistics NZ'!AH$439)</f>
        <v>40843.88498653673</v>
      </c>
    </row>
    <row r="95" spans="1:21" x14ac:dyDescent="0.25">
      <c r="A95" s="11">
        <f>$A$25</f>
        <v>30</v>
      </c>
      <c r="B95" s="44">
        <f>'Population Treasury'!P$145*'Statistics NZ'!P$440*'Economic Forecasts'!R$8/B$7</f>
        <v>36781.586884152355</v>
      </c>
      <c r="C95" s="44">
        <f>'Population Treasury'!Q$145*'Statistics NZ'!Q$440*'Economic Forecasts'!S$8/C$7</f>
        <v>37381.694165739187</v>
      </c>
      <c r="D95" s="44">
        <f>'Population Treasury'!R$145*'Statistics NZ'!R$440*'Economic Forecasts'!T$8/D$7</f>
        <v>37247.398286081858</v>
      </c>
      <c r="E95" s="45">
        <f>'Population Treasury'!S$145*'Statistics NZ'!S$440*'Economic Forecasts'!U$8/E$7</f>
        <v>38346.733011599135</v>
      </c>
      <c r="F95" s="45">
        <f>'Population Treasury'!T$145*'Statistics NZ'!T$440*'Economic Forecasts'!V$8/F$7</f>
        <v>37127.077928283332</v>
      </c>
      <c r="G95" s="45">
        <f>'Population Treasury'!U$145*'Statistics NZ'!U$440*'Economic Forecasts'!W$8/G$7</f>
        <v>36110.116193811722</v>
      </c>
      <c r="H95" s="45">
        <f>'Population Treasury'!V$145*'Statistics NZ'!V$440*'Economic Forecasts'!X$8/H$7</f>
        <v>35995.081823196859</v>
      </c>
      <c r="I95" s="45">
        <f>'Population Treasury'!W$145*'Statistics NZ'!W$440*'Economic Forecasts'!Y$8/I$7</f>
        <v>35051.569389943375</v>
      </c>
      <c r="J95" s="45">
        <f>'Population Treasury'!X$145*'Statistics NZ'!X$440*'Economic Forecasts'!Z$8/J$7</f>
        <v>35141.920487309268</v>
      </c>
      <c r="K95" s="45">
        <f>'Population Treasury'!Y$145*'Statistics NZ'!Y$440*'Economic Forecasts'!AA$8/K$7</f>
        <v>34355.866524476318</v>
      </c>
      <c r="L95" s="46">
        <f>K$95*'Population Treasury'!Z$145*'Statistics NZ'!Z$440/('Population Treasury'!Y$145*'Statistics NZ'!Y$440)</f>
        <v>35482.193391324174</v>
      </c>
      <c r="M95" s="46">
        <f>L$95*'Population Treasury'!AA$145*'Statistics NZ'!AA$440/('Population Treasury'!Z$145*'Statistics NZ'!Z$440)</f>
        <v>35334.84500126943</v>
      </c>
      <c r="N95" s="46">
        <f>M$95*'Population Treasury'!AB$145*'Statistics NZ'!AB$440/('Population Treasury'!AA$145*'Statistics NZ'!AA$440)</f>
        <v>34397.774641162752</v>
      </c>
      <c r="O95" s="46">
        <f>N$95*'Population Treasury'!AC$145*'Statistics NZ'!AC$440/('Population Treasury'!AB$145*'Statistics NZ'!AB$440)</f>
        <v>35211.692518327218</v>
      </c>
      <c r="P95" s="46">
        <f>O$95*'Population Treasury'!AD$145*'Statistics NZ'!AD$440/('Population Treasury'!AC$145*'Statistics NZ'!AC$440)</f>
        <v>35852.392681863901</v>
      </c>
      <c r="Q95" s="46">
        <f>P$95*'Population Treasury'!AE$145*'Statistics NZ'!AE$440/('Population Treasury'!AD$145*'Statistics NZ'!AD$440)</f>
        <v>36531.904130644703</v>
      </c>
      <c r="R95" s="46">
        <f>Q$95*'Population Treasury'!AF$145*'Statistics NZ'!AF$440/('Population Treasury'!AE$145*'Statistics NZ'!AE$440)</f>
        <v>37752.757607031032</v>
      </c>
      <c r="S95" s="46">
        <f>R$95*'Population Treasury'!AG$145*'Statistics NZ'!AG$440/('Population Treasury'!AF$145*'Statistics NZ'!AF$440)</f>
        <v>39940.132447355354</v>
      </c>
      <c r="T95" s="46">
        <f>S$95*'Population Treasury'!AH$145*'Statistics NZ'!AH$440/('Population Treasury'!AG$145*'Statistics NZ'!AG$440)</f>
        <v>41196.726429268507</v>
      </c>
      <c r="U95" s="46">
        <f>T$95*'Population Treasury'!AI$145*'Statistics NZ'!AI$440/('Population Treasury'!AH$145*'Statistics NZ'!AH$440)</f>
        <v>41812.734261426805</v>
      </c>
    </row>
    <row r="96" spans="1:21" x14ac:dyDescent="0.25">
      <c r="A96" s="11">
        <f>$A$26</f>
        <v>31</v>
      </c>
      <c r="B96" s="44">
        <f>'Population Treasury'!P$146*'Statistics NZ'!P$441*'Economic Forecasts'!R$8/B$7</f>
        <v>35286.835388956744</v>
      </c>
      <c r="C96" s="44">
        <f>'Population Treasury'!Q$146*'Statistics NZ'!Q$441*'Economic Forecasts'!S$8/C$7</f>
        <v>36940.241261195013</v>
      </c>
      <c r="D96" s="44">
        <f>'Population Treasury'!R$146*'Statistics NZ'!R$441*'Economic Forecasts'!T$8/D$7</f>
        <v>37634.551122209938</v>
      </c>
      <c r="E96" s="45">
        <f>'Population Treasury'!S$146*'Statistics NZ'!S$441*'Economic Forecasts'!U$8/E$7</f>
        <v>39530.671860105263</v>
      </c>
      <c r="F96" s="45">
        <f>'Population Treasury'!T$146*'Statistics NZ'!T$441*'Economic Forecasts'!V$8/F$7</f>
        <v>38838.939315044925</v>
      </c>
      <c r="G96" s="45">
        <f>'Population Treasury'!U$146*'Statistics NZ'!U$441*'Economic Forecasts'!W$8/G$7</f>
        <v>36849.124025049408</v>
      </c>
      <c r="H96" s="45">
        <f>'Population Treasury'!V$146*'Statistics NZ'!V$441*'Economic Forecasts'!X$8/H$7</f>
        <v>36785.274320069388</v>
      </c>
      <c r="I96" s="45">
        <f>'Population Treasury'!W$146*'Statistics NZ'!W$441*'Economic Forecasts'!Y$8/I$7</f>
        <v>36815.003814679229</v>
      </c>
      <c r="J96" s="45">
        <f>'Population Treasury'!X$146*'Statistics NZ'!X$441*'Economic Forecasts'!Z$8/J$7</f>
        <v>35828.919496396673</v>
      </c>
      <c r="K96" s="45">
        <f>'Population Treasury'!Y$146*'Statistics NZ'!Y$441*'Economic Forecasts'!AA$8/K$7</f>
        <v>35887.554224072956</v>
      </c>
      <c r="L96" s="46">
        <f>K$96*'Population Treasury'!Z$146*'Statistics NZ'!Z$441/('Population Treasury'!Y$146*'Statistics NZ'!Y$441)</f>
        <v>35139.882736666237</v>
      </c>
      <c r="M96" s="46">
        <f>L$96*'Population Treasury'!AA$146*'Statistics NZ'!AA$441/('Population Treasury'!Z$146*'Statistics NZ'!Z$441)</f>
        <v>36229.31547499507</v>
      </c>
      <c r="N96" s="46">
        <f>M$96*'Population Treasury'!AB$146*'Statistics NZ'!AB$441/('Population Treasury'!AA$146*'Statistics NZ'!AA$441)</f>
        <v>36075.058143300288</v>
      </c>
      <c r="O96" s="46">
        <f>N$96*'Population Treasury'!AC$146*'Statistics NZ'!AC$441/('Population Treasury'!AB$146*'Statistics NZ'!AB$441)</f>
        <v>35100.524258693324</v>
      </c>
      <c r="P96" s="46">
        <f>O$96*'Population Treasury'!AD$146*'Statistics NZ'!AD$441/('Population Treasury'!AC$146*'Statistics NZ'!AC$441)</f>
        <v>35886.889597860747</v>
      </c>
      <c r="Q96" s="46">
        <f>P$96*'Population Treasury'!AE$146*'Statistics NZ'!AE$441/('Population Treasury'!AD$146*'Statistics NZ'!AD$441)</f>
        <v>36490.588622037823</v>
      </c>
      <c r="R96" s="46">
        <f>Q$96*'Population Treasury'!AF$146*'Statistics NZ'!AF$441/('Population Treasury'!AE$146*'Statistics NZ'!AE$441)</f>
        <v>37153.511620499281</v>
      </c>
      <c r="S96" s="46">
        <f>R$96*'Population Treasury'!AG$146*'Statistics NZ'!AG$441/('Population Treasury'!AF$146*'Statistics NZ'!AF$441)</f>
        <v>38356.581477498228</v>
      </c>
      <c r="T96" s="46">
        <f>S$96*'Population Treasury'!AH$146*'Statistics NZ'!AH$441/('Population Treasury'!AG$146*'Statistics NZ'!AG$441)</f>
        <v>40516.554873904744</v>
      </c>
      <c r="U96" s="46">
        <f>T$96*'Population Treasury'!AI$146*'Statistics NZ'!AI$441/('Population Treasury'!AH$146*'Statistics NZ'!AH$441)</f>
        <v>41745.972113174532</v>
      </c>
    </row>
    <row r="97" spans="1:21" x14ac:dyDescent="0.25">
      <c r="A97" s="11">
        <f>$A$27</f>
        <v>32</v>
      </c>
      <c r="B97" s="44">
        <f>'Population Treasury'!P$147*'Statistics NZ'!P$442*'Economic Forecasts'!R$8/B$7</f>
        <v>34650.039513284646</v>
      </c>
      <c r="C97" s="44">
        <f>'Population Treasury'!Q$147*'Statistics NZ'!Q$442*'Economic Forecasts'!S$8/C$7</f>
        <v>35530.013010005947</v>
      </c>
      <c r="D97" s="44">
        <f>'Population Treasury'!R$147*'Statistics NZ'!R$442*'Economic Forecasts'!T$8/D$7</f>
        <v>37195.468342940687</v>
      </c>
      <c r="E97" s="45">
        <f>'Population Treasury'!S$147*'Statistics NZ'!S$442*'Economic Forecasts'!U$8/E$7</f>
        <v>39903.192196428259</v>
      </c>
      <c r="F97" s="45">
        <f>'Population Treasury'!T$147*'Statistics NZ'!T$442*'Economic Forecasts'!V$8/F$7</f>
        <v>40020.561781762357</v>
      </c>
      <c r="G97" s="45">
        <f>'Population Treasury'!U$147*'Statistics NZ'!U$442*'Economic Forecasts'!W$8/G$7</f>
        <v>38522.708210611076</v>
      </c>
      <c r="H97" s="45">
        <f>'Population Treasury'!V$147*'Statistics NZ'!V$442*'Economic Forecasts'!X$8/H$7</f>
        <v>37465.999825041108</v>
      </c>
      <c r="I97" s="45">
        <f>'Population Treasury'!W$147*'Statistics NZ'!W$442*'Economic Forecasts'!Y$8/I$7</f>
        <v>37567.44076873974</v>
      </c>
      <c r="J97" s="45">
        <f>'Population Treasury'!X$147*'Statistics NZ'!X$442*'Economic Forecasts'!Z$8/J$7</f>
        <v>37550.575829611771</v>
      </c>
      <c r="K97" s="45">
        <f>'Population Treasury'!Y$147*'Statistics NZ'!Y$442*'Economic Forecasts'!AA$8/K$7</f>
        <v>36494.068379105411</v>
      </c>
      <c r="L97" s="46">
        <f>K$97*'Population Treasury'!Z$147*'Statistics NZ'!Z$442/('Population Treasury'!Y$147*'Statistics NZ'!Y$442)</f>
        <v>36593.441149550716</v>
      </c>
      <c r="M97" s="46">
        <f>L$97*'Population Treasury'!AA$147*'Statistics NZ'!AA$442/('Population Treasury'!Z$147*'Statistics NZ'!Z$442)</f>
        <v>35837.865967792197</v>
      </c>
      <c r="N97" s="46">
        <f>M$97*'Population Treasury'!AB$147*'Statistics NZ'!AB$442/('Population Treasury'!AA$147*'Statistics NZ'!AA$442)</f>
        <v>36899.920243240056</v>
      </c>
      <c r="O97" s="46">
        <f>N$97*'Population Treasury'!AC$147*'Statistics NZ'!AC$442/('Population Treasury'!AB$147*'Statistics NZ'!AB$442)</f>
        <v>36707.536801669834</v>
      </c>
      <c r="P97" s="46">
        <f>O$97*'Population Treasury'!AD$147*'Statistics NZ'!AD$442/('Population Treasury'!AC$147*'Statistics NZ'!AC$442)</f>
        <v>35705.398459886826</v>
      </c>
      <c r="Q97" s="46">
        <f>P$97*'Population Treasury'!AE$147*'Statistics NZ'!AE$442/('Population Treasury'!AD$147*'Statistics NZ'!AD$442)</f>
        <v>36474.592477464648</v>
      </c>
      <c r="R97" s="46">
        <f>Q$97*'Population Treasury'!AF$147*'Statistics NZ'!AF$442/('Population Treasury'!AE$147*'Statistics NZ'!AE$442)</f>
        <v>37039.950583019046</v>
      </c>
      <c r="S97" s="46">
        <f>R$97*'Population Treasury'!AG$147*'Statistics NZ'!AG$442/('Population Treasury'!AF$147*'Statistics NZ'!AF$442)</f>
        <v>37675.029342110203</v>
      </c>
      <c r="T97" s="46">
        <f>S$97*'Population Treasury'!AH$147*'Statistics NZ'!AH$442/('Population Treasury'!AG$147*'Statistics NZ'!AG$442)</f>
        <v>38851.037723357411</v>
      </c>
      <c r="U97" s="46">
        <f>T$97*'Population Treasury'!AI$147*'Statistics NZ'!AI$442/('Population Treasury'!AH$147*'Statistics NZ'!AH$442)</f>
        <v>40992.856946677268</v>
      </c>
    </row>
    <row r="98" spans="1:21" x14ac:dyDescent="0.25">
      <c r="A98" s="11">
        <f>$A$28</f>
        <v>33</v>
      </c>
      <c r="B98" s="44">
        <f>'Population Treasury'!P$148*'Statistics NZ'!P$443*'Economic Forecasts'!R$8/B$7</f>
        <v>33605.806160704662</v>
      </c>
      <c r="C98" s="44">
        <f>'Population Treasury'!Q$148*'Statistics NZ'!Q$443*'Economic Forecasts'!S$8/C$7</f>
        <v>34978.684055282894</v>
      </c>
      <c r="D98" s="44">
        <f>'Population Treasury'!R$148*'Statistics NZ'!R$443*'Economic Forecasts'!T$8/D$7</f>
        <v>35831.526306413463</v>
      </c>
      <c r="E98" s="45">
        <f>'Population Treasury'!S$148*'Statistics NZ'!S$443*'Economic Forecasts'!U$8/E$7</f>
        <v>39406.137778184828</v>
      </c>
      <c r="F98" s="45">
        <f>'Population Treasury'!T$148*'Statistics NZ'!T$443*'Economic Forecasts'!V$8/F$7</f>
        <v>40335.159759619419</v>
      </c>
      <c r="G98" s="45">
        <f>'Population Treasury'!U$148*'Statistics NZ'!U$443*'Economic Forecasts'!W$8/G$7</f>
        <v>39633.173236769588</v>
      </c>
      <c r="H98" s="45">
        <f>'Population Treasury'!V$148*'Statistics NZ'!V$443*'Economic Forecasts'!X$8/H$7</f>
        <v>39064.725915659044</v>
      </c>
      <c r="I98" s="45">
        <f>'Population Treasury'!W$148*'Statistics NZ'!W$443*'Economic Forecasts'!Y$8/I$7</f>
        <v>38168.180342504551</v>
      </c>
      <c r="J98" s="45">
        <f>'Population Treasury'!X$148*'Statistics NZ'!X$443*'Economic Forecasts'!Z$8/J$7</f>
        <v>38212.834853212997</v>
      </c>
      <c r="K98" s="45">
        <f>'Population Treasury'!Y$148*'Statistics NZ'!Y$443*'Economic Forecasts'!AA$8/K$7</f>
        <v>38149.651996453009</v>
      </c>
      <c r="L98" s="46">
        <f>K$98*'Population Treasury'!Z$148*'Statistics NZ'!Z$443/('Population Treasury'!Y$148*'Statistics NZ'!Y$443)</f>
        <v>37153.047089706226</v>
      </c>
      <c r="M98" s="46">
        <f>L$98*'Population Treasury'!AA$148*'Statistics NZ'!AA$443/('Population Treasury'!Z$148*'Statistics NZ'!Z$443)</f>
        <v>37224.291895457864</v>
      </c>
      <c r="N98" s="46">
        <f>M$98*'Population Treasury'!AB$148*'Statistics NZ'!AB$443/('Population Treasury'!AA$148*'Statistics NZ'!AA$443)</f>
        <v>36420.207234987232</v>
      </c>
      <c r="O98" s="46">
        <f>N$98*'Population Treasury'!AC$148*'Statistics NZ'!AC$443/('Population Treasury'!AB$148*'Statistics NZ'!AB$443)</f>
        <v>37474.562927999898</v>
      </c>
      <c r="P98" s="46">
        <f>O$98*'Population Treasury'!AD$148*'Statistics NZ'!AD$443/('Population Treasury'!AC$148*'Statistics NZ'!AC$443)</f>
        <v>37254.046368138377</v>
      </c>
      <c r="Q98" s="46">
        <f>P$98*'Population Treasury'!AE$148*'Statistics NZ'!AE$443/('Population Treasury'!AD$148*'Statistics NZ'!AD$443)</f>
        <v>36213.743933306308</v>
      </c>
      <c r="R98" s="46">
        <f>Q$98*'Population Treasury'!AF$148*'Statistics NZ'!AF$443/('Population Treasury'!AE$148*'Statistics NZ'!AE$443)</f>
        <v>36964.898050775941</v>
      </c>
      <c r="S98" s="46">
        <f>R$98*'Population Treasury'!AG$148*'Statistics NZ'!AG$443/('Population Treasury'!AF$148*'Statistics NZ'!AF$443)</f>
        <v>37502.178619257866</v>
      </c>
      <c r="T98" s="46">
        <f>S$98*'Population Treasury'!AH$148*'Statistics NZ'!AH$443/('Population Treasury'!AG$148*'Statistics NZ'!AG$443)</f>
        <v>38109.101661660396</v>
      </c>
      <c r="U98" s="46">
        <f>T$98*'Population Treasury'!AI$148*'Statistics NZ'!AI$443/('Population Treasury'!AH$148*'Statistics NZ'!AH$443)</f>
        <v>39256.852688319042</v>
      </c>
    </row>
    <row r="99" spans="1:21" x14ac:dyDescent="0.25">
      <c r="A99" s="11">
        <f>$A$29</f>
        <v>34</v>
      </c>
      <c r="B99" s="44">
        <f>'Population Treasury'!P$149*'Statistics NZ'!P$444*'Economic Forecasts'!R$8/B$7</f>
        <v>32167.533449452203</v>
      </c>
      <c r="C99" s="44">
        <f>'Population Treasury'!Q$149*'Statistics NZ'!Q$444*'Economic Forecasts'!S$8/C$7</f>
        <v>33911.791018385295</v>
      </c>
      <c r="D99" s="44">
        <f>'Population Treasury'!R$149*'Statistics NZ'!R$444*'Economic Forecasts'!T$8/D$7</f>
        <v>35310.038181856668</v>
      </c>
      <c r="E99" s="45">
        <f>'Population Treasury'!S$149*'Statistics NZ'!S$444*'Economic Forecasts'!U$8/E$7</f>
        <v>37964.720365374553</v>
      </c>
      <c r="F99" s="45">
        <f>'Population Treasury'!T$149*'Statistics NZ'!T$444*'Economic Forecasts'!V$8/F$7</f>
        <v>39750.741221817814</v>
      </c>
      <c r="G99" s="45">
        <f>'Population Treasury'!U$149*'Statistics NZ'!U$444*'Economic Forecasts'!W$8/G$7</f>
        <v>39867.964539292654</v>
      </c>
      <c r="H99" s="45">
        <f>'Population Treasury'!V$149*'Statistics NZ'!V$444*'Economic Forecasts'!X$8/H$7</f>
        <v>40101.817475302414</v>
      </c>
      <c r="I99" s="45">
        <f>'Population Treasury'!W$149*'Statistics NZ'!W$444*'Economic Forecasts'!Y$8/I$7</f>
        <v>39688.798108024246</v>
      </c>
      <c r="J99" s="45">
        <f>'Population Treasury'!X$149*'Statistics NZ'!X$444*'Economic Forecasts'!Z$8/J$7</f>
        <v>38746.18302121538</v>
      </c>
      <c r="K99" s="45">
        <f>'Population Treasury'!Y$149*'Statistics NZ'!Y$444*'Economic Forecasts'!AA$8/K$7</f>
        <v>38743.853629181263</v>
      </c>
      <c r="L99" s="46">
        <f>K$99*'Population Treasury'!Z$149*'Statistics NZ'!Z$444/('Population Treasury'!Y$149*'Statistics NZ'!Y$444)</f>
        <v>38709.806523791303</v>
      </c>
      <c r="M99" s="46">
        <f>L$99*'Population Treasury'!AA$149*'Statistics NZ'!AA$444/('Population Treasury'!Z$149*'Statistics NZ'!Z$444)</f>
        <v>37684.308642712196</v>
      </c>
      <c r="N99" s="46">
        <f>M$99*'Population Treasury'!AB$149*'Statistics NZ'!AB$444/('Population Treasury'!AA$149*'Statistics NZ'!AA$444)</f>
        <v>37727.12357928131</v>
      </c>
      <c r="O99" s="46">
        <f>N$99*'Population Treasury'!AC$149*'Statistics NZ'!AC$444/('Population Treasury'!AB$149*'Statistics NZ'!AB$444)</f>
        <v>36905.078951208379</v>
      </c>
      <c r="P99" s="46">
        <f>O$99*'Population Treasury'!AD$149*'Statistics NZ'!AD$444/('Population Treasury'!AC$149*'Statistics NZ'!AC$444)</f>
        <v>37910.502176528484</v>
      </c>
      <c r="Q99" s="46">
        <f>P$99*'Population Treasury'!AE$149*'Statistics NZ'!AE$444/('Population Treasury'!AD$149*'Statistics NZ'!AD$444)</f>
        <v>37671.511026390159</v>
      </c>
      <c r="R99" s="46">
        <f>Q$99*'Population Treasury'!AF$149*'Statistics NZ'!AF$444/('Population Treasury'!AE$149*'Statistics NZ'!AE$444)</f>
        <v>36613.404310742779</v>
      </c>
      <c r="S99" s="46">
        <f>R$99*'Population Treasury'!AG$149*'Statistics NZ'!AG$444/('Population Treasury'!AF$149*'Statistics NZ'!AF$444)</f>
        <v>37325.408131955519</v>
      </c>
      <c r="T99" s="46">
        <f>S$99*'Population Treasury'!AH$149*'Statistics NZ'!AH$444/('Population Treasury'!AG$149*'Statistics NZ'!AG$444)</f>
        <v>37845.031561186275</v>
      </c>
      <c r="U99" s="46">
        <f>T$99*'Population Treasury'!AI$149*'Statistics NZ'!AI$444/('Population Treasury'!AH$149*'Statistics NZ'!AH$444)</f>
        <v>38423.552308161008</v>
      </c>
    </row>
    <row r="100" spans="1:21" x14ac:dyDescent="0.25">
      <c r="A100" s="11">
        <f>$A$30</f>
        <v>35</v>
      </c>
      <c r="B100" s="44">
        <f>'Population Treasury'!P$150*'Statistics NZ'!P$445*'Economic Forecasts'!R$8/B$7</f>
        <v>31444.388236983988</v>
      </c>
      <c r="C100" s="44">
        <f>'Population Treasury'!Q$150*'Statistics NZ'!Q$445*'Economic Forecasts'!S$8/C$7</f>
        <v>32539.938060555585</v>
      </c>
      <c r="D100" s="44">
        <f>'Population Treasury'!R$150*'Statistics NZ'!R$445*'Economic Forecasts'!T$8/D$7</f>
        <v>34285.764872282853</v>
      </c>
      <c r="E100" s="45">
        <f>'Population Treasury'!S$150*'Statistics NZ'!S$445*'Economic Forecasts'!U$8/E$7</f>
        <v>36862.520771767122</v>
      </c>
      <c r="F100" s="45">
        <f>'Population Treasury'!T$150*'Statistics NZ'!T$445*'Economic Forecasts'!V$8/F$7</f>
        <v>37918.590285402403</v>
      </c>
      <c r="G100" s="45">
        <f>'Population Treasury'!U$150*'Statistics NZ'!U$445*'Economic Forecasts'!W$8/G$7</f>
        <v>39157.608040013947</v>
      </c>
      <c r="H100" s="45">
        <f>'Population Treasury'!V$150*'Statistics NZ'!V$445*'Economic Forecasts'!X$8/H$7</f>
        <v>40232.173097661253</v>
      </c>
      <c r="I100" s="45">
        <f>'Population Treasury'!W$150*'Statistics NZ'!W$445*'Economic Forecasts'!Y$8/I$7</f>
        <v>40640.63623977844</v>
      </c>
      <c r="J100" s="45">
        <f>'Population Treasury'!X$150*'Statistics NZ'!X$445*'Economic Forecasts'!Z$8/J$7</f>
        <v>40161.645091529965</v>
      </c>
      <c r="K100" s="45">
        <f>'Population Treasury'!Y$150*'Statistics NZ'!Y$445*'Economic Forecasts'!AA$8/K$7</f>
        <v>39153.032991332686</v>
      </c>
      <c r="L100" s="46">
        <f>K$100*'Population Treasury'!Z$150*'Statistics NZ'!Z$445/('Population Treasury'!Y$150*'Statistics NZ'!Y$445)</f>
        <v>39119.359362487339</v>
      </c>
      <c r="M100" s="46">
        <f>L$100*'Population Treasury'!AA$150*'Statistics NZ'!AA$445/('Population Treasury'!Z$150*'Statistics NZ'!Z$445)</f>
        <v>39007.798304810916</v>
      </c>
      <c r="N100" s="46">
        <f>M$100*'Population Treasury'!AB$150*'Statistics NZ'!AB$445/('Population Treasury'!AA$150*'Statistics NZ'!AA$445)</f>
        <v>37902.623983822188</v>
      </c>
      <c r="O100" s="46">
        <f>N$100*'Population Treasury'!AC$150*'Statistics NZ'!AC$445/('Population Treasury'!AB$150*'Statistics NZ'!AB$445)</f>
        <v>37872.76455491985</v>
      </c>
      <c r="P100" s="46">
        <f>O$100*'Population Treasury'!AD$150*'Statistics NZ'!AD$445/('Population Treasury'!AC$150*'Statistics NZ'!AC$445)</f>
        <v>36975.0213067402</v>
      </c>
      <c r="Q100" s="46">
        <f>P$100*'Population Treasury'!AE$150*'Statistics NZ'!AE$445/('Population Treasury'!AD$150*'Statistics NZ'!AD$445)</f>
        <v>37922.37007018568</v>
      </c>
      <c r="R100" s="46">
        <f>Q$100*'Population Treasury'!AF$150*'Statistics NZ'!AF$445/('Population Treasury'!AE$150*'Statistics NZ'!AE$445)</f>
        <v>37633.246506498741</v>
      </c>
      <c r="S100" s="46">
        <f>R$100*'Population Treasury'!AG$150*'Statistics NZ'!AG$445/('Population Treasury'!AF$150*'Statistics NZ'!AF$445)</f>
        <v>36551.781340319489</v>
      </c>
      <c r="T100" s="46">
        <f>S$100*'Population Treasury'!AH$150*'Statistics NZ'!AH$445/('Population Treasury'!AG$150*'Statistics NZ'!AG$445)</f>
        <v>37207.935097261274</v>
      </c>
      <c r="U100" s="46">
        <f>T$100*'Population Treasury'!AI$150*'Statistics NZ'!AI$445/('Population Treasury'!AH$150*'Statistics NZ'!AH$445)</f>
        <v>37698.91577214875</v>
      </c>
    </row>
    <row r="101" spans="1:21" x14ac:dyDescent="0.25">
      <c r="A101" s="11">
        <f>$A$31</f>
        <v>36</v>
      </c>
      <c r="B101" s="44">
        <f>'Population Treasury'!P$151*'Statistics NZ'!P$446*'Economic Forecasts'!R$8/B$7</f>
        <v>31238.540149810939</v>
      </c>
      <c r="C101" s="44">
        <f>'Population Treasury'!Q$151*'Statistics NZ'!Q$446*'Economic Forecasts'!S$8/C$7</f>
        <v>31675.376032182456</v>
      </c>
      <c r="D101" s="44">
        <f>'Population Treasury'!R$151*'Statistics NZ'!R$446*'Economic Forecasts'!T$8/D$7</f>
        <v>32837.846338739953</v>
      </c>
      <c r="E101" s="45">
        <f>'Population Treasury'!S$151*'Statistics NZ'!S$446*'Economic Forecasts'!U$8/E$7</f>
        <v>35784.423656268867</v>
      </c>
      <c r="F101" s="45">
        <f>'Population Treasury'!T$151*'Statistics NZ'!T$446*'Economic Forecasts'!V$8/F$7</f>
        <v>37267.356370961046</v>
      </c>
      <c r="G101" s="45">
        <f>'Population Treasury'!U$151*'Statistics NZ'!U$446*'Economic Forecasts'!W$8/G$7</f>
        <v>37553.041420772235</v>
      </c>
      <c r="H101" s="45">
        <f>'Population Treasury'!V$151*'Statistics NZ'!V$446*'Economic Forecasts'!X$8/H$7</f>
        <v>39517.680317841165</v>
      </c>
      <c r="I101" s="45">
        <f>'Population Treasury'!W$151*'Statistics NZ'!W$446*'Economic Forecasts'!Y$8/I$7</f>
        <v>40734.077155461797</v>
      </c>
      <c r="J101" s="45">
        <f>'Population Treasury'!X$151*'Statistics NZ'!X$446*'Economic Forecasts'!Z$8/J$7</f>
        <v>41098.167089697767</v>
      </c>
      <c r="K101" s="45">
        <f>'Population Treasury'!Y$151*'Statistics NZ'!Y$446*'Economic Forecasts'!AA$8/K$7</f>
        <v>40578.461896976791</v>
      </c>
      <c r="L101" s="46">
        <f>K$101*'Population Treasury'!Z$151*'Statistics NZ'!Z$446/('Population Treasury'!Y$151*'Statistics NZ'!Y$446)</f>
        <v>39547.230350096099</v>
      </c>
      <c r="M101" s="46">
        <f>L$101*'Population Treasury'!AA$151*'Statistics NZ'!AA$446/('Population Treasury'!Z$151*'Statistics NZ'!Z$446)</f>
        <v>39482.163434469432</v>
      </c>
      <c r="N101" s="46">
        <f>M$101*'Population Treasury'!AB$151*'Statistics NZ'!AB$446/('Population Treasury'!AA$151*'Statistics NZ'!AA$446)</f>
        <v>39349.416559781406</v>
      </c>
      <c r="O101" s="46">
        <f>N$101*'Population Treasury'!AC$151*'Statistics NZ'!AC$446/('Population Treasury'!AB$151*'Statistics NZ'!AB$446)</f>
        <v>38243.190435836441</v>
      </c>
      <c r="P101" s="46">
        <f>O$101*'Population Treasury'!AD$151*'Statistics NZ'!AD$446/('Population Treasury'!AC$151*'Statistics NZ'!AC$446)</f>
        <v>38172.376690666744</v>
      </c>
      <c r="Q101" s="46">
        <f>P$101*'Population Treasury'!AE$151*'Statistics NZ'!AE$446/('Population Treasury'!AD$151*'Statistics NZ'!AD$446)</f>
        <v>37274.020484465218</v>
      </c>
      <c r="R101" s="46">
        <f>Q$101*'Population Treasury'!AF$151*'Statistics NZ'!AF$446/('Population Treasury'!AE$151*'Statistics NZ'!AE$446)</f>
        <v>38199.907747879384</v>
      </c>
      <c r="S101" s="46">
        <f>R$101*'Population Treasury'!AG$151*'Statistics NZ'!AG$446/('Population Treasury'!AF$151*'Statistics NZ'!AF$446)</f>
        <v>37878.896262048343</v>
      </c>
      <c r="T101" s="46">
        <f>S$101*'Population Treasury'!AH$151*'Statistics NZ'!AH$446/('Population Treasury'!AG$151*'Statistics NZ'!AG$446)</f>
        <v>36765.945135674803</v>
      </c>
      <c r="U101" s="46">
        <f>T$101*'Population Treasury'!AI$151*'Statistics NZ'!AI$446/('Population Treasury'!AH$151*'Statistics NZ'!AH$446)</f>
        <v>37410.786118439231</v>
      </c>
    </row>
    <row r="102" spans="1:21" x14ac:dyDescent="0.25">
      <c r="A102" s="11">
        <f>$A$32</f>
        <v>37</v>
      </c>
      <c r="B102" s="44">
        <f>'Population Treasury'!P$152*'Statistics NZ'!P$447*'Economic Forecasts'!R$8/B$7</f>
        <v>30877.066360218876</v>
      </c>
      <c r="C102" s="44">
        <f>'Population Treasury'!Q$152*'Statistics NZ'!Q$447*'Economic Forecasts'!S$8/C$7</f>
        <v>31534.207333747705</v>
      </c>
      <c r="D102" s="44">
        <f>'Population Treasury'!R$152*'Statistics NZ'!R$447*'Economic Forecasts'!T$8/D$7</f>
        <v>31954.327947500333</v>
      </c>
      <c r="E102" s="45">
        <f>'Population Treasury'!S$152*'Statistics NZ'!S$447*'Economic Forecasts'!U$8/E$7</f>
        <v>34343.62371691173</v>
      </c>
      <c r="F102" s="45">
        <f>'Population Treasury'!T$152*'Statistics NZ'!T$447*'Economic Forecasts'!V$8/F$7</f>
        <v>36169.506763265235</v>
      </c>
      <c r="G102" s="45">
        <f>'Population Treasury'!U$152*'Statistics NZ'!U$447*'Economic Forecasts'!W$8/G$7</f>
        <v>36920.065774076837</v>
      </c>
      <c r="H102" s="45">
        <f>'Population Treasury'!V$152*'Statistics NZ'!V$447*'Economic Forecasts'!X$8/H$7</f>
        <v>37923.06264246245</v>
      </c>
      <c r="I102" s="45">
        <f>'Population Treasury'!W$152*'Statistics NZ'!W$447*'Economic Forecasts'!Y$8/I$7</f>
        <v>40034.501682575181</v>
      </c>
      <c r="J102" s="45">
        <f>'Population Treasury'!X$152*'Statistics NZ'!X$447*'Economic Forecasts'!Z$8/J$7</f>
        <v>41222.79975749657</v>
      </c>
      <c r="K102" s="45">
        <f>'Population Treasury'!Y$152*'Statistics NZ'!Y$447*'Economic Forecasts'!AA$8/K$7</f>
        <v>41530.001151230543</v>
      </c>
      <c r="L102" s="46">
        <f>K$102*'Population Treasury'!Z$152*'Statistics NZ'!Z$447/('Population Treasury'!Y$152*'Statistics NZ'!Y$447)</f>
        <v>40963.179069545746</v>
      </c>
      <c r="M102" s="46">
        <f>L$102*'Population Treasury'!AA$152*'Statistics NZ'!AA$447/('Population Treasury'!Z$152*'Statistics NZ'!Z$447)</f>
        <v>39911.338720105385</v>
      </c>
      <c r="N102" s="46">
        <f>M$102*'Population Treasury'!AB$152*'Statistics NZ'!AB$447/('Population Treasury'!AA$152*'Statistics NZ'!AA$447)</f>
        <v>39825.318119505013</v>
      </c>
      <c r="O102" s="46">
        <f>N$102*'Population Treasury'!AC$152*'Statistics NZ'!AC$447/('Population Treasury'!AB$152*'Statistics NZ'!AB$447)</f>
        <v>39681.381960496328</v>
      </c>
      <c r="P102" s="46">
        <f>O$102*'Population Treasury'!AD$152*'Statistics NZ'!AD$447/('Population Treasury'!AC$152*'Statistics NZ'!AC$447)</f>
        <v>38544.108874062695</v>
      </c>
      <c r="Q102" s="46">
        <f>P$102*'Population Treasury'!AE$152*'Statistics NZ'!AE$447/('Population Treasury'!AD$152*'Statistics NZ'!AD$447)</f>
        <v>38472.068019449354</v>
      </c>
      <c r="R102" s="46">
        <f>Q$102*'Population Treasury'!AF$152*'Statistics NZ'!AF$447/('Population Treasury'!AE$152*'Statistics NZ'!AE$447)</f>
        <v>37542.905055381118</v>
      </c>
      <c r="S102" s="46">
        <f>R$102*'Population Treasury'!AG$152*'Statistics NZ'!AG$447/('Population Treasury'!AF$152*'Statistics NZ'!AF$447)</f>
        <v>38447.582272512467</v>
      </c>
      <c r="T102" s="46">
        <f>S$102*'Population Treasury'!AH$152*'Statistics NZ'!AH$447/('Population Treasury'!AG$152*'Statistics NZ'!AG$447)</f>
        <v>38116.024069354171</v>
      </c>
      <c r="U102" s="46">
        <f>T$102*'Population Treasury'!AI$152*'Statistics NZ'!AI$447/('Population Treasury'!AH$152*'Statistics NZ'!AH$447)</f>
        <v>36981.759938815114</v>
      </c>
    </row>
    <row r="103" spans="1:21" x14ac:dyDescent="0.25">
      <c r="A103" s="11">
        <f>$A$33</f>
        <v>38</v>
      </c>
      <c r="B103" s="44">
        <f>'Population Treasury'!P$153*'Statistics NZ'!P$448*'Economic Forecasts'!R$8/B$7</f>
        <v>30141.396986760112</v>
      </c>
      <c r="C103" s="44">
        <f>'Population Treasury'!Q$153*'Statistics NZ'!Q$448*'Economic Forecasts'!S$8/C$7</f>
        <v>31159.313778534361</v>
      </c>
      <c r="D103" s="44">
        <f>'Population Treasury'!R$153*'Statistics NZ'!R$448*'Economic Forecasts'!T$8/D$7</f>
        <v>31858.70143136042</v>
      </c>
      <c r="E103" s="45">
        <f>'Population Treasury'!S$153*'Statistics NZ'!S$448*'Economic Forecasts'!U$8/E$7</f>
        <v>33448.688932012199</v>
      </c>
      <c r="F103" s="45">
        <f>'Population Treasury'!T$153*'Statistics NZ'!T$448*'Economic Forecasts'!V$8/F$7</f>
        <v>34686.670397237234</v>
      </c>
      <c r="G103" s="45">
        <f>'Population Treasury'!U$153*'Statistics NZ'!U$448*'Economic Forecasts'!W$8/G$7</f>
        <v>35807.647546259112</v>
      </c>
      <c r="H103" s="45">
        <f>'Population Treasury'!V$153*'Statistics NZ'!V$448*'Economic Forecasts'!X$8/H$7</f>
        <v>37285.241988462745</v>
      </c>
      <c r="I103" s="45">
        <f>'Population Treasury'!W$153*'Statistics NZ'!W$448*'Economic Forecasts'!Y$8/I$7</f>
        <v>38426.342460356274</v>
      </c>
      <c r="J103" s="45">
        <f>'Population Treasury'!X$153*'Statistics NZ'!X$448*'Economic Forecasts'!Z$8/J$7</f>
        <v>40497.394849325901</v>
      </c>
      <c r="K103" s="45">
        <f>'Population Treasury'!Y$153*'Statistics NZ'!Y$448*'Economic Forecasts'!AA$8/K$7</f>
        <v>41654.050451987343</v>
      </c>
      <c r="L103" s="46">
        <f>K$103*'Population Treasury'!Z$153*'Statistics NZ'!Z$448/('Population Treasury'!Y$153*'Statistics NZ'!Y$448)</f>
        <v>41889.48226924293</v>
      </c>
      <c r="M103" s="46">
        <f>L$103*'Population Treasury'!AA$153*'Statistics NZ'!AA$448/('Population Treasury'!Z$153*'Statistics NZ'!Z$448)</f>
        <v>41322.270594481255</v>
      </c>
      <c r="N103" s="46">
        <f>M$103*'Population Treasury'!AB$153*'Statistics NZ'!AB$448/('Population Treasury'!AA$153*'Statistics NZ'!AA$448)</f>
        <v>40238.888156430854</v>
      </c>
      <c r="O103" s="46">
        <f>N$103*'Population Treasury'!AC$153*'Statistics NZ'!AC$448/('Population Treasury'!AB$153*'Statistics NZ'!AB$448)</f>
        <v>40142.453851082319</v>
      </c>
      <c r="P103" s="46">
        <f>O$103*'Population Treasury'!AD$153*'Statistics NZ'!AD$448/('Population Treasury'!AC$153*'Statistics NZ'!AC$448)</f>
        <v>39967.718199970419</v>
      </c>
      <c r="Q103" s="46">
        <f>P$103*'Population Treasury'!AE$153*'Statistics NZ'!AE$448/('Population Treasury'!AD$153*'Statistics NZ'!AD$448)</f>
        <v>38809.328971146591</v>
      </c>
      <c r="R103" s="46">
        <f>Q$103*'Population Treasury'!AF$153*'Statistics NZ'!AF$448/('Population Treasury'!AE$153*'Statistics NZ'!AE$448)</f>
        <v>38716.339234679617</v>
      </c>
      <c r="S103" s="46">
        <f>R$103*'Population Treasury'!AG$153*'Statistics NZ'!AG$448/('Population Treasury'!AF$153*'Statistics NZ'!AF$448)</f>
        <v>37786.732533733077</v>
      </c>
      <c r="T103" s="46">
        <f>S$103*'Population Treasury'!AH$153*'Statistics NZ'!AH$448/('Population Treasury'!AG$153*'Statistics NZ'!AG$448)</f>
        <v>38659.75016854726</v>
      </c>
      <c r="U103" s="46">
        <f>T$103*'Population Treasury'!AI$153*'Statistics NZ'!AI$448/('Population Treasury'!AH$153*'Statistics NZ'!AH$448)</f>
        <v>38307.131720147976</v>
      </c>
    </row>
    <row r="104" spans="1:21" x14ac:dyDescent="0.25">
      <c r="A104" s="11">
        <f>$A$34</f>
        <v>39</v>
      </c>
      <c r="B104" s="44">
        <f>'Population Treasury'!P$154*'Statistics NZ'!P$449*'Economic Forecasts'!R$8/B$7</f>
        <v>29467.364542241448</v>
      </c>
      <c r="C104" s="44">
        <f>'Population Treasury'!Q$154*'Statistics NZ'!Q$449*'Economic Forecasts'!S$8/C$7</f>
        <v>30433.595158133485</v>
      </c>
      <c r="D104" s="44">
        <f>'Population Treasury'!R$154*'Statistics NZ'!R$449*'Economic Forecasts'!T$8/D$7</f>
        <v>31346.772147044485</v>
      </c>
      <c r="E104" s="45">
        <f>'Population Treasury'!S$154*'Statistics NZ'!S$449*'Economic Forecasts'!U$8/E$7</f>
        <v>33331.12937359808</v>
      </c>
      <c r="F104" s="45">
        <f>'Population Treasury'!T$154*'Statistics NZ'!T$449*'Economic Forecasts'!V$8/F$7</f>
        <v>33754.935847386885</v>
      </c>
      <c r="G104" s="45">
        <f>'Population Treasury'!U$154*'Statistics NZ'!U$449*'Economic Forecasts'!W$8/G$7</f>
        <v>34296.879218172013</v>
      </c>
      <c r="H104" s="45">
        <f>'Population Treasury'!V$154*'Statistics NZ'!V$449*'Economic Forecasts'!X$8/H$7</f>
        <v>36154.31698153152</v>
      </c>
      <c r="I104" s="45">
        <f>'Population Treasury'!W$154*'Statistics NZ'!W$449*'Economic Forecasts'!Y$8/I$7</f>
        <v>37751.512673519122</v>
      </c>
      <c r="J104" s="45">
        <f>'Population Treasury'!X$154*'Statistics NZ'!X$449*'Economic Forecasts'!Z$8/J$7</f>
        <v>38855.551301464257</v>
      </c>
      <c r="K104" s="45">
        <f>'Population Treasury'!Y$154*'Statistics NZ'!Y$449*'Economic Forecasts'!AA$8/K$7</f>
        <v>40902.846304741157</v>
      </c>
      <c r="L104" s="46">
        <f>K$104*'Population Treasury'!Z$154*'Statistics NZ'!Z$449/('Population Treasury'!Y$154*'Statistics NZ'!Y$449)</f>
        <v>41966.573824441708</v>
      </c>
      <c r="M104" s="46">
        <f>L$104*'Population Treasury'!AA$154*'Statistics NZ'!AA$449/('Population Treasury'!Z$154*'Statistics NZ'!Z$449)</f>
        <v>42190.876273156748</v>
      </c>
      <c r="N104" s="46">
        <f>M$104*'Population Treasury'!AB$154*'Statistics NZ'!AB$449/('Population Treasury'!AA$154*'Statistics NZ'!AA$449)</f>
        <v>41593.266472507305</v>
      </c>
      <c r="O104" s="46">
        <f>N$104*'Population Treasury'!AC$154*'Statistics NZ'!AC$449/('Population Treasury'!AB$154*'Statistics NZ'!AB$449)</f>
        <v>40499.255880980221</v>
      </c>
      <c r="P104" s="46">
        <f>O$104*'Population Treasury'!AD$154*'Statistics NZ'!AD$449/('Population Treasury'!AC$154*'Statistics NZ'!AC$449)</f>
        <v>40382.026637211697</v>
      </c>
      <c r="Q104" s="46">
        <f>P$104*'Population Treasury'!AE$154*'Statistics NZ'!AE$449/('Population Treasury'!AD$154*'Statistics NZ'!AD$449)</f>
        <v>40186.389043225718</v>
      </c>
      <c r="R104" s="46">
        <f>Q$104*'Population Treasury'!AF$154*'Statistics NZ'!AF$449/('Population Treasury'!AE$154*'Statistics NZ'!AE$449)</f>
        <v>39006.9416529913</v>
      </c>
      <c r="S104" s="46">
        <f>R$104*'Population Treasury'!AG$154*'Statistics NZ'!AG$449/('Population Treasury'!AF$154*'Statistics NZ'!AF$449)</f>
        <v>38893.063400928695</v>
      </c>
      <c r="T104" s="46">
        <f>S$104*'Population Treasury'!AH$154*'Statistics NZ'!AH$449/('Population Treasury'!AG$154*'Statistics NZ'!AG$449)</f>
        <v>37932.792876713022</v>
      </c>
      <c r="U104" s="46">
        <f>T$104*'Population Treasury'!AI$154*'Statistics NZ'!AI$449/('Population Treasury'!AH$154*'Statistics NZ'!AH$449)</f>
        <v>38805.160211628376</v>
      </c>
    </row>
    <row r="105" spans="1:21" x14ac:dyDescent="0.25">
      <c r="A105" s="11">
        <f>$A$35</f>
        <v>40</v>
      </c>
      <c r="B105" s="44">
        <f>'Population Treasury'!P$155*'Statistics NZ'!P$450*'Economic Forecasts'!R$8/B$7</f>
        <v>28928.560010591362</v>
      </c>
      <c r="C105" s="44">
        <f>'Population Treasury'!Q$155*'Statistics NZ'!Q$450*'Economic Forecasts'!S$8/C$7</f>
        <v>29853.919198306525</v>
      </c>
      <c r="D105" s="44">
        <f>'Population Treasury'!R$155*'Statistics NZ'!R$450*'Economic Forecasts'!T$8/D$7</f>
        <v>30686.888498903543</v>
      </c>
      <c r="E105" s="45">
        <f>'Population Treasury'!S$155*'Statistics NZ'!S$450*'Economic Forecasts'!U$8/E$7</f>
        <v>32277.548835750506</v>
      </c>
      <c r="F105" s="45">
        <f>'Population Treasury'!T$155*'Statistics NZ'!T$450*'Economic Forecasts'!V$8/F$7</f>
        <v>33298.736548702509</v>
      </c>
      <c r="G105" s="45">
        <f>'Population Treasury'!U$155*'Statistics NZ'!U$450*'Economic Forecasts'!W$8/G$7</f>
        <v>33241.688535445646</v>
      </c>
      <c r="H105" s="45">
        <f>'Population Treasury'!V$155*'Statistics NZ'!V$450*'Economic Forecasts'!X$8/H$7</f>
        <v>34530.373104987666</v>
      </c>
      <c r="I105" s="45">
        <f>'Population Treasury'!W$155*'Statistics NZ'!W$450*'Economic Forecasts'!Y$8/I$7</f>
        <v>36501.011195613435</v>
      </c>
      <c r="J105" s="45">
        <f>'Population Treasury'!X$155*'Statistics NZ'!X$450*'Economic Forecasts'!Z$8/J$7</f>
        <v>38072.895916677968</v>
      </c>
      <c r="K105" s="45">
        <f>'Population Treasury'!Y$155*'Statistics NZ'!Y$450*'Economic Forecasts'!AA$8/K$7</f>
        <v>39136.701644769979</v>
      </c>
      <c r="L105" s="46">
        <f>K$105*'Population Treasury'!Z$155*'Statistics NZ'!Z$450/('Population Treasury'!Y$155*'Statistics NZ'!Y$450)</f>
        <v>41031.542158451855</v>
      </c>
      <c r="M105" s="46">
        <f>L$105*'Population Treasury'!AA$155*'Statistics NZ'!AA$450/('Population Treasury'!Z$155*'Statistics NZ'!Z$450)</f>
        <v>42007.360191234395</v>
      </c>
      <c r="N105" s="46">
        <f>M$105*'Population Treasury'!AB$155*'Statistics NZ'!AB$450/('Population Treasury'!AA$155*'Statistics NZ'!AA$450)</f>
        <v>42171.475891858507</v>
      </c>
      <c r="O105" s="46">
        <f>N$105*'Population Treasury'!AC$155*'Statistics NZ'!AC$450/('Population Treasury'!AB$155*'Statistics NZ'!AB$450)</f>
        <v>41520.532743429918</v>
      </c>
      <c r="P105" s="46">
        <f>O$105*'Population Treasury'!AD$155*'Statistics NZ'!AD$450/('Population Treasury'!AC$155*'Statistics NZ'!AC$450)</f>
        <v>40379.833222829839</v>
      </c>
      <c r="Q105" s="46">
        <f>P$105*'Population Treasury'!AE$155*'Statistics NZ'!AE$450/('Population Treasury'!AD$155*'Statistics NZ'!AD$450)</f>
        <v>40193.182014858838</v>
      </c>
      <c r="R105" s="46">
        <f>Q$105*'Population Treasury'!AF$155*'Statistics NZ'!AF$450/('Population Treasury'!AE$155*'Statistics NZ'!AE$450)</f>
        <v>39965.839827268035</v>
      </c>
      <c r="S105" s="46">
        <f>R$105*'Population Treasury'!AG$155*'Statistics NZ'!AG$450/('Population Treasury'!AF$155*'Statistics NZ'!AF$450)</f>
        <v>38761.082646445597</v>
      </c>
      <c r="T105" s="46">
        <f>S$105*'Population Treasury'!AH$155*'Statistics NZ'!AH$450/('Population Treasury'!AG$155*'Statistics NZ'!AG$450)</f>
        <v>38619.89617634489</v>
      </c>
      <c r="U105" s="46">
        <f>T$105*'Population Treasury'!AI$155*'Statistics NZ'!AI$450/('Population Treasury'!AH$155*'Statistics NZ'!AH$450)</f>
        <v>37648.725309200127</v>
      </c>
    </row>
    <row r="106" spans="1:21" x14ac:dyDescent="0.25">
      <c r="A106" s="11">
        <f>$A$36</f>
        <v>41</v>
      </c>
      <c r="B106" s="44">
        <f>'Population Treasury'!P$156*'Statistics NZ'!P$451*'Economic Forecasts'!R$8/B$7</f>
        <v>28283.296517893257</v>
      </c>
      <c r="C106" s="44">
        <f>'Population Treasury'!Q$156*'Statistics NZ'!Q$451*'Economic Forecasts'!S$8/C$7</f>
        <v>29271.577016612893</v>
      </c>
      <c r="D106" s="44">
        <f>'Population Treasury'!R$156*'Statistics NZ'!R$451*'Economic Forecasts'!T$8/D$7</f>
        <v>30146.921682691798</v>
      </c>
      <c r="E106" s="45">
        <f>'Population Treasury'!S$156*'Statistics NZ'!S$451*'Economic Forecasts'!U$8/E$7</f>
        <v>31615.10731004618</v>
      </c>
      <c r="F106" s="45">
        <f>'Population Treasury'!T$156*'Statistics NZ'!T$451*'Economic Forecasts'!V$8/F$7</f>
        <v>32760.12894124808</v>
      </c>
      <c r="G106" s="45">
        <f>'Population Treasury'!U$156*'Statistics NZ'!U$451*'Economic Forecasts'!W$8/G$7</f>
        <v>33090.665509576866</v>
      </c>
      <c r="H106" s="45">
        <f>'Population Treasury'!V$156*'Statistics NZ'!V$451*'Economic Forecasts'!X$8/H$7</f>
        <v>33538.26549253214</v>
      </c>
      <c r="I106" s="45">
        <f>'Population Treasury'!W$156*'Statistics NZ'!W$451*'Economic Forecasts'!Y$8/I$7</f>
        <v>34926.169861036025</v>
      </c>
      <c r="J106" s="45">
        <f>'Population Treasury'!X$156*'Statistics NZ'!X$451*'Economic Forecasts'!Z$8/J$7</f>
        <v>36882.336019558054</v>
      </c>
      <c r="K106" s="45">
        <f>'Population Treasury'!Y$156*'Statistics NZ'!Y$451*'Economic Forecasts'!AA$8/K$7</f>
        <v>38420.356088549219</v>
      </c>
      <c r="L106" s="46">
        <f>K$106*'Population Treasury'!Z$156*'Statistics NZ'!Z$451/('Population Treasury'!Y$156*'Statistics NZ'!Y$451)</f>
        <v>39354.011352698151</v>
      </c>
      <c r="M106" s="46">
        <f>L$106*'Population Treasury'!AA$156*'Statistics NZ'!AA$451/('Population Treasury'!Z$156*'Statistics NZ'!Z$451)</f>
        <v>41235.111993148901</v>
      </c>
      <c r="N106" s="46">
        <f>M$106*'Population Treasury'!AB$156*'Statistics NZ'!AB$451/('Population Treasury'!AA$156*'Statistics NZ'!AA$451)</f>
        <v>42206.815900683709</v>
      </c>
      <c r="O106" s="46">
        <f>N$106*'Population Treasury'!AC$156*'Statistics NZ'!AC$451/('Population Treasury'!AB$156*'Statistics NZ'!AB$451)</f>
        <v>42336.897007990759</v>
      </c>
      <c r="P106" s="46">
        <f>O$106*'Population Treasury'!AD$156*'Statistics NZ'!AD$451/('Population Treasury'!AC$156*'Statistics NZ'!AC$451)</f>
        <v>41682.505414242492</v>
      </c>
      <c r="Q106" s="46">
        <f>P$106*'Population Treasury'!AE$156*'Statistics NZ'!AE$451/('Population Treasury'!AD$156*'Statistics NZ'!AD$451)</f>
        <v>40528.640775639884</v>
      </c>
      <c r="R106" s="46">
        <f>Q$106*'Population Treasury'!AF$156*'Statistics NZ'!AF$451/('Population Treasury'!AE$156*'Statistics NZ'!AE$451)</f>
        <v>40338.218088789603</v>
      </c>
      <c r="S106" s="46">
        <f>R$106*'Population Treasury'!AG$156*'Statistics NZ'!AG$451/('Population Treasury'!AF$156*'Statistics NZ'!AF$451)</f>
        <v>40097.232811228045</v>
      </c>
      <c r="T106" s="46">
        <f>S$106*'Population Treasury'!AH$156*'Statistics NZ'!AH$451/('Population Treasury'!AG$156*'Statistics NZ'!AG$451)</f>
        <v>38879.34284594046</v>
      </c>
      <c r="U106" s="46">
        <f>T$106*'Population Treasury'!AI$156*'Statistics NZ'!AI$451/('Population Treasury'!AH$156*'Statistics NZ'!AH$451)</f>
        <v>38714.079374896377</v>
      </c>
    </row>
    <row r="107" spans="1:21" x14ac:dyDescent="0.25">
      <c r="A107" s="11">
        <f>$A$37</f>
        <v>42</v>
      </c>
      <c r="B107" s="44">
        <f>'Population Treasury'!P$157*'Statistics NZ'!P$452*'Economic Forecasts'!R$8/B$7</f>
        <v>27333.355164868852</v>
      </c>
      <c r="C107" s="44">
        <f>'Population Treasury'!Q$157*'Statistics NZ'!Q$452*'Economic Forecasts'!S$8/C$7</f>
        <v>28637.234976496995</v>
      </c>
      <c r="D107" s="44">
        <f>'Population Treasury'!R$157*'Statistics NZ'!R$452*'Economic Forecasts'!T$8/D$7</f>
        <v>29501.025962239182</v>
      </c>
      <c r="E107" s="45">
        <f>'Population Treasury'!S$157*'Statistics NZ'!S$452*'Economic Forecasts'!U$8/E$7</f>
        <v>31064.210970933142</v>
      </c>
      <c r="F107" s="45">
        <f>'Population Treasury'!T$157*'Statistics NZ'!T$452*'Economic Forecasts'!V$8/F$7</f>
        <v>32057.929549632314</v>
      </c>
      <c r="G107" s="45">
        <f>'Population Treasury'!U$157*'Statistics NZ'!U$452*'Economic Forecasts'!W$8/G$7</f>
        <v>32519.143213535233</v>
      </c>
      <c r="H107" s="45">
        <f>'Population Treasury'!V$157*'Statistics NZ'!V$452*'Economic Forecasts'!X$8/H$7</f>
        <v>33364.424759619695</v>
      </c>
      <c r="I107" s="45">
        <f>'Population Treasury'!W$157*'Statistics NZ'!W$452*'Economic Forecasts'!Y$8/I$7</f>
        <v>33914.739743437669</v>
      </c>
      <c r="J107" s="45">
        <f>'Population Treasury'!X$157*'Statistics NZ'!X$452*'Economic Forecasts'!Z$8/J$7</f>
        <v>35265.019688551678</v>
      </c>
      <c r="K107" s="45">
        <f>'Population Treasury'!Y$157*'Statistics NZ'!Y$452*'Economic Forecasts'!AA$8/K$7</f>
        <v>37201.081908398446</v>
      </c>
      <c r="L107" s="46">
        <f>K$107*'Population Treasury'!Z$157*'Statistics NZ'!Z$452/('Population Treasury'!Y$157*'Statistics NZ'!Y$452)</f>
        <v>38597.757121760158</v>
      </c>
      <c r="M107" s="46">
        <f>L$107*'Population Treasury'!AA$157*'Statistics NZ'!AA$452/('Population Treasury'!Z$157*'Statistics NZ'!Z$452)</f>
        <v>39526.962496815147</v>
      </c>
      <c r="N107" s="46">
        <f>M$107*'Population Treasury'!AB$157*'Statistics NZ'!AB$452/('Population Treasury'!AA$157*'Statistics NZ'!AA$452)</f>
        <v>41374.136983705117</v>
      </c>
      <c r="O107" s="46">
        <f>N$107*'Population Treasury'!AC$157*'Statistics NZ'!AC$452/('Population Treasury'!AB$157*'Statistics NZ'!AB$452)</f>
        <v>42342.384589101712</v>
      </c>
      <c r="P107" s="46">
        <f>O$107*'Population Treasury'!AD$157*'Statistics NZ'!AD$452/('Population Treasury'!AC$157*'Statistics NZ'!AC$452)</f>
        <v>42468.625937031546</v>
      </c>
      <c r="Q107" s="46">
        <f>P$107*'Population Treasury'!AE$157*'Statistics NZ'!AE$452/('Population Treasury'!AD$157*'Statistics NZ'!AD$452)</f>
        <v>41781.31598969239</v>
      </c>
      <c r="R107" s="46">
        <f>Q$107*'Population Treasury'!AF$157*'Statistics NZ'!AF$452/('Population Treasury'!AE$157*'Statistics NZ'!AE$452)</f>
        <v>40633.289320170312</v>
      </c>
      <c r="S107" s="46">
        <f>R$107*'Population Treasury'!AG$157*'Statistics NZ'!AG$452/('Population Treasury'!AF$157*'Statistics NZ'!AF$452)</f>
        <v>40430.009950377884</v>
      </c>
      <c r="T107" s="46">
        <f>S$107*'Population Treasury'!AH$157*'Statistics NZ'!AH$452/('Population Treasury'!AG$157*'Statistics NZ'!AG$452)</f>
        <v>40164.993599044727</v>
      </c>
      <c r="U107" s="46">
        <f>T$107*'Population Treasury'!AI$157*'Statistics NZ'!AI$452/('Population Treasury'!AH$157*'Statistics NZ'!AH$452)</f>
        <v>38953.603191360606</v>
      </c>
    </row>
    <row r="108" spans="1:21" x14ac:dyDescent="0.25">
      <c r="A108" s="11">
        <f>$A$38</f>
        <v>43</v>
      </c>
      <c r="B108" s="44">
        <f>'Population Treasury'!P$158*'Statistics NZ'!P$453*'Economic Forecasts'!R$8/B$7</f>
        <v>27618.626288836687</v>
      </c>
      <c r="C108" s="44">
        <f>'Population Treasury'!Q$158*'Statistics NZ'!Q$453*'Economic Forecasts'!S$8/C$7</f>
        <v>27619.867427762783</v>
      </c>
      <c r="D108" s="44">
        <f>'Population Treasury'!R$158*'Statistics NZ'!R$453*'Economic Forecasts'!T$8/D$7</f>
        <v>28885.784570044452</v>
      </c>
      <c r="E108" s="45">
        <f>'Population Treasury'!S$158*'Statistics NZ'!S$453*'Economic Forecasts'!U$8/E$7</f>
        <v>30396.91320098882</v>
      </c>
      <c r="F108" s="45">
        <f>'Population Treasury'!T$158*'Statistics NZ'!T$453*'Economic Forecasts'!V$8/F$7</f>
        <v>31459.315846116344</v>
      </c>
      <c r="G108" s="45">
        <f>'Population Treasury'!U$158*'Statistics NZ'!U$453*'Economic Forecasts'!W$8/G$7</f>
        <v>31792.453219766281</v>
      </c>
      <c r="H108" s="45">
        <f>'Population Treasury'!V$158*'Statistics NZ'!V$453*'Economic Forecasts'!X$8/H$7</f>
        <v>32748.59185103542</v>
      </c>
      <c r="I108" s="45">
        <f>'Population Treasury'!W$158*'Statistics NZ'!W$453*'Economic Forecasts'!Y$8/I$7</f>
        <v>33698.106990399618</v>
      </c>
      <c r="J108" s="45">
        <f>'Population Treasury'!X$158*'Statistics NZ'!X$453*'Economic Forecasts'!Z$8/J$7</f>
        <v>34225.194246749597</v>
      </c>
      <c r="K108" s="45">
        <f>'Population Treasury'!Y$158*'Statistics NZ'!Y$453*'Economic Forecasts'!AA$8/K$7</f>
        <v>35552.473591963491</v>
      </c>
      <c r="L108" s="46">
        <f>K$108*'Population Treasury'!Z$158*'Statistics NZ'!Z$453/('Population Treasury'!Y$158*'Statistics NZ'!Y$453)</f>
        <v>37339.542663708053</v>
      </c>
      <c r="M108" s="46">
        <f>L$108*'Population Treasury'!AA$158*'Statistics NZ'!AA$453/('Population Treasury'!Z$158*'Statistics NZ'!Z$453)</f>
        <v>38731.572665263433</v>
      </c>
      <c r="N108" s="46">
        <f>M$108*'Population Treasury'!AB$158*'Statistics NZ'!AB$453/('Population Treasury'!AA$158*'Statistics NZ'!AA$453)</f>
        <v>39647.906503626364</v>
      </c>
      <c r="O108" s="46">
        <f>N$108*'Population Treasury'!AC$158*'Statistics NZ'!AC$453/('Population Treasury'!AB$158*'Statistics NZ'!AB$453)</f>
        <v>41470.961820878001</v>
      </c>
      <c r="P108" s="46">
        <f>O$108*'Population Treasury'!AD$158*'Statistics NZ'!AD$453/('Population Treasury'!AC$158*'Statistics NZ'!AC$453)</f>
        <v>42424.619654033668</v>
      </c>
      <c r="Q108" s="46">
        <f>P$108*'Population Treasury'!AE$158*'Statistics NZ'!AE$453/('Population Treasury'!AD$158*'Statistics NZ'!AD$453)</f>
        <v>42537.952898204712</v>
      </c>
      <c r="R108" s="46">
        <f>Q$108*'Population Treasury'!AF$158*'Statistics NZ'!AF$453/('Population Treasury'!AE$158*'Statistics NZ'!AE$453)</f>
        <v>41847.196167349139</v>
      </c>
      <c r="S108" s="46">
        <f>R$108*'Population Treasury'!AG$158*'Statistics NZ'!AG$453/('Population Treasury'!AF$158*'Statistics NZ'!AF$453)</f>
        <v>40665.833960226955</v>
      </c>
      <c r="T108" s="46">
        <f>S$108*'Population Treasury'!AH$158*'Statistics NZ'!AH$453/('Population Treasury'!AG$158*'Statistics NZ'!AG$453)</f>
        <v>40468.670322436046</v>
      </c>
      <c r="U108" s="46">
        <f>T$108*'Population Treasury'!AI$158*'Statistics NZ'!AI$453/('Population Treasury'!AH$158*'Statistics NZ'!AH$453)</f>
        <v>40190.770156239443</v>
      </c>
    </row>
    <row r="109" spans="1:21" x14ac:dyDescent="0.25">
      <c r="A109" s="11">
        <f>$A$39</f>
        <v>44</v>
      </c>
      <c r="B109" s="44">
        <f>'Population Treasury'!P$159*'Statistics NZ'!P$454*'Economic Forecasts'!R$8/B$7</f>
        <v>27478.429008024872</v>
      </c>
      <c r="C109" s="44">
        <f>'Population Treasury'!Q$159*'Statistics NZ'!Q$454*'Economic Forecasts'!S$8/C$7</f>
        <v>27982.501069648832</v>
      </c>
      <c r="D109" s="44">
        <f>'Population Treasury'!R$159*'Statistics NZ'!R$454*'Economic Forecasts'!T$8/D$7</f>
        <v>27855.701756252798</v>
      </c>
      <c r="E109" s="45">
        <f>'Population Treasury'!S$159*'Statistics NZ'!S$454*'Economic Forecasts'!U$8/E$7</f>
        <v>29779.031153328171</v>
      </c>
      <c r="F109" s="45">
        <f>'Population Treasury'!T$159*'Statistics NZ'!T$454*'Economic Forecasts'!V$8/F$7</f>
        <v>30772.177647386128</v>
      </c>
      <c r="G109" s="45">
        <f>'Population Treasury'!U$159*'Statistics NZ'!U$454*'Economic Forecasts'!W$8/G$7</f>
        <v>31180.890371254867</v>
      </c>
      <c r="H109" s="45">
        <f>'Population Treasury'!V$159*'Statistics NZ'!V$454*'Economic Forecasts'!X$8/H$7</f>
        <v>32006.39713367643</v>
      </c>
      <c r="I109" s="45">
        <f>'Population Treasury'!W$159*'Statistics NZ'!W$454*'Economic Forecasts'!Y$8/I$7</f>
        <v>33066.557823987561</v>
      </c>
      <c r="J109" s="45">
        <f>'Population Treasury'!X$159*'Statistics NZ'!X$454*'Economic Forecasts'!Z$8/J$7</f>
        <v>33985.487616253988</v>
      </c>
      <c r="K109" s="45">
        <f>'Population Treasury'!Y$159*'Statistics NZ'!Y$454*'Economic Forecasts'!AA$8/K$7</f>
        <v>34474.778958272633</v>
      </c>
      <c r="L109" s="46">
        <f>K$109*'Population Treasury'!Z$159*'Statistics NZ'!Z$454/('Population Treasury'!Y$159*'Statistics NZ'!Y$454)</f>
        <v>35699.016425632675</v>
      </c>
      <c r="M109" s="46">
        <f>L$109*'Population Treasury'!AA$159*'Statistics NZ'!AA$454/('Population Treasury'!Z$159*'Statistics NZ'!Z$454)</f>
        <v>37461.856441321361</v>
      </c>
      <c r="N109" s="46">
        <f>M$109*'Population Treasury'!AB$159*'Statistics NZ'!AB$454/('Population Treasury'!AA$159*'Statistics NZ'!AA$454)</f>
        <v>38850.696141305147</v>
      </c>
      <c r="O109" s="46">
        <f>N$109*'Population Treasury'!AC$159*'Statistics NZ'!AC$454/('Population Treasury'!AB$159*'Statistics NZ'!AB$454)</f>
        <v>39742.984376876972</v>
      </c>
      <c r="P109" s="46">
        <f>O$109*'Population Treasury'!AD$159*'Statistics NZ'!AD$454/('Population Treasury'!AC$159*'Statistics NZ'!AC$454)</f>
        <v>41552.456672917993</v>
      </c>
      <c r="Q109" s="46">
        <f>P$109*'Population Treasury'!AE$159*'Statistics NZ'!AE$454/('Population Treasury'!AD$159*'Statistics NZ'!AD$454)</f>
        <v>42482.472801178374</v>
      </c>
      <c r="R109" s="46">
        <f>Q$109*'Population Treasury'!AF$159*'Statistics NZ'!AF$454/('Population Treasury'!AE$159*'Statistics NZ'!AE$454)</f>
        <v>42592.024504315566</v>
      </c>
      <c r="S109" s="46">
        <f>R$109*'Population Treasury'!AG$159*'Statistics NZ'!AG$454/('Population Treasury'!AF$159*'Statistics NZ'!AF$454)</f>
        <v>41888.044173698967</v>
      </c>
      <c r="T109" s="46">
        <f>S$109*'Population Treasury'!AH$159*'Statistics NZ'!AH$454/('Population Treasury'!AG$159*'Statistics NZ'!AG$454)</f>
        <v>40703.459343131886</v>
      </c>
      <c r="U109" s="46">
        <f>T$109*'Population Treasury'!AI$159*'Statistics NZ'!AI$454/('Population Treasury'!AH$159*'Statistics NZ'!AH$454)</f>
        <v>40483.074187940467</v>
      </c>
    </row>
    <row r="110" spans="1:21" x14ac:dyDescent="0.25">
      <c r="A110" s="11">
        <f>$A$40</f>
        <v>45</v>
      </c>
      <c r="B110" s="44">
        <f>'Population Treasury'!P$160*'Statistics NZ'!P$455*'Economic Forecasts'!R$8/B$7</f>
        <v>27956.765254335929</v>
      </c>
      <c r="C110" s="44">
        <f>'Population Treasury'!Q$160*'Statistics NZ'!Q$455*'Economic Forecasts'!S$8/C$7</f>
        <v>27812.859443412901</v>
      </c>
      <c r="D110" s="44">
        <f>'Population Treasury'!R$160*'Statistics NZ'!R$455*'Economic Forecasts'!T$8/D$7</f>
        <v>28231.750579129133</v>
      </c>
      <c r="E110" s="45">
        <f>'Population Treasury'!S$160*'Statistics NZ'!S$455*'Economic Forecasts'!U$8/E$7</f>
        <v>28117.578879714772</v>
      </c>
      <c r="F110" s="45">
        <f>'Population Treasury'!T$160*'Statistics NZ'!T$455*'Economic Forecasts'!V$8/F$7</f>
        <v>29759.147027890289</v>
      </c>
      <c r="G110" s="45">
        <f>'Population Treasury'!U$160*'Statistics NZ'!U$455*'Economic Forecasts'!W$8/G$7</f>
        <v>30356.608815349446</v>
      </c>
      <c r="H110" s="45">
        <f>'Population Treasury'!V$160*'Statistics NZ'!V$455*'Economic Forecasts'!X$8/H$7</f>
        <v>31295.892947546934</v>
      </c>
      <c r="I110" s="45">
        <f>'Population Treasury'!W$160*'Statistics NZ'!W$455*'Economic Forecasts'!Y$8/I$7</f>
        <v>32215.526731706112</v>
      </c>
      <c r="J110" s="45">
        <f>'Population Treasury'!X$160*'Statistics NZ'!X$455*'Economic Forecasts'!Z$8/J$7</f>
        <v>33233.562601904174</v>
      </c>
      <c r="K110" s="45">
        <f>'Population Treasury'!Y$160*'Statistics NZ'!Y$455*'Economic Forecasts'!AA$8/K$7</f>
        <v>34116.642494086787</v>
      </c>
      <c r="L110" s="46">
        <f>K$110*'Population Treasury'!Z$160*'Statistics NZ'!Z$455/('Population Treasury'!Y$160*'Statistics NZ'!Y$455)</f>
        <v>34433.733928981652</v>
      </c>
      <c r="M110" s="46">
        <f>L$110*'Population Treasury'!AA$160*'Statistics NZ'!AA$455/('Population Treasury'!Z$160*'Statistics NZ'!Z$455)</f>
        <v>35577.231308980197</v>
      </c>
      <c r="N110" s="46">
        <f>M$110*'Population Treasury'!AB$160*'Statistics NZ'!AB$455/('Population Treasury'!AA$160*'Statistics NZ'!AA$455)</f>
        <v>37268.083569030598</v>
      </c>
      <c r="O110" s="46">
        <f>N$110*'Population Treasury'!AC$160*'Statistics NZ'!AC$455/('Population Treasury'!AB$160*'Statistics NZ'!AB$455)</f>
        <v>38582.634867937544</v>
      </c>
      <c r="P110" s="46">
        <f>O$110*'Population Treasury'!AD$160*'Statistics NZ'!AD$455/('Population Treasury'!AC$160*'Statistics NZ'!AC$455)</f>
        <v>39419.772159949956</v>
      </c>
      <c r="Q110" s="46">
        <f>P$110*'Population Treasury'!AE$160*'Statistics NZ'!AE$455/('Population Treasury'!AD$160*'Statistics NZ'!AD$455)</f>
        <v>41192.156460129096</v>
      </c>
      <c r="R110" s="46">
        <f>Q$110*'Population Treasury'!AF$160*'Statistics NZ'!AF$455/('Population Treasury'!AE$160*'Statistics NZ'!AE$455)</f>
        <v>42083.331952693181</v>
      </c>
      <c r="S110" s="46">
        <f>R$110*'Population Treasury'!AG$160*'Statistics NZ'!AG$455/('Population Treasury'!AF$160*'Statistics NZ'!AF$455)</f>
        <v>42142.382992186693</v>
      </c>
      <c r="T110" s="46">
        <f>S$110*'Population Treasury'!AH$160*'Statistics NZ'!AH$455/('Population Treasury'!AG$160*'Statistics NZ'!AG$455)</f>
        <v>41427.399109327089</v>
      </c>
      <c r="U110" s="46">
        <f>T$110*'Population Treasury'!AI$160*'Statistics NZ'!AI$455/('Population Treasury'!AH$160*'Statistics NZ'!AH$455)</f>
        <v>40238.889748101086</v>
      </c>
    </row>
    <row r="111" spans="1:21" x14ac:dyDescent="0.25">
      <c r="A111" s="11">
        <f>$A$41</f>
        <v>46</v>
      </c>
      <c r="B111" s="44">
        <f>'Population Treasury'!P$161*'Statistics NZ'!P$456*'Economic Forecasts'!R$8/B$7</f>
        <v>28759.426719922056</v>
      </c>
      <c r="C111" s="44">
        <f>'Population Treasury'!Q$161*'Statistics NZ'!Q$456*'Economic Forecasts'!S$8/C$7</f>
        <v>28259.283412671644</v>
      </c>
      <c r="D111" s="44">
        <f>'Population Treasury'!R$161*'Statistics NZ'!R$456*'Economic Forecasts'!T$8/D$7</f>
        <v>28050.069829190747</v>
      </c>
      <c r="E111" s="45">
        <f>'Population Treasury'!S$161*'Statistics NZ'!S$456*'Economic Forecasts'!U$8/E$7</f>
        <v>28464.883328741955</v>
      </c>
      <c r="F111" s="45">
        <f>'Population Treasury'!T$161*'Statistics NZ'!T$456*'Economic Forecasts'!V$8/F$7</f>
        <v>28656.228351506354</v>
      </c>
      <c r="G111" s="45">
        <f>'Population Treasury'!U$161*'Statistics NZ'!U$456*'Economic Forecasts'!W$8/G$7</f>
        <v>29676.415245308264</v>
      </c>
      <c r="H111" s="45">
        <f>'Population Treasury'!V$161*'Statistics NZ'!V$456*'Economic Forecasts'!X$8/H$7</f>
        <v>30519.086062789065</v>
      </c>
      <c r="I111" s="45">
        <f>'Population Treasury'!W$161*'Statistics NZ'!W$456*'Economic Forecasts'!Y$8/I$7</f>
        <v>31521.185119507478</v>
      </c>
      <c r="J111" s="45">
        <f>'Population Treasury'!X$161*'Statistics NZ'!X$456*'Economic Forecasts'!Z$8/J$7</f>
        <v>32425.844841732345</v>
      </c>
      <c r="K111" s="45">
        <f>'Population Treasury'!Y$161*'Statistics NZ'!Y$456*'Economic Forecasts'!AA$8/K$7</f>
        <v>33412.564599095313</v>
      </c>
      <c r="L111" s="46">
        <f>K$111*'Population Treasury'!Z$161*'Statistics NZ'!Z$456/('Population Treasury'!Y$161*'Statistics NZ'!Y$456)</f>
        <v>34131.35541957715</v>
      </c>
      <c r="M111" s="46">
        <f>L$111*'Population Treasury'!AA$161*'Statistics NZ'!AA$456/('Population Treasury'!Z$161*'Statistics NZ'!Z$456)</f>
        <v>34433.515438521456</v>
      </c>
      <c r="N111" s="46">
        <f>M$111*'Population Treasury'!AB$161*'Statistics NZ'!AB$456/('Population Treasury'!AA$161*'Statistics NZ'!AA$456)</f>
        <v>35571.460996290421</v>
      </c>
      <c r="O111" s="46">
        <f>N$111*'Population Treasury'!AC$161*'Statistics NZ'!AC$456/('Population Treasury'!AB$161*'Statistics NZ'!AB$456)</f>
        <v>37266.86115994725</v>
      </c>
      <c r="P111" s="46">
        <f>O$111*'Population Treasury'!AD$161*'Statistics NZ'!AD$456/('Population Treasury'!AC$161*'Statistics NZ'!AC$456)</f>
        <v>38555.885940575798</v>
      </c>
      <c r="Q111" s="46">
        <f>P$111*'Population Treasury'!AE$161*'Statistics NZ'!AE$456/('Population Treasury'!AD$161*'Statistics NZ'!AD$456)</f>
        <v>39387.952653120868</v>
      </c>
      <c r="R111" s="46">
        <f>Q$111*'Population Treasury'!AF$161*'Statistics NZ'!AF$456/('Population Treasury'!AE$161*'Statistics NZ'!AE$456)</f>
        <v>41155.181076291214</v>
      </c>
      <c r="S111" s="46">
        <f>R$111*'Population Treasury'!AG$161*'Statistics NZ'!AG$456/('Population Treasury'!AF$161*'Statistics NZ'!AF$456)</f>
        <v>42040.957534804533</v>
      </c>
      <c r="T111" s="46">
        <f>S$111*'Population Treasury'!AH$161*'Statistics NZ'!AH$456/('Population Treasury'!AG$161*'Statistics NZ'!AG$456)</f>
        <v>42094.837996686489</v>
      </c>
      <c r="U111" s="46">
        <f>T$111*'Population Treasury'!AI$161*'Statistics NZ'!AI$456/('Population Treasury'!AH$161*'Statistics NZ'!AH$456)</f>
        <v>41375.006882663802</v>
      </c>
    </row>
    <row r="112" spans="1:21" x14ac:dyDescent="0.25">
      <c r="A112" s="11">
        <f>$A$42</f>
        <v>47</v>
      </c>
      <c r="B112" s="44">
        <f>'Population Treasury'!P$162*'Statistics NZ'!P$457*'Economic Forecasts'!R$8/B$7</f>
        <v>29780.174208445143</v>
      </c>
      <c r="C112" s="44">
        <f>'Population Treasury'!Q$162*'Statistics NZ'!Q$457*'Economic Forecasts'!S$8/C$7</f>
        <v>29016.234659775771</v>
      </c>
      <c r="D112" s="44">
        <f>'Population Treasury'!R$162*'Statistics NZ'!R$457*'Economic Forecasts'!T$8/D$7</f>
        <v>28501.744223704402</v>
      </c>
      <c r="E112" s="45">
        <f>'Population Treasury'!S$162*'Statistics NZ'!S$457*'Economic Forecasts'!U$8/E$7</f>
        <v>28244.87266226031</v>
      </c>
      <c r="F112" s="45">
        <f>'Population Treasury'!T$162*'Statistics NZ'!T$457*'Economic Forecasts'!V$8/F$7</f>
        <v>28983.23151977771</v>
      </c>
      <c r="G112" s="45">
        <f>'Population Treasury'!U$162*'Statistics NZ'!U$457*'Economic Forecasts'!W$8/G$7</f>
        <v>28537.25263204725</v>
      </c>
      <c r="H112" s="45">
        <f>'Population Treasury'!V$162*'Statistics NZ'!V$457*'Economic Forecasts'!X$8/H$7</f>
        <v>29812.647198185576</v>
      </c>
      <c r="I112" s="45">
        <f>'Population Treasury'!W$162*'Statistics NZ'!W$457*'Economic Forecasts'!Y$8/I$7</f>
        <v>30736.414229092465</v>
      </c>
      <c r="J112" s="45">
        <f>'Population Treasury'!X$162*'Statistics NZ'!X$457*'Economic Forecasts'!Z$8/J$7</f>
        <v>31704.990482228572</v>
      </c>
      <c r="K112" s="45">
        <f>'Population Treasury'!Y$162*'Statistics NZ'!Y$457*'Economic Forecasts'!AA$8/K$7</f>
        <v>32558.103851999418</v>
      </c>
      <c r="L112" s="46">
        <f>K$112*'Population Treasury'!Z$162*'Statistics NZ'!Z$457/('Population Treasury'!Y$162*'Statistics NZ'!Y$457)</f>
        <v>33394.12440272513</v>
      </c>
      <c r="M112" s="46">
        <f>L$112*'Population Treasury'!AA$162*'Statistics NZ'!AA$457/('Population Treasury'!Z$162*'Statistics NZ'!Z$457)</f>
        <v>34096.943482755727</v>
      </c>
      <c r="N112" s="46">
        <f>M$112*'Population Treasury'!AB$162*'Statistics NZ'!AB$457/('Population Treasury'!AA$162*'Statistics NZ'!AA$457)</f>
        <v>34403.645753704281</v>
      </c>
      <c r="O112" s="46">
        <f>N$112*'Population Treasury'!AC$162*'Statistics NZ'!AC$457/('Population Treasury'!AB$162*'Statistics NZ'!AB$457)</f>
        <v>35536.09837403032</v>
      </c>
      <c r="P112" s="46">
        <f>O$112*'Population Treasury'!AD$162*'Statistics NZ'!AD$457/('Population Treasury'!AC$162*'Statistics NZ'!AC$457)</f>
        <v>37215.788678783123</v>
      </c>
      <c r="Q112" s="46">
        <f>P$112*'Population Treasury'!AE$162*'Statistics NZ'!AE$457/('Population Treasury'!AD$162*'Statistics NZ'!AD$457)</f>
        <v>38510.063080177089</v>
      </c>
      <c r="R112" s="46">
        <f>Q$112*'Population Treasury'!AF$162*'Statistics NZ'!AF$457/('Population Treasury'!AE$162*'Statistics NZ'!AE$457)</f>
        <v>39337.040631203177</v>
      </c>
      <c r="S112" s="46">
        <f>R$112*'Population Treasury'!AG$162*'Statistics NZ'!AG$457/('Population Treasury'!AF$162*'Statistics NZ'!AF$457)</f>
        <v>41088.682110837355</v>
      </c>
      <c r="T112" s="46">
        <f>S$112*'Population Treasury'!AH$162*'Statistics NZ'!AH$457/('Population Treasury'!AG$162*'Statistics NZ'!AG$457)</f>
        <v>41958.617355100359</v>
      </c>
      <c r="U112" s="46">
        <f>T$112*'Population Treasury'!AI$162*'Statistics NZ'!AI$457/('Population Treasury'!AH$162*'Statistics NZ'!AH$457)</f>
        <v>42017.794677210884</v>
      </c>
    </row>
    <row r="113" spans="1:21" x14ac:dyDescent="0.25">
      <c r="A113" s="11">
        <f>$A$43</f>
        <v>48</v>
      </c>
      <c r="B113" s="44">
        <f>'Population Treasury'!P$163*'Statistics NZ'!P$458*'Economic Forecasts'!R$8/B$7</f>
        <v>30543.012902281669</v>
      </c>
      <c r="C113" s="44">
        <f>'Population Treasury'!Q$163*'Statistics NZ'!Q$458*'Economic Forecasts'!S$8/C$7</f>
        <v>30112.133076990678</v>
      </c>
      <c r="D113" s="44">
        <f>'Population Treasury'!R$163*'Statistics NZ'!R$458*'Economic Forecasts'!T$8/D$7</f>
        <v>29276.569660823334</v>
      </c>
      <c r="E113" s="45">
        <f>'Population Treasury'!S$163*'Statistics NZ'!S$458*'Economic Forecasts'!U$8/E$7</f>
        <v>28676.619982578217</v>
      </c>
      <c r="F113" s="45">
        <f>'Population Treasury'!T$163*'Statistics NZ'!T$458*'Economic Forecasts'!V$8/F$7</f>
        <v>28745.150418939564</v>
      </c>
      <c r="G113" s="45">
        <f>'Population Treasury'!U$163*'Statistics NZ'!U$458*'Economic Forecasts'!W$8/G$7</f>
        <v>28834.931713599613</v>
      </c>
      <c r="H113" s="45">
        <f>'Population Treasury'!V$163*'Statistics NZ'!V$458*'Economic Forecasts'!X$8/H$7</f>
        <v>28645.340669118734</v>
      </c>
      <c r="I113" s="45">
        <f>'Population Treasury'!W$163*'Statistics NZ'!W$458*'Economic Forecasts'!Y$8/I$7</f>
        <v>29983.018387336269</v>
      </c>
      <c r="J113" s="45">
        <f>'Population Treasury'!X$163*'Statistics NZ'!X$458*'Economic Forecasts'!Z$8/J$7</f>
        <v>30873.245844169833</v>
      </c>
      <c r="K113" s="45">
        <f>'Population Treasury'!Y$163*'Statistics NZ'!Y$458*'Economic Forecasts'!AA$8/K$7</f>
        <v>31811.205462486079</v>
      </c>
      <c r="L113" s="46">
        <f>K$113*'Population Treasury'!Z$163*'Statistics NZ'!Z$458/('Population Treasury'!Y$163*'Statistics NZ'!Y$458)</f>
        <v>32519.171337983556</v>
      </c>
      <c r="M113" s="46">
        <f>L$113*'Population Treasury'!AA$163*'Statistics NZ'!AA$458/('Population Treasury'!Z$163*'Statistics NZ'!Z$458)</f>
        <v>33329.963495458243</v>
      </c>
      <c r="N113" s="46">
        <f>M$113*'Population Treasury'!AB$163*'Statistics NZ'!AB$458/('Population Treasury'!AA$163*'Statistics NZ'!AA$458)</f>
        <v>34037.698412158963</v>
      </c>
      <c r="O113" s="46">
        <f>N$113*'Population Treasury'!AC$163*'Statistics NZ'!AC$458/('Population Treasury'!AB$163*'Statistics NZ'!AB$458)</f>
        <v>34348.967595288654</v>
      </c>
      <c r="P113" s="46">
        <f>O$113*'Population Treasury'!AD$163*'Statistics NZ'!AD$458/('Population Treasury'!AC$163*'Statistics NZ'!AC$458)</f>
        <v>35455.674307332658</v>
      </c>
      <c r="Q113" s="46">
        <f>P$113*'Population Treasury'!AE$163*'Statistics NZ'!AE$458/('Population Treasury'!AD$163*'Statistics NZ'!AD$458)</f>
        <v>37130.179292502355</v>
      </c>
      <c r="R113" s="46">
        <f>Q$113*'Population Treasury'!AF$163*'Statistics NZ'!AF$458/('Population Treasury'!AE$163*'Statistics NZ'!AE$458)</f>
        <v>38408.736027384599</v>
      </c>
      <c r="S113" s="46">
        <f>R$113*'Population Treasury'!AG$163*'Statistics NZ'!AG$458/('Population Treasury'!AF$163*'Statistics NZ'!AF$458)</f>
        <v>39230.730153539283</v>
      </c>
      <c r="T113" s="46">
        <f>S$113*'Population Treasury'!AH$163*'Statistics NZ'!AH$458/('Population Treasury'!AG$163*'Statistics NZ'!AG$458)</f>
        <v>40977.209999353443</v>
      </c>
      <c r="U113" s="46">
        <f>T$113*'Population Treasury'!AI$163*'Statistics NZ'!AI$458/('Population Treasury'!AH$163*'Statistics NZ'!AH$458)</f>
        <v>41841.763649328568</v>
      </c>
    </row>
    <row r="114" spans="1:21" x14ac:dyDescent="0.25">
      <c r="A114" s="11">
        <f>$A$44</f>
        <v>49</v>
      </c>
      <c r="B114" s="44">
        <f>'Population Treasury'!P$164*'Statistics NZ'!P$459*'Economic Forecasts'!R$8/B$7</f>
        <v>30378.866168445085</v>
      </c>
      <c r="C114" s="44">
        <f>'Population Treasury'!Q$164*'Statistics NZ'!Q$459*'Economic Forecasts'!S$8/C$7</f>
        <v>30819.000442360943</v>
      </c>
      <c r="D114" s="44">
        <f>'Population Treasury'!R$164*'Statistics NZ'!R$459*'Economic Forecasts'!T$8/D$7</f>
        <v>30357.910071578237</v>
      </c>
      <c r="E114" s="45">
        <f>'Population Treasury'!S$164*'Statistics NZ'!S$459*'Economic Forecasts'!U$8/E$7</f>
        <v>29441.061207016632</v>
      </c>
      <c r="F114" s="45">
        <f>'Population Treasury'!T$164*'Statistics NZ'!T$459*'Economic Forecasts'!V$8/F$7</f>
        <v>29159.250918466252</v>
      </c>
      <c r="G114" s="45">
        <f>'Population Treasury'!U$164*'Statistics NZ'!U$459*'Economic Forecasts'!W$8/G$7</f>
        <v>28574.432580856443</v>
      </c>
      <c r="H114" s="45">
        <f>'Population Treasury'!V$164*'Statistics NZ'!V$459*'Economic Forecasts'!X$8/H$7</f>
        <v>28912.790377665791</v>
      </c>
      <c r="I114" s="45">
        <f>'Population Treasury'!W$164*'Statistics NZ'!W$459*'Economic Forecasts'!Y$8/I$7</f>
        <v>28765.069485117099</v>
      </c>
      <c r="J114" s="45">
        <f>'Population Treasury'!X$164*'Statistics NZ'!X$459*'Economic Forecasts'!Z$8/J$7</f>
        <v>30082.576788509898</v>
      </c>
      <c r="K114" s="45">
        <f>'Population Treasury'!Y$164*'Statistics NZ'!Y$459*'Economic Forecasts'!AA$8/K$7</f>
        <v>30942.608857322553</v>
      </c>
      <c r="L114" s="46">
        <f>K$114*'Population Treasury'!Z$164*'Statistics NZ'!Z$459/('Population Treasury'!Y$164*'Statistics NZ'!Y$459)</f>
        <v>31729.017256296022</v>
      </c>
      <c r="M114" s="46">
        <f>L$114*'Population Treasury'!AA$164*'Statistics NZ'!AA$459/('Population Treasury'!Z$164*'Statistics NZ'!Z$459)</f>
        <v>32431.852565020537</v>
      </c>
      <c r="N114" s="46">
        <f>M$114*'Population Treasury'!AB$164*'Statistics NZ'!AB$459/('Population Treasury'!AA$164*'Statistics NZ'!AA$459)</f>
        <v>33247.229231977813</v>
      </c>
      <c r="O114" s="46">
        <f>N$114*'Population Treasury'!AC$164*'Statistics NZ'!AC$459/('Population Treasury'!AB$164*'Statistics NZ'!AB$459)</f>
        <v>33939.033790772693</v>
      </c>
      <c r="P114" s="46">
        <f>O$114*'Population Treasury'!AD$164*'Statistics NZ'!AD$459/('Population Treasury'!AC$164*'Statistics NZ'!AC$459)</f>
        <v>34245.135563706979</v>
      </c>
      <c r="Q114" s="46">
        <f>P$114*'Population Treasury'!AE$164*'Statistics NZ'!AE$459/('Population Treasury'!AD$164*'Statistics NZ'!AD$459)</f>
        <v>35346.360518283327</v>
      </c>
      <c r="R114" s="46">
        <f>Q$114*'Population Treasury'!AF$164*'Statistics NZ'!AF$459/('Population Treasury'!AE$164*'Statistics NZ'!AE$459)</f>
        <v>37005.958975556649</v>
      </c>
      <c r="S114" s="46">
        <f>R$114*'Population Treasury'!AG$164*'Statistics NZ'!AG$459/('Population Treasury'!AF$164*'Statistics NZ'!AF$459)</f>
        <v>38279.302101014488</v>
      </c>
      <c r="T114" s="46">
        <f>S$114*'Population Treasury'!AH$164*'Statistics NZ'!AH$459/('Population Treasury'!AG$164*'Statistics NZ'!AG$459)</f>
        <v>39096.253182319633</v>
      </c>
      <c r="U114" s="46">
        <f>T$114*'Population Treasury'!AI$164*'Statistics NZ'!AI$459/('Population Treasury'!AH$164*'Statistics NZ'!AH$459)</f>
        <v>40836.914438869608</v>
      </c>
    </row>
    <row r="115" spans="1:21" x14ac:dyDescent="0.25">
      <c r="A115" s="11">
        <f>$A$45</f>
        <v>50</v>
      </c>
      <c r="B115" s="44">
        <f>'Population Treasury'!P$165*'Statistics NZ'!P$460*'Economic Forecasts'!R$8/B$7</f>
        <v>29663.756822456733</v>
      </c>
      <c r="C115" s="44">
        <f>'Population Treasury'!Q$165*'Statistics NZ'!Q$460*'Economic Forecasts'!S$8/C$7</f>
        <v>30688.942800477776</v>
      </c>
      <c r="D115" s="44">
        <f>'Population Treasury'!R$165*'Statistics NZ'!R$460*'Economic Forecasts'!T$8/D$7</f>
        <v>31072.623382207883</v>
      </c>
      <c r="E115" s="45">
        <f>'Population Treasury'!S$165*'Statistics NZ'!S$460*'Economic Forecasts'!U$8/E$7</f>
        <v>30213.249592616041</v>
      </c>
      <c r="F115" s="45">
        <f>'Population Treasury'!T$165*'Statistics NZ'!T$460*'Economic Forecasts'!V$8/F$7</f>
        <v>29751.567964596801</v>
      </c>
      <c r="G115" s="45">
        <f>'Population Treasury'!U$165*'Statistics NZ'!U$460*'Economic Forecasts'!W$8/G$7</f>
        <v>28925.804947534147</v>
      </c>
      <c r="H115" s="45">
        <f>'Population Treasury'!V$165*'Statistics NZ'!V$460*'Economic Forecasts'!X$8/H$7</f>
        <v>28575.64606523592</v>
      </c>
      <c r="I115" s="45">
        <f>'Population Treasury'!W$165*'Statistics NZ'!W$460*'Economic Forecasts'!Y$8/I$7</f>
        <v>28974.874311202166</v>
      </c>
      <c r="J115" s="45">
        <f>'Population Treasury'!X$165*'Statistics NZ'!X$460*'Economic Forecasts'!Z$8/J$7</f>
        <v>28804.69390313105</v>
      </c>
      <c r="K115" s="45">
        <f>'Population Treasury'!Y$165*'Statistics NZ'!Y$460*'Economic Forecasts'!AA$8/K$7</f>
        <v>30095.181399362828</v>
      </c>
      <c r="L115" s="46">
        <f>K$115*'Population Treasury'!Z$165*'Statistics NZ'!Z$460/('Population Treasury'!Y$165*'Statistics NZ'!Y$460)</f>
        <v>30763.842248598048</v>
      </c>
      <c r="M115" s="46">
        <f>L$115*'Population Treasury'!AA$165*'Statistics NZ'!AA$460/('Population Treasury'!Z$165*'Statistics NZ'!Z$460)</f>
        <v>31513.141290363303</v>
      </c>
      <c r="N115" s="46">
        <f>M$115*'Population Treasury'!AB$165*'Statistics NZ'!AB$460/('Population Treasury'!AA$165*'Statistics NZ'!AA$460)</f>
        <v>32183.155420959065</v>
      </c>
      <c r="O115" s="46">
        <f>N$115*'Population Treasury'!AC$165*'Statistics NZ'!AC$460/('Population Treasury'!AB$165*'Statistics NZ'!AB$460)</f>
        <v>32969.708071442132</v>
      </c>
      <c r="P115" s="46">
        <f>O$115*'Population Treasury'!AD$165*'Statistics NZ'!AD$460/('Population Treasury'!AC$165*'Statistics NZ'!AC$460)</f>
        <v>33636.217331952794</v>
      </c>
      <c r="Q115" s="46">
        <f>P$115*'Population Treasury'!AE$165*'Statistics NZ'!AE$460/('Population Treasury'!AD$165*'Statistics NZ'!AD$460)</f>
        <v>33922.041754505095</v>
      </c>
      <c r="R115" s="46">
        <f>Q$115*'Population Treasury'!AF$165*'Statistics NZ'!AF$460/('Population Treasury'!AE$165*'Statistics NZ'!AE$460)</f>
        <v>34995.492112039909</v>
      </c>
      <c r="S115" s="46">
        <f>R$115*'Population Treasury'!AG$165*'Statistics NZ'!AG$460/('Population Treasury'!AF$165*'Statistics NZ'!AF$460)</f>
        <v>36651.7260901482</v>
      </c>
      <c r="T115" s="46">
        <f>S$115*'Population Treasury'!AH$165*'Statistics NZ'!AH$460/('Population Treasury'!AG$165*'Statistics NZ'!AG$460)</f>
        <v>37915.132447548349</v>
      </c>
      <c r="U115" s="46">
        <f>T$115*'Population Treasury'!AI$165*'Statistics NZ'!AI$460/('Population Treasury'!AH$165*'Statistics NZ'!AH$460)</f>
        <v>38727.035054980071</v>
      </c>
    </row>
    <row r="116" spans="1:21" x14ac:dyDescent="0.25">
      <c r="A116" s="11">
        <f>$A$46</f>
        <v>51</v>
      </c>
      <c r="B116" s="44">
        <f>'Population Treasury'!P$166*'Statistics NZ'!P$461*'Economic Forecasts'!R$8/B$7</f>
        <v>29521.641456597994</v>
      </c>
      <c r="C116" s="44">
        <f>'Population Treasury'!Q$166*'Statistics NZ'!Q$461*'Economic Forecasts'!S$8/C$7</f>
        <v>29891.412370952854</v>
      </c>
      <c r="D116" s="44">
        <f>'Population Treasury'!R$166*'Statistics NZ'!R$461*'Economic Forecasts'!T$8/D$7</f>
        <v>30911.678751995012</v>
      </c>
      <c r="E116" s="45">
        <f>'Population Treasury'!S$166*'Statistics NZ'!S$461*'Economic Forecasts'!U$8/E$7</f>
        <v>30917.219909806277</v>
      </c>
      <c r="F116" s="45">
        <f>'Population Treasury'!T$166*'Statistics NZ'!T$461*'Economic Forecasts'!V$8/F$7</f>
        <v>30844.160978559041</v>
      </c>
      <c r="G116" s="45">
        <f>'Population Treasury'!U$166*'Statistics NZ'!U$461*'Economic Forecasts'!W$8/G$7</f>
        <v>29675.617431258299</v>
      </c>
      <c r="H116" s="45">
        <f>'Population Treasury'!V$166*'Statistics NZ'!V$461*'Economic Forecasts'!X$8/H$7</f>
        <v>28952.302023133801</v>
      </c>
      <c r="I116" s="45">
        <f>'Population Treasury'!W$166*'Statistics NZ'!W$461*'Economic Forecasts'!Y$8/I$7</f>
        <v>28658.756438332282</v>
      </c>
      <c r="J116" s="45">
        <f>'Population Treasury'!X$166*'Statistics NZ'!X$461*'Economic Forecasts'!Z$8/J$7</f>
        <v>29023.832239125157</v>
      </c>
      <c r="K116" s="45">
        <f>'Population Treasury'!Y$166*'Statistics NZ'!Y$461*'Economic Forecasts'!AA$8/K$7</f>
        <v>28818.790329780579</v>
      </c>
      <c r="L116" s="46">
        <f>K$116*'Population Treasury'!Z$166*'Statistics NZ'!Z$461/('Population Treasury'!Y$166*'Statistics NZ'!Y$461)</f>
        <v>29928.550153037264</v>
      </c>
      <c r="M116" s="46">
        <f>L$116*'Population Treasury'!AA$166*'Statistics NZ'!AA$461/('Population Treasury'!Z$166*'Statistics NZ'!Z$461)</f>
        <v>30605.687808411269</v>
      </c>
      <c r="N116" s="46">
        <f>M$116*'Population Treasury'!AB$166*'Statistics NZ'!AB$461/('Population Treasury'!AA$166*'Statistics NZ'!AA$461)</f>
        <v>31353.593070350271</v>
      </c>
      <c r="O116" s="46">
        <f>N$116*'Population Treasury'!AC$166*'Statistics NZ'!AC$461/('Population Treasury'!AB$166*'Statistics NZ'!AB$461)</f>
        <v>32012.839031598498</v>
      </c>
      <c r="P116" s="46">
        <f>O$116*'Population Treasury'!AD$166*'Statistics NZ'!AD$461/('Population Treasury'!AC$166*'Statistics NZ'!AC$461)</f>
        <v>32797.542166375228</v>
      </c>
      <c r="Q116" s="46">
        <f>P$116*'Population Treasury'!AE$166*'Statistics NZ'!AE$461/('Population Treasury'!AD$166*'Statistics NZ'!AD$461)</f>
        <v>33463.330616491548</v>
      </c>
      <c r="R116" s="46">
        <f>Q$116*'Population Treasury'!AF$166*'Statistics NZ'!AF$461/('Population Treasury'!AE$166*'Statistics NZ'!AE$461)</f>
        <v>33737.602640512807</v>
      </c>
      <c r="S116" s="46">
        <f>R$116*'Population Treasury'!AG$166*'Statistics NZ'!AG$461/('Population Treasury'!AF$166*'Statistics NZ'!AF$461)</f>
        <v>34819.961318278547</v>
      </c>
      <c r="T116" s="46">
        <f>S$116*'Population Treasury'!AH$166*'Statistics NZ'!AH$461/('Population Treasury'!AG$166*'Statistics NZ'!AG$461)</f>
        <v>36454.069498934376</v>
      </c>
      <c r="U116" s="46">
        <f>T$116*'Population Treasury'!AI$166*'Statistics NZ'!AI$461/('Population Treasury'!AH$166*'Statistics NZ'!AH$461)</f>
        <v>37726.66505697379</v>
      </c>
    </row>
    <row r="117" spans="1:21" x14ac:dyDescent="0.25">
      <c r="A117" s="11">
        <f>$A$47</f>
        <v>52</v>
      </c>
      <c r="B117" s="44">
        <f>'Population Treasury'!P$167*'Statistics NZ'!P$462*'Economic Forecasts'!R$8/B$7</f>
        <v>28685.985729182892</v>
      </c>
      <c r="C117" s="44">
        <f>'Population Treasury'!Q$167*'Statistics NZ'!Q$462*'Economic Forecasts'!S$8/C$7</f>
        <v>29765.107768424619</v>
      </c>
      <c r="D117" s="44">
        <f>'Population Treasury'!R$167*'Statistics NZ'!R$462*'Economic Forecasts'!T$8/D$7</f>
        <v>30102.689446031796</v>
      </c>
      <c r="E117" s="45">
        <f>'Population Treasury'!S$167*'Statistics NZ'!S$462*'Economic Forecasts'!U$8/E$7</f>
        <v>30745.632382712796</v>
      </c>
      <c r="F117" s="45">
        <f>'Population Treasury'!T$167*'Statistics NZ'!T$462*'Economic Forecasts'!V$8/F$7</f>
        <v>31558.437469089567</v>
      </c>
      <c r="G117" s="45">
        <f>'Population Treasury'!U$167*'Statistics NZ'!U$462*'Economic Forecasts'!W$8/G$7</f>
        <v>30742.642856040413</v>
      </c>
      <c r="H117" s="45">
        <f>'Population Treasury'!V$167*'Statistics NZ'!V$462*'Economic Forecasts'!X$8/H$7</f>
        <v>29696.293889608722</v>
      </c>
      <c r="I117" s="45">
        <f>'Population Treasury'!W$167*'Statistics NZ'!W$462*'Economic Forecasts'!Y$8/I$7</f>
        <v>29027.873428543106</v>
      </c>
      <c r="J117" s="45">
        <f>'Population Treasury'!X$167*'Statistics NZ'!X$462*'Economic Forecasts'!Z$8/J$7</f>
        <v>28694.85471058813</v>
      </c>
      <c r="K117" s="45">
        <f>'Population Treasury'!Y$167*'Statistics NZ'!Y$462*'Economic Forecasts'!AA$8/K$7</f>
        <v>29038.324217704714</v>
      </c>
      <c r="L117" s="46">
        <f>K$117*'Population Treasury'!Z$167*'Statistics NZ'!Z$462/('Population Treasury'!Y$167*'Statistics NZ'!Y$462)</f>
        <v>28696.85255883713</v>
      </c>
      <c r="M117" s="46">
        <f>L$117*'Population Treasury'!AA$167*'Statistics NZ'!AA$462/('Population Treasury'!Z$167*'Statistics NZ'!Z$462)</f>
        <v>29785.116946008089</v>
      </c>
      <c r="N117" s="46">
        <f>M$117*'Population Treasury'!AB$167*'Statistics NZ'!AB$462/('Population Treasury'!AA$167*'Statistics NZ'!AA$462)</f>
        <v>30451.423942910133</v>
      </c>
      <c r="O117" s="46">
        <f>N$117*'Population Treasury'!AC$167*'Statistics NZ'!AC$462/('Population Treasury'!AB$167*'Statistics NZ'!AB$462)</f>
        <v>31197.909334096785</v>
      </c>
      <c r="P117" s="46">
        <f>O$117*'Population Treasury'!AD$167*'Statistics NZ'!AD$462/('Population Treasury'!AC$167*'Statistics NZ'!AC$462)</f>
        <v>31865.710111592834</v>
      </c>
      <c r="Q117" s="46">
        <f>P$117*'Population Treasury'!AE$167*'Statistics NZ'!AE$462/('Population Treasury'!AD$167*'Statistics NZ'!AD$462)</f>
        <v>32639.722769630371</v>
      </c>
      <c r="R117" s="46">
        <f>Q$117*'Population Treasury'!AF$167*'Statistics NZ'!AF$462/('Population Treasury'!AE$167*'Statistics NZ'!AE$462)</f>
        <v>33303.205148644294</v>
      </c>
      <c r="S117" s="46">
        <f>R$117*'Population Treasury'!AG$167*'Statistics NZ'!AG$462/('Population Treasury'!AF$167*'Statistics NZ'!AF$462)</f>
        <v>33576.344662580537</v>
      </c>
      <c r="T117" s="46">
        <f>S$117*'Population Treasury'!AH$167*'Statistics NZ'!AH$462/('Population Treasury'!AG$167*'Statistics NZ'!AG$462)</f>
        <v>34657.197847349933</v>
      </c>
      <c r="U117" s="46">
        <f>T$117*'Population Treasury'!AI$167*'Statistics NZ'!AI$462/('Population Treasury'!AH$167*'Statistics NZ'!AH$462)</f>
        <v>36290.11674224124</v>
      </c>
    </row>
    <row r="118" spans="1:21" x14ac:dyDescent="0.25">
      <c r="A118" s="11">
        <f>$A$48</f>
        <v>53</v>
      </c>
      <c r="B118" s="44">
        <f>'Population Treasury'!P$168*'Statistics NZ'!P$463*'Economic Forecasts'!R$8/B$7</f>
        <v>27961.19490700699</v>
      </c>
      <c r="C118" s="44">
        <f>'Population Treasury'!Q$168*'Statistics NZ'!Q$463*'Economic Forecasts'!S$8/C$7</f>
        <v>28860.556395421856</v>
      </c>
      <c r="D118" s="44">
        <f>'Population Treasury'!R$168*'Statistics NZ'!R$463*'Economic Forecasts'!T$8/D$7</f>
        <v>29905.736478747222</v>
      </c>
      <c r="E118" s="45">
        <f>'Population Treasury'!S$168*'Statistics NZ'!S$463*'Economic Forecasts'!U$8/E$7</f>
        <v>29905.139820415669</v>
      </c>
      <c r="F118" s="45">
        <f>'Population Treasury'!T$168*'Statistics NZ'!T$463*'Economic Forecasts'!V$8/F$7</f>
        <v>31330.902827571557</v>
      </c>
      <c r="G118" s="45">
        <f>'Population Treasury'!U$168*'Statistics NZ'!U$463*'Economic Forecasts'!W$8/G$7</f>
        <v>31409.502542136277</v>
      </c>
      <c r="H118" s="45">
        <f>'Population Treasury'!V$168*'Statistics NZ'!V$463*'Economic Forecasts'!X$8/H$7</f>
        <v>30709.274144329545</v>
      </c>
      <c r="I118" s="45">
        <f>'Population Treasury'!W$168*'Statistics NZ'!W$463*'Economic Forecasts'!Y$8/I$7</f>
        <v>29726.142471881776</v>
      </c>
      <c r="J118" s="45">
        <f>'Population Treasury'!X$168*'Statistics NZ'!X$463*'Economic Forecasts'!Z$8/J$7</f>
        <v>29014.543100579769</v>
      </c>
      <c r="K118" s="45">
        <f>'Population Treasury'!Y$168*'Statistics NZ'!Y$463*'Economic Forecasts'!AA$8/K$7</f>
        <v>28665.489003074119</v>
      </c>
      <c r="L118" s="46">
        <f>K$118*'Population Treasury'!Z$168*'Statistics NZ'!Z$463/('Population Treasury'!Y$168*'Statistics NZ'!Y$463)</f>
        <v>28844.86488313962</v>
      </c>
      <c r="M118" s="46">
        <f>L$118*'Population Treasury'!AA$168*'Statistics NZ'!AA$463/('Population Treasury'!Z$168*'Statistics NZ'!Z$463)</f>
        <v>28483.017254215032</v>
      </c>
      <c r="N118" s="46">
        <f>M$118*'Population Treasury'!AB$168*'Statistics NZ'!AB$463/('Population Treasury'!AA$168*'Statistics NZ'!AA$463)</f>
        <v>29579.45291892553</v>
      </c>
      <c r="O118" s="46">
        <f>N$118*'Population Treasury'!AC$168*'Statistics NZ'!AC$463/('Population Treasury'!AB$168*'Statistics NZ'!AB$463)</f>
        <v>30243.899807508067</v>
      </c>
      <c r="P118" s="46">
        <f>O$118*'Population Treasury'!AD$168*'Statistics NZ'!AD$463/('Population Treasury'!AC$168*'Statistics NZ'!AC$463)</f>
        <v>30988.822928037796</v>
      </c>
      <c r="Q118" s="46">
        <f>P$118*'Population Treasury'!AE$168*'Statistics NZ'!AE$463/('Population Treasury'!AD$168*'Statistics NZ'!AD$463)</f>
        <v>31646.087365332518</v>
      </c>
      <c r="R118" s="46">
        <f>Q$118*'Population Treasury'!AF$168*'Statistics NZ'!AF$463/('Population Treasury'!AE$168*'Statistics NZ'!AE$463)</f>
        <v>32408.899067993392</v>
      </c>
      <c r="S118" s="46">
        <f>R$118*'Population Treasury'!AG$168*'Statistics NZ'!AG$463/('Population Treasury'!AF$168*'Statistics NZ'!AF$463)</f>
        <v>33070.58240913591</v>
      </c>
      <c r="T118" s="46">
        <f>S$118*'Population Treasury'!AH$168*'Statistics NZ'!AH$463/('Population Treasury'!AG$168*'Statistics NZ'!AG$463)</f>
        <v>33362.831541134532</v>
      </c>
      <c r="U118" s="46">
        <f>T$118*'Population Treasury'!AI$168*'Statistics NZ'!AI$463/('Population Treasury'!AH$168*'Statistics NZ'!AH$463)</f>
        <v>34421.840411508645</v>
      </c>
    </row>
    <row r="119" spans="1:21" x14ac:dyDescent="0.25">
      <c r="A119" s="11">
        <f>$A$49</f>
        <v>54</v>
      </c>
      <c r="B119" s="44">
        <f>'Population Treasury'!P$169*'Statistics NZ'!P$464*'Economic Forecasts'!R$8/B$7</f>
        <v>27726.628517446487</v>
      </c>
      <c r="C119" s="44">
        <f>'Population Treasury'!Q$169*'Statistics NZ'!Q$464*'Economic Forecasts'!S$8/C$7</f>
        <v>28089.342579224183</v>
      </c>
      <c r="D119" s="44">
        <f>'Population Treasury'!R$169*'Statistics NZ'!R$464*'Economic Forecasts'!T$8/D$7</f>
        <v>28980.282302287433</v>
      </c>
      <c r="E119" s="45">
        <f>'Population Treasury'!S$169*'Statistics NZ'!S$464*'Economic Forecasts'!U$8/E$7</f>
        <v>29706.488799632782</v>
      </c>
      <c r="F119" s="45">
        <f>'Population Treasury'!T$169*'Statistics NZ'!T$464*'Economic Forecasts'!V$8/F$7</f>
        <v>30475.946235534342</v>
      </c>
      <c r="G119" s="45">
        <f>'Population Treasury'!U$169*'Statistics NZ'!U$464*'Economic Forecasts'!W$8/G$7</f>
        <v>31201.611166331746</v>
      </c>
      <c r="H119" s="45">
        <f>'Population Treasury'!V$169*'Statistics NZ'!V$464*'Economic Forecasts'!X$8/H$7</f>
        <v>31390.675924731047</v>
      </c>
      <c r="I119" s="45">
        <f>'Population Treasury'!W$169*'Statistics NZ'!W$464*'Economic Forecasts'!Y$8/I$7</f>
        <v>30757.404530374639</v>
      </c>
      <c r="J119" s="45">
        <f>'Population Treasury'!X$169*'Statistics NZ'!X$464*'Economic Forecasts'!Z$8/J$7</f>
        <v>29738.599125761772</v>
      </c>
      <c r="K119" s="45">
        <f>'Population Treasury'!Y$169*'Statistics NZ'!Y$464*'Economic Forecasts'!AA$8/K$7</f>
        <v>29018.42967275011</v>
      </c>
      <c r="L119" s="46">
        <f>K$119*'Population Treasury'!Z$169*'Statistics NZ'!Z$464/('Population Treasury'!Y$169*'Statistics NZ'!Y$464)</f>
        <v>28515.398765469989</v>
      </c>
      <c r="M119" s="46">
        <f>L$119*'Population Treasury'!AA$169*'Statistics NZ'!AA$464/('Population Treasury'!Z$169*'Statistics NZ'!Z$464)</f>
        <v>28683.874381085832</v>
      </c>
      <c r="N119" s="46">
        <f>M$119*'Population Treasury'!AB$169*'Statistics NZ'!AB$464/('Population Treasury'!AA$169*'Statistics NZ'!AA$464)</f>
        <v>28340.990989472324</v>
      </c>
      <c r="O119" s="46">
        <f>N$119*'Population Treasury'!AC$169*'Statistics NZ'!AC$464/('Population Treasury'!AB$169*'Statistics NZ'!AB$464)</f>
        <v>29436.03846942183</v>
      </c>
      <c r="P119" s="46">
        <f>O$119*'Population Treasury'!AD$169*'Statistics NZ'!AD$464/('Population Treasury'!AC$169*'Statistics NZ'!AC$464)</f>
        <v>30100.155579523005</v>
      </c>
      <c r="Q119" s="46">
        <f>P$119*'Population Treasury'!AE$169*'Statistics NZ'!AE$464/('Population Treasury'!AD$169*'Statistics NZ'!AD$464)</f>
        <v>30833.187519959549</v>
      </c>
      <c r="R119" s="46">
        <f>Q$119*'Population Treasury'!AF$169*'Statistics NZ'!AF$464/('Population Treasury'!AE$169*'Statistics NZ'!AE$464)</f>
        <v>31489.439023280818</v>
      </c>
      <c r="S119" s="46">
        <f>R$119*'Population Treasury'!AG$169*'Statistics NZ'!AG$464/('Population Treasury'!AF$169*'Statistics NZ'!AF$464)</f>
        <v>32271.191912134589</v>
      </c>
      <c r="T119" s="46">
        <f>S$119*'Population Treasury'!AH$169*'Statistics NZ'!AH$464/('Population Treasury'!AG$169*'Statistics NZ'!AG$464)</f>
        <v>32921.831749650868</v>
      </c>
      <c r="U119" s="46">
        <f>T$119*'Population Treasury'!AI$169*'Statistics NZ'!AI$464/('Population Treasury'!AH$169*'Statistics NZ'!AH$464)</f>
        <v>33202.529750336391</v>
      </c>
    </row>
    <row r="120" spans="1:21" x14ac:dyDescent="0.25">
      <c r="A120" s="11">
        <f>$A$50</f>
        <v>55</v>
      </c>
      <c r="B120" s="44">
        <f>'Population Treasury'!P$170*'Statistics NZ'!P$465*'Economic Forecasts'!R$8/B$7</f>
        <v>27881.077176085528</v>
      </c>
      <c r="C120" s="44">
        <f>'Population Treasury'!Q$170*'Statistics NZ'!Q$465*'Economic Forecasts'!S$8/C$7</f>
        <v>27793.056561362569</v>
      </c>
      <c r="D120" s="44">
        <f>'Population Treasury'!R$170*'Statistics NZ'!R$465*'Economic Forecasts'!T$8/D$7</f>
        <v>28148.284052259358</v>
      </c>
      <c r="E120" s="45">
        <f>'Population Treasury'!S$170*'Statistics NZ'!S$465*'Economic Forecasts'!U$8/E$7</f>
        <v>28776.871191882172</v>
      </c>
      <c r="F120" s="45">
        <f>'Population Treasury'!T$170*'Statistics NZ'!T$465*'Economic Forecasts'!V$8/F$7</f>
        <v>30250.814757480017</v>
      </c>
      <c r="G120" s="45">
        <f>'Population Treasury'!U$170*'Statistics NZ'!U$465*'Economic Forecasts'!W$8/G$7</f>
        <v>30294.767847075866</v>
      </c>
      <c r="H120" s="45">
        <f>'Population Treasury'!V$170*'Statistics NZ'!V$465*'Economic Forecasts'!X$8/H$7</f>
        <v>31141.820513367096</v>
      </c>
      <c r="I120" s="45">
        <f>'Population Treasury'!W$170*'Statistics NZ'!W$465*'Economic Forecasts'!Y$8/I$7</f>
        <v>31395.836192569481</v>
      </c>
      <c r="J120" s="45">
        <f>'Population Treasury'!X$170*'Statistics NZ'!X$465*'Economic Forecasts'!Z$8/J$7</f>
        <v>30728.432401958518</v>
      </c>
      <c r="K120" s="45">
        <f>'Population Treasury'!Y$170*'Statistics NZ'!Y$465*'Economic Forecasts'!AA$8/K$7</f>
        <v>29677.948026427501</v>
      </c>
      <c r="L120" s="46">
        <f>K$120*'Population Treasury'!Z$170*'Statistics NZ'!Z$465/('Population Treasury'!Y$170*'Statistics NZ'!Y$465)</f>
        <v>28818.434771877382</v>
      </c>
      <c r="M120" s="46">
        <f>L$120*'Population Treasury'!AA$170*'Statistics NZ'!AA$465/('Population Treasury'!Z$170*'Statistics NZ'!Z$465)</f>
        <v>28336.255257694924</v>
      </c>
      <c r="N120" s="46">
        <f>M$120*'Population Treasury'!AB$170*'Statistics NZ'!AB$465/('Population Treasury'!AA$170*'Statistics NZ'!AA$465)</f>
        <v>28515.767246160089</v>
      </c>
      <c r="O120" s="46">
        <f>N$120*'Population Treasury'!AC$170*'Statistics NZ'!AC$465/('Population Treasury'!AB$170*'Statistics NZ'!AB$465)</f>
        <v>28173.365627978052</v>
      </c>
      <c r="P120" s="46">
        <f>O$120*'Population Treasury'!AD$170*'Statistics NZ'!AD$465/('Population Treasury'!AC$170*'Statistics NZ'!AC$465)</f>
        <v>29268.254833047529</v>
      </c>
      <c r="Q120" s="46">
        <f>P$120*'Population Treasury'!AE$170*'Statistics NZ'!AE$465/('Population Treasury'!AD$170*'Statistics NZ'!AD$465)</f>
        <v>29932.393025842568</v>
      </c>
      <c r="R120" s="46">
        <f>Q$120*'Population Treasury'!AF$170*'Statistics NZ'!AF$465/('Population Treasury'!AE$170*'Statistics NZ'!AE$465)</f>
        <v>30664.656771360234</v>
      </c>
      <c r="S120" s="46">
        <f>R$120*'Population Treasury'!AG$170*'Statistics NZ'!AG$465/('Population Treasury'!AF$170*'Statistics NZ'!AF$465)</f>
        <v>31320.600373303125</v>
      </c>
      <c r="T120" s="46">
        <f>S$120*'Population Treasury'!AH$170*'Statistics NZ'!AH$465/('Population Treasury'!AG$170*'Statistics NZ'!AG$465)</f>
        <v>32101.796031021793</v>
      </c>
      <c r="U120" s="46">
        <f>T$120*'Population Treasury'!AI$170*'Statistics NZ'!AI$465/('Population Treasury'!AH$170*'Statistics NZ'!AH$465)</f>
        <v>32750.728600422633</v>
      </c>
    </row>
    <row r="121" spans="1:21" x14ac:dyDescent="0.25">
      <c r="A121" s="11">
        <f>$A$51</f>
        <v>56</v>
      </c>
      <c r="B121" s="44">
        <f>'Population Treasury'!P$171*'Statistics NZ'!P$466*'Economic Forecasts'!R$8/B$7</f>
        <v>28167.285562752313</v>
      </c>
      <c r="C121" s="44">
        <f>'Population Treasury'!Q$171*'Statistics NZ'!Q$466*'Economic Forecasts'!S$8/C$7</f>
        <v>27881.328814898654</v>
      </c>
      <c r="D121" s="44">
        <f>'Population Treasury'!R$171*'Statistics NZ'!R$466*'Economic Forecasts'!T$8/D$7</f>
        <v>27736.407371290523</v>
      </c>
      <c r="E121" s="45">
        <f>'Population Treasury'!S$171*'Statistics NZ'!S$466*'Economic Forecasts'!U$8/E$7</f>
        <v>27913.765185855995</v>
      </c>
      <c r="F121" s="45">
        <f>'Population Treasury'!T$171*'Statistics NZ'!T$466*'Economic Forecasts'!V$8/F$7</f>
        <v>29243.99972363839</v>
      </c>
      <c r="G121" s="45">
        <f>'Population Treasury'!U$171*'Statistics NZ'!U$466*'Economic Forecasts'!W$8/G$7</f>
        <v>30036.169013621475</v>
      </c>
      <c r="H121" s="45">
        <f>'Population Treasury'!V$171*'Statistics NZ'!V$466*'Economic Forecasts'!X$8/H$7</f>
        <v>30205.961713932971</v>
      </c>
      <c r="I121" s="45">
        <f>'Population Treasury'!W$171*'Statistics NZ'!W$466*'Economic Forecasts'!Y$8/I$7</f>
        <v>31102.062581647726</v>
      </c>
      <c r="J121" s="45">
        <f>'Population Treasury'!X$171*'Statistics NZ'!X$466*'Economic Forecasts'!Z$8/J$7</f>
        <v>31336.827090829811</v>
      </c>
      <c r="K121" s="45">
        <f>'Population Treasury'!Y$171*'Statistics NZ'!Y$466*'Economic Forecasts'!AA$8/K$7</f>
        <v>30648.198193757325</v>
      </c>
      <c r="L121" s="46">
        <f>K$121*'Population Treasury'!Z$171*'Statistics NZ'!Z$466/('Population Treasury'!Y$171*'Statistics NZ'!Y$466)</f>
        <v>29459.326123513114</v>
      </c>
      <c r="M121" s="46">
        <f>L$121*'Population Treasury'!AA$171*'Statistics NZ'!AA$466/('Population Treasury'!Z$171*'Statistics NZ'!Z$466)</f>
        <v>28628.666497889419</v>
      </c>
      <c r="N121" s="46">
        <f>M$121*'Population Treasury'!AB$171*'Statistics NZ'!AB$466/('Population Treasury'!AA$171*'Statistics NZ'!AA$466)</f>
        <v>28145.842088557612</v>
      </c>
      <c r="O121" s="46">
        <f>N$121*'Population Treasury'!AC$171*'Statistics NZ'!AC$466/('Population Treasury'!AB$171*'Statistics NZ'!AB$466)</f>
        <v>28323.841748467097</v>
      </c>
      <c r="P121" s="46">
        <f>O$121*'Population Treasury'!AD$171*'Statistics NZ'!AD$466/('Population Treasury'!AC$171*'Statistics NZ'!AC$466)</f>
        <v>28000.194030438666</v>
      </c>
      <c r="Q121" s="46">
        <f>P$121*'Population Treasury'!AE$171*'Statistics NZ'!AE$466/('Population Treasury'!AD$171*'Statistics NZ'!AD$466)</f>
        <v>29063.729133257715</v>
      </c>
      <c r="R121" s="46">
        <f>Q$121*'Population Treasury'!AF$171*'Statistics NZ'!AF$466/('Population Treasury'!AE$171*'Statistics NZ'!AE$466)</f>
        <v>29736.228115480546</v>
      </c>
      <c r="S121" s="46">
        <f>R$121*'Population Treasury'!AG$171*'Statistics NZ'!AG$466/('Population Treasury'!AF$171*'Statistics NZ'!AF$466)</f>
        <v>30477.114262651463</v>
      </c>
      <c r="T121" s="46">
        <f>S$121*'Population Treasury'!AH$171*'Statistics NZ'!AH$466/('Population Treasury'!AG$171*'Statistics NZ'!AG$466)</f>
        <v>31131.172659175576</v>
      </c>
      <c r="U121" s="46">
        <f>T$121*'Population Treasury'!AI$171*'Statistics NZ'!AI$466/('Population Treasury'!AH$171*'Statistics NZ'!AH$466)</f>
        <v>31901.873091753692</v>
      </c>
    </row>
    <row r="122" spans="1:21" x14ac:dyDescent="0.25">
      <c r="A122" s="11">
        <f>$A$52</f>
        <v>57</v>
      </c>
      <c r="B122" s="44">
        <f>'Population Treasury'!P$172*'Statistics NZ'!P$467*'Economic Forecasts'!R$8/B$7</f>
        <v>28158.135484709954</v>
      </c>
      <c r="C122" s="44">
        <f>'Population Treasury'!Q$172*'Statistics NZ'!Q$467*'Economic Forecasts'!S$8/C$7</f>
        <v>28140.923941651719</v>
      </c>
      <c r="D122" s="44">
        <f>'Population Treasury'!R$172*'Statistics NZ'!R$467*'Economic Forecasts'!T$8/D$7</f>
        <v>27823.170170895912</v>
      </c>
      <c r="E122" s="45">
        <f>'Population Treasury'!S$172*'Statistics NZ'!S$467*'Economic Forecasts'!U$8/E$7</f>
        <v>27499.448902582521</v>
      </c>
      <c r="F122" s="45">
        <f>'Population Treasury'!T$172*'Statistics NZ'!T$467*'Economic Forecasts'!V$8/F$7</f>
        <v>28354.754649715316</v>
      </c>
      <c r="G122" s="45">
        <f>'Population Treasury'!U$172*'Statistics NZ'!U$467*'Economic Forecasts'!W$8/G$7</f>
        <v>29015.063756302734</v>
      </c>
      <c r="H122" s="45">
        <f>'Population Treasury'!V$172*'Statistics NZ'!V$467*'Economic Forecasts'!X$8/H$7</f>
        <v>29905.782510835415</v>
      </c>
      <c r="I122" s="45">
        <f>'Population Treasury'!W$172*'Statistics NZ'!W$467*'Economic Forecasts'!Y$8/I$7</f>
        <v>30138.394464682111</v>
      </c>
      <c r="J122" s="45">
        <f>'Population Treasury'!X$172*'Statistics NZ'!X$467*'Economic Forecasts'!Z$8/J$7</f>
        <v>31020.154077257866</v>
      </c>
      <c r="K122" s="45">
        <f>'Population Treasury'!Y$172*'Statistics NZ'!Y$467*'Economic Forecasts'!AA$8/K$7</f>
        <v>31229.665567729335</v>
      </c>
      <c r="L122" s="46">
        <f>K$122*'Population Treasury'!Z$172*'Statistics NZ'!Z$467/('Population Treasury'!Y$172*'Statistics NZ'!Y$467)</f>
        <v>30392.822184282813</v>
      </c>
      <c r="M122" s="46">
        <f>L$122*'Population Treasury'!AA$172*'Statistics NZ'!AA$467/('Population Treasury'!Z$172*'Statistics NZ'!Z$467)</f>
        <v>29222.633202334728</v>
      </c>
      <c r="N122" s="46">
        <f>M$122*'Population Treasury'!AB$172*'Statistics NZ'!AB$467/('Population Treasury'!AA$172*'Statistics NZ'!AA$467)</f>
        <v>28391.259784347283</v>
      </c>
      <c r="O122" s="46">
        <f>N$122*'Population Treasury'!AC$172*'Statistics NZ'!AC$467/('Population Treasury'!AB$172*'Statistics NZ'!AB$467)</f>
        <v>27926.865688852802</v>
      </c>
      <c r="P122" s="46">
        <f>O$122*'Population Treasury'!AD$172*'Statistics NZ'!AD$467/('Population Treasury'!AC$172*'Statistics NZ'!AC$467)</f>
        <v>28104.374347437348</v>
      </c>
      <c r="Q122" s="46">
        <f>P$122*'Population Treasury'!AE$172*'Statistics NZ'!AE$467/('Population Treasury'!AD$172*'Statistics NZ'!AD$467)</f>
        <v>27779.461619973434</v>
      </c>
      <c r="R122" s="46">
        <f>Q$122*'Population Treasury'!AF$172*'Statistics NZ'!AF$467/('Population Treasury'!AE$172*'Statistics NZ'!AE$467)</f>
        <v>28850.790416308853</v>
      </c>
      <c r="S122" s="46">
        <f>R$122*'Population Treasury'!AG$172*'Statistics NZ'!AG$467/('Population Treasury'!AF$172*'Statistics NZ'!AF$467)</f>
        <v>29522.119224775586</v>
      </c>
      <c r="T122" s="46">
        <f>S$122*'Population Treasury'!AH$172*'Statistics NZ'!AH$467/('Population Treasury'!AG$172*'Statistics NZ'!AG$467)</f>
        <v>30261.093763584478</v>
      </c>
      <c r="U122" s="46">
        <f>T$122*'Population Treasury'!AI$172*'Statistics NZ'!AI$467/('Population Treasury'!AH$172*'Statistics NZ'!AH$467)</f>
        <v>30904.741484779919</v>
      </c>
    </row>
    <row r="123" spans="1:21" x14ac:dyDescent="0.25">
      <c r="A123" s="11">
        <f>$A$53</f>
        <v>58</v>
      </c>
      <c r="B123" s="44">
        <f>'Population Treasury'!P$173*'Statistics NZ'!P$468*'Economic Forecasts'!R$8/B$7</f>
        <v>27589.943107037885</v>
      </c>
      <c r="C123" s="44">
        <f>'Population Treasury'!Q$173*'Statistics NZ'!Q$468*'Economic Forecasts'!S$8/C$7</f>
        <v>28168.341211815099</v>
      </c>
      <c r="D123" s="44">
        <f>'Population Treasury'!R$173*'Statistics NZ'!R$468*'Economic Forecasts'!T$8/D$7</f>
        <v>28114.975127123824</v>
      </c>
      <c r="E123" s="45">
        <f>'Population Treasury'!S$173*'Statistics NZ'!S$468*'Economic Forecasts'!U$8/E$7</f>
        <v>27613.490853084517</v>
      </c>
      <c r="F123" s="45">
        <f>'Population Treasury'!T$173*'Statistics NZ'!T$468*'Economic Forecasts'!V$8/F$7</f>
        <v>27959.800097658863</v>
      </c>
      <c r="G123" s="45">
        <f>'Population Treasury'!U$173*'Statistics NZ'!U$468*'Economic Forecasts'!W$8/G$7</f>
        <v>28153.771398615561</v>
      </c>
      <c r="H123" s="45">
        <f>'Population Treasury'!V$173*'Statistics NZ'!V$468*'Economic Forecasts'!X$8/H$7</f>
        <v>28930.181451149892</v>
      </c>
      <c r="I123" s="45">
        <f>'Population Treasury'!W$173*'Statistics NZ'!W$468*'Economic Forecasts'!Y$8/I$7</f>
        <v>29886.163206337606</v>
      </c>
      <c r="J123" s="45">
        <f>'Population Treasury'!X$173*'Statistics NZ'!X$468*'Economic Forecasts'!Z$8/J$7</f>
        <v>30091.707866906909</v>
      </c>
      <c r="K123" s="45">
        <f>'Population Treasury'!Y$173*'Statistics NZ'!Y$468*'Economic Forecasts'!AA$8/K$7</f>
        <v>30942.489870231129</v>
      </c>
      <c r="L123" s="46">
        <f>K$123*'Population Treasury'!Z$173*'Statistics NZ'!Z$468/('Population Treasury'!Y$173*'Statistics NZ'!Y$468)</f>
        <v>30980.16586404667</v>
      </c>
      <c r="M123" s="46">
        <f>L$123*'Population Treasury'!AA$173*'Statistics NZ'!AA$468/('Population Treasury'!Z$173*'Statistics NZ'!Z$468)</f>
        <v>30161.681831516697</v>
      </c>
      <c r="N123" s="46">
        <f>M$123*'Population Treasury'!AB$173*'Statistics NZ'!AB$468/('Population Treasury'!AA$173*'Statistics NZ'!AA$468)</f>
        <v>29011.129082467931</v>
      </c>
      <c r="O123" s="46">
        <f>N$123*'Population Treasury'!AC$173*'Statistics NZ'!AC$468/('Population Treasury'!AB$173*'Statistics NZ'!AB$468)</f>
        <v>28188.617033130347</v>
      </c>
      <c r="P123" s="46">
        <f>O$123*'Population Treasury'!AD$173*'Statistics NZ'!AD$468/('Population Treasury'!AC$173*'Statistics NZ'!AC$468)</f>
        <v>27723.691785595856</v>
      </c>
      <c r="Q123" s="46">
        <f>P$123*'Population Treasury'!AE$173*'Statistics NZ'!AE$468/('Population Treasury'!AD$173*'Statistics NZ'!AD$468)</f>
        <v>27909.212331665265</v>
      </c>
      <c r="R123" s="46">
        <f>Q$123*'Population Treasury'!AF$173*'Statistics NZ'!AF$468/('Population Treasury'!AE$173*'Statistics NZ'!AE$468)</f>
        <v>27593.498323783697</v>
      </c>
      <c r="S123" s="46">
        <f>R$123*'Population Treasury'!AG$173*'Statistics NZ'!AG$468/('Population Treasury'!AF$173*'Statistics NZ'!AF$468)</f>
        <v>28663.129764807316</v>
      </c>
      <c r="T123" s="46">
        <f>S$123*'Population Treasury'!AH$173*'Statistics NZ'!AH$468/('Population Treasury'!AG$173*'Statistics NZ'!AG$468)</f>
        <v>29323.77823940698</v>
      </c>
      <c r="U123" s="46">
        <f>T$123*'Population Treasury'!AI$173*'Statistics NZ'!AI$468/('Population Treasury'!AH$173*'Statistics NZ'!AH$468)</f>
        <v>30050.398290186426</v>
      </c>
    </row>
    <row r="124" spans="1:21" x14ac:dyDescent="0.25">
      <c r="A124" s="11">
        <f>$A$54</f>
        <v>59</v>
      </c>
      <c r="B124" s="44">
        <f>'Population Treasury'!P$174*'Statistics NZ'!P$469*'Economic Forecasts'!R$8/B$7</f>
        <v>26462.496777303371</v>
      </c>
      <c r="C124" s="44">
        <f>'Population Treasury'!Q$174*'Statistics NZ'!Q$469*'Economic Forecasts'!S$8/C$7</f>
        <v>27578.434656598689</v>
      </c>
      <c r="D124" s="44">
        <f>'Population Treasury'!R$174*'Statistics NZ'!R$469*'Economic Forecasts'!T$8/D$7</f>
        <v>28144.568885959296</v>
      </c>
      <c r="E124" s="45">
        <f>'Population Treasury'!S$174*'Statistics NZ'!S$469*'Economic Forecasts'!U$8/E$7</f>
        <v>27934.061316481395</v>
      </c>
      <c r="F124" s="45">
        <f>'Population Treasury'!T$174*'Statistics NZ'!T$469*'Economic Forecasts'!V$8/F$7</f>
        <v>28108.222213425095</v>
      </c>
      <c r="G124" s="45">
        <f>'Population Treasury'!U$174*'Statistics NZ'!U$469*'Economic Forecasts'!W$8/G$7</f>
        <v>27797.600787251951</v>
      </c>
      <c r="H124" s="45">
        <f>'Population Treasury'!V$174*'Statistics NZ'!V$469*'Economic Forecasts'!X$8/H$7</f>
        <v>28094.426858321083</v>
      </c>
      <c r="I124" s="45">
        <f>'Population Treasury'!W$174*'Statistics NZ'!W$469*'Economic Forecasts'!Y$8/I$7</f>
        <v>28934.273461598357</v>
      </c>
      <c r="J124" s="45">
        <f>'Population Treasury'!X$174*'Statistics NZ'!X$469*'Economic Forecasts'!Z$8/J$7</f>
        <v>29859.111041966858</v>
      </c>
      <c r="K124" s="45">
        <f>'Population Treasury'!Y$174*'Statistics NZ'!Y$469*'Economic Forecasts'!AA$8/K$7</f>
        <v>30041.430802928382</v>
      </c>
      <c r="L124" s="46">
        <f>K$124*'Population Treasury'!Z$174*'Statistics NZ'!Z$469/('Population Treasury'!Y$174*'Statistics NZ'!Y$469)</f>
        <v>30723.22145225227</v>
      </c>
      <c r="M124" s="46">
        <f>L$124*'Population Treasury'!AA$174*'Statistics NZ'!AA$469/('Population Treasury'!Z$174*'Statistics NZ'!Z$469)</f>
        <v>30759.482557407453</v>
      </c>
      <c r="N124" s="46">
        <f>M$124*'Population Treasury'!AB$174*'Statistics NZ'!AB$469/('Population Treasury'!AA$174*'Statistics NZ'!AA$469)</f>
        <v>29960.409882613192</v>
      </c>
      <c r="O124" s="46">
        <f>N$124*'Population Treasury'!AC$174*'Statistics NZ'!AC$469/('Population Treasury'!AB$174*'Statistics NZ'!AB$469)</f>
        <v>28809.602228909509</v>
      </c>
      <c r="P124" s="46">
        <f>O$124*'Population Treasury'!AD$174*'Statistics NZ'!AD$469/('Population Treasury'!AC$174*'Statistics NZ'!AC$469)</f>
        <v>28015.860201868578</v>
      </c>
      <c r="Q124" s="46">
        <f>P$124*'Population Treasury'!AE$174*'Statistics NZ'!AE$469/('Population Treasury'!AD$174*'Statistics NZ'!AD$469)</f>
        <v>27549.410691124347</v>
      </c>
      <c r="R124" s="46">
        <f>Q$124*'Population Treasury'!AF$174*'Statistics NZ'!AF$469/('Population Treasury'!AE$174*'Statistics NZ'!AE$469)</f>
        <v>27743.947988155116</v>
      </c>
      <c r="S124" s="46">
        <f>R$124*'Population Treasury'!AG$174*'Statistics NZ'!AG$469/('Population Treasury'!AF$174*'Statistics NZ'!AF$469)</f>
        <v>27417.494658493451</v>
      </c>
      <c r="T124" s="46">
        <f>S$124*'Population Treasury'!AH$174*'Statistics NZ'!AH$469/('Population Treasury'!AG$174*'Statistics NZ'!AG$469)</f>
        <v>28485.457653613976</v>
      </c>
      <c r="U124" s="46">
        <f>T$124*'Population Treasury'!AI$174*'Statistics NZ'!AI$469/('Population Treasury'!AH$174*'Statistics NZ'!AH$469)</f>
        <v>29143.830873144434</v>
      </c>
    </row>
    <row r="125" spans="1:21" x14ac:dyDescent="0.25">
      <c r="A125" s="11">
        <f>$A$55</f>
        <v>60</v>
      </c>
      <c r="B125" s="44">
        <f>'Population Treasury'!P$175*'Statistics NZ'!P$470*'Economic Forecasts'!R$8/B$7</f>
        <v>25437.755594514281</v>
      </c>
      <c r="C125" s="44">
        <f>'Population Treasury'!Q$175*'Statistics NZ'!Q$470*'Economic Forecasts'!S$8/C$7</f>
        <v>26417.10647301919</v>
      </c>
      <c r="D125" s="44">
        <f>'Population Treasury'!R$175*'Statistics NZ'!R$470*'Economic Forecasts'!T$8/D$7</f>
        <v>27534.755814260396</v>
      </c>
      <c r="E125" s="45">
        <f>'Population Treasury'!S$175*'Statistics NZ'!S$470*'Economic Forecasts'!U$8/E$7</f>
        <v>28089.554422226203</v>
      </c>
      <c r="F125" s="45">
        <f>'Population Treasury'!T$175*'Statistics NZ'!T$470*'Economic Forecasts'!V$8/F$7</f>
        <v>28502.935057053706</v>
      </c>
      <c r="G125" s="45">
        <f>'Population Treasury'!U$175*'Statistics NZ'!U$470*'Economic Forecasts'!W$8/G$7</f>
        <v>27941.844756233662</v>
      </c>
      <c r="H125" s="45">
        <f>'Population Treasury'!V$175*'Statistics NZ'!V$470*'Economic Forecasts'!X$8/H$7</f>
        <v>27725.73969584523</v>
      </c>
      <c r="I125" s="45">
        <f>'Population Treasury'!W$175*'Statistics NZ'!W$470*'Economic Forecasts'!Y$8/I$7</f>
        <v>28093.538848168715</v>
      </c>
      <c r="J125" s="45">
        <f>'Population Treasury'!X$175*'Statistics NZ'!X$470*'Economic Forecasts'!Z$8/J$7</f>
        <v>28892.760049712891</v>
      </c>
      <c r="K125" s="45">
        <f>'Population Treasury'!Y$175*'Statistics NZ'!Y$470*'Economic Forecasts'!AA$8/K$7</f>
        <v>29788.58917661013</v>
      </c>
      <c r="L125" s="46">
        <f>K$125*'Population Treasury'!Z$175*'Statistics NZ'!Z$470/('Population Treasury'!Y$175*'Statistics NZ'!Y$470)</f>
        <v>29846.657724923629</v>
      </c>
      <c r="M125" s="46">
        <f>L$125*'Population Treasury'!AA$175*'Statistics NZ'!AA$470/('Population Treasury'!Z$175*'Statistics NZ'!Z$470)</f>
        <v>30536.171317885699</v>
      </c>
      <c r="N125" s="46">
        <f>M$125*'Population Treasury'!AB$175*'Statistics NZ'!AB$470/('Population Treasury'!AA$175*'Statistics NZ'!AA$470)</f>
        <v>30607.293172475445</v>
      </c>
      <c r="O125" s="46">
        <f>N$125*'Population Treasury'!AC$175*'Statistics NZ'!AC$470/('Population Treasury'!AB$175*'Statistics NZ'!AB$470)</f>
        <v>29821.923912764953</v>
      </c>
      <c r="P125" s="46">
        <f>O$125*'Population Treasury'!AD$175*'Statistics NZ'!AD$470/('Population Treasury'!AC$175*'Statistics NZ'!AC$470)</f>
        <v>28711.935693592866</v>
      </c>
      <c r="Q125" s="46">
        <f>P$125*'Population Treasury'!AE$175*'Statistics NZ'!AE$470/('Population Treasury'!AD$175*'Statistics NZ'!AD$470)</f>
        <v>27927.167233149295</v>
      </c>
      <c r="R125" s="46">
        <f>Q$125*'Population Treasury'!AF$175*'Statistics NZ'!AF$470/('Population Treasury'!AE$175*'Statistics NZ'!AE$470)</f>
        <v>27476.836697522464</v>
      </c>
      <c r="S125" s="46">
        <f>R$125*'Population Treasury'!AG$175*'Statistics NZ'!AG$470/('Population Treasury'!AF$175*'Statistics NZ'!AF$470)</f>
        <v>27674.700920005915</v>
      </c>
      <c r="T125" s="46">
        <f>S$125*'Population Treasury'!AH$175*'Statistics NZ'!AH$470/('Population Treasury'!AG$175*'Statistics NZ'!AG$470)</f>
        <v>27369.318779255405</v>
      </c>
      <c r="U125" s="46">
        <f>T$125*'Population Treasury'!AI$175*'Statistics NZ'!AI$470/('Population Treasury'!AH$175*'Statistics NZ'!AH$470)</f>
        <v>28425.183926496396</v>
      </c>
    </row>
    <row r="126" spans="1:21" x14ac:dyDescent="0.25">
      <c r="A126" s="11">
        <f>$A$56</f>
        <v>61</v>
      </c>
      <c r="B126" s="44">
        <f>'Population Treasury'!P$176*'Statistics NZ'!P$471*'Economic Forecasts'!R$8/B$7</f>
        <v>24622.014357321841</v>
      </c>
      <c r="C126" s="44">
        <f>'Population Treasury'!Q$176*'Statistics NZ'!Q$471*'Economic Forecasts'!S$8/C$7</f>
        <v>25292.147263836541</v>
      </c>
      <c r="D126" s="44">
        <f>'Population Treasury'!R$176*'Statistics NZ'!R$471*'Economic Forecasts'!T$8/D$7</f>
        <v>26287.002030357045</v>
      </c>
      <c r="E126" s="45">
        <f>'Population Treasury'!S$176*'Statistics NZ'!S$471*'Economic Forecasts'!U$8/E$7</f>
        <v>27385.628873003981</v>
      </c>
      <c r="F126" s="45">
        <f>'Population Treasury'!T$176*'Statistics NZ'!T$471*'Economic Forecasts'!V$8/F$7</f>
        <v>28377.267977410145</v>
      </c>
      <c r="G126" s="45">
        <f>'Population Treasury'!U$176*'Statistics NZ'!U$471*'Economic Forecasts'!W$8/G$7</f>
        <v>28120.179353673935</v>
      </c>
      <c r="H126" s="45">
        <f>'Population Treasury'!V$176*'Statistics NZ'!V$471*'Economic Forecasts'!X$8/H$7</f>
        <v>27732.117305211297</v>
      </c>
      <c r="I126" s="45">
        <f>'Population Treasury'!W$176*'Statistics NZ'!W$471*'Economic Forecasts'!Y$8/I$7</f>
        <v>27588.722893118415</v>
      </c>
      <c r="J126" s="45">
        <f>'Population Treasury'!X$176*'Statistics NZ'!X$471*'Economic Forecasts'!Z$8/J$7</f>
        <v>27929.206866458149</v>
      </c>
      <c r="K126" s="45">
        <f>'Population Treasury'!Y$176*'Statistics NZ'!Y$471*'Economic Forecasts'!AA$8/K$7</f>
        <v>28709.209269852032</v>
      </c>
      <c r="L126" s="46">
        <f>K$126*'Population Treasury'!Z$176*'Statistics NZ'!Z$471/('Population Treasury'!Y$176*'Statistics NZ'!Y$471)</f>
        <v>29462.315789432327</v>
      </c>
      <c r="M126" s="46">
        <f>L$126*'Population Treasury'!AA$176*'Statistics NZ'!AA$471/('Population Treasury'!Z$176*'Statistics NZ'!Z$471)</f>
        <v>29517.271145217128</v>
      </c>
      <c r="N126" s="46">
        <f>M$126*'Population Treasury'!AB$176*'Statistics NZ'!AB$471/('Population Treasury'!AA$176*'Statistics NZ'!AA$471)</f>
        <v>30193.352922399728</v>
      </c>
      <c r="O126" s="46">
        <f>N$126*'Population Treasury'!AC$176*'Statistics NZ'!AC$471/('Population Treasury'!AB$176*'Statistics NZ'!AB$471)</f>
        <v>30260.627818711218</v>
      </c>
      <c r="P126" s="46">
        <f>O$126*'Population Treasury'!AD$176*'Statistics NZ'!AD$471/('Population Treasury'!AC$176*'Statistics NZ'!AC$471)</f>
        <v>29492.275296897616</v>
      </c>
      <c r="Q126" s="46">
        <f>P$126*'Population Treasury'!AE$176*'Statistics NZ'!AE$471/('Population Treasury'!AD$176*'Statistics NZ'!AD$471)</f>
        <v>28399.690752145252</v>
      </c>
      <c r="R126" s="46">
        <f>Q$126*'Population Treasury'!AF$176*'Statistics NZ'!AF$471/('Population Treasury'!AE$176*'Statistics NZ'!AE$471)</f>
        <v>27621.302802253951</v>
      </c>
      <c r="S126" s="46">
        <f>R$126*'Population Treasury'!AG$176*'Statistics NZ'!AG$471/('Population Treasury'!AF$176*'Statistics NZ'!AF$471)</f>
        <v>27188.094213607212</v>
      </c>
      <c r="T126" s="46">
        <f>S$126*'Population Treasury'!AH$176*'Statistics NZ'!AH$471/('Population Treasury'!AG$176*'Statistics NZ'!AG$471)</f>
        <v>27391.453189268381</v>
      </c>
      <c r="U126" s="46">
        <f>T$126*'Population Treasury'!AI$176*'Statistics NZ'!AI$471/('Population Treasury'!AH$176*'Statistics NZ'!AH$471)</f>
        <v>27083.838170074145</v>
      </c>
    </row>
    <row r="127" spans="1:21" x14ac:dyDescent="0.25">
      <c r="A127" s="11">
        <f>$A$57</f>
        <v>62</v>
      </c>
      <c r="B127" s="44">
        <f>'Population Treasury'!P$177*'Statistics NZ'!P$472*'Economic Forecasts'!R$8/B$7</f>
        <v>22916.255710183548</v>
      </c>
      <c r="C127" s="44">
        <f>'Population Treasury'!Q$177*'Statistics NZ'!Q$472*'Economic Forecasts'!S$8/C$7</f>
        <v>24158.475394318917</v>
      </c>
      <c r="D127" s="44">
        <f>'Population Treasury'!R$177*'Statistics NZ'!R$472*'Economic Forecasts'!T$8/D$7</f>
        <v>24853.783200851118</v>
      </c>
      <c r="E127" s="45">
        <f>'Population Treasury'!S$177*'Statistics NZ'!S$472*'Economic Forecasts'!U$8/E$7</f>
        <v>25929.278726525688</v>
      </c>
      <c r="F127" s="45">
        <f>'Population Treasury'!T$177*'Statistics NZ'!T$472*'Economic Forecasts'!V$8/F$7</f>
        <v>27417.797896064301</v>
      </c>
      <c r="G127" s="45">
        <f>'Population Treasury'!U$177*'Statistics NZ'!U$472*'Economic Forecasts'!W$8/G$7</f>
        <v>27767.789924052257</v>
      </c>
      <c r="H127" s="45">
        <f>'Population Treasury'!V$177*'Statistics NZ'!V$472*'Economic Forecasts'!X$8/H$7</f>
        <v>27672.755291851037</v>
      </c>
      <c r="I127" s="45">
        <f>'Population Treasury'!W$177*'Statistics NZ'!W$472*'Economic Forecasts'!Y$8/I$7</f>
        <v>27355.496036114553</v>
      </c>
      <c r="J127" s="45">
        <f>'Population Treasury'!X$177*'Statistics NZ'!X$472*'Economic Forecasts'!Z$8/J$7</f>
        <v>27202.199969489262</v>
      </c>
      <c r="K127" s="45">
        <f>'Population Treasury'!Y$177*'Statistics NZ'!Y$472*'Economic Forecasts'!AA$8/K$7</f>
        <v>27519.074909865667</v>
      </c>
      <c r="L127" s="46">
        <f>K$127*'Population Treasury'!Z$177*'Statistics NZ'!Z$472/('Population Treasury'!Y$177*'Statistics NZ'!Y$472)</f>
        <v>28153.737995662272</v>
      </c>
      <c r="M127" s="46">
        <f>L$127*'Population Treasury'!AA$177*'Statistics NZ'!AA$472/('Population Treasury'!Z$177*'Statistics NZ'!Z$472)</f>
        <v>28882.373976795516</v>
      </c>
      <c r="N127" s="46">
        <f>M$127*'Population Treasury'!AB$177*'Statistics NZ'!AB$472/('Population Treasury'!AA$177*'Statistics NZ'!AA$472)</f>
        <v>28934.915494528195</v>
      </c>
      <c r="O127" s="46">
        <f>N$127*'Population Treasury'!AC$177*'Statistics NZ'!AC$472/('Population Treasury'!AB$177*'Statistics NZ'!AB$472)</f>
        <v>29596.168241351468</v>
      </c>
      <c r="P127" s="46">
        <f>O$127*'Population Treasury'!AD$177*'Statistics NZ'!AD$472/('Population Treasury'!AC$177*'Statistics NZ'!AC$472)</f>
        <v>29661.091098018664</v>
      </c>
      <c r="Q127" s="46">
        <f>P$127*'Population Treasury'!AE$177*'Statistics NZ'!AE$472/('Population Treasury'!AD$177*'Statistics NZ'!AD$472)</f>
        <v>28918.776431232414</v>
      </c>
      <c r="R127" s="46">
        <f>Q$127*'Population Treasury'!AF$177*'Statistics NZ'!AF$472/('Population Treasury'!AE$177*'Statistics NZ'!AE$472)</f>
        <v>27863.444980865246</v>
      </c>
      <c r="S127" s="46">
        <f>R$127*'Population Treasury'!AG$177*'Statistics NZ'!AG$472/('Population Treasury'!AF$177*'Statistics NZ'!AF$472)</f>
        <v>27092.699482180396</v>
      </c>
      <c r="T127" s="46">
        <f>S$127*'Population Treasury'!AH$177*'Statistics NZ'!AH$472/('Population Treasury'!AG$177*'Statistics NZ'!AG$472)</f>
        <v>26675.237406930919</v>
      </c>
      <c r="U127" s="46">
        <f>T$127*'Population Treasury'!AI$177*'Statistics NZ'!AI$472/('Population Treasury'!AH$177*'Statistics NZ'!AH$472)</f>
        <v>26865.680312063101</v>
      </c>
    </row>
    <row r="128" spans="1:21" x14ac:dyDescent="0.25">
      <c r="A128" s="11">
        <f>$A$58</f>
        <v>63</v>
      </c>
      <c r="B128" s="44">
        <f>'Population Treasury'!P$178*'Statistics NZ'!P$473*'Economic Forecasts'!R$8/B$7</f>
        <v>21604.849500686145</v>
      </c>
      <c r="C128" s="44">
        <f>'Population Treasury'!Q$178*'Statistics NZ'!Q$473*'Economic Forecasts'!S$8/C$7</f>
        <v>22399.714938493784</v>
      </c>
      <c r="D128" s="44">
        <f>'Population Treasury'!R$178*'Statistics NZ'!R$473*'Economic Forecasts'!T$8/D$7</f>
        <v>23629.413495759585</v>
      </c>
      <c r="E128" s="45">
        <f>'Population Treasury'!S$178*'Statistics NZ'!S$473*'Economic Forecasts'!U$8/E$7</f>
        <v>24359.476846573096</v>
      </c>
      <c r="F128" s="45">
        <f>'Population Treasury'!T$178*'Statistics NZ'!T$473*'Economic Forecasts'!V$8/F$7</f>
        <v>25775.921711625426</v>
      </c>
      <c r="G128" s="45">
        <f>'Population Treasury'!U$178*'Statistics NZ'!U$473*'Economic Forecasts'!W$8/G$7</f>
        <v>26631.442433299544</v>
      </c>
      <c r="H128" s="45">
        <f>'Population Treasury'!V$178*'Statistics NZ'!V$473*'Economic Forecasts'!X$8/H$7</f>
        <v>27121.125049174694</v>
      </c>
      <c r="I128" s="45">
        <f>'Population Treasury'!W$178*'Statistics NZ'!W$473*'Economic Forecasts'!Y$8/I$7</f>
        <v>27097.226946761257</v>
      </c>
      <c r="J128" s="45">
        <f>'Population Treasury'!X$178*'Statistics NZ'!X$473*'Economic Forecasts'!Z$8/J$7</f>
        <v>26775.871404147361</v>
      </c>
      <c r="K128" s="45">
        <f>'Population Treasury'!Y$178*'Statistics NZ'!Y$473*'Economic Forecasts'!AA$8/K$7</f>
        <v>26589.030045210518</v>
      </c>
      <c r="L128" s="46">
        <f>K$128*'Population Treasury'!Z$178*'Statistics NZ'!Z$473/('Population Treasury'!Y$178*'Statistics NZ'!Y$473)</f>
        <v>26791.229515545456</v>
      </c>
      <c r="M128" s="46">
        <f>L$128*'Population Treasury'!AA$178*'Statistics NZ'!AA$473/('Population Treasury'!Z$178*'Statistics NZ'!Z$473)</f>
        <v>27392.144654680877</v>
      </c>
      <c r="N128" s="46">
        <f>M$128*'Population Treasury'!AB$178*'Statistics NZ'!AB$473/('Population Treasury'!AA$178*'Statistics NZ'!AA$473)</f>
        <v>28105.345663294596</v>
      </c>
      <c r="O128" s="46">
        <f>N$128*'Population Treasury'!AC$178*'Statistics NZ'!AC$473/('Population Treasury'!AB$178*'Statistics NZ'!AB$473)</f>
        <v>28166.6119928398</v>
      </c>
      <c r="P128" s="46">
        <f>O$128*'Population Treasury'!AD$178*'Statistics NZ'!AD$473/('Population Treasury'!AC$178*'Statistics NZ'!AC$473)</f>
        <v>28813.011043474769</v>
      </c>
      <c r="Q128" s="46">
        <f>P$128*'Population Treasury'!AE$178*'Statistics NZ'!AE$473/('Population Treasury'!AD$178*'Statistics NZ'!AD$473)</f>
        <v>28883.385020669659</v>
      </c>
      <c r="R128" s="46">
        <f>Q$128*'Population Treasury'!AF$178*'Statistics NZ'!AF$473/('Population Treasury'!AE$178*'Statistics NZ'!AE$473)</f>
        <v>28159.519249571302</v>
      </c>
      <c r="S128" s="46">
        <f>R$128*'Population Treasury'!AG$178*'Statistics NZ'!AG$473/('Population Treasury'!AF$178*'Statistics NZ'!AF$473)</f>
        <v>27132.428621691601</v>
      </c>
      <c r="T128" s="46">
        <f>S$128*'Population Treasury'!AH$178*'Statistics NZ'!AH$473/('Population Treasury'!AG$178*'Statistics NZ'!AG$473)</f>
        <v>26398.064288954483</v>
      </c>
      <c r="U128" s="46">
        <f>T$128*'Population Treasury'!AI$178*'Statistics NZ'!AI$473/('Population Treasury'!AH$178*'Statistics NZ'!AH$473)</f>
        <v>25969.300028386504</v>
      </c>
    </row>
    <row r="129" spans="1:21" x14ac:dyDescent="0.25">
      <c r="A129" s="11">
        <f>$A$59</f>
        <v>64</v>
      </c>
      <c r="B129" s="44">
        <f>'Population Treasury'!P$179*'Statistics NZ'!P$474*'Economic Forecasts'!R$8/B$7</f>
        <v>19736.968189901087</v>
      </c>
      <c r="C129" s="44">
        <f>'Population Treasury'!Q$179*'Statistics NZ'!Q$474*'Economic Forecasts'!S$8/C$7</f>
        <v>20404.40666013466</v>
      </c>
      <c r="D129" s="44">
        <f>'Population Treasury'!R$179*'Statistics NZ'!R$474*'Economic Forecasts'!T$8/D$7</f>
        <v>21133.375628291808</v>
      </c>
      <c r="E129" s="45">
        <f>'Population Treasury'!S$179*'Statistics NZ'!S$474*'Economic Forecasts'!U$8/E$7</f>
        <v>22367.927795608561</v>
      </c>
      <c r="F129" s="45">
        <f>'Population Treasury'!T$179*'Statistics NZ'!T$474*'Economic Forecasts'!V$8/F$7</f>
        <v>23395.939274315842</v>
      </c>
      <c r="G129" s="45">
        <f>'Population Treasury'!U$179*'Statistics NZ'!U$474*'Economic Forecasts'!W$8/G$7</f>
        <v>24190.317597081958</v>
      </c>
      <c r="H129" s="45">
        <f>'Population Treasury'!V$179*'Statistics NZ'!V$474*'Economic Forecasts'!X$8/H$7</f>
        <v>25140.032390962504</v>
      </c>
      <c r="I129" s="45">
        <f>'Population Treasury'!W$179*'Statistics NZ'!W$474*'Economic Forecasts'!Y$8/I$7</f>
        <v>25664.903824122404</v>
      </c>
      <c r="J129" s="45">
        <f>'Population Treasury'!X$179*'Statistics NZ'!X$474*'Economic Forecasts'!Z$8/J$7</f>
        <v>25626.066977241699</v>
      </c>
      <c r="K129" s="45">
        <f>'Population Treasury'!Y$179*'Statistics NZ'!Y$474*'Economic Forecasts'!AA$8/K$7</f>
        <v>25305.594948064656</v>
      </c>
      <c r="L129" s="46">
        <f>K$129*'Population Treasury'!Z$179*'Statistics NZ'!Z$474/('Population Treasury'!Y$179*'Statistics NZ'!Y$474)</f>
        <v>25028.608974096707</v>
      </c>
      <c r="M129" s="46">
        <f>L$129*'Population Treasury'!AA$179*'Statistics NZ'!AA$474/('Population Treasury'!Z$179*'Statistics NZ'!Z$474)</f>
        <v>25214.904910699814</v>
      </c>
      <c r="N129" s="46">
        <f>M$129*'Population Treasury'!AB$179*'Statistics NZ'!AB$474/('Population Treasury'!AA$179*'Statistics NZ'!AA$474)</f>
        <v>25780.836735147572</v>
      </c>
      <c r="O129" s="46">
        <f>N$129*'Population Treasury'!AC$179*'Statistics NZ'!AC$474/('Population Treasury'!AB$179*'Statistics NZ'!AB$474)</f>
        <v>26456.283814150167</v>
      </c>
      <c r="P129" s="46">
        <f>O$129*'Population Treasury'!AD$179*'Statistics NZ'!AD$474/('Population Treasury'!AC$179*'Statistics NZ'!AC$474)</f>
        <v>26507.902199307442</v>
      </c>
      <c r="Q129" s="46">
        <f>P$129*'Population Treasury'!AE$179*'Statistics NZ'!AE$474/('Population Treasury'!AD$179*'Statistics NZ'!AD$474)</f>
        <v>27117.903011528306</v>
      </c>
      <c r="R129" s="46">
        <f>Q$129*'Population Treasury'!AF$179*'Statistics NZ'!AF$474/('Population Treasury'!AE$179*'Statistics NZ'!AE$474)</f>
        <v>27185.059990821501</v>
      </c>
      <c r="S129" s="46">
        <f>R$129*'Population Treasury'!AG$179*'Statistics NZ'!AG$474/('Population Treasury'!AF$179*'Statistics NZ'!AF$474)</f>
        <v>26509.636393537057</v>
      </c>
      <c r="T129" s="46">
        <f>S$129*'Population Treasury'!AH$179*'Statistics NZ'!AH$474/('Population Treasury'!AG$179*'Statistics NZ'!AG$474)</f>
        <v>25534.815705635028</v>
      </c>
      <c r="U129" s="46">
        <f>T$129*'Population Treasury'!AI$179*'Statistics NZ'!AI$474/('Population Treasury'!AH$179*'Statistics NZ'!AH$474)</f>
        <v>24856.678727025712</v>
      </c>
    </row>
    <row r="130" spans="1:21" x14ac:dyDescent="0.25">
      <c r="A130" s="11">
        <f>$A$60</f>
        <v>65</v>
      </c>
      <c r="B130" s="44">
        <f>'Population Treasury'!P$180*'Statistics NZ'!P$475*'Economic Forecasts'!R$8/B$7</f>
        <v>16701.339466012912</v>
      </c>
      <c r="C130" s="44">
        <f>'Population Treasury'!Q$180*'Statistics NZ'!Q$475*'Economic Forecasts'!S$8/C$7</f>
        <v>17377.292894452505</v>
      </c>
      <c r="D130" s="44">
        <f>'Population Treasury'!R$180*'Statistics NZ'!R$475*'Economic Forecasts'!T$8/D$7</f>
        <v>17982.595737968979</v>
      </c>
      <c r="E130" s="45">
        <f>'Population Treasury'!S$180*'Statistics NZ'!S$475*'Economic Forecasts'!U$8/E$7</f>
        <v>18633.313210561446</v>
      </c>
      <c r="F130" s="45">
        <f>'Population Treasury'!T$180*'Statistics NZ'!T$475*'Economic Forecasts'!V$8/F$7</f>
        <v>20032.441597350786</v>
      </c>
      <c r="G130" s="45">
        <f>'Population Treasury'!U$180*'Statistics NZ'!U$475*'Economic Forecasts'!W$8/G$7</f>
        <v>20497.924192663097</v>
      </c>
      <c r="H130" s="45">
        <f>'Population Treasury'!V$180*'Statistics NZ'!V$475*'Economic Forecasts'!X$8/H$7</f>
        <v>21343.768390013021</v>
      </c>
      <c r="I130" s="45">
        <f>'Population Treasury'!W$180*'Statistics NZ'!W$475*'Economic Forecasts'!Y$8/I$7</f>
        <v>22238.343815302647</v>
      </c>
      <c r="J130" s="45">
        <f>'Population Treasury'!X$180*'Statistics NZ'!X$475*'Economic Forecasts'!Z$8/J$7</f>
        <v>22682.78141488877</v>
      </c>
      <c r="K130" s="45">
        <f>'Population Treasury'!Y$180*'Statistics NZ'!Y$475*'Economic Forecasts'!AA$8/K$7</f>
        <v>22639.164620630036</v>
      </c>
      <c r="L130" s="46">
        <f>K$130*'Population Treasury'!Z$180*'Statistics NZ'!Z$475/('Population Treasury'!Y$180*'Statistics NZ'!Y$475)</f>
        <v>22250.859184871955</v>
      </c>
      <c r="M130" s="46">
        <f>L$130*'Population Treasury'!AA$180*'Statistics NZ'!AA$475/('Population Treasury'!Z$180*'Statistics NZ'!Z$475)</f>
        <v>22009.713799639478</v>
      </c>
      <c r="N130" s="46">
        <f>M$130*'Population Treasury'!AB$180*'Statistics NZ'!AB$475/('Population Treasury'!AA$180*'Statistics NZ'!AA$475)</f>
        <v>22169.010587859208</v>
      </c>
      <c r="O130" s="46">
        <f>N$130*'Population Treasury'!AC$180*'Statistics NZ'!AC$475/('Population Treasury'!AB$180*'Statistics NZ'!AB$475)</f>
        <v>22663.510684304572</v>
      </c>
      <c r="P130" s="46">
        <f>O$130*'Population Treasury'!AD$180*'Statistics NZ'!AD$475/('Population Treasury'!AC$180*'Statistics NZ'!AC$475)</f>
        <v>23252.471783477009</v>
      </c>
      <c r="Q130" s="46">
        <f>P$130*'Population Treasury'!AE$180*'Statistics NZ'!AE$475/('Population Treasury'!AD$180*'Statistics NZ'!AD$475)</f>
        <v>23306.01489971047</v>
      </c>
      <c r="R130" s="46">
        <f>Q$130*'Population Treasury'!AF$180*'Statistics NZ'!AF$475/('Population Treasury'!AE$180*'Statistics NZ'!AE$475)</f>
        <v>23851.975687419312</v>
      </c>
      <c r="S130" s="46">
        <f>R$130*'Population Treasury'!AG$180*'Statistics NZ'!AG$475/('Population Treasury'!AF$180*'Statistics NZ'!AF$475)</f>
        <v>23907.545904421193</v>
      </c>
      <c r="T130" s="46">
        <f>S$130*'Population Treasury'!AH$180*'Statistics NZ'!AH$475/('Population Treasury'!AG$180*'Statistics NZ'!AG$475)</f>
        <v>23318.683967206383</v>
      </c>
      <c r="U130" s="46">
        <f>T$130*'Population Treasury'!AI$180*'Statistics NZ'!AI$475/('Population Treasury'!AH$180*'Statistics NZ'!AH$475)</f>
        <v>22470.239973534022</v>
      </c>
    </row>
    <row r="131" spans="1:21" x14ac:dyDescent="0.25">
      <c r="A131" s="11">
        <f>$A$61</f>
        <v>66</v>
      </c>
      <c r="B131" s="44">
        <f>'Population Treasury'!P$181*'Statistics NZ'!P$476*'Economic Forecasts'!R$8/B$7</f>
        <v>14626.811553731195</v>
      </c>
      <c r="C131" s="44">
        <f>'Population Treasury'!Q$181*'Statistics NZ'!Q$476*'Economic Forecasts'!S$8/C$7</f>
        <v>15163.350364471446</v>
      </c>
      <c r="D131" s="44">
        <f>'Population Treasury'!R$181*'Statistics NZ'!R$476*'Economic Forecasts'!T$8/D$7</f>
        <v>15825.377419125149</v>
      </c>
      <c r="E131" s="45">
        <f>'Population Treasury'!S$181*'Statistics NZ'!S$476*'Economic Forecasts'!U$8/E$7</f>
        <v>16392.734591645425</v>
      </c>
      <c r="F131" s="45">
        <f>'Population Treasury'!T$181*'Statistics NZ'!T$476*'Economic Forecasts'!V$8/F$7</f>
        <v>17298.439991792791</v>
      </c>
      <c r="G131" s="45">
        <f>'Population Treasury'!U$181*'Statistics NZ'!U$476*'Economic Forecasts'!W$8/G$7</f>
        <v>18157.244001437972</v>
      </c>
      <c r="H131" s="45">
        <f>'Population Treasury'!V$181*'Statistics NZ'!V$476*'Economic Forecasts'!X$8/H$7</f>
        <v>18676.332709770126</v>
      </c>
      <c r="I131" s="45">
        <f>'Population Treasury'!W$181*'Statistics NZ'!W$476*'Economic Forecasts'!Y$8/I$7</f>
        <v>19486.896357722198</v>
      </c>
      <c r="J131" s="45">
        <f>'Population Treasury'!X$181*'Statistics NZ'!X$476*'Economic Forecasts'!Z$8/J$7</f>
        <v>20301.063333858601</v>
      </c>
      <c r="K131" s="45">
        <f>'Population Treasury'!Y$181*'Statistics NZ'!Y$476*'Economic Forecasts'!AA$8/K$7</f>
        <v>20697.206553649066</v>
      </c>
      <c r="L131" s="46">
        <f>K$131*'Population Treasury'!Z$181*'Statistics NZ'!Z$476/('Population Treasury'!Y$181*'Statistics NZ'!Y$476)</f>
        <v>20555.305604408419</v>
      </c>
      <c r="M131" s="46">
        <f>L$131*'Population Treasury'!AA$181*'Statistics NZ'!AA$476/('Population Treasury'!Z$181*'Statistics NZ'!Z$476)</f>
        <v>20214.731628331112</v>
      </c>
      <c r="N131" s="46">
        <f>M$131*'Population Treasury'!AB$181*'Statistics NZ'!AB$476/('Population Treasury'!AA$181*'Statistics NZ'!AA$476)</f>
        <v>19989.726029088637</v>
      </c>
      <c r="O131" s="46">
        <f>N$131*'Population Treasury'!AC$181*'Statistics NZ'!AC$476/('Population Treasury'!AB$181*'Statistics NZ'!AB$476)</f>
        <v>20143.353523187856</v>
      </c>
      <c r="P131" s="46">
        <f>O$131*'Population Treasury'!AD$181*'Statistics NZ'!AD$476/('Population Treasury'!AC$181*'Statistics NZ'!AC$476)</f>
        <v>20594.8071063598</v>
      </c>
      <c r="Q131" s="46">
        <f>P$131*'Population Treasury'!AE$181*'Statistics NZ'!AE$476/('Population Treasury'!AD$181*'Statistics NZ'!AD$476)</f>
        <v>21143.789731362511</v>
      </c>
      <c r="R131" s="46">
        <f>Q$131*'Population Treasury'!AF$181*'Statistics NZ'!AF$476/('Population Treasury'!AE$181*'Statistics NZ'!AE$476)</f>
        <v>21184.510607642533</v>
      </c>
      <c r="S131" s="46">
        <f>R$131*'Population Treasury'!AG$181*'Statistics NZ'!AG$476/('Population Treasury'!AF$181*'Statistics NZ'!AF$476)</f>
        <v>21674.233307334503</v>
      </c>
      <c r="T131" s="46">
        <f>S$131*'Population Treasury'!AH$181*'Statistics NZ'!AH$476/('Population Treasury'!AG$181*'Statistics NZ'!AG$476)</f>
        <v>21736.208871296825</v>
      </c>
      <c r="U131" s="46">
        <f>T$131*'Population Treasury'!AI$181*'Statistics NZ'!AI$476/('Population Treasury'!AH$181*'Statistics NZ'!AH$476)</f>
        <v>21200.851185553609</v>
      </c>
    </row>
    <row r="132" spans="1:21" x14ac:dyDescent="0.25">
      <c r="A132" s="11">
        <f>$A$62</f>
        <v>67</v>
      </c>
      <c r="B132" s="44">
        <f>'Population Treasury'!P$182*'Statistics NZ'!P$477*'Economic Forecasts'!R$8/B$7</f>
        <v>12698.470715723564</v>
      </c>
      <c r="C132" s="44">
        <f>'Population Treasury'!Q$182*'Statistics NZ'!Q$477*'Economic Forecasts'!S$8/C$7</f>
        <v>13249.144461417503</v>
      </c>
      <c r="D132" s="44">
        <f>'Population Treasury'!R$182*'Statistics NZ'!R$477*'Economic Forecasts'!T$8/D$7</f>
        <v>13691.323245080461</v>
      </c>
      <c r="E132" s="45">
        <f>'Population Treasury'!S$182*'Statistics NZ'!S$477*'Economic Forecasts'!U$8/E$7</f>
        <v>14364.403566622572</v>
      </c>
      <c r="F132" s="45">
        <f>'Population Treasury'!T$182*'Statistics NZ'!T$477*'Economic Forecasts'!V$8/F$7</f>
        <v>15150.169978146843</v>
      </c>
      <c r="G132" s="45">
        <f>'Population Treasury'!U$182*'Statistics NZ'!U$477*'Economic Forecasts'!W$8/G$7</f>
        <v>15606.304169362973</v>
      </c>
      <c r="H132" s="45">
        <f>'Population Treasury'!V$182*'Statistics NZ'!V$477*'Economic Forecasts'!X$8/H$7</f>
        <v>16483.309842344053</v>
      </c>
      <c r="I132" s="45">
        <f>'Population Treasury'!W$182*'Statistics NZ'!W$477*'Economic Forecasts'!Y$8/I$7</f>
        <v>16985.122267637751</v>
      </c>
      <c r="J132" s="45">
        <f>'Population Treasury'!X$182*'Statistics NZ'!X$477*'Economic Forecasts'!Z$8/J$7</f>
        <v>17712.009080534346</v>
      </c>
      <c r="K132" s="45">
        <f>'Population Treasury'!Y$182*'Statistics NZ'!Y$477*'Economic Forecasts'!AA$8/K$7</f>
        <v>18420.753166467475</v>
      </c>
      <c r="L132" s="46">
        <f>K$132*'Population Treasury'!Z$182*'Statistics NZ'!Z$477/('Population Treasury'!Y$182*'Statistics NZ'!Y$477)</f>
        <v>18697.386126521535</v>
      </c>
      <c r="M132" s="46">
        <f>L$132*'Population Treasury'!AA$182*'Statistics NZ'!AA$477/('Population Treasury'!Z$182*'Statistics NZ'!Z$477)</f>
        <v>18565.709163832842</v>
      </c>
      <c r="N132" s="46">
        <f>M$132*'Population Treasury'!AB$182*'Statistics NZ'!AB$477/('Population Treasury'!AA$182*'Statistics NZ'!AA$477)</f>
        <v>18265.871196869546</v>
      </c>
      <c r="O132" s="46">
        <f>N$132*'Population Treasury'!AC$182*'Statistics NZ'!AC$477/('Population Treasury'!AB$182*'Statistics NZ'!AB$477)</f>
        <v>18080.954672023414</v>
      </c>
      <c r="P132" s="46">
        <f>O$132*'Population Treasury'!AD$182*'Statistics NZ'!AD$477/('Population Treasury'!AC$182*'Statistics NZ'!AC$477)</f>
        <v>18208.3884490526</v>
      </c>
      <c r="Q132" s="46">
        <f>P$132*'Population Treasury'!AE$182*'Statistics NZ'!AE$477/('Population Treasury'!AD$182*'Statistics NZ'!AD$477)</f>
        <v>18627.615066462127</v>
      </c>
      <c r="R132" s="46">
        <f>Q$132*'Population Treasury'!AF$182*'Statistics NZ'!AF$477/('Population Treasury'!AE$182*'Statistics NZ'!AE$477)</f>
        <v>19123.678796443717</v>
      </c>
      <c r="S132" s="46">
        <f>R$132*'Population Treasury'!AG$182*'Statistics NZ'!AG$477/('Population Treasury'!AF$182*'Statistics NZ'!AF$477)</f>
        <v>19158.886623163438</v>
      </c>
      <c r="T132" s="46">
        <f>S$132*'Population Treasury'!AH$182*'Statistics NZ'!AH$477/('Population Treasury'!AG$182*'Statistics NZ'!AG$477)</f>
        <v>19603.308395421987</v>
      </c>
      <c r="U132" s="46">
        <f>T$132*'Population Treasury'!AI$182*'Statistics NZ'!AI$477/('Population Treasury'!AH$182*'Statistics NZ'!AH$477)</f>
        <v>19664.573268068147</v>
      </c>
    </row>
    <row r="133" spans="1:21" x14ac:dyDescent="0.25">
      <c r="A133" s="11">
        <f>$A$63</f>
        <v>68</v>
      </c>
      <c r="B133" s="44">
        <f>'Population Treasury'!P$183*'Statistics NZ'!P$478*'Economic Forecasts'!R$8/B$7</f>
        <v>11148.837970516794</v>
      </c>
      <c r="C133" s="44">
        <f>'Population Treasury'!Q$183*'Statistics NZ'!Q$478*'Economic Forecasts'!S$8/C$7</f>
        <v>11464.431317404733</v>
      </c>
      <c r="D133" s="44">
        <f>'Population Treasury'!R$183*'Statistics NZ'!R$478*'Economic Forecasts'!T$8/D$7</f>
        <v>11972.531071457573</v>
      </c>
      <c r="E133" s="45">
        <f>'Population Treasury'!S$183*'Statistics NZ'!S$478*'Economic Forecasts'!U$8/E$7</f>
        <v>12385.198792115538</v>
      </c>
      <c r="F133" s="45">
        <f>'Population Treasury'!T$183*'Statistics NZ'!T$478*'Economic Forecasts'!V$8/F$7</f>
        <v>13207.175702553057</v>
      </c>
      <c r="G133" s="45">
        <f>'Population Treasury'!U$183*'Statistics NZ'!U$478*'Economic Forecasts'!W$8/G$7</f>
        <v>13610.260965383553</v>
      </c>
      <c r="H133" s="45">
        <f>'Population Treasury'!V$183*'Statistics NZ'!V$478*'Economic Forecasts'!X$8/H$7</f>
        <v>14100.881730680941</v>
      </c>
      <c r="I133" s="45">
        <f>'Population Treasury'!W$183*'Statistics NZ'!W$478*'Economic Forecasts'!Y$8/I$7</f>
        <v>14920.360820463291</v>
      </c>
      <c r="J133" s="45">
        <f>'Population Treasury'!X$183*'Statistics NZ'!X$478*'Economic Forecasts'!Z$8/J$7</f>
        <v>15371.160022876962</v>
      </c>
      <c r="K133" s="45">
        <f>'Population Treasury'!Y$183*'Statistics NZ'!Y$478*'Economic Forecasts'!AA$8/K$7</f>
        <v>16013.969949479479</v>
      </c>
      <c r="L133" s="46">
        <f>K$133*'Population Treasury'!Z$183*'Statistics NZ'!Z$478/('Population Treasury'!Y$183*'Statistics NZ'!Y$478)</f>
        <v>16562.186370449988</v>
      </c>
      <c r="M133" s="46">
        <f>L$133*'Population Treasury'!AA$183*'Statistics NZ'!AA$478/('Population Treasury'!Z$183*'Statistics NZ'!Z$478)</f>
        <v>16805.378066390633</v>
      </c>
      <c r="N133" s="46">
        <f>M$133*'Population Treasury'!AB$183*'Statistics NZ'!AB$478/('Population Treasury'!AA$183*'Statistics NZ'!AA$478)</f>
        <v>16705.247105125534</v>
      </c>
      <c r="O133" s="46">
        <f>N$133*'Population Treasury'!AC$183*'Statistics NZ'!AC$478/('Population Treasury'!AB$183*'Statistics NZ'!AB$478)</f>
        <v>16441.356334629087</v>
      </c>
      <c r="P133" s="46">
        <f>O$133*'Population Treasury'!AD$183*'Statistics NZ'!AD$478/('Population Treasury'!AC$183*'Statistics NZ'!AC$478)</f>
        <v>16263.388601426021</v>
      </c>
      <c r="Q133" s="46">
        <f>P$133*'Population Treasury'!AE$183*'Statistics NZ'!AE$478/('Population Treasury'!AD$183*'Statistics NZ'!AD$478)</f>
        <v>16396.719354493594</v>
      </c>
      <c r="R133" s="46">
        <f>Q$133*'Population Treasury'!AF$183*'Statistics NZ'!AF$478/('Population Treasury'!AE$183*'Statistics NZ'!AE$478)</f>
        <v>16773.396396168693</v>
      </c>
      <c r="S133" s="46">
        <f>R$133*'Population Treasury'!AG$183*'Statistics NZ'!AG$478/('Population Treasury'!AF$183*'Statistics NZ'!AF$478)</f>
        <v>17213.149221136333</v>
      </c>
      <c r="T133" s="46">
        <f>S$133*'Population Treasury'!AH$183*'Statistics NZ'!AH$478/('Population Treasury'!AG$183*'Statistics NZ'!AG$478)</f>
        <v>17258.808001582289</v>
      </c>
      <c r="U133" s="46">
        <f>T$133*'Population Treasury'!AI$183*'Statistics NZ'!AI$478/('Population Treasury'!AH$183*'Statistics NZ'!AH$478)</f>
        <v>17652.794952072083</v>
      </c>
    </row>
    <row r="134" spans="1:21" x14ac:dyDescent="0.25">
      <c r="A134" s="11">
        <f>$A$64</f>
        <v>69</v>
      </c>
      <c r="B134" s="44">
        <f>'Population Treasury'!P$184*'Statistics NZ'!P$479*'Economic Forecasts'!R$8/B$7</f>
        <v>9686.9457319421235</v>
      </c>
      <c r="C134" s="44">
        <f>'Population Treasury'!Q$184*'Statistics NZ'!Q$479*'Economic Forecasts'!S$8/C$7</f>
        <v>10011.007265060653</v>
      </c>
      <c r="D134" s="44">
        <f>'Population Treasury'!R$184*'Statistics NZ'!R$479*'Economic Forecasts'!T$8/D$7</f>
        <v>10313.55074783959</v>
      </c>
      <c r="E134" s="45">
        <f>'Population Treasury'!S$184*'Statistics NZ'!S$479*'Economic Forecasts'!U$8/E$7</f>
        <v>10786.671895220885</v>
      </c>
      <c r="F134" s="45">
        <f>'Population Treasury'!T$184*'Statistics NZ'!T$479*'Economic Forecasts'!V$8/F$7</f>
        <v>11341.829654149809</v>
      </c>
      <c r="G134" s="45">
        <f>'Population Treasury'!U$184*'Statistics NZ'!U$479*'Economic Forecasts'!W$8/G$7</f>
        <v>11822.095495829175</v>
      </c>
      <c r="H134" s="45">
        <f>'Population Treasury'!V$184*'Statistics NZ'!V$479*'Economic Forecasts'!X$8/H$7</f>
        <v>12245.784879267849</v>
      </c>
      <c r="I134" s="45">
        <f>'Population Treasury'!W$184*'Statistics NZ'!W$479*'Economic Forecasts'!Y$8/I$7</f>
        <v>12710.413218984195</v>
      </c>
      <c r="J134" s="45">
        <f>'Population Treasury'!X$184*'Statistics NZ'!X$479*'Economic Forecasts'!Z$8/J$7</f>
        <v>13439.253810137225</v>
      </c>
      <c r="K134" s="45">
        <f>'Population Treasury'!Y$184*'Statistics NZ'!Y$479*'Economic Forecasts'!AA$8/K$7</f>
        <v>13839.509261945155</v>
      </c>
      <c r="L134" s="46">
        <f>K$134*'Population Treasury'!Z$184*'Statistics NZ'!Z$479/('Population Treasury'!Y$184*'Statistics NZ'!Y$479)</f>
        <v>14336.957319829506</v>
      </c>
      <c r="M134" s="46">
        <f>L$134*'Population Treasury'!AA$184*'Statistics NZ'!AA$479/('Population Treasury'!Z$184*'Statistics NZ'!Z$479)</f>
        <v>14844.712072488725</v>
      </c>
      <c r="N134" s="46">
        <f>M$134*'Population Treasury'!AB$184*'Statistics NZ'!AB$479/('Population Treasury'!AA$184*'Statistics NZ'!AA$479)</f>
        <v>15065.368021674327</v>
      </c>
      <c r="O134" s="46">
        <f>N$134*'Population Treasury'!AC$184*'Statistics NZ'!AC$479/('Population Treasury'!AB$184*'Statistics NZ'!AB$479)</f>
        <v>14965.306481346701</v>
      </c>
      <c r="P134" s="46">
        <f>O$134*'Population Treasury'!AD$184*'Statistics NZ'!AD$479/('Population Treasury'!AC$184*'Statistics NZ'!AC$479)</f>
        <v>14726.697700773251</v>
      </c>
      <c r="Q134" s="46">
        <f>P$134*'Population Treasury'!AE$184*'Statistics NZ'!AE$479/('Population Treasury'!AD$184*'Statistics NZ'!AD$479)</f>
        <v>14577.258405436818</v>
      </c>
      <c r="R134" s="46">
        <f>Q$134*'Population Treasury'!AF$184*'Statistics NZ'!AF$479/('Population Treasury'!AE$184*'Statistics NZ'!AE$479)</f>
        <v>14695.945967144338</v>
      </c>
      <c r="S134" s="46">
        <f>R$134*'Population Treasury'!AG$184*'Statistics NZ'!AG$479/('Population Treasury'!AF$184*'Statistics NZ'!AF$479)</f>
        <v>15040.838829814189</v>
      </c>
      <c r="T134" s="46">
        <f>S$134*'Population Treasury'!AH$184*'Statistics NZ'!AH$479/('Population Treasury'!AG$184*'Statistics NZ'!AG$479)</f>
        <v>15435.269441325971</v>
      </c>
      <c r="U134" s="46">
        <f>T$134*'Population Treasury'!AI$184*'Statistics NZ'!AI$479/('Population Treasury'!AH$184*'Statistics NZ'!AH$479)</f>
        <v>15469.64486458284</v>
      </c>
    </row>
    <row r="135" spans="1:21" x14ac:dyDescent="0.25">
      <c r="A135" s="11">
        <f>$A$65</f>
        <v>70</v>
      </c>
      <c r="B135" s="44">
        <f>'Population Treasury'!P$185*'Statistics NZ'!P$480*'Economic Forecasts'!R$8/B$7</f>
        <v>8458.8694742388107</v>
      </c>
      <c r="C135" s="44">
        <f>'Population Treasury'!Q$185*'Statistics NZ'!Q$480*'Economic Forecasts'!S$8/C$7</f>
        <v>8668.5331476109895</v>
      </c>
      <c r="D135" s="44">
        <f>'Population Treasury'!R$185*'Statistics NZ'!R$480*'Economic Forecasts'!T$8/D$7</f>
        <v>8966.0159428949464</v>
      </c>
      <c r="E135" s="45">
        <f>'Population Treasury'!S$185*'Statistics NZ'!S$480*'Economic Forecasts'!U$8/E$7</f>
        <v>9194.4198898100367</v>
      </c>
      <c r="F135" s="45">
        <f>'Population Treasury'!T$185*'Statistics NZ'!T$480*'Economic Forecasts'!V$8/F$7</f>
        <v>9808.4766046768109</v>
      </c>
      <c r="G135" s="45">
        <f>'Population Treasury'!U$185*'Statistics NZ'!U$480*'Economic Forecasts'!W$8/G$7</f>
        <v>10095.715351926683</v>
      </c>
      <c r="H135" s="45">
        <f>'Population Treasury'!V$185*'Statistics NZ'!V$480*'Economic Forecasts'!X$8/H$7</f>
        <v>10579.75208973491</v>
      </c>
      <c r="I135" s="45">
        <f>'Population Treasury'!W$185*'Statistics NZ'!W$480*'Economic Forecasts'!Y$8/I$7</f>
        <v>10982.472733726247</v>
      </c>
      <c r="J135" s="45">
        <f>'Population Treasury'!X$185*'Statistics NZ'!X$480*'Economic Forecasts'!Z$8/J$7</f>
        <v>11394.861187670325</v>
      </c>
      <c r="K135" s="45">
        <f>'Population Treasury'!Y$185*'Statistics NZ'!Y$480*'Economic Forecasts'!AA$8/K$7</f>
        <v>12036.638870442985</v>
      </c>
      <c r="L135" s="46">
        <f>K$135*'Population Treasury'!Z$185*'Statistics NZ'!Z$480/('Population Treasury'!Y$185*'Statistics NZ'!Y$480)</f>
        <v>12320.446335399007</v>
      </c>
      <c r="M135" s="46">
        <f>L$135*'Population Treasury'!AA$185*'Statistics NZ'!AA$480/('Population Treasury'!Z$185*'Statistics NZ'!Z$480)</f>
        <v>12763.173453058524</v>
      </c>
      <c r="N135" s="46">
        <f>M$135*'Population Treasury'!AB$185*'Statistics NZ'!AB$480/('Population Treasury'!AA$185*'Statistics NZ'!AA$480)</f>
        <v>13208.591683029785</v>
      </c>
      <c r="O135" s="46">
        <f>N$135*'Population Treasury'!AC$185*'Statistics NZ'!AC$480/('Population Treasury'!AB$185*'Statistics NZ'!AB$480)</f>
        <v>13398.030814984309</v>
      </c>
      <c r="P135" s="46">
        <f>O$135*'Population Treasury'!AD$185*'Statistics NZ'!AD$480/('Population Treasury'!AC$185*'Statistics NZ'!AC$480)</f>
        <v>13315.530789210969</v>
      </c>
      <c r="Q135" s="46">
        <f>P$135*'Population Treasury'!AE$185*'Statistics NZ'!AE$480/('Population Treasury'!AD$185*'Statistics NZ'!AD$480)</f>
        <v>13104.809840338419</v>
      </c>
      <c r="R135" s="46">
        <f>Q$135*'Population Treasury'!AF$185*'Statistics NZ'!AF$480/('Population Treasury'!AE$185*'Statistics NZ'!AE$480)</f>
        <v>12976.074259099058</v>
      </c>
      <c r="S135" s="46">
        <f>R$135*'Population Treasury'!AG$185*'Statistics NZ'!AG$480/('Population Treasury'!AF$185*'Statistics NZ'!AF$480)</f>
        <v>13078.989429431833</v>
      </c>
      <c r="T135" s="46">
        <f>S$135*'Population Treasury'!AH$185*'Statistics NZ'!AH$480/('Population Treasury'!AG$185*'Statistics NZ'!AG$480)</f>
        <v>13380.916219347975</v>
      </c>
      <c r="U135" s="46">
        <f>T$135*'Population Treasury'!AI$185*'Statistics NZ'!AI$480/('Population Treasury'!AH$185*'Statistics NZ'!AH$480)</f>
        <v>13730.344452238753</v>
      </c>
    </row>
    <row r="136" spans="1:21" x14ac:dyDescent="0.25">
      <c r="A136" s="11">
        <f>$A$66</f>
        <v>71</v>
      </c>
      <c r="B136" s="44">
        <f>'Population Treasury'!P$186*'Statistics NZ'!P$481*'Economic Forecasts'!R$8/B$7</f>
        <v>7340.5176572365262</v>
      </c>
      <c r="C136" s="44">
        <f>'Population Treasury'!Q$186*'Statistics NZ'!Q$481*'Economic Forecasts'!S$8/C$7</f>
        <v>7542.1791330616243</v>
      </c>
      <c r="D136" s="44">
        <f>'Population Treasury'!R$186*'Statistics NZ'!R$481*'Economic Forecasts'!T$8/D$7</f>
        <v>7739.890750426739</v>
      </c>
      <c r="E136" s="45">
        <f>'Population Treasury'!S$186*'Statistics NZ'!S$481*'Economic Forecasts'!U$8/E$7</f>
        <v>7966.3649777405208</v>
      </c>
      <c r="F136" s="45">
        <f>'Population Treasury'!T$186*'Statistics NZ'!T$481*'Economic Forecasts'!V$8/F$7</f>
        <v>8361.9592642636489</v>
      </c>
      <c r="G136" s="45">
        <f>'Population Treasury'!U$186*'Statistics NZ'!U$481*'Economic Forecasts'!W$8/G$7</f>
        <v>8706.6330580551603</v>
      </c>
      <c r="H136" s="45">
        <f>'Population Treasury'!V$186*'Statistics NZ'!V$481*'Economic Forecasts'!X$8/H$7</f>
        <v>8992.6885698542792</v>
      </c>
      <c r="I136" s="45">
        <f>'Population Treasury'!W$186*'Statistics NZ'!W$481*'Economic Forecasts'!Y$8/I$7</f>
        <v>9445.0249418933636</v>
      </c>
      <c r="J136" s="45">
        <f>'Population Treasury'!X$186*'Statistics NZ'!X$481*'Economic Forecasts'!Z$8/J$7</f>
        <v>9801.2239816033471</v>
      </c>
      <c r="K136" s="45">
        <f>'Population Treasury'!Y$186*'Statistics NZ'!Y$481*'Economic Forecasts'!AA$8/K$7</f>
        <v>10156.133349348896</v>
      </c>
      <c r="L136" s="46">
        <f>K$136*'Population Treasury'!Z$186*'Statistics NZ'!Z$481/('Population Treasury'!Y$186*'Statistics NZ'!Y$481)</f>
        <v>10669.648879840583</v>
      </c>
      <c r="M136" s="46">
        <f>L$136*'Population Treasury'!AA$186*'Statistics NZ'!AA$481/('Population Treasury'!Z$186*'Statistics NZ'!Z$481)</f>
        <v>10925.345530044438</v>
      </c>
      <c r="N136" s="46">
        <f>M$136*'Population Treasury'!AB$186*'Statistics NZ'!AB$481/('Population Treasury'!AA$186*'Statistics NZ'!AA$481)</f>
        <v>11317.187953811166</v>
      </c>
      <c r="O136" s="46">
        <f>N$136*'Population Treasury'!AC$186*'Statistics NZ'!AC$481/('Population Treasury'!AB$186*'Statistics NZ'!AB$481)</f>
        <v>11708.374929819987</v>
      </c>
      <c r="P136" s="46">
        <f>O$136*'Population Treasury'!AD$186*'Statistics NZ'!AD$481/('Population Treasury'!AC$186*'Statistics NZ'!AC$481)</f>
        <v>11885.283441774589</v>
      </c>
      <c r="Q136" s="46">
        <f>P$136*'Population Treasury'!AE$186*'Statistics NZ'!AE$481/('Population Treasury'!AD$186*'Statistics NZ'!AD$481)</f>
        <v>11810.768884829207</v>
      </c>
      <c r="R136" s="46">
        <f>Q$136*'Population Treasury'!AF$186*'Statistics NZ'!AF$481/('Population Treasury'!AE$186*'Statistics NZ'!AE$481)</f>
        <v>11625.68984649947</v>
      </c>
      <c r="S136" s="46">
        <f>R$136*'Population Treasury'!AG$186*'Statistics NZ'!AG$481/('Population Treasury'!AF$186*'Statistics NZ'!AF$481)</f>
        <v>11510.457443687492</v>
      </c>
      <c r="T136" s="46">
        <f>S$136*'Population Treasury'!AH$186*'Statistics NZ'!AH$481/('Population Treasury'!AG$186*'Statistics NZ'!AG$481)</f>
        <v>11600.444584051733</v>
      </c>
      <c r="U136" s="46">
        <f>T$136*'Population Treasury'!AI$186*'Statistics NZ'!AI$481/('Population Treasury'!AH$186*'Statistics NZ'!AH$481)</f>
        <v>11867.677750349914</v>
      </c>
    </row>
    <row r="137" spans="1:21" x14ac:dyDescent="0.25">
      <c r="A137" s="11">
        <f>$A$67</f>
        <v>72</v>
      </c>
      <c r="B137" s="44">
        <f>'Population Treasury'!P$187*'Statistics NZ'!P$482*'Economic Forecasts'!R$8/B$7</f>
        <v>6372.6982226876917</v>
      </c>
      <c r="C137" s="44">
        <f>'Population Treasury'!Q$187*'Statistics NZ'!Q$482*'Economic Forecasts'!S$8/C$7</f>
        <v>6505.7721370839317</v>
      </c>
      <c r="D137" s="44">
        <f>'Population Treasury'!R$187*'Statistics NZ'!R$482*'Economic Forecasts'!T$8/D$7</f>
        <v>6667.7116547756523</v>
      </c>
      <c r="E137" s="45">
        <f>'Population Treasury'!S$187*'Statistics NZ'!S$482*'Economic Forecasts'!U$8/E$7</f>
        <v>6833.9593930632836</v>
      </c>
      <c r="F137" s="45">
        <f>'Population Treasury'!T$187*'Statistics NZ'!T$482*'Economic Forecasts'!V$8/F$7</f>
        <v>7202.0777069546302</v>
      </c>
      <c r="G137" s="45">
        <f>'Population Treasury'!U$187*'Statistics NZ'!U$482*'Economic Forecasts'!W$8/G$7</f>
        <v>7387.9151990554883</v>
      </c>
      <c r="H137" s="45">
        <f>'Population Treasury'!V$187*'Statistics NZ'!V$482*'Economic Forecasts'!X$8/H$7</f>
        <v>7716.5746601602896</v>
      </c>
      <c r="I137" s="45">
        <f>'Population Treasury'!W$187*'Statistics NZ'!W$482*'Economic Forecasts'!Y$8/I$7</f>
        <v>7986.7456848881666</v>
      </c>
      <c r="J137" s="45">
        <f>'Population Treasury'!X$187*'Statistics NZ'!X$482*'Economic Forecasts'!Z$8/J$7</f>
        <v>8374.8337866111851</v>
      </c>
      <c r="K137" s="45">
        <f>'Population Treasury'!Y$187*'Statistics NZ'!Y$482*'Economic Forecasts'!AA$8/K$7</f>
        <v>8684.4154069439901</v>
      </c>
      <c r="L137" s="46">
        <f>K$137*'Population Treasury'!Z$187*'Statistics NZ'!Z$482/('Population Treasury'!Y$187*'Statistics NZ'!Y$482)</f>
        <v>8954.313173201941</v>
      </c>
      <c r="M137" s="46">
        <f>L$137*'Population Treasury'!AA$187*'Statistics NZ'!AA$482/('Population Treasury'!Z$187*'Statistics NZ'!Z$482)</f>
        <v>9402.1073031689575</v>
      </c>
      <c r="N137" s="46">
        <f>M$137*'Population Treasury'!AB$187*'Statistics NZ'!AB$482/('Population Treasury'!AA$187*'Statistics NZ'!AA$482)</f>
        <v>9628.9882818408241</v>
      </c>
      <c r="O137" s="46">
        <f>N$137*'Population Treasury'!AC$187*'Statistics NZ'!AC$482/('Population Treasury'!AB$187*'Statistics NZ'!AB$482)</f>
        <v>9981.7119661624019</v>
      </c>
      <c r="P137" s="46">
        <f>O$137*'Population Treasury'!AD$187*'Statistics NZ'!AD$482/('Population Treasury'!AC$187*'Statistics NZ'!AC$482)</f>
        <v>10337.045885668824</v>
      </c>
      <c r="Q137" s="46">
        <f>P$137*'Population Treasury'!AE$187*'Statistics NZ'!AE$482/('Population Treasury'!AD$187*'Statistics NZ'!AD$482)</f>
        <v>10485.553078035253</v>
      </c>
      <c r="R137" s="46">
        <f>Q$137*'Population Treasury'!AF$187*'Statistics NZ'!AF$482/('Population Treasury'!AE$187*'Statistics NZ'!AE$482)</f>
        <v>10420.050779218875</v>
      </c>
      <c r="S137" s="46">
        <f>R$137*'Population Treasury'!AG$187*'Statistics NZ'!AG$482/('Population Treasury'!AF$187*'Statistics NZ'!AF$482)</f>
        <v>10263.139071115136</v>
      </c>
      <c r="T137" s="46">
        <f>S$137*'Population Treasury'!AH$187*'Statistics NZ'!AH$482/('Population Treasury'!AG$187*'Statistics NZ'!AG$482)</f>
        <v>10164.850963788393</v>
      </c>
      <c r="U137" s="46">
        <f>T$137*'Population Treasury'!AI$187*'Statistics NZ'!AI$482/('Population Treasury'!AH$187*'Statistics NZ'!AH$482)</f>
        <v>10249.043855068287</v>
      </c>
    </row>
    <row r="138" spans="1:21" x14ac:dyDescent="0.25">
      <c r="A138" s="11">
        <f>$A$68</f>
        <v>73</v>
      </c>
      <c r="B138" s="44">
        <f>'Population Treasury'!P$188*'Statistics NZ'!P$483*'Economic Forecasts'!R$8/B$7</f>
        <v>5475.9255075769634</v>
      </c>
      <c r="C138" s="44">
        <f>'Population Treasury'!Q$188*'Statistics NZ'!Q$483*'Economic Forecasts'!S$8/C$7</f>
        <v>5616.3093905167343</v>
      </c>
      <c r="D138" s="44">
        <f>'Population Treasury'!R$188*'Statistics NZ'!R$483*'Economic Forecasts'!T$8/D$7</f>
        <v>5744.3115226569171</v>
      </c>
      <c r="E138" s="45">
        <f>'Population Treasury'!S$188*'Statistics NZ'!S$483*'Economic Forecasts'!U$8/E$7</f>
        <v>5861.2299550943517</v>
      </c>
      <c r="F138" s="45">
        <f>'Population Treasury'!T$188*'Statistics NZ'!T$483*'Economic Forecasts'!V$8/F$7</f>
        <v>6138.7596932690258</v>
      </c>
      <c r="G138" s="45">
        <f>'Population Treasury'!U$188*'Statistics NZ'!U$483*'Economic Forecasts'!W$8/G$7</f>
        <v>6319.9608734998719</v>
      </c>
      <c r="H138" s="45">
        <f>'Population Treasury'!V$188*'Statistics NZ'!V$483*'Economic Forecasts'!X$8/H$7</f>
        <v>6502.6106082024316</v>
      </c>
      <c r="I138" s="45">
        <f>'Population Treasury'!W$188*'Statistics NZ'!W$483*'Economic Forecasts'!Y$8/I$7</f>
        <v>6808.9786090585849</v>
      </c>
      <c r="J138" s="45">
        <f>'Population Treasury'!X$188*'Statistics NZ'!X$483*'Economic Forecasts'!Z$8/J$7</f>
        <v>7041.306951561608</v>
      </c>
      <c r="K138" s="45">
        <f>'Population Treasury'!Y$188*'Statistics NZ'!Y$483*'Economic Forecasts'!AA$8/K$7</f>
        <v>7379.6756650402158</v>
      </c>
      <c r="L138" s="46">
        <f>K$138*'Population Treasury'!Z$188*'Statistics NZ'!Z$483/('Population Treasury'!Y$188*'Statistics NZ'!Y$483)</f>
        <v>7604.8211995662687</v>
      </c>
      <c r="M138" s="46">
        <f>L$138*'Population Treasury'!AA$188*'Statistics NZ'!AA$483/('Population Treasury'!Z$188*'Statistics NZ'!Z$483)</f>
        <v>7847.4245688766341</v>
      </c>
      <c r="N138" s="46">
        <f>M$138*'Population Treasury'!AB$188*'Statistics NZ'!AB$483/('Population Treasury'!AA$188*'Statistics NZ'!AA$483)</f>
        <v>8243.8941382307567</v>
      </c>
      <c r="O138" s="46">
        <f>N$138*'Population Treasury'!AC$188*'Statistics NZ'!AC$483/('Population Treasury'!AB$188*'Statistics NZ'!AB$483)</f>
        <v>8445.5696871406872</v>
      </c>
      <c r="P138" s="46">
        <f>O$138*'Population Treasury'!AD$188*'Statistics NZ'!AD$483/('Population Treasury'!AC$188*'Statistics NZ'!AC$483)</f>
        <v>8752.9184354017125</v>
      </c>
      <c r="Q138" s="46">
        <f>P$138*'Population Treasury'!AE$188*'Statistics NZ'!AE$483/('Population Treasury'!AD$188*'Statistics NZ'!AD$483)</f>
        <v>9071.4947249157685</v>
      </c>
      <c r="R138" s="46">
        <f>Q$138*'Population Treasury'!AF$188*'Statistics NZ'!AF$483/('Population Treasury'!AE$188*'Statistics NZ'!AE$483)</f>
        <v>9199.5976873241107</v>
      </c>
      <c r="S138" s="46">
        <f>R$138*'Population Treasury'!AG$188*'Statistics NZ'!AG$483/('Population Treasury'!AF$188*'Statistics NZ'!AF$483)</f>
        <v>9152.9331764200288</v>
      </c>
      <c r="T138" s="46">
        <f>S$138*'Population Treasury'!AH$188*'Statistics NZ'!AH$483/('Population Treasury'!AG$188*'Statistics NZ'!AG$483)</f>
        <v>9010.4066995082921</v>
      </c>
      <c r="U138" s="46">
        <f>T$138*'Population Treasury'!AI$188*'Statistics NZ'!AI$483/('Population Treasury'!AH$188*'Statistics NZ'!AH$483)</f>
        <v>8918.5435011060763</v>
      </c>
    </row>
    <row r="139" spans="1:21" x14ac:dyDescent="0.25">
      <c r="A139" s="11">
        <f>$A$69</f>
        <v>74</v>
      </c>
      <c r="B139" s="44">
        <f>'Population Treasury'!P$189*'Statistics NZ'!P$484*'Economic Forecasts'!R$8/B$7</f>
        <v>3981.3455036321898</v>
      </c>
      <c r="C139" s="44">
        <f>'Population Treasury'!Q$189*'Statistics NZ'!Q$484*'Economic Forecasts'!S$8/C$7</f>
        <v>4798.9741791921651</v>
      </c>
      <c r="D139" s="44">
        <f>'Population Treasury'!R$189*'Statistics NZ'!R$484*'Economic Forecasts'!T$8/D$7</f>
        <v>4928.3152486117906</v>
      </c>
      <c r="E139" s="45">
        <f>'Population Treasury'!S$189*'Statistics NZ'!S$484*'Economic Forecasts'!U$8/E$7</f>
        <v>5006.4558535507085</v>
      </c>
      <c r="F139" s="45">
        <f>'Population Treasury'!T$189*'Statistics NZ'!T$484*'Economic Forecasts'!V$8/F$7</f>
        <v>5229.1334672371122</v>
      </c>
      <c r="G139" s="45">
        <f>'Population Treasury'!U$189*'Statistics NZ'!U$484*'Economic Forecasts'!W$8/G$7</f>
        <v>5351.692128462134</v>
      </c>
      <c r="H139" s="45">
        <f>'Population Treasury'!V$189*'Statistics NZ'!V$484*'Economic Forecasts'!X$8/H$7</f>
        <v>5528.6290717499351</v>
      </c>
      <c r="I139" s="45">
        <f>'Population Treasury'!W$189*'Statistics NZ'!W$484*'Economic Forecasts'!Y$8/I$7</f>
        <v>5696.6097460770388</v>
      </c>
      <c r="J139" s="45">
        <f>'Population Treasury'!X$189*'Statistics NZ'!X$484*'Economic Forecasts'!Z$8/J$7</f>
        <v>5962.2445958866792</v>
      </c>
      <c r="K139" s="45">
        <f>'Population Treasury'!Y$189*'Statistics NZ'!Y$484*'Economic Forecasts'!AA$8/K$7</f>
        <v>6159.2271893499801</v>
      </c>
      <c r="L139" s="46">
        <f>K$139*'Population Treasury'!Z$189*'Statistics NZ'!Z$484/('Population Treasury'!Y$189*'Statistics NZ'!Y$484)</f>
        <v>6417.7707998312226</v>
      </c>
      <c r="M139" s="46">
        <f>L$139*'Population Treasury'!AA$189*'Statistics NZ'!AA$484/('Population Treasury'!Z$189*'Statistics NZ'!Z$484)</f>
        <v>6622.257832694494</v>
      </c>
      <c r="N139" s="46">
        <f>M$139*'Population Treasury'!AB$189*'Statistics NZ'!AB$484/('Population Treasury'!AA$189*'Statistics NZ'!AA$484)</f>
        <v>6828.5683006803501</v>
      </c>
      <c r="O139" s="46">
        <f>N$139*'Population Treasury'!AC$189*'Statistics NZ'!AC$484/('Population Treasury'!AB$189*'Statistics NZ'!AB$484)</f>
        <v>7176.4075062422589</v>
      </c>
      <c r="P139" s="46">
        <f>O$139*'Population Treasury'!AD$189*'Statistics NZ'!AD$484/('Population Treasury'!AC$189*'Statistics NZ'!AC$484)</f>
        <v>7345.9812042194771</v>
      </c>
      <c r="Q139" s="46">
        <f>P$139*'Population Treasury'!AE$189*'Statistics NZ'!AE$484/('Population Treasury'!AD$189*'Statistics NZ'!AD$484)</f>
        <v>7621.5480617478315</v>
      </c>
      <c r="R139" s="46">
        <f>Q$139*'Population Treasury'!AF$189*'Statistics NZ'!AF$484/('Population Treasury'!AE$189*'Statistics NZ'!AE$484)</f>
        <v>7896.9517586259353</v>
      </c>
      <c r="S139" s="46">
        <f>R$139*'Population Treasury'!AG$189*'Statistics NZ'!AG$484/('Population Treasury'!AF$189*'Statistics NZ'!AF$484)</f>
        <v>8015.1576158895259</v>
      </c>
      <c r="T139" s="46">
        <f>S$139*'Population Treasury'!AH$189*'Statistics NZ'!AH$484/('Population Treasury'!AG$189*'Statistics NZ'!AG$484)</f>
        <v>7972.686101208571</v>
      </c>
      <c r="U139" s="46">
        <f>T$139*'Population Treasury'!AI$189*'Statistics NZ'!AI$484/('Population Treasury'!AH$189*'Statistics NZ'!AH$484)</f>
        <v>7848.6685517249325</v>
      </c>
    </row>
    <row r="140" spans="1:21" x14ac:dyDescent="0.25">
      <c r="A140" s="11">
        <f>$A$70</f>
        <v>75</v>
      </c>
      <c r="B140" s="44">
        <f>'Population Treasury'!P$190*'Statistics NZ'!P$485*'Economic Forecasts'!R$8/B$7</f>
        <v>3177.0347063694358</v>
      </c>
      <c r="C140" s="44">
        <f>'Population Treasury'!Q$190*'Statistics NZ'!Q$485*'Economic Forecasts'!S$8/C$7</f>
        <v>3455.9773650489819</v>
      </c>
      <c r="D140" s="44">
        <f>'Population Treasury'!R$190*'Statistics NZ'!R$485*'Economic Forecasts'!T$8/D$7</f>
        <v>4167.8811417201277</v>
      </c>
      <c r="E140" s="45">
        <f>'Population Treasury'!S$190*'Statistics NZ'!S$485*'Economic Forecasts'!U$8/E$7</f>
        <v>4249.0319374510391</v>
      </c>
      <c r="F140" s="45">
        <f>'Population Treasury'!T$190*'Statistics NZ'!T$485*'Economic Forecasts'!V$8/F$7</f>
        <v>4417.2344776406753</v>
      </c>
      <c r="G140" s="45">
        <f>'Population Treasury'!U$190*'Statistics NZ'!U$485*'Economic Forecasts'!W$8/G$7</f>
        <v>4510.4652682134047</v>
      </c>
      <c r="H140" s="45">
        <f>'Population Treasury'!V$190*'Statistics NZ'!V$485*'Economic Forecasts'!X$8/H$7</f>
        <v>4635.1053491971152</v>
      </c>
      <c r="I140" s="45">
        <f>'Population Treasury'!W$190*'Statistics NZ'!W$485*'Economic Forecasts'!Y$8/I$7</f>
        <v>4797.3543309402394</v>
      </c>
      <c r="J140" s="45">
        <f>'Population Treasury'!X$190*'Statistics NZ'!X$485*'Economic Forecasts'!Z$8/J$7</f>
        <v>4937.3705512292427</v>
      </c>
      <c r="K140" s="45">
        <f>'Population Treasury'!Y$190*'Statistics NZ'!Y$485*'Economic Forecasts'!AA$8/K$7</f>
        <v>5172.8189553150642</v>
      </c>
      <c r="L140" s="46">
        <f>K$140*'Population Treasury'!Z$190*'Statistics NZ'!Z$485/('Population Treasury'!Y$190*'Statistics NZ'!Y$485)</f>
        <v>5303.9834674371323</v>
      </c>
      <c r="M140" s="46">
        <f>L$140*'Population Treasury'!AA$190*'Statistics NZ'!AA$485/('Population Treasury'!Z$190*'Statistics NZ'!Z$485)</f>
        <v>5535.4551696335757</v>
      </c>
      <c r="N140" s="46">
        <f>M$140*'Population Treasury'!AB$190*'Statistics NZ'!AB$485/('Population Treasury'!AA$190*'Statistics NZ'!AA$485)</f>
        <v>5707.6698925751507</v>
      </c>
      <c r="O140" s="46">
        <f>N$140*'Population Treasury'!AC$190*'Statistics NZ'!AC$485/('Population Treasury'!AB$190*'Statistics NZ'!AB$485)</f>
        <v>5885.3331759663579</v>
      </c>
      <c r="P140" s="46">
        <f>O$140*'Population Treasury'!AD$190*'Statistics NZ'!AD$485/('Population Treasury'!AC$190*'Statistics NZ'!AC$485)</f>
        <v>6180.6720879861723</v>
      </c>
      <c r="Q140" s="46">
        <f>P$140*'Population Treasury'!AE$190*'Statistics NZ'!AE$485/('Population Treasury'!AD$190*'Statistics NZ'!AD$485)</f>
        <v>6336.1458492168349</v>
      </c>
      <c r="R140" s="46">
        <f>Q$140*'Population Treasury'!AF$190*'Statistics NZ'!AF$485/('Population Treasury'!AE$190*'Statistics NZ'!AE$485)</f>
        <v>6566.0791193210662</v>
      </c>
      <c r="S140" s="46">
        <f>R$140*'Population Treasury'!AG$190*'Statistics NZ'!AG$485/('Population Treasury'!AF$190*'Statistics NZ'!AF$485)</f>
        <v>6809.0809724884439</v>
      </c>
      <c r="T140" s="46">
        <f>S$140*'Population Treasury'!AH$190*'Statistics NZ'!AH$485/('Population Treasury'!AG$190*'Statistics NZ'!AG$485)</f>
        <v>6909.2060741219939</v>
      </c>
      <c r="U140" s="46">
        <f>T$140*'Population Treasury'!AI$190*'Statistics NZ'!AI$485/('Population Treasury'!AH$190*'Statistics NZ'!AH$485)</f>
        <v>6878.1932063992926</v>
      </c>
    </row>
    <row r="141" spans="1:21" x14ac:dyDescent="0.25">
      <c r="A141" s="11">
        <f>$A$71</f>
        <v>76</v>
      </c>
      <c r="B141" s="44">
        <f>'Population Treasury'!P$191*'Statistics NZ'!P$486*'Economic Forecasts'!R$8/B$7</f>
        <v>2588.5402371188038</v>
      </c>
      <c r="C141" s="44">
        <f>'Population Treasury'!Q$191*'Statistics NZ'!Q$486*'Economic Forecasts'!S$8/C$7</f>
        <v>2764.9168690291749</v>
      </c>
      <c r="D141" s="44">
        <f>'Population Treasury'!R$191*'Statistics NZ'!R$486*'Economic Forecasts'!T$8/D$7</f>
        <v>2987.0261500360234</v>
      </c>
      <c r="E141" s="45">
        <f>'Population Treasury'!S$191*'Statistics NZ'!S$486*'Economic Forecasts'!U$8/E$7</f>
        <v>3586.1460214587391</v>
      </c>
      <c r="F141" s="45">
        <f>'Population Treasury'!T$191*'Statistics NZ'!T$486*'Economic Forecasts'!V$8/F$7</f>
        <v>3752.6918630212726</v>
      </c>
      <c r="G141" s="45">
        <f>'Population Treasury'!U$191*'Statistics NZ'!U$486*'Economic Forecasts'!W$8/G$7</f>
        <v>3813.7957394558812</v>
      </c>
      <c r="H141" s="45">
        <f>'Population Treasury'!V$191*'Statistics NZ'!V$486*'Economic Forecasts'!X$8/H$7</f>
        <v>3896.9728166336554</v>
      </c>
      <c r="I141" s="45">
        <f>'Population Treasury'!W$191*'Statistics NZ'!W$486*'Economic Forecasts'!Y$8/I$7</f>
        <v>4014.2822466482426</v>
      </c>
      <c r="J141" s="45">
        <f>'Population Treasury'!X$191*'Statistics NZ'!X$486*'Economic Forecasts'!Z$8/J$7</f>
        <v>4149.0343408797953</v>
      </c>
      <c r="K141" s="45">
        <f>'Population Treasury'!Y$191*'Statistics NZ'!Y$486*'Economic Forecasts'!AA$8/K$7</f>
        <v>4265.5079734862475</v>
      </c>
      <c r="L141" s="46">
        <f>K$141*'Population Treasury'!Z$191*'Statistics NZ'!Z$486/('Population Treasury'!Y$191*'Statistics NZ'!Y$486)</f>
        <v>4440.9246074213906</v>
      </c>
      <c r="M141" s="46">
        <f>L$141*'Population Treasury'!AA$191*'Statistics NZ'!AA$486/('Population Treasury'!Z$191*'Statistics NZ'!Z$486)</f>
        <v>4557.4522713691604</v>
      </c>
      <c r="N141" s="46">
        <f>M$141*'Population Treasury'!AB$191*'Statistics NZ'!AB$486/('Population Treasury'!AA$191*'Statistics NZ'!AA$486)</f>
        <v>4761.8600918689799</v>
      </c>
      <c r="O141" s="46">
        <f>N$141*'Population Treasury'!AC$191*'Statistics NZ'!AC$486/('Population Treasury'!AB$191*'Statistics NZ'!AB$486)</f>
        <v>4903.1763461196551</v>
      </c>
      <c r="P141" s="46">
        <f>O$141*'Population Treasury'!AD$191*'Statistics NZ'!AD$486/('Population Treasury'!AC$191*'Statistics NZ'!AC$486)</f>
        <v>5061.0521056425168</v>
      </c>
      <c r="Q141" s="46">
        <f>P$141*'Population Treasury'!AE$191*'Statistics NZ'!AE$486/('Population Treasury'!AD$191*'Statistics NZ'!AD$486)</f>
        <v>5315.3558667051093</v>
      </c>
      <c r="R141" s="46">
        <f>Q$141*'Population Treasury'!AF$191*'Statistics NZ'!AF$486/('Population Treasury'!AE$191*'Statistics NZ'!AE$486)</f>
        <v>5452.0842110237636</v>
      </c>
      <c r="S141" s="46">
        <f>R$141*'Population Treasury'!AG$191*'Statistics NZ'!AG$486/('Population Treasury'!AF$191*'Statistics NZ'!AF$486)</f>
        <v>5656.3300093262669</v>
      </c>
      <c r="T141" s="46">
        <f>S$141*'Population Treasury'!AH$191*'Statistics NZ'!AH$486/('Population Treasury'!AG$191*'Statistics NZ'!AG$486)</f>
        <v>5861.7055799096524</v>
      </c>
      <c r="U141" s="46">
        <f>T$141*'Population Treasury'!AI$191*'Statistics NZ'!AI$486/('Population Treasury'!AH$191*'Statistics NZ'!AH$486)</f>
        <v>5949.6130168209265</v>
      </c>
    </row>
    <row r="142" spans="1:21" x14ac:dyDescent="0.25">
      <c r="A142" s="11">
        <f>$A$72</f>
        <v>77</v>
      </c>
      <c r="B142" s="44">
        <f>'Population Treasury'!P$192*'Statistics NZ'!P$487*'Economic Forecasts'!R$8/B$7</f>
        <v>1926.6809309286944</v>
      </c>
      <c r="C142" s="44">
        <f>'Population Treasury'!Q$192*'Statistics NZ'!Q$487*'Economic Forecasts'!S$8/C$7</f>
        <v>2254.8942272150848</v>
      </c>
      <c r="D142" s="44">
        <f>'Population Treasury'!R$192*'Statistics NZ'!R$487*'Economic Forecasts'!T$8/D$7</f>
        <v>2395.6400794274969</v>
      </c>
      <c r="E142" s="45">
        <f>'Population Treasury'!S$192*'Statistics NZ'!S$487*'Economic Forecasts'!U$8/E$7</f>
        <v>2575.1174636803071</v>
      </c>
      <c r="F142" s="45">
        <f>'Population Treasury'!T$192*'Statistics NZ'!T$487*'Economic Forecasts'!V$8/F$7</f>
        <v>3171.0978909041128</v>
      </c>
      <c r="G142" s="45">
        <f>'Population Treasury'!U$192*'Statistics NZ'!U$487*'Economic Forecasts'!W$8/G$7</f>
        <v>3239.1850595703486</v>
      </c>
      <c r="H142" s="45">
        <f>'Population Treasury'!V$192*'Statistics NZ'!V$487*'Economic Forecasts'!X$8/H$7</f>
        <v>3296.1407348503444</v>
      </c>
      <c r="I142" s="45">
        <f>'Population Treasury'!W$192*'Statistics NZ'!W$487*'Economic Forecasts'!Y$8/I$7</f>
        <v>3374.9575307358496</v>
      </c>
      <c r="J142" s="45">
        <f>'Population Treasury'!X$192*'Statistics NZ'!X$487*'Economic Forecasts'!Z$8/J$7</f>
        <v>3471.1824111255964</v>
      </c>
      <c r="K142" s="45">
        <f>'Population Treasury'!Y$192*'Statistics NZ'!Y$487*'Economic Forecasts'!AA$8/K$7</f>
        <v>3589.2351695806547</v>
      </c>
      <c r="L142" s="46">
        <f>K$142*'Population Treasury'!Z$192*'Statistics NZ'!Z$487/('Population Treasury'!Y$192*'Statistics NZ'!Y$487)</f>
        <v>3674.1616404035385</v>
      </c>
      <c r="M142" s="46">
        <f>L$142*'Population Treasury'!AA$192*'Statistics NZ'!AA$487/('Population Treasury'!Z$192*'Statistics NZ'!Z$487)</f>
        <v>3816.4601833336055</v>
      </c>
      <c r="N142" s="46">
        <f>M$142*'Population Treasury'!AB$192*'Statistics NZ'!AB$487/('Population Treasury'!AA$192*'Statistics NZ'!AA$487)</f>
        <v>3927.7229461713046</v>
      </c>
      <c r="O142" s="46">
        <f>N$142*'Population Treasury'!AC$192*'Statistics NZ'!AC$487/('Population Treasury'!AB$192*'Statistics NZ'!AB$487)</f>
        <v>4095.6784089942889</v>
      </c>
      <c r="P142" s="46">
        <f>O$142*'Population Treasury'!AD$192*'Statistics NZ'!AD$487/('Population Treasury'!AC$192*'Statistics NZ'!AC$487)</f>
        <v>4227.0306081252693</v>
      </c>
      <c r="Q142" s="46">
        <f>P$142*'Population Treasury'!AE$192*'Statistics NZ'!AE$487/('Population Treasury'!AD$192*'Statistics NZ'!AD$487)</f>
        <v>4354.4800006000296</v>
      </c>
      <c r="R142" s="46">
        <f>Q$142*'Population Treasury'!AF$192*'Statistics NZ'!AF$487/('Population Treasury'!AE$192*'Statistics NZ'!AE$487)</f>
        <v>4578.1117206566905</v>
      </c>
      <c r="S142" s="46">
        <f>R$142*'Population Treasury'!AG$192*'Statistics NZ'!AG$487/('Population Treasury'!AF$192*'Statistics NZ'!AF$487)</f>
        <v>4691.8115912520061</v>
      </c>
      <c r="T142" s="46">
        <f>S$142*'Population Treasury'!AH$192*'Statistics NZ'!AH$487/('Population Treasury'!AG$192*'Statistics NZ'!AG$487)</f>
        <v>4873.1315690585188</v>
      </c>
      <c r="U142" s="46">
        <f>T$142*'Population Treasury'!AI$192*'Statistics NZ'!AI$487/('Population Treasury'!AH$192*'Statistics NZ'!AH$487)</f>
        <v>5050.5754021507082</v>
      </c>
    </row>
    <row r="143" spans="1:21" x14ac:dyDescent="0.25">
      <c r="A143" s="11">
        <f>$A$73</f>
        <v>78</v>
      </c>
      <c r="B143" s="44">
        <f>'Population Treasury'!P$193*'Statistics NZ'!P$488*'Economic Forecasts'!R$8/B$7</f>
        <v>1791.1765134780139</v>
      </c>
      <c r="C143" s="44">
        <f>'Population Treasury'!Q$193*'Statistics NZ'!Q$488*'Economic Forecasts'!S$8/C$7</f>
        <v>1658.3509888598951</v>
      </c>
      <c r="D143" s="44">
        <f>'Population Treasury'!R$193*'Statistics NZ'!R$488*'Economic Forecasts'!T$8/D$7</f>
        <v>1950.2728493081911</v>
      </c>
      <c r="E143" s="45">
        <f>'Population Treasury'!S$193*'Statistics NZ'!S$488*'Economic Forecasts'!U$8/E$7</f>
        <v>2059.2326997881792</v>
      </c>
      <c r="F143" s="45">
        <f>'Population Treasury'!T$193*'Statistics NZ'!T$488*'Economic Forecasts'!V$8/F$7</f>
        <v>2257.0366273593113</v>
      </c>
      <c r="G143" s="45">
        <f>'Population Treasury'!U$193*'Statistics NZ'!U$488*'Economic Forecasts'!W$8/G$7</f>
        <v>2716.7905808910655</v>
      </c>
      <c r="H143" s="45">
        <f>'Population Treasury'!V$193*'Statistics NZ'!V$488*'Economic Forecasts'!X$8/H$7</f>
        <v>2780.0400780129348</v>
      </c>
      <c r="I143" s="45">
        <f>'Population Treasury'!W$193*'Statistics NZ'!W$488*'Economic Forecasts'!Y$8/I$7</f>
        <v>2839.6554365685729</v>
      </c>
      <c r="J143" s="45">
        <f>'Population Treasury'!X$193*'Statistics NZ'!X$488*'Economic Forecasts'!Z$8/J$7</f>
        <v>2901.6951096993052</v>
      </c>
      <c r="K143" s="45">
        <f>'Population Treasury'!Y$193*'Statistics NZ'!Y$488*'Economic Forecasts'!AA$8/K$7</f>
        <v>2984.4467447924108</v>
      </c>
      <c r="L143" s="46">
        <f>K$143*'Population Treasury'!Z$193*'Statistics NZ'!Z$488/('Population Treasury'!Y$193*'Statistics NZ'!Y$488)</f>
        <v>3061.2911938030597</v>
      </c>
      <c r="M143" s="46">
        <f>L$143*'Population Treasury'!AA$193*'Statistics NZ'!AA$488/('Population Treasury'!Z$193*'Statistics NZ'!Z$488)</f>
        <v>3133.8958878248609</v>
      </c>
      <c r="N143" s="46">
        <f>M$143*'Population Treasury'!AB$193*'Statistics NZ'!AB$488/('Population Treasury'!AA$193*'Statistics NZ'!AA$488)</f>
        <v>3267.7766958778175</v>
      </c>
      <c r="O143" s="46">
        <f>N$143*'Population Treasury'!AC$193*'Statistics NZ'!AC$488/('Population Treasury'!AB$193*'Statistics NZ'!AB$488)</f>
        <v>3348.842522849699</v>
      </c>
      <c r="P143" s="46">
        <f>O$143*'Population Treasury'!AD$193*'Statistics NZ'!AD$488/('Population Treasury'!AC$193*'Statistics NZ'!AC$488)</f>
        <v>3503.6503684652143</v>
      </c>
      <c r="Q143" s="46">
        <f>P$143*'Population Treasury'!AE$193*'Statistics NZ'!AE$488/('Population Treasury'!AD$193*'Statistics NZ'!AD$488)</f>
        <v>3605.6765268189365</v>
      </c>
      <c r="R143" s="46">
        <f>Q$143*'Population Treasury'!AF$193*'Statistics NZ'!AF$488/('Population Treasury'!AE$193*'Statistics NZ'!AE$488)</f>
        <v>3721.9484177500576</v>
      </c>
      <c r="S143" s="46">
        <f>R$143*'Population Treasury'!AG$193*'Statistics NZ'!AG$488/('Population Treasury'!AF$193*'Statistics NZ'!AF$488)</f>
        <v>3914.8562814341467</v>
      </c>
      <c r="T143" s="46">
        <f>S$143*'Population Treasury'!AH$193*'Statistics NZ'!AH$488/('Population Treasury'!AG$193*'Statistics NZ'!AG$488)</f>
        <v>4019.8073471247999</v>
      </c>
      <c r="U143" s="46">
        <f>T$143*'Population Treasury'!AI$193*'Statistics NZ'!AI$488/('Population Treasury'!AH$193*'Statistics NZ'!AH$488)</f>
        <v>4167.967191957453</v>
      </c>
    </row>
    <row r="144" spans="1:21" x14ac:dyDescent="0.25">
      <c r="A144" s="11">
        <f>$A$74</f>
        <v>79</v>
      </c>
      <c r="B144" s="44">
        <f>'Population Treasury'!P$194*'Statistics NZ'!P$489*'Economic Forecasts'!R$8/B$7</f>
        <v>1447.4520865182812</v>
      </c>
      <c r="C144" s="44">
        <f>'Population Treasury'!Q$194*'Statistics NZ'!Q$489*'Economic Forecasts'!S$8/C$7</f>
        <v>1526.3442886571402</v>
      </c>
      <c r="D144" s="44">
        <f>'Population Treasury'!R$194*'Statistics NZ'!R$489*'Economic Forecasts'!T$8/D$7</f>
        <v>1414.5674323183757</v>
      </c>
      <c r="E144" s="45">
        <f>'Population Treasury'!S$194*'Statistics NZ'!S$489*'Economic Forecasts'!U$8/E$7</f>
        <v>1645.0124317649913</v>
      </c>
      <c r="F144" s="45">
        <f>'Population Treasury'!T$194*'Statistics NZ'!T$489*'Economic Forecasts'!V$8/F$7</f>
        <v>1775.9802140241868</v>
      </c>
      <c r="G144" s="45">
        <f>'Population Treasury'!U$194*'Statistics NZ'!U$489*'Economic Forecasts'!W$8/G$7</f>
        <v>1913.6102071183341</v>
      </c>
      <c r="H144" s="45">
        <f>'Population Treasury'!V$194*'Statistics NZ'!V$489*'Economic Forecasts'!X$8/H$7</f>
        <v>2306.0062068073944</v>
      </c>
      <c r="I144" s="45">
        <f>'Population Treasury'!W$194*'Statistics NZ'!W$489*'Economic Forecasts'!Y$8/I$7</f>
        <v>2359.8168111440095</v>
      </c>
      <c r="J144" s="45">
        <f>'Population Treasury'!X$194*'Statistics NZ'!X$489*'Economic Forecasts'!Z$8/J$7</f>
        <v>2405.5751649505751</v>
      </c>
      <c r="K144" s="45">
        <f>'Population Treasury'!Y$194*'Statistics NZ'!Y$489*'Economic Forecasts'!AA$8/K$7</f>
        <v>2464.7587093096727</v>
      </c>
      <c r="L144" s="46">
        <f>K$144*'Population Treasury'!Z$194*'Statistics NZ'!Z$489/('Population Treasury'!Y$194*'Statistics NZ'!Y$489)</f>
        <v>2517.9789061710312</v>
      </c>
      <c r="M144" s="46">
        <f>L$144*'Population Treasury'!AA$194*'Statistics NZ'!AA$489/('Population Treasury'!Z$194*'Statistics NZ'!Z$489)</f>
        <v>2586.5269645549251</v>
      </c>
      <c r="N144" s="46">
        <f>M$144*'Population Treasury'!AB$194*'Statistics NZ'!AB$489/('Population Treasury'!AA$194*'Statistics NZ'!AA$489)</f>
        <v>2648.6567572487006</v>
      </c>
      <c r="O144" s="46">
        <f>N$144*'Population Treasury'!AC$194*'Statistics NZ'!AC$489/('Population Treasury'!AB$194*'Statistics NZ'!AB$489)</f>
        <v>2749.8578120522184</v>
      </c>
      <c r="P144" s="46">
        <f>O$144*'Population Treasury'!AD$194*'Statistics NZ'!AD$489/('Population Treasury'!AC$194*'Statistics NZ'!AC$489)</f>
        <v>2824.7986869459796</v>
      </c>
      <c r="Q144" s="46">
        <f>P$144*'Population Treasury'!AE$194*'Statistics NZ'!AE$489/('Population Treasury'!AD$194*'Statistics NZ'!AD$489)</f>
        <v>2954.7595795951488</v>
      </c>
      <c r="R144" s="46">
        <f>Q$144*'Population Treasury'!AF$194*'Statistics NZ'!AF$489/('Population Treasury'!AE$194*'Statistics NZ'!AE$489)</f>
        <v>3045.128210546623</v>
      </c>
      <c r="S144" s="46">
        <f>R$144*'Population Treasury'!AG$194*'Statistics NZ'!AG$489/('Population Treasury'!AF$194*'Statistics NZ'!AF$489)</f>
        <v>3144.433058034077</v>
      </c>
      <c r="T144" s="46">
        <f>S$144*'Population Treasury'!AH$194*'Statistics NZ'!AH$489/('Population Treasury'!AG$194*'Statistics NZ'!AG$489)</f>
        <v>3305.1680964190859</v>
      </c>
      <c r="U144" s="46">
        <f>T$144*'Population Treasury'!AI$194*'Statistics NZ'!AI$489/('Population Treasury'!AH$194*'Statistics NZ'!AH$489)</f>
        <v>3389.0670109522353</v>
      </c>
    </row>
    <row r="145" spans="1:21" x14ac:dyDescent="0.25">
      <c r="A145" s="11" t="str">
        <f>$A$75</f>
        <v>80 &amp; over</v>
      </c>
      <c r="B145" s="44">
        <f>SUM('Population Treasury'!P$195:P$210)*'Statistics NZ'!P$490*'Economic Forecasts'!R$8/B$7</f>
        <v>4108.7828010254461</v>
      </c>
      <c r="C145" s="44">
        <f>SUM('Population Treasury'!Q$195:Q$210)*'Statistics NZ'!Q$490*'Economic Forecasts'!S$8/C$7</f>
        <v>4575.1528772026559</v>
      </c>
      <c r="D145" s="44">
        <f>SUM('Population Treasury'!R$195:R$210)*'Statistics NZ'!R$490*'Economic Forecasts'!T$8/D$7</f>
        <v>4942.8564534712705</v>
      </c>
      <c r="E145" s="45">
        <f>SUM('Population Treasury'!S$195:S$210)*'Statistics NZ'!S$490*'Economic Forecasts'!U$8/E$7</f>
        <v>5131.0280018824205</v>
      </c>
      <c r="F145" s="45">
        <f>SUM('Population Treasury'!T$195:T$210)*'Statistics NZ'!T$490*'Economic Forecasts'!V$8/F$7</f>
        <v>5569.9311216025953</v>
      </c>
      <c r="G145" s="45">
        <f>SUM('Population Treasury'!U$195:U$210)*'Statistics NZ'!U$490*'Economic Forecasts'!W$8/G$7</f>
        <v>5989.5198139843333</v>
      </c>
      <c r="H145" s="45">
        <f>SUM('Population Treasury'!V$195:V$210)*'Statistics NZ'!V$490*'Economic Forecasts'!X$8/H$7</f>
        <v>6321.262183752764</v>
      </c>
      <c r="I145" s="45">
        <f>SUM('Population Treasury'!W$195:W$210)*'Statistics NZ'!W$490*'Economic Forecasts'!Y$8/I$7</f>
        <v>6978.8967426280014</v>
      </c>
      <c r="J145" s="45">
        <f>SUM('Population Treasury'!X$195:X$210)*'Statistics NZ'!X$490*'Economic Forecasts'!Z$8/J$7</f>
        <v>7645.8851067146652</v>
      </c>
      <c r="K145" s="45">
        <f>SUM('Population Treasury'!Y$195:Y$210)*'Statistics NZ'!Y$490*'Economic Forecasts'!AA$8/K$7</f>
        <v>8097.2541235612225</v>
      </c>
      <c r="L145" s="46">
        <f>K$145*SUM('Population Treasury'!Z$195:Z$210)*'Statistics NZ'!Z$490/(SUM('Population Treasury'!Y$195:Y$210)*'Statistics NZ'!Y$490)</f>
        <v>8497.0447291994224</v>
      </c>
      <c r="M145" s="46">
        <f>L$145*SUM('Population Treasury'!AA$195:AA$210)*'Statistics NZ'!AA$490/(SUM('Population Treasury'!Z$195:Z$210)*'Statistics NZ'!Z$490)</f>
        <v>8895.8721065681584</v>
      </c>
      <c r="N145" s="46">
        <f>M$145*SUM('Population Treasury'!AB$195:AB$210)*'Statistics NZ'!AB$490/(SUM('Population Treasury'!AA$195:AA$210)*'Statistics NZ'!AA$490)</f>
        <v>9188.5862983952247</v>
      </c>
      <c r="O145" s="46">
        <f>N$145*SUM('Population Treasury'!AC$195:AC$210)*'Statistics NZ'!AC$490/(SUM('Population Treasury'!AB$195:AB$210)*'Statistics NZ'!AB$490)</f>
        <v>9584.190802931209</v>
      </c>
      <c r="P145" s="46">
        <f>O$145*SUM('Population Treasury'!AD$195:AD$210)*'Statistics NZ'!AD$490/(SUM('Population Treasury'!AC$195:AC$210)*'Statistics NZ'!AC$490)</f>
        <v>9873.5564929919638</v>
      </c>
      <c r="Q145" s="46">
        <f>P$145*SUM('Population Treasury'!AE$195:AE$210)*'Statistics NZ'!AE$490/(SUM('Population Treasury'!AD$195:AD$210)*'Statistics NZ'!AD$490)</f>
        <v>10263.420682078287</v>
      </c>
      <c r="R145" s="46">
        <f>Q$145*SUM('Population Treasury'!AF$195:AF$210)*'Statistics NZ'!AF$490/(SUM('Population Treasury'!AE$195:AE$210)*'Statistics NZ'!AE$490)</f>
        <v>10661.141605351853</v>
      </c>
      <c r="S145" s="46">
        <f>R$145*SUM('Population Treasury'!AG$195:AG$210)*'Statistics NZ'!AG$490/(SUM('Population Treasury'!AF$195:AF$210)*'Statistics NZ'!AF$490)</f>
        <v>10959.300441239122</v>
      </c>
      <c r="T145" s="46">
        <f>S$145*SUM('Population Treasury'!AH$195:AH$210)*'Statistics NZ'!AH$490/(SUM('Population Treasury'!AG$195:AG$210)*'Statistics NZ'!AG$490)</f>
        <v>11356.22083051144</v>
      </c>
      <c r="U145" s="46">
        <f>T$145*SUM('Population Treasury'!AI$195:AI$210)*'Statistics NZ'!AI$490/(SUM('Population Treasury'!AH$195:AH$210)*'Statistics NZ'!AH$490)</f>
        <v>11851.951676409755</v>
      </c>
    </row>
    <row r="146" spans="1:21" x14ac:dyDescent="0.25">
      <c r="A146" s="9" t="s">
        <v>13</v>
      </c>
      <c r="B146" s="80">
        <f>SUM(B$80:B$145)</f>
        <v>1514253.2033530695</v>
      </c>
      <c r="C146" s="80">
        <f>SUM(C$80:C$145)</f>
        <v>1534045.9139699731</v>
      </c>
      <c r="D146" s="80">
        <f t="shared" ref="D146:K146" si="4">SUM(D$80:D$145)</f>
        <v>1554964.2030949371</v>
      </c>
      <c r="E146" s="81">
        <f t="shared" si="4"/>
        <v>1596169.6117694417</v>
      </c>
      <c r="F146" s="81">
        <f t="shared" si="4"/>
        <v>1635744.805859386</v>
      </c>
      <c r="G146" s="81">
        <f t="shared" si="4"/>
        <v>1640780.1230312078</v>
      </c>
      <c r="H146" s="81">
        <f t="shared" si="4"/>
        <v>1665292.3276873389</v>
      </c>
      <c r="I146" s="81">
        <f t="shared" si="4"/>
        <v>1694180.4315932509</v>
      </c>
      <c r="J146" s="81">
        <f t="shared" si="4"/>
        <v>1721357.1864978797</v>
      </c>
      <c r="K146" s="81">
        <f t="shared" si="4"/>
        <v>1746438.105407173</v>
      </c>
      <c r="L146" s="82">
        <f t="shared" ref="L146:U146" si="5">SUM(L$80:L$145)</f>
        <v>1764978.1375972885</v>
      </c>
      <c r="M146" s="82">
        <f t="shared" si="5"/>
        <v>1782749.3779433034</v>
      </c>
      <c r="N146" s="82">
        <f t="shared" si="5"/>
        <v>1799597.3963095786</v>
      </c>
      <c r="O146" s="82">
        <f t="shared" si="5"/>
        <v>1815529.2760523052</v>
      </c>
      <c r="P146" s="82">
        <f t="shared" si="5"/>
        <v>1830368.5008860275</v>
      </c>
      <c r="Q146" s="82">
        <f t="shared" si="5"/>
        <v>1844140.6850637386</v>
      </c>
      <c r="R146" s="82">
        <f t="shared" si="5"/>
        <v>1857086.1571692445</v>
      </c>
      <c r="S146" s="82">
        <f t="shared" si="5"/>
        <v>1869135.327094167</v>
      </c>
      <c r="T146" s="82">
        <f t="shared" si="5"/>
        <v>1880631.2650985376</v>
      </c>
      <c r="U146" s="82">
        <f t="shared" si="5"/>
        <v>1891530.987670674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16945-0CE5-4A71-A450-B824C775F147}">
  <dimension ref="A1:AI101"/>
  <sheetViews>
    <sheetView workbookViewId="0">
      <pane xSplit="1" ySplit="5" topLeftCell="S6" activePane="bottomRight" state="frozen"/>
      <selection pane="topRight" activeCell="B1" sqref="B1"/>
      <selection pane="bottomLeft" activeCell="A6" sqref="A6"/>
      <selection pane="bottomRight"/>
    </sheetView>
  </sheetViews>
  <sheetFormatPr defaultRowHeight="15" x14ac:dyDescent="0.25"/>
  <cols>
    <col min="1" max="1" width="60.7109375" customWidth="1"/>
    <col min="2" max="2" width="9.28515625" bestFit="1" customWidth="1"/>
    <col min="3" max="3" width="10.28515625" bestFit="1" customWidth="1"/>
    <col min="4" max="4" width="9.5703125" bestFit="1" customWidth="1"/>
    <col min="5" max="5" width="9.28515625" bestFit="1" customWidth="1"/>
  </cols>
  <sheetData>
    <row r="1" spans="1:35" x14ac:dyDescent="0.25">
      <c r="A1" s="9" t="s">
        <v>465</v>
      </c>
    </row>
    <row r="2" spans="1:35" x14ac:dyDescent="0.25">
      <c r="A2" s="10" t="s">
        <v>464</v>
      </c>
    </row>
    <row r="3" spans="1:35" x14ac:dyDescent="0.25">
      <c r="A3" s="11"/>
    </row>
    <row r="4" spans="1:35" x14ac:dyDescent="0.25">
      <c r="A4" s="9" t="s">
        <v>3</v>
      </c>
      <c r="D4" s="13" t="s">
        <v>26</v>
      </c>
      <c r="E4" s="13" t="s">
        <v>27</v>
      </c>
      <c r="F4" s="13" t="s">
        <v>28</v>
      </c>
      <c r="G4" s="13" t="s">
        <v>29</v>
      </c>
      <c r="H4" s="13" t="s">
        <v>30</v>
      </c>
      <c r="I4" s="13" t="s">
        <v>31</v>
      </c>
      <c r="J4" s="13" t="s">
        <v>32</v>
      </c>
      <c r="K4" s="13" t="s">
        <v>33</v>
      </c>
      <c r="L4" s="13" t="s">
        <v>34</v>
      </c>
      <c r="M4" s="13" t="s">
        <v>35</v>
      </c>
      <c r="N4" s="13" t="s">
        <v>36</v>
      </c>
      <c r="O4" s="13" t="s">
        <v>37</v>
      </c>
      <c r="P4" s="13" t="s">
        <v>38</v>
      </c>
      <c r="Q4" s="13" t="s">
        <v>39</v>
      </c>
      <c r="R4" s="13" t="s">
        <v>40</v>
      </c>
      <c r="S4" s="13" t="s">
        <v>41</v>
      </c>
      <c r="T4" s="13" t="s">
        <v>42</v>
      </c>
      <c r="U4" s="13" t="s">
        <v>43</v>
      </c>
      <c r="V4" s="13" t="s">
        <v>44</v>
      </c>
      <c r="W4" s="13" t="s">
        <v>45</v>
      </c>
      <c r="X4" s="13" t="s">
        <v>46</v>
      </c>
      <c r="Y4" s="13" t="s">
        <v>47</v>
      </c>
      <c r="Z4" s="13" t="s">
        <v>48</v>
      </c>
      <c r="AA4" s="13" t="s">
        <v>49</v>
      </c>
      <c r="AB4" s="13" t="s">
        <v>50</v>
      </c>
      <c r="AC4" s="13" t="s">
        <v>51</v>
      </c>
      <c r="AD4" s="13" t="s">
        <v>52</v>
      </c>
      <c r="AE4" s="13" t="s">
        <v>53</v>
      </c>
      <c r="AF4" s="13" t="s">
        <v>54</v>
      </c>
      <c r="AG4" s="13" t="s">
        <v>55</v>
      </c>
      <c r="AH4" s="13" t="s">
        <v>56</v>
      </c>
      <c r="AI4" s="13" t="s">
        <v>57</v>
      </c>
    </row>
    <row r="5" spans="1:35" x14ac:dyDescent="0.25">
      <c r="A5" s="2"/>
      <c r="D5" s="9">
        <v>2008</v>
      </c>
      <c r="E5" s="9">
        <v>2009</v>
      </c>
      <c r="F5" s="9">
        <v>2010</v>
      </c>
      <c r="G5" s="9">
        <v>2011</v>
      </c>
      <c r="H5" s="9">
        <v>2012</v>
      </c>
      <c r="I5" s="9">
        <v>2013</v>
      </c>
      <c r="J5" s="9">
        <v>2014</v>
      </c>
      <c r="K5" s="9">
        <v>2015</v>
      </c>
      <c r="L5" s="9">
        <v>2016</v>
      </c>
      <c r="M5" s="9">
        <v>2017</v>
      </c>
      <c r="N5" s="9">
        <v>2018</v>
      </c>
      <c r="O5" s="9">
        <v>2019</v>
      </c>
      <c r="P5" s="9">
        <v>2020</v>
      </c>
      <c r="Q5" s="9">
        <v>2021</v>
      </c>
      <c r="R5" s="9">
        <v>2022</v>
      </c>
      <c r="S5" s="9">
        <v>2023</v>
      </c>
      <c r="T5" s="9">
        <v>2024</v>
      </c>
      <c r="U5" s="9">
        <v>2025</v>
      </c>
      <c r="V5" s="9">
        <v>2026</v>
      </c>
      <c r="W5" s="9">
        <v>2027</v>
      </c>
      <c r="X5" s="9">
        <v>2028</v>
      </c>
      <c r="Y5" s="9">
        <v>2029</v>
      </c>
      <c r="Z5" s="9">
        <v>2030</v>
      </c>
      <c r="AA5" s="9">
        <v>2031</v>
      </c>
      <c r="AB5" s="9">
        <v>2032</v>
      </c>
      <c r="AC5" s="9">
        <v>2033</v>
      </c>
      <c r="AD5" s="9">
        <v>2034</v>
      </c>
      <c r="AE5" s="9">
        <v>2035</v>
      </c>
      <c r="AF5" s="9">
        <v>2036</v>
      </c>
      <c r="AG5" s="9">
        <v>2037</v>
      </c>
      <c r="AH5" s="9">
        <v>2038</v>
      </c>
      <c r="AI5" s="9">
        <v>2039</v>
      </c>
    </row>
    <row r="6" spans="1:35" x14ac:dyDescent="0.25">
      <c r="A6" s="9" t="s">
        <v>466</v>
      </c>
      <c r="B6" s="9" t="s">
        <v>521</v>
      </c>
    </row>
    <row r="7" spans="1:35" x14ac:dyDescent="0.25">
      <c r="A7" s="11" t="s">
        <v>778</v>
      </c>
      <c r="B7" s="71"/>
      <c r="D7" s="16">
        <v>0.38500000000000001</v>
      </c>
      <c r="E7" s="16">
        <v>0.38300000000000001</v>
      </c>
      <c r="F7" s="16">
        <v>0.433</v>
      </c>
      <c r="G7" s="16">
        <v>0.51800000000000002</v>
      </c>
      <c r="H7" s="16">
        <v>0.53900000000000003</v>
      </c>
      <c r="I7" s="16">
        <v>0.59499999999999997</v>
      </c>
      <c r="J7" s="16">
        <v>0.76700000000000002</v>
      </c>
      <c r="K7" s="16">
        <v>0.76</v>
      </c>
      <c r="L7" s="16">
        <v>0.752</v>
      </c>
      <c r="M7" s="16">
        <v>0.83299999999999996</v>
      </c>
      <c r="N7" s="16">
        <v>0.93500000000000005</v>
      </c>
      <c r="O7" s="16">
        <v>1.133</v>
      </c>
      <c r="P7" s="16">
        <v>0.80300000000000005</v>
      </c>
      <c r="Q7" s="16">
        <v>0.74199999999999999</v>
      </c>
      <c r="R7" s="16">
        <v>1.077</v>
      </c>
      <c r="S7" s="16">
        <v>1.32</v>
      </c>
      <c r="T7" s="16">
        <v>1.659</v>
      </c>
      <c r="U7" s="16">
        <v>1.7050000000000001</v>
      </c>
      <c r="V7" s="16">
        <v>1.7729999999999999</v>
      </c>
      <c r="W7" s="16">
        <v>1.869</v>
      </c>
      <c r="X7" s="16">
        <v>1.9930000000000001</v>
      </c>
      <c r="Y7" s="16">
        <v>2.1160000000000001</v>
      </c>
      <c r="Z7" s="16">
        <v>2.2436275511311652</v>
      </c>
      <c r="AA7" s="16">
        <v>2.3771937241437446</v>
      </c>
      <c r="AB7" s="16">
        <v>2.5157820051435547</v>
      </c>
      <c r="AC7" s="16">
        <v>2.6586735928595782</v>
      </c>
      <c r="AD7" s="16">
        <v>2.8051359573915953</v>
      </c>
      <c r="AE7" s="16">
        <v>2.9550791422774938</v>
      </c>
      <c r="AF7" s="16">
        <v>3.1083204302525171</v>
      </c>
      <c r="AG7" s="16">
        <v>3.2646774508055842</v>
      </c>
      <c r="AH7" s="16">
        <v>3.4252679610365075</v>
      </c>
      <c r="AI7" s="16">
        <v>3.5919225641078021</v>
      </c>
    </row>
    <row r="8" spans="1:35" x14ac:dyDescent="0.25">
      <c r="A8" s="10" t="s">
        <v>875</v>
      </c>
      <c r="B8" s="71"/>
      <c r="D8" s="16">
        <v>0.23699999999999999</v>
      </c>
      <c r="E8" s="16">
        <v>4.0000000000000001E-3</v>
      </c>
      <c r="F8" s="16">
        <v>-2.7E-2</v>
      </c>
      <c r="G8" s="16">
        <v>0.872</v>
      </c>
      <c r="H8" s="16">
        <v>0.16</v>
      </c>
      <c r="I8" s="16">
        <v>0.98299999999999998</v>
      </c>
      <c r="J8" s="16">
        <v>1.0740000000000001</v>
      </c>
      <c r="K8" s="16">
        <v>4.5999999999999999E-2</v>
      </c>
      <c r="L8" s="16">
        <v>0.51200000000000001</v>
      </c>
      <c r="M8" s="16">
        <v>1.139</v>
      </c>
      <c r="N8" s="16">
        <v>0.24099999999999999</v>
      </c>
      <c r="O8" s="16">
        <v>0.54</v>
      </c>
      <c r="P8" s="16">
        <v>0.44800000000000001</v>
      </c>
      <c r="Q8" s="16">
        <v>2.1560000000000001</v>
      </c>
      <c r="R8" s="16">
        <v>3.5000000000000003E-2</v>
      </c>
      <c r="S8" s="16">
        <v>0.127</v>
      </c>
      <c r="T8" s="16">
        <v>1.29</v>
      </c>
      <c r="U8" s="16">
        <v>1.389</v>
      </c>
      <c r="V8" s="16">
        <v>1.518</v>
      </c>
      <c r="W8" s="16">
        <v>1.6120000000000001</v>
      </c>
      <c r="X8" s="16">
        <v>1.7110000000000001</v>
      </c>
      <c r="Y8" s="16">
        <v>1.8169999999999999</v>
      </c>
      <c r="Z8" s="16">
        <v>1.9439372284168936</v>
      </c>
      <c r="AA8" s="16">
        <v>2.0596624324711144</v>
      </c>
      <c r="AB8" s="16">
        <v>2.1797389214240179</v>
      </c>
      <c r="AC8" s="16">
        <v>2.3035439071707531</v>
      </c>
      <c r="AD8" s="16">
        <v>2.4304427067652807</v>
      </c>
      <c r="AE8" s="16">
        <v>2.5603573795906081</v>
      </c>
      <c r="AF8" s="16">
        <v>2.6931296146592203</v>
      </c>
      <c r="AG8" s="16">
        <v>2.8286014014200003</v>
      </c>
      <c r="AH8" s="16">
        <v>2.9677411936778402</v>
      </c>
      <c r="AI8" s="16">
        <v>3.1121350735952071</v>
      </c>
    </row>
    <row r="9" spans="1:35" x14ac:dyDescent="0.25">
      <c r="A9" s="11" t="s">
        <v>1235</v>
      </c>
      <c r="B9" s="71"/>
      <c r="D9" s="16">
        <v>3.4000000000000002E-2</v>
      </c>
      <c r="E9" s="16">
        <v>-0.32300000000000001</v>
      </c>
      <c r="F9" s="16">
        <v>0.502</v>
      </c>
      <c r="G9" s="16">
        <v>0.16900000000000001</v>
      </c>
      <c r="H9" s="16">
        <v>0.13200000000000001</v>
      </c>
      <c r="I9" s="16">
        <v>0.16500000000000001</v>
      </c>
      <c r="J9" s="16">
        <v>0.16400000000000001</v>
      </c>
      <c r="K9" s="16">
        <v>0.19800000000000001</v>
      </c>
      <c r="L9" s="16">
        <v>0.13800000000000001</v>
      </c>
      <c r="M9" s="16">
        <v>0.22700000000000001</v>
      </c>
      <c r="N9" s="16">
        <v>0.34100000000000003</v>
      </c>
      <c r="O9" s="16">
        <v>0.255</v>
      </c>
      <c r="P9" s="16">
        <v>0.15</v>
      </c>
      <c r="Q9" s="16">
        <v>0.125</v>
      </c>
      <c r="R9" s="16">
        <v>-0.51700000000000002</v>
      </c>
      <c r="S9" s="16">
        <v>1.054</v>
      </c>
      <c r="T9" s="16">
        <v>0.189</v>
      </c>
      <c r="U9" s="16">
        <v>0.253</v>
      </c>
      <c r="V9" s="16">
        <v>0.314</v>
      </c>
      <c r="W9" s="16">
        <v>0.33600000000000002</v>
      </c>
      <c r="X9" s="16">
        <v>0.36</v>
      </c>
      <c r="Y9" s="16">
        <v>0.38700000000000001</v>
      </c>
      <c r="Z9" s="16">
        <v>0.40498692258685287</v>
      </c>
      <c r="AA9" s="16">
        <v>0.4290963400981489</v>
      </c>
      <c r="AB9" s="16">
        <v>0.45411227529667048</v>
      </c>
      <c r="AC9" s="16">
        <v>0.47990498066057363</v>
      </c>
      <c r="AD9" s="16">
        <v>0.50634223057610017</v>
      </c>
      <c r="AE9" s="16">
        <v>0.53340778741471007</v>
      </c>
      <c r="AF9" s="16">
        <v>0.56106866972067093</v>
      </c>
      <c r="AG9" s="16">
        <v>0.58929195862916683</v>
      </c>
      <c r="AH9" s="16">
        <v>0.61827941534955011</v>
      </c>
      <c r="AI9" s="16">
        <v>0.64836147366566821</v>
      </c>
    </row>
    <row r="10" spans="1:35" x14ac:dyDescent="0.25">
      <c r="A10" s="11" t="s">
        <v>868</v>
      </c>
      <c r="B10" s="71"/>
      <c r="D10" s="16">
        <v>-0.995</v>
      </c>
      <c r="E10" s="16">
        <v>-3.4950000000000001</v>
      </c>
      <c r="F10" s="16">
        <v>1.75</v>
      </c>
      <c r="G10" s="16">
        <v>3.5179999999999998</v>
      </c>
      <c r="H10" s="16">
        <v>-0.20399999999999999</v>
      </c>
      <c r="I10" s="16">
        <v>4.3739999999999997</v>
      </c>
      <c r="J10" s="16">
        <v>3.7349999999999999</v>
      </c>
      <c r="K10" s="16">
        <v>3.1560000000000001</v>
      </c>
      <c r="L10" s="16">
        <v>-7.5999999999999998E-2</v>
      </c>
      <c r="M10" s="16">
        <v>5.5119999999999996</v>
      </c>
      <c r="N10" s="16">
        <v>3.5640000000000001</v>
      </c>
      <c r="O10" s="16">
        <v>1.986</v>
      </c>
      <c r="P10" s="16">
        <v>1.7000000000000001E-2</v>
      </c>
      <c r="Q10" s="16">
        <v>12.786</v>
      </c>
      <c r="R10" s="16">
        <v>-5.133</v>
      </c>
      <c r="S10" s="16">
        <v>5.766</v>
      </c>
      <c r="T10" s="16">
        <v>8.3520000000000003</v>
      </c>
      <c r="U10" s="16">
        <v>6.6360000000000001</v>
      </c>
      <c r="V10" s="16">
        <v>4.9329999999999998</v>
      </c>
      <c r="W10" s="16">
        <v>5.2549999999999999</v>
      </c>
      <c r="X10" s="16">
        <v>5.57</v>
      </c>
      <c r="Y10" s="16">
        <v>5.9210000000000003</v>
      </c>
      <c r="Z10" s="16">
        <v>6.2610978231927454</v>
      </c>
      <c r="AA10" s="16">
        <v>6.6338294179173811</v>
      </c>
      <c r="AB10" s="16">
        <v>7.0205757760865257</v>
      </c>
      <c r="AC10" s="16">
        <v>7.419331001012468</v>
      </c>
      <c r="AD10" s="16">
        <v>7.8280508847065082</v>
      </c>
      <c r="AE10" s="16">
        <v>8.2464843934314178</v>
      </c>
      <c r="AF10" s="16">
        <v>8.6741216338815725</v>
      </c>
      <c r="AG10" s="16">
        <v>9.1104536804069181</v>
      </c>
      <c r="AH10" s="16">
        <v>9.558599761304043</v>
      </c>
      <c r="AI10" s="16">
        <v>10.023668382871231</v>
      </c>
    </row>
    <row r="11" spans="1:35" x14ac:dyDescent="0.25">
      <c r="A11" s="11" t="s">
        <v>467</v>
      </c>
      <c r="B11" s="71"/>
      <c r="D11" s="16">
        <v>2.1040000000000001</v>
      </c>
      <c r="E11" s="16">
        <v>2.2429999999999999</v>
      </c>
      <c r="F11" s="16">
        <v>0.25</v>
      </c>
      <c r="G11" s="16">
        <v>0</v>
      </c>
      <c r="H11" s="16">
        <v>0</v>
      </c>
      <c r="I11" s="16">
        <v>0</v>
      </c>
      <c r="J11" s="16">
        <v>0</v>
      </c>
      <c r="K11" s="16">
        <v>0</v>
      </c>
      <c r="L11" s="16">
        <v>0</v>
      </c>
      <c r="M11" s="16">
        <v>0</v>
      </c>
      <c r="N11" s="16">
        <v>0.5</v>
      </c>
      <c r="O11" s="16">
        <v>1</v>
      </c>
      <c r="P11" s="16">
        <v>1.46</v>
      </c>
      <c r="Q11" s="16">
        <v>2.12</v>
      </c>
      <c r="R11" s="16">
        <v>2.42</v>
      </c>
      <c r="S11" s="16">
        <v>2.5579999999999998</v>
      </c>
      <c r="T11" s="16">
        <v>1.6140000000000008</v>
      </c>
      <c r="U11" s="16">
        <v>0.87900000000000134</v>
      </c>
      <c r="V11" s="16">
        <v>0</v>
      </c>
      <c r="W11" s="16">
        <v>4.0000000000013358E-3</v>
      </c>
      <c r="X11" s="16">
        <v>-3.2000000000000028E-2</v>
      </c>
      <c r="Y11" s="16">
        <v>6.2999999999998835E-2</v>
      </c>
      <c r="Z11" s="16">
        <v>7.8931226568819568E-2</v>
      </c>
      <c r="AA11" s="16">
        <v>-3.7546449235872359E-2</v>
      </c>
      <c r="AB11" s="16">
        <v>-0.19270640692964491</v>
      </c>
      <c r="AC11" s="16">
        <v>-0.40499215635222185</v>
      </c>
      <c r="AD11" s="16">
        <v>-0.64923682824001006</v>
      </c>
      <c r="AE11" s="16">
        <v>-0.88575870240245536</v>
      </c>
      <c r="AF11" s="16">
        <v>-1.1712854524337715</v>
      </c>
      <c r="AG11" s="16">
        <v>-1.4363342055452506</v>
      </c>
      <c r="AH11" s="16">
        <v>-1.6308417389458754</v>
      </c>
      <c r="AI11" s="16">
        <v>-1.7491417757201475</v>
      </c>
    </row>
    <row r="12" spans="1:35" x14ac:dyDescent="0.25">
      <c r="A12" s="11" t="s">
        <v>468</v>
      </c>
      <c r="B12" s="71"/>
      <c r="D12" s="16">
        <v>1.6E-2</v>
      </c>
      <c r="E12" s="16">
        <v>2.5999999999999999E-2</v>
      </c>
      <c r="F12" s="16">
        <v>0.01</v>
      </c>
      <c r="G12" s="16">
        <v>1E-3</v>
      </c>
      <c r="H12" s="16">
        <v>8.0000000000000002E-3</v>
      </c>
      <c r="I12" s="16">
        <v>2.5000000000000001E-2</v>
      </c>
      <c r="J12" s="16">
        <v>-4.0000000000000001E-3</v>
      </c>
      <c r="K12" s="16">
        <v>4.1000000000000002E-2</v>
      </c>
      <c r="L12" s="16">
        <v>-2.1000000000000001E-2</v>
      </c>
      <c r="M12" s="16">
        <v>0</v>
      </c>
      <c r="N12" s="16">
        <v>0.13</v>
      </c>
      <c r="O12" s="16">
        <v>6.8000000000000005E-2</v>
      </c>
      <c r="P12" s="16">
        <v>-0.13</v>
      </c>
      <c r="Q12" s="16">
        <v>1E-3</v>
      </c>
      <c r="R12" s="16">
        <v>-1E-3</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row>
    <row r="13" spans="1:35" x14ac:dyDescent="0.25">
      <c r="A13" s="9" t="s">
        <v>469</v>
      </c>
      <c r="B13" s="71"/>
      <c r="D13" s="47">
        <v>14.212000000000002</v>
      </c>
      <c r="E13" s="47">
        <v>13.688000000000001</v>
      </c>
      <c r="F13" s="47">
        <v>15.656000000000001</v>
      </c>
      <c r="G13" s="47">
        <v>18.652000000000001</v>
      </c>
      <c r="H13" s="47">
        <v>18.702999999999999</v>
      </c>
      <c r="I13" s="47">
        <v>22.548999999999999</v>
      </c>
      <c r="J13" s="47">
        <v>25.808999999999997</v>
      </c>
      <c r="K13" s="47">
        <v>29.521999999999998</v>
      </c>
      <c r="L13" s="47">
        <v>29.526999999999997</v>
      </c>
      <c r="M13" s="47">
        <v>34.506</v>
      </c>
      <c r="N13" s="47">
        <v>39.053000000000004</v>
      </c>
      <c r="O13" s="47">
        <v>42.445</v>
      </c>
      <c r="P13" s="47">
        <v>43.997</v>
      </c>
      <c r="Q13" s="47">
        <v>57.364999999999995</v>
      </c>
      <c r="R13" s="47">
        <v>56.21</v>
      </c>
      <c r="S13" s="47">
        <v>64.673000000000002</v>
      </c>
      <c r="T13" s="47">
        <v>74.819000000000003</v>
      </c>
      <c r="U13" s="47">
        <v>82.397000000000006</v>
      </c>
      <c r="V13" s="47">
        <v>87.271000000000001</v>
      </c>
      <c r="W13" s="47">
        <v>92.451000000000008</v>
      </c>
      <c r="X13" s="47">
        <v>97.911000000000016</v>
      </c>
      <c r="Y13" s="47">
        <v>103.80700000000003</v>
      </c>
      <c r="Z13" s="47">
        <v>110.04173244988901</v>
      </c>
      <c r="AA13" s="47">
        <v>116.526450370145</v>
      </c>
      <c r="AB13" s="47">
        <v>123.23625054772475</v>
      </c>
      <c r="AC13" s="47">
        <v>130.12581409741324</v>
      </c>
      <c r="AD13" s="47">
        <v>137.17297917392995</v>
      </c>
      <c r="AE13" s="47">
        <v>144.39501884023107</v>
      </c>
      <c r="AF13" s="47">
        <v>151.75197716755147</v>
      </c>
      <c r="AG13" s="47">
        <v>159.27288073316956</v>
      </c>
      <c r="AH13" s="47">
        <v>167.03988610753686</v>
      </c>
      <c r="AI13" s="47">
        <v>175.14583873153487</v>
      </c>
    </row>
    <row r="14" spans="1:35" x14ac:dyDescent="0.25">
      <c r="A14" s="11"/>
      <c r="B14" s="71"/>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row>
    <row r="15" spans="1:35" x14ac:dyDescent="0.25">
      <c r="A15" s="9" t="s">
        <v>470</v>
      </c>
      <c r="B15" s="71"/>
    </row>
    <row r="16" spans="1:35" x14ac:dyDescent="0.25">
      <c r="A16" s="11" t="s">
        <v>471</v>
      </c>
      <c r="B16" s="71"/>
      <c r="D16" s="16">
        <v>1.2010000000000001</v>
      </c>
      <c r="E16" s="16">
        <v>1.35</v>
      </c>
      <c r="F16" s="16">
        <v>1.5249999999999999</v>
      </c>
      <c r="G16" s="16">
        <v>1.5640000000000001</v>
      </c>
      <c r="H16" s="16">
        <v>1.5860000000000001</v>
      </c>
      <c r="I16" s="16">
        <v>1.4810000000000001</v>
      </c>
      <c r="J16" s="16">
        <v>1.512</v>
      </c>
      <c r="K16" s="16">
        <v>1.518</v>
      </c>
      <c r="L16" s="16">
        <v>1.512</v>
      </c>
      <c r="M16" s="16">
        <v>1.4750000000000001</v>
      </c>
      <c r="N16" s="16">
        <v>1.3</v>
      </c>
      <c r="O16" s="16">
        <v>1.361</v>
      </c>
      <c r="P16" s="16">
        <v>1.413</v>
      </c>
      <c r="Q16" s="16">
        <v>1.43</v>
      </c>
      <c r="R16" s="16">
        <v>1.2949999999999999</v>
      </c>
      <c r="S16" s="16">
        <v>1.2709999999999999</v>
      </c>
      <c r="T16" s="16">
        <v>1.3480000000000001</v>
      </c>
      <c r="U16" s="16">
        <v>1.6339999999999999</v>
      </c>
      <c r="V16" s="16">
        <v>1.877</v>
      </c>
      <c r="W16" s="16">
        <v>1.855</v>
      </c>
      <c r="X16" s="16">
        <v>1.8620000000000001</v>
      </c>
      <c r="Y16" s="16">
        <v>1.907</v>
      </c>
      <c r="Z16" s="16">
        <v>1.9390000000000001</v>
      </c>
      <c r="AA16" s="16">
        <v>1.994</v>
      </c>
      <c r="AB16" s="16">
        <v>2.044</v>
      </c>
      <c r="AC16" s="16">
        <v>2.0880000000000001</v>
      </c>
      <c r="AD16" s="16">
        <v>2.1309999999999998</v>
      </c>
      <c r="AE16" s="16">
        <v>2.1709999999999998</v>
      </c>
      <c r="AF16" s="16">
        <v>2.21</v>
      </c>
      <c r="AG16" s="16">
        <v>2.25</v>
      </c>
      <c r="AH16" s="16">
        <v>2.2909999999999999</v>
      </c>
      <c r="AI16" s="16">
        <v>2.3340000000000001</v>
      </c>
    </row>
    <row r="17" spans="1:35" x14ac:dyDescent="0.25">
      <c r="A17" s="11" t="s">
        <v>472</v>
      </c>
      <c r="B17" s="71"/>
      <c r="D17" s="16">
        <v>7.0000000000000001E-3</v>
      </c>
      <c r="E17" s="16">
        <v>1.7999999999999999E-2</v>
      </c>
      <c r="F17" s="16">
        <v>1.0999999999999999E-2</v>
      </c>
      <c r="G17" s="16">
        <v>1.2E-2</v>
      </c>
      <c r="H17" s="16">
        <v>1.0999999999999999E-2</v>
      </c>
      <c r="I17" s="16">
        <v>0</v>
      </c>
      <c r="J17" s="16">
        <v>1.0999999999999999E-2</v>
      </c>
      <c r="K17" s="16">
        <v>1.0999999999999999E-2</v>
      </c>
      <c r="L17" s="16">
        <v>0.01</v>
      </c>
      <c r="M17" s="16">
        <v>0.01</v>
      </c>
      <c r="N17" s="16">
        <v>3.5999999999999997E-2</v>
      </c>
      <c r="O17" s="16">
        <v>3.5999999999999997E-2</v>
      </c>
      <c r="P17" s="16">
        <v>3.5999999999999997E-2</v>
      </c>
      <c r="Q17" s="16">
        <v>3.7999999999999999E-2</v>
      </c>
      <c r="R17" s="16">
        <v>3.7999999999999999E-2</v>
      </c>
      <c r="S17" s="16">
        <v>0.03</v>
      </c>
      <c r="T17" s="16">
        <v>2.8000000000000001E-2</v>
      </c>
      <c r="U17" s="16">
        <v>2.5999999999999999E-2</v>
      </c>
      <c r="V17" s="16">
        <v>2.5000000000000001E-2</v>
      </c>
      <c r="W17" s="16">
        <v>2.4E-2</v>
      </c>
      <c r="X17" s="16">
        <v>2.5000000000000001E-2</v>
      </c>
      <c r="Y17" s="16">
        <v>2.5999999999999999E-2</v>
      </c>
      <c r="Z17" s="16">
        <v>2.5999999999999999E-2</v>
      </c>
      <c r="AA17" s="16">
        <v>2.7E-2</v>
      </c>
      <c r="AB17" s="16">
        <v>2.8000000000000001E-2</v>
      </c>
      <c r="AC17" s="16">
        <v>2.8000000000000001E-2</v>
      </c>
      <c r="AD17" s="16">
        <v>2.9000000000000001E-2</v>
      </c>
      <c r="AE17" s="16">
        <v>2.7E-2</v>
      </c>
      <c r="AF17" s="16">
        <v>3.1E-2</v>
      </c>
      <c r="AG17" s="16">
        <v>3.1E-2</v>
      </c>
      <c r="AH17" s="16">
        <v>3.2000000000000001E-2</v>
      </c>
      <c r="AI17" s="16">
        <v>3.3000000000000002E-2</v>
      </c>
    </row>
    <row r="18" spans="1:35" x14ac:dyDescent="0.25">
      <c r="A18" s="10" t="s">
        <v>876</v>
      </c>
      <c r="B18" s="71"/>
      <c r="D18" s="16">
        <v>0.48699999999999999</v>
      </c>
      <c r="E18" s="16">
        <v>0.53200000000000003</v>
      </c>
      <c r="F18" s="16">
        <v>0.72799999999999998</v>
      </c>
      <c r="G18" s="16">
        <v>0.71299999999999997</v>
      </c>
      <c r="H18" s="16">
        <v>0.70099999999999996</v>
      </c>
      <c r="I18" s="16">
        <v>0.53600000000000003</v>
      </c>
      <c r="J18" s="16">
        <v>0.63</v>
      </c>
      <c r="K18" s="16">
        <v>0.60199999999999998</v>
      </c>
      <c r="L18" s="16">
        <v>0.65900000000000003</v>
      </c>
      <c r="M18" s="16">
        <v>0.66200000000000003</v>
      </c>
      <c r="N18" s="16">
        <v>0.59399999999999997</v>
      </c>
      <c r="O18" s="16">
        <v>0.56299999999999994</v>
      </c>
      <c r="P18" s="16">
        <v>0.50600000000000001</v>
      </c>
      <c r="Q18" s="16">
        <v>0.46899999999999997</v>
      </c>
      <c r="R18" s="16">
        <v>0.48899999999999999</v>
      </c>
      <c r="S18" s="16">
        <v>0.55100000000000005</v>
      </c>
      <c r="T18" s="16">
        <v>0.54400000000000004</v>
      </c>
      <c r="U18" s="16">
        <v>0.56000000000000005</v>
      </c>
      <c r="V18" s="16">
        <v>0.63600000000000001</v>
      </c>
      <c r="W18" s="16">
        <v>0.628</v>
      </c>
      <c r="X18" s="16">
        <v>0.627</v>
      </c>
      <c r="Y18" s="16">
        <v>0.65300000000000002</v>
      </c>
      <c r="Z18" s="16">
        <v>0.65600000000000003</v>
      </c>
      <c r="AA18" s="16">
        <v>0.67400000000000004</v>
      </c>
      <c r="AB18" s="16">
        <v>0.69299999999999995</v>
      </c>
      <c r="AC18" s="16">
        <v>0.71099999999999997</v>
      </c>
      <c r="AD18" s="16">
        <v>0.72699999999999998</v>
      </c>
      <c r="AE18" s="16">
        <v>0.74199999999999999</v>
      </c>
      <c r="AF18" s="16">
        <v>0.75600000000000001</v>
      </c>
      <c r="AG18" s="16">
        <v>0.76900000000000002</v>
      </c>
      <c r="AH18" s="16">
        <v>0.78300000000000003</v>
      </c>
      <c r="AI18" s="16">
        <v>0.79700000000000004</v>
      </c>
    </row>
    <row r="19" spans="1:35" x14ac:dyDescent="0.25">
      <c r="A19" s="10" t="s">
        <v>877</v>
      </c>
      <c r="B19" s="71"/>
      <c r="D19" s="16">
        <v>0.629</v>
      </c>
      <c r="E19" s="16">
        <v>0.71</v>
      </c>
      <c r="F19" s="16">
        <v>0.754</v>
      </c>
      <c r="G19" s="16">
        <v>0.80200000000000005</v>
      </c>
      <c r="H19" s="16">
        <v>0.877</v>
      </c>
      <c r="I19" s="16">
        <v>1.054</v>
      </c>
      <c r="J19" s="16">
        <v>1.032</v>
      </c>
      <c r="K19" s="16">
        <v>1.1140000000000001</v>
      </c>
      <c r="L19" s="16">
        <v>1.208</v>
      </c>
      <c r="M19" s="16">
        <v>1.272</v>
      </c>
      <c r="N19" s="16">
        <v>1.3480000000000001</v>
      </c>
      <c r="O19" s="16">
        <v>1.371</v>
      </c>
      <c r="P19" s="16">
        <v>1.4770000000000001</v>
      </c>
      <c r="Q19" s="16">
        <v>1.4950000000000001</v>
      </c>
      <c r="R19" s="16">
        <v>1.605</v>
      </c>
      <c r="S19" s="16">
        <v>1.6339999999999999</v>
      </c>
      <c r="T19" s="16">
        <v>1.5980000000000001</v>
      </c>
      <c r="U19" s="16">
        <v>1.5669999999999999</v>
      </c>
      <c r="V19" s="16">
        <v>1.631</v>
      </c>
      <c r="W19" s="16">
        <v>1.6890000000000001</v>
      </c>
      <c r="X19" s="16">
        <v>1.736</v>
      </c>
      <c r="Y19" s="16">
        <v>1.7869999999999999</v>
      </c>
      <c r="Z19" s="16">
        <v>1.6779999999999999</v>
      </c>
      <c r="AA19" s="16">
        <v>1.736</v>
      </c>
      <c r="AB19" s="16">
        <v>1.79</v>
      </c>
      <c r="AC19" s="16">
        <v>1.839</v>
      </c>
      <c r="AD19" s="16">
        <v>1.887</v>
      </c>
      <c r="AE19" s="16">
        <v>1.9350000000000001</v>
      </c>
      <c r="AF19" s="16">
        <v>1.9810000000000001</v>
      </c>
      <c r="AG19" s="16">
        <v>2.0249999999999999</v>
      </c>
      <c r="AH19" s="16">
        <v>2.069</v>
      </c>
      <c r="AI19" s="16">
        <v>2.1110000000000002</v>
      </c>
    </row>
    <row r="20" spans="1:35" x14ac:dyDescent="0.25">
      <c r="A20" s="11" t="s">
        <v>473</v>
      </c>
      <c r="B20" s="71"/>
      <c r="D20" s="16">
        <v>0.40699999999999997</v>
      </c>
      <c r="E20" s="16">
        <v>0.46500000000000002</v>
      </c>
      <c r="F20" s="16">
        <v>0.46300000000000002</v>
      </c>
      <c r="G20" s="16">
        <v>0.48399999999999999</v>
      </c>
      <c r="H20" s="16">
        <v>0.52600000000000002</v>
      </c>
      <c r="I20" s="16">
        <v>0.59</v>
      </c>
      <c r="J20" s="16">
        <v>0.57899999999999996</v>
      </c>
      <c r="K20" s="16">
        <v>0.60399999999999998</v>
      </c>
      <c r="L20" s="16">
        <v>0.60299999999999998</v>
      </c>
      <c r="M20" s="16">
        <v>0.60199999999999998</v>
      </c>
      <c r="N20" s="16">
        <v>0.60399999999999998</v>
      </c>
      <c r="O20" s="16">
        <v>0.39400000000000002</v>
      </c>
      <c r="P20" s="16">
        <v>0.33100000000000002</v>
      </c>
      <c r="Q20" s="16">
        <v>0.23499999999999999</v>
      </c>
      <c r="R20" s="16">
        <v>0.28000000000000003</v>
      </c>
      <c r="S20" s="16">
        <v>0.57699999999999996</v>
      </c>
      <c r="T20" s="16">
        <v>0.63400000000000001</v>
      </c>
      <c r="U20" s="16">
        <v>0.502</v>
      </c>
      <c r="V20" s="16">
        <v>0.41299999999999998</v>
      </c>
      <c r="W20" s="16">
        <v>0.42899999999999999</v>
      </c>
      <c r="X20" s="16">
        <v>0.46100000000000002</v>
      </c>
      <c r="Y20" s="16">
        <v>0.48599999999999999</v>
      </c>
      <c r="Z20" s="16">
        <v>0.50700000000000001</v>
      </c>
      <c r="AA20" s="16">
        <v>0.52800000000000002</v>
      </c>
      <c r="AB20" s="16">
        <v>0.54300000000000004</v>
      </c>
      <c r="AC20" s="16">
        <v>0.55300000000000005</v>
      </c>
      <c r="AD20" s="16">
        <v>0.55800000000000005</v>
      </c>
      <c r="AE20" s="16">
        <v>0.55700000000000005</v>
      </c>
      <c r="AF20" s="16">
        <v>0.54800000000000004</v>
      </c>
      <c r="AG20" s="16">
        <v>0.53400000000000003</v>
      </c>
      <c r="AH20" s="16">
        <v>0.51800000000000002</v>
      </c>
      <c r="AI20" s="16">
        <v>0.498</v>
      </c>
    </row>
    <row r="21" spans="1:35" x14ac:dyDescent="0.25">
      <c r="A21" s="10" t="s">
        <v>1226</v>
      </c>
      <c r="B21" s="71"/>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3.4000000000000002E-2</v>
      </c>
      <c r="W21" s="16">
        <v>6.4000000000000001E-2</v>
      </c>
      <c r="X21" s="16">
        <v>0.11600000000000001</v>
      </c>
      <c r="Y21" s="16">
        <v>0.16800000000000001</v>
      </c>
      <c r="Z21" s="16">
        <v>0.20100000000000001</v>
      </c>
      <c r="AA21" s="16">
        <v>0.221</v>
      </c>
      <c r="AB21" s="16">
        <v>0.23300000000000001</v>
      </c>
      <c r="AC21" s="16">
        <v>0.24099999999999999</v>
      </c>
      <c r="AD21" s="16">
        <v>0.248</v>
      </c>
      <c r="AE21" s="16">
        <v>0.255</v>
      </c>
      <c r="AF21" s="16">
        <v>0.26100000000000001</v>
      </c>
      <c r="AG21" s="16">
        <v>0.26700000000000002</v>
      </c>
      <c r="AH21" s="16">
        <v>0.27300000000000002</v>
      </c>
      <c r="AI21" s="16">
        <v>0.27800000000000002</v>
      </c>
    </row>
    <row r="22" spans="1:35" x14ac:dyDescent="0.25">
      <c r="A22" s="11" t="s">
        <v>474</v>
      </c>
      <c r="B22" s="71"/>
      <c r="D22" s="16">
        <v>0.23100000000000001</v>
      </c>
      <c r="E22" s="16">
        <v>-0.77900000000000003</v>
      </c>
      <c r="F22" s="16">
        <v>-0.28000000000000003</v>
      </c>
      <c r="G22" s="16">
        <v>0.125</v>
      </c>
      <c r="H22" s="16">
        <v>0.28599999999999998</v>
      </c>
      <c r="I22" s="16">
        <v>-0.48399999999999999</v>
      </c>
      <c r="J22" s="16">
        <v>-1.2E-2</v>
      </c>
      <c r="K22" s="16">
        <v>-0.26900000000000002</v>
      </c>
      <c r="L22" s="16">
        <v>-0.14000000000000001</v>
      </c>
      <c r="M22" s="16">
        <v>6.2E-2</v>
      </c>
      <c r="N22" s="16">
        <v>0.73399999999999999</v>
      </c>
      <c r="O22" s="16">
        <v>0.94499999999999995</v>
      </c>
      <c r="P22" s="16">
        <v>-0.13300000000000001</v>
      </c>
      <c r="Q22" s="16">
        <v>0.70699999999999996</v>
      </c>
      <c r="R22" s="16">
        <v>-1.1509999999999998</v>
      </c>
      <c r="S22" s="16">
        <v>0.47099999999999997</v>
      </c>
      <c r="T22" s="16">
        <v>0.35499999999999998</v>
      </c>
      <c r="U22" s="16">
        <v>0.38100000000000001</v>
      </c>
      <c r="V22" s="16">
        <v>0</v>
      </c>
      <c r="W22" s="16">
        <v>0</v>
      </c>
      <c r="X22" s="16">
        <v>0</v>
      </c>
      <c r="Y22" s="16">
        <v>0</v>
      </c>
      <c r="Z22" s="16">
        <v>0</v>
      </c>
      <c r="AA22" s="16">
        <v>0</v>
      </c>
      <c r="AB22" s="16">
        <v>0</v>
      </c>
      <c r="AC22" s="16">
        <v>0</v>
      </c>
      <c r="AD22" s="16">
        <v>0</v>
      </c>
      <c r="AE22" s="16">
        <v>0</v>
      </c>
      <c r="AF22" s="16">
        <v>0</v>
      </c>
      <c r="AG22" s="16">
        <v>0</v>
      </c>
      <c r="AH22" s="16">
        <v>0</v>
      </c>
      <c r="AI22" s="16">
        <v>0</v>
      </c>
    </row>
    <row r="23" spans="1:35" x14ac:dyDescent="0.25">
      <c r="A23" s="9" t="s">
        <v>469</v>
      </c>
      <c r="B23" s="71"/>
      <c r="D23" s="47">
        <v>6.7409999999999997</v>
      </c>
      <c r="E23" s="47">
        <v>6.552999999999999</v>
      </c>
      <c r="F23" s="47">
        <v>6.79</v>
      </c>
      <c r="G23" s="47">
        <v>7.4599999999999982</v>
      </c>
      <c r="H23" s="47">
        <v>8.2909999999999968</v>
      </c>
      <c r="I23" s="47">
        <v>8.2879999999999967</v>
      </c>
      <c r="J23" s="47">
        <v>8.7159999999999958</v>
      </c>
      <c r="K23" s="47">
        <v>8.8639999999999937</v>
      </c>
      <c r="L23" s="47">
        <v>8.9819999999999993</v>
      </c>
      <c r="M23" s="47">
        <v>9.1969999999999992</v>
      </c>
      <c r="N23" s="47">
        <v>9.9290000000000003</v>
      </c>
      <c r="O23" s="47">
        <v>10.731</v>
      </c>
      <c r="P23" s="47">
        <v>10.395</v>
      </c>
      <c r="Q23" s="47">
        <v>10.840999999999999</v>
      </c>
      <c r="R23" s="47">
        <v>9.2089999999999996</v>
      </c>
      <c r="S23" s="47">
        <v>9.3729999999999993</v>
      </c>
      <c r="T23" s="47">
        <v>9.5960000000000001</v>
      </c>
      <c r="U23" s="47">
        <v>10.012</v>
      </c>
      <c r="V23" s="47">
        <v>10.026000000000002</v>
      </c>
      <c r="W23" s="47">
        <v>9.9530000000000012</v>
      </c>
      <c r="X23" s="47">
        <v>9.822000000000001</v>
      </c>
      <c r="Y23" s="47">
        <v>9.6330000000000027</v>
      </c>
      <c r="Z23" s="47">
        <v>9.5700000000000021</v>
      </c>
      <c r="AA23" s="47">
        <v>9.4880000000000013</v>
      </c>
      <c r="AB23" s="47">
        <v>9.3870000000000005</v>
      </c>
      <c r="AC23" s="47">
        <v>9.2650000000000023</v>
      </c>
      <c r="AD23" s="47">
        <v>9.1210000000000022</v>
      </c>
      <c r="AE23" s="47">
        <v>8.9440000000000008</v>
      </c>
      <c r="AF23" s="47">
        <v>8.7350000000000012</v>
      </c>
      <c r="AG23" s="47">
        <v>8.4890000000000025</v>
      </c>
      <c r="AH23" s="47">
        <v>8.2050000000000036</v>
      </c>
      <c r="AI23" s="47">
        <v>7.8840000000000003</v>
      </c>
    </row>
    <row r="24" spans="1:35" x14ac:dyDescent="0.25">
      <c r="A24" s="11"/>
      <c r="B24" s="71"/>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row>
    <row r="25" spans="1:35" x14ac:dyDescent="0.25">
      <c r="A25" s="9" t="s">
        <v>475</v>
      </c>
      <c r="B25" s="71"/>
    </row>
    <row r="26" spans="1:35" x14ac:dyDescent="0.25">
      <c r="A26" s="11" t="s">
        <v>476</v>
      </c>
      <c r="B26" s="71"/>
      <c r="V26" s="16">
        <v>7.2800074140364348</v>
      </c>
      <c r="W26" s="16">
        <v>7.9291164814743</v>
      </c>
      <c r="X26" s="16">
        <v>8.5951062438656383</v>
      </c>
      <c r="Y26" s="16">
        <v>9.3056361516015524</v>
      </c>
      <c r="Z26" s="16">
        <v>10.087495352692679</v>
      </c>
      <c r="AA26" s="16">
        <v>10.918576423337733</v>
      </c>
      <c r="AB26" s="16">
        <v>11.850012101673466</v>
      </c>
      <c r="AC26" s="16">
        <v>12.839493885874321</v>
      </c>
      <c r="AD26" s="16">
        <v>13.919248953313152</v>
      </c>
      <c r="AE26" s="16">
        <v>15.064183410064699</v>
      </c>
      <c r="AF26" s="16">
        <v>16.310078650427428</v>
      </c>
      <c r="AG26" s="16">
        <v>17.272737936013659</v>
      </c>
      <c r="AH26" s="16">
        <v>17.956469609276525</v>
      </c>
      <c r="AI26" s="16">
        <v>18.597664704627917</v>
      </c>
    </row>
    <row r="27" spans="1:35" x14ac:dyDescent="0.25">
      <c r="A27" s="11" t="s">
        <v>477</v>
      </c>
      <c r="B27" s="71"/>
      <c r="V27" s="16">
        <v>2.5485950000000002</v>
      </c>
      <c r="W27" s="16">
        <v>2.7397396249999999</v>
      </c>
      <c r="X27" s="16">
        <v>2.9452200968749995</v>
      </c>
      <c r="Y27" s="16">
        <v>3.1661116041406254</v>
      </c>
      <c r="Z27" s="16">
        <v>3.4035699744511718</v>
      </c>
      <c r="AA27" s="16">
        <v>3.6588377225350093</v>
      </c>
      <c r="AB27" s="16">
        <v>3.933250551725135</v>
      </c>
      <c r="AC27" s="16">
        <v>4.22824434310452</v>
      </c>
      <c r="AD27" s="16">
        <v>4.5453626688373587</v>
      </c>
      <c r="AE27" s="16">
        <v>4.8862648690001595</v>
      </c>
      <c r="AF27" s="16">
        <v>5.2527347341751733</v>
      </c>
      <c r="AG27" s="16">
        <v>5.4623003748400007</v>
      </c>
      <c r="AH27" s="16">
        <v>5.6129876369264577</v>
      </c>
      <c r="AI27" s="16">
        <v>5.7773750325928512</v>
      </c>
    </row>
    <row r="28" spans="1:35" x14ac:dyDescent="0.25">
      <c r="A28" s="11" t="s">
        <v>478</v>
      </c>
      <c r="B28" s="71"/>
      <c r="V28" s="16">
        <v>8.9221223791719524</v>
      </c>
      <c r="W28" s="16">
        <v>9.4666931652620825</v>
      </c>
      <c r="X28" s="16">
        <v>10.054757397837301</v>
      </c>
      <c r="Y28" s="16">
        <v>10.690702600606636</v>
      </c>
      <c r="Z28" s="16">
        <v>11.320471980273172</v>
      </c>
      <c r="AA28" s="16">
        <v>11.987234347525428</v>
      </c>
      <c r="AB28" s="16">
        <v>12.669893035605915</v>
      </c>
      <c r="AC28" s="16">
        <v>13.354877962986475</v>
      </c>
      <c r="AD28" s="16">
        <v>14.049894713642859</v>
      </c>
      <c r="AE28" s="16">
        <v>14.730953510387574</v>
      </c>
      <c r="AF28" s="16">
        <v>15.456410648102787</v>
      </c>
      <c r="AG28" s="16">
        <v>16.18738762079137</v>
      </c>
      <c r="AH28" s="16">
        <v>16.945273890188595</v>
      </c>
      <c r="AI28" s="16">
        <v>17.738983490617986</v>
      </c>
    </row>
    <row r="29" spans="1:35" x14ac:dyDescent="0.25">
      <c r="A29" s="11" t="s">
        <v>479</v>
      </c>
      <c r="B29" s="71"/>
      <c r="V29" s="16">
        <v>2.2656036428763131</v>
      </c>
      <c r="W29" s="16">
        <v>2.2750052242859198</v>
      </c>
      <c r="X29" s="16">
        <v>2.4254223975719333</v>
      </c>
      <c r="Y29" s="16">
        <v>2.6100900696860472</v>
      </c>
      <c r="Z29" s="16">
        <v>2.7997792681556888</v>
      </c>
      <c r="AA29" s="16">
        <v>2.9961877809088659</v>
      </c>
      <c r="AB29" s="16">
        <v>3.2028264200581904</v>
      </c>
      <c r="AC29" s="16">
        <v>3.4045626943088871</v>
      </c>
      <c r="AD29" s="16">
        <v>3.5951769754648963</v>
      </c>
      <c r="AE29" s="16">
        <v>3.8036758852018773</v>
      </c>
      <c r="AF29" s="16">
        <v>4.0507870780564819</v>
      </c>
      <c r="AG29" s="16">
        <v>4.3340945404398816</v>
      </c>
      <c r="AH29" s="16">
        <v>4.6397892838682466</v>
      </c>
      <c r="AI29" s="16">
        <v>4.9585539159139129</v>
      </c>
    </row>
    <row r="30" spans="1:35" x14ac:dyDescent="0.25">
      <c r="A30" s="11" t="s">
        <v>480</v>
      </c>
      <c r="B30" s="71"/>
      <c r="V30" s="16">
        <v>51.59963152082392</v>
      </c>
      <c r="W30" s="16">
        <v>52.337060061322063</v>
      </c>
      <c r="X30" s="16">
        <v>53.302831304922336</v>
      </c>
      <c r="Y30" s="16">
        <v>54.527854925603286</v>
      </c>
      <c r="Z30" s="16">
        <v>56.094657566178483</v>
      </c>
      <c r="AA30" s="16">
        <v>58.022187422899641</v>
      </c>
      <c r="AB30" s="16">
        <v>60.405132909025383</v>
      </c>
      <c r="AC30" s="16">
        <v>63.294311526222124</v>
      </c>
      <c r="AD30" s="16">
        <v>66.758842741357299</v>
      </c>
      <c r="AE30" s="16">
        <v>70.895748526236318</v>
      </c>
      <c r="AF30" s="16">
        <v>75.80020360661743</v>
      </c>
      <c r="AG30" s="16">
        <v>81.219648462279622</v>
      </c>
      <c r="AH30" s="16">
        <v>86.870633465235798</v>
      </c>
      <c r="AI30" s="16">
        <v>92.687868595159642</v>
      </c>
    </row>
    <row r="31" spans="1:35" x14ac:dyDescent="0.25">
      <c r="A31" s="11" t="s">
        <v>481</v>
      </c>
      <c r="B31" s="71"/>
      <c r="V31" s="16">
        <v>59.020797518236833</v>
      </c>
      <c r="W31" s="16">
        <v>61.639901235304841</v>
      </c>
      <c r="X31" s="16">
        <v>64.532934856356121</v>
      </c>
      <c r="Y31" s="16">
        <v>67.711314181884347</v>
      </c>
      <c r="Z31" s="16">
        <v>71.181444572630696</v>
      </c>
      <c r="AA31" s="16">
        <v>74.957291060469188</v>
      </c>
      <c r="AB31" s="16">
        <v>78.990550271417632</v>
      </c>
      <c r="AC31" s="16">
        <v>83.24900421036466</v>
      </c>
      <c r="AD31" s="16">
        <v>87.729041261544538</v>
      </c>
      <c r="AE31" s="16">
        <v>92.446521230607146</v>
      </c>
      <c r="AF31" s="16">
        <v>97.365615379993557</v>
      </c>
      <c r="AG31" s="16">
        <v>102.46493552419226</v>
      </c>
      <c r="AH31" s="16">
        <v>107.75290761935587</v>
      </c>
      <c r="AI31" s="16">
        <v>113.23198033194302</v>
      </c>
    </row>
    <row r="32" spans="1:35" x14ac:dyDescent="0.25">
      <c r="A32" s="11"/>
      <c r="B32" s="71"/>
    </row>
    <row r="33" spans="1:35" x14ac:dyDescent="0.25">
      <c r="A33" s="9" t="s">
        <v>482</v>
      </c>
      <c r="B33" s="71"/>
    </row>
    <row r="34" spans="1:35" x14ac:dyDescent="0.25">
      <c r="A34" s="11" t="s">
        <v>483</v>
      </c>
      <c r="B34" s="71"/>
      <c r="L34" s="16">
        <v>0.40600000000000003</v>
      </c>
      <c r="M34" s="16">
        <v>0.433</v>
      </c>
      <c r="N34" s="16">
        <v>0.44800000000000001</v>
      </c>
      <c r="O34" s="16">
        <v>0.45</v>
      </c>
      <c r="P34" s="16">
        <v>0.44</v>
      </c>
      <c r="Q34" s="16">
        <v>0.42799999999999999</v>
      </c>
      <c r="R34" s="16">
        <v>0.41299999999999998</v>
      </c>
      <c r="S34" s="16">
        <v>0.40600000000000003</v>
      </c>
      <c r="T34" s="16">
        <v>0.40899999999999997</v>
      </c>
      <c r="U34" s="16">
        <v>0.41099999999999998</v>
      </c>
      <c r="V34" s="16">
        <v>0.41299999999999998</v>
      </c>
      <c r="W34" s="16">
        <v>0.41399999999999998</v>
      </c>
      <c r="X34" s="16">
        <v>0.40899999999999997</v>
      </c>
      <c r="Y34" s="16">
        <v>0.39300000000000002</v>
      </c>
      <c r="Z34" s="16">
        <v>0.378</v>
      </c>
      <c r="AA34" s="16">
        <v>0.36099999999999999</v>
      </c>
      <c r="AB34" s="16">
        <v>0.34399999999999997</v>
      </c>
      <c r="AC34" s="16">
        <v>0.32700000000000001</v>
      </c>
      <c r="AD34" s="16">
        <v>0.31</v>
      </c>
      <c r="AE34" s="16">
        <v>0.29199999999999998</v>
      </c>
      <c r="AF34" s="16">
        <v>0.27600000000000002</v>
      </c>
      <c r="AG34" s="16">
        <v>0.26</v>
      </c>
      <c r="AH34" s="16">
        <v>0.24299999999999999</v>
      </c>
      <c r="AI34" s="16">
        <v>0.22600000000000001</v>
      </c>
    </row>
    <row r="35" spans="1:35" x14ac:dyDescent="0.25">
      <c r="A35" s="11" t="s">
        <v>481</v>
      </c>
      <c r="B35" s="71"/>
      <c r="L35" s="16">
        <v>13.744999999999999</v>
      </c>
      <c r="M35" s="16">
        <v>13.493</v>
      </c>
      <c r="N35" s="16">
        <v>13.244999999999999</v>
      </c>
      <c r="O35" s="16">
        <v>12.984999999999999</v>
      </c>
      <c r="P35" s="16">
        <v>12.689</v>
      </c>
      <c r="Q35" s="16">
        <v>12.366</v>
      </c>
      <c r="R35" s="16">
        <v>12.019</v>
      </c>
      <c r="S35" s="16">
        <v>11.656000000000001</v>
      </c>
      <c r="T35" s="16">
        <v>11.29</v>
      </c>
      <c r="U35" s="16">
        <v>10.92</v>
      </c>
      <c r="V35" s="16">
        <v>10.553000000000001</v>
      </c>
      <c r="W35" s="16">
        <v>10.186999999999999</v>
      </c>
      <c r="X35" s="16">
        <v>9.8190000000000008</v>
      </c>
      <c r="Y35" s="16">
        <v>9.44</v>
      </c>
      <c r="Z35" s="16">
        <v>9.0530000000000008</v>
      </c>
      <c r="AA35" s="16">
        <v>8.6560000000000006</v>
      </c>
      <c r="AB35" s="16">
        <v>8.2539999999999996</v>
      </c>
      <c r="AC35" s="16">
        <v>7.843</v>
      </c>
      <c r="AD35" s="16">
        <v>7.4290000000000003</v>
      </c>
      <c r="AE35" s="16">
        <v>7.0140000000000002</v>
      </c>
      <c r="AF35" s="16">
        <v>6.6130000000000004</v>
      </c>
      <c r="AG35" s="16">
        <v>6.2169999999999996</v>
      </c>
      <c r="AH35" s="16">
        <v>5.827</v>
      </c>
      <c r="AI35" s="16">
        <v>5.444</v>
      </c>
    </row>
    <row r="36" spans="1:35" x14ac:dyDescent="0.25">
      <c r="A36" s="11"/>
      <c r="B36" s="71"/>
    </row>
    <row r="37" spans="1:35" x14ac:dyDescent="0.25">
      <c r="A37" s="9" t="s">
        <v>484</v>
      </c>
      <c r="B37" s="9" t="s">
        <v>521</v>
      </c>
      <c r="D37" s="16">
        <v>1.1020000000000001</v>
      </c>
      <c r="E37" s="16">
        <v>1.2809999999999999</v>
      </c>
      <c r="F37" s="16">
        <v>1.024</v>
      </c>
      <c r="G37" s="16">
        <v>1.0409999999999999</v>
      </c>
      <c r="H37" s="16">
        <v>0.68899999999999995</v>
      </c>
      <c r="I37" s="16">
        <v>0.72299999999999998</v>
      </c>
      <c r="J37" s="16">
        <v>0.80400000000000005</v>
      </c>
      <c r="K37" s="16">
        <v>0.85499999999999998</v>
      </c>
      <c r="L37" s="16">
        <v>0.69799999999999995</v>
      </c>
      <c r="M37" s="16">
        <v>0.74299999999999999</v>
      </c>
      <c r="N37" s="16">
        <v>0.80700000000000005</v>
      </c>
      <c r="O37" s="16">
        <v>0.86699999999999999</v>
      </c>
      <c r="P37" s="16">
        <v>0.88500000000000001</v>
      </c>
      <c r="Q37" s="16">
        <v>0.91600000000000004</v>
      </c>
      <c r="R37" s="16">
        <v>0.96399999999999997</v>
      </c>
      <c r="S37" s="16">
        <v>0.997</v>
      </c>
      <c r="T37" s="16">
        <v>1.014</v>
      </c>
      <c r="U37" s="16">
        <v>1.06</v>
      </c>
      <c r="V37" s="16">
        <v>0.54500000000000004</v>
      </c>
      <c r="W37" s="16">
        <v>0.56499999999999995</v>
      </c>
      <c r="X37" s="16">
        <v>0.58799999999999997</v>
      </c>
      <c r="Y37" s="16">
        <v>0.61299999999999999</v>
      </c>
      <c r="Z37" s="16">
        <v>0.63900000000000001</v>
      </c>
      <c r="AA37" s="16">
        <v>0.67</v>
      </c>
      <c r="AB37" s="16">
        <v>0.7</v>
      </c>
    </row>
    <row r="38" spans="1:35" x14ac:dyDescent="0.25">
      <c r="A38" s="9"/>
      <c r="B38" s="71"/>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row>
    <row r="39" spans="1:35" x14ac:dyDescent="0.25">
      <c r="A39" s="9" t="s">
        <v>485</v>
      </c>
      <c r="B39" s="9" t="s">
        <v>521</v>
      </c>
      <c r="D39" s="16">
        <v>0.70099999999999996</v>
      </c>
      <c r="E39" s="16">
        <v>1.6539999999999999</v>
      </c>
      <c r="F39" s="16">
        <v>0.59</v>
      </c>
      <c r="G39" s="16">
        <v>1.01</v>
      </c>
      <c r="H39" s="16">
        <v>1.0029999999999999</v>
      </c>
      <c r="I39" s="16">
        <v>0.92500000000000004</v>
      </c>
      <c r="J39" s="16">
        <v>1.069</v>
      </c>
      <c r="K39" s="16">
        <v>0.873</v>
      </c>
      <c r="L39" s="16">
        <v>0.68</v>
      </c>
      <c r="M39" s="16">
        <v>0.49299999999999999</v>
      </c>
      <c r="N39" s="16">
        <v>0.61599999999999999</v>
      </c>
      <c r="O39" s="16">
        <v>0.82899999999999996</v>
      </c>
      <c r="P39" s="16">
        <v>1.3560000000000001</v>
      </c>
      <c r="Q39" s="16">
        <v>0.88200000000000001</v>
      </c>
      <c r="R39" s="16">
        <v>0.66200000000000003</v>
      </c>
      <c r="S39" s="16">
        <v>1.4530000000000001</v>
      </c>
      <c r="T39" s="16">
        <v>2.3929999999999998</v>
      </c>
      <c r="U39" s="16">
        <v>1.994</v>
      </c>
      <c r="V39" s="16">
        <v>1.52</v>
      </c>
      <c r="W39" s="16">
        <v>1.425</v>
      </c>
      <c r="X39" s="16">
        <v>1.238</v>
      </c>
      <c r="Y39" s="16">
        <v>1.238</v>
      </c>
    </row>
    <row r="40" spans="1:35" x14ac:dyDescent="0.25">
      <c r="A40" s="9"/>
      <c r="B40" s="9"/>
      <c r="D40" s="16"/>
      <c r="E40" s="16"/>
      <c r="F40" s="16"/>
      <c r="G40" s="16"/>
      <c r="H40" s="16"/>
      <c r="I40" s="16"/>
      <c r="J40" s="16"/>
      <c r="K40" s="16"/>
      <c r="L40" s="16"/>
      <c r="M40" s="16"/>
      <c r="N40" s="16"/>
      <c r="O40" s="16"/>
      <c r="P40" s="16"/>
      <c r="Q40" s="16"/>
      <c r="R40" s="16"/>
      <c r="S40" s="16"/>
      <c r="T40" s="16"/>
      <c r="U40" s="16"/>
      <c r="V40" s="16"/>
      <c r="W40" s="16"/>
      <c r="X40" s="16"/>
      <c r="Y40" s="16"/>
    </row>
    <row r="41" spans="1:35" x14ac:dyDescent="0.25">
      <c r="A41" s="9" t="s">
        <v>486</v>
      </c>
      <c r="B41" s="13" t="s">
        <v>94</v>
      </c>
      <c r="C41" s="13" t="s">
        <v>95</v>
      </c>
      <c r="D41" s="53"/>
      <c r="E41" s="53"/>
      <c r="F41" s="53"/>
      <c r="G41" s="53"/>
      <c r="H41" s="2"/>
      <c r="I41" s="13" t="s">
        <v>94</v>
      </c>
      <c r="J41" s="13" t="s">
        <v>95</v>
      </c>
      <c r="K41" s="2"/>
      <c r="L41" s="53"/>
      <c r="M41" s="53"/>
      <c r="N41" s="53"/>
      <c r="O41" s="2"/>
      <c r="P41" s="13" t="s">
        <v>94</v>
      </c>
      <c r="Q41" s="13" t="s">
        <v>95</v>
      </c>
    </row>
    <row r="42" spans="1:35" x14ac:dyDescent="0.25">
      <c r="A42" s="11" t="s">
        <v>487</v>
      </c>
      <c r="B42" s="72">
        <v>2.9000000000000001E-2</v>
      </c>
      <c r="C42" s="72">
        <v>2.9000000000000001E-2</v>
      </c>
      <c r="D42" s="11" t="s">
        <v>499</v>
      </c>
      <c r="F42" s="53"/>
      <c r="G42" s="53"/>
      <c r="H42" s="53"/>
      <c r="I42" s="72">
        <v>1.0999999999999999E-2</v>
      </c>
      <c r="J42" s="72">
        <v>1.7000000000000001E-2</v>
      </c>
      <c r="K42" s="11" t="s">
        <v>500</v>
      </c>
      <c r="M42" s="53"/>
      <c r="N42" s="53"/>
      <c r="O42" s="53"/>
      <c r="P42" s="72">
        <v>0</v>
      </c>
      <c r="Q42" s="72">
        <v>0</v>
      </c>
    </row>
    <row r="43" spans="1:35" x14ac:dyDescent="0.25">
      <c r="A43" s="11" t="s">
        <v>488</v>
      </c>
      <c r="B43" s="72">
        <v>6.5000000000000002E-2</v>
      </c>
      <c r="C43" s="72">
        <v>0.08</v>
      </c>
      <c r="D43" s="11" t="s">
        <v>501</v>
      </c>
      <c r="F43" s="53"/>
      <c r="G43" s="53"/>
      <c r="H43" s="53"/>
      <c r="I43" s="72">
        <v>2.4E-2</v>
      </c>
      <c r="J43" s="72">
        <v>3.3000000000000002E-2</v>
      </c>
      <c r="K43" s="11" t="s">
        <v>502</v>
      </c>
      <c r="M43" s="53"/>
      <c r="N43" s="53"/>
      <c r="O43" s="53"/>
      <c r="P43" s="72">
        <v>0.126</v>
      </c>
      <c r="Q43" s="72">
        <v>3.0000000000000001E-3</v>
      </c>
    </row>
    <row r="44" spans="1:35" x14ac:dyDescent="0.25">
      <c r="A44" s="11" t="s">
        <v>489</v>
      </c>
      <c r="B44" s="72">
        <v>4.1000000000000002E-2</v>
      </c>
      <c r="C44" s="72">
        <v>7.6999999999999999E-2</v>
      </c>
      <c r="D44" s="11" t="s">
        <v>503</v>
      </c>
      <c r="F44" s="53"/>
      <c r="G44" s="53"/>
      <c r="H44" s="53"/>
      <c r="I44" s="72">
        <v>2.7E-2</v>
      </c>
      <c r="J44" s="72">
        <v>3.3000000000000002E-2</v>
      </c>
      <c r="K44" s="11" t="s">
        <v>504</v>
      </c>
      <c r="M44" s="53"/>
      <c r="N44" s="53"/>
      <c r="O44" s="53"/>
      <c r="P44" s="72">
        <v>0.20399999999999999</v>
      </c>
      <c r="Q44" s="72">
        <v>1.2E-2</v>
      </c>
    </row>
    <row r="45" spans="1:35" x14ac:dyDescent="0.25">
      <c r="A45" s="11" t="s">
        <v>490</v>
      </c>
      <c r="B45" s="72">
        <v>3.3000000000000002E-2</v>
      </c>
      <c r="C45" s="72">
        <v>7.0999999999999994E-2</v>
      </c>
      <c r="D45" s="11" t="s">
        <v>505</v>
      </c>
      <c r="F45" s="53"/>
      <c r="G45" s="53"/>
      <c r="H45" s="53"/>
      <c r="I45" s="72">
        <v>3.4000000000000002E-2</v>
      </c>
      <c r="J45" s="72">
        <v>3.5999999999999997E-2</v>
      </c>
      <c r="K45" s="11" t="s">
        <v>506</v>
      </c>
      <c r="M45" s="53"/>
      <c r="N45" s="53"/>
      <c r="O45" s="53"/>
      <c r="P45" s="72">
        <v>0.221</v>
      </c>
      <c r="Q45" s="72">
        <v>0.02</v>
      </c>
    </row>
    <row r="46" spans="1:35" x14ac:dyDescent="0.25">
      <c r="A46" s="11" t="s">
        <v>491</v>
      </c>
      <c r="B46" s="72">
        <v>3.1E-2</v>
      </c>
      <c r="C46" s="72">
        <v>5.8000000000000003E-2</v>
      </c>
      <c r="D46" s="11" t="s">
        <v>507</v>
      </c>
      <c r="F46" s="53"/>
      <c r="G46" s="53"/>
      <c r="H46" s="53"/>
      <c r="I46" s="72">
        <v>3.5999999999999997E-2</v>
      </c>
      <c r="J46" s="72">
        <v>3.4000000000000002E-2</v>
      </c>
      <c r="K46" s="11" t="s">
        <v>508</v>
      </c>
      <c r="M46" s="53"/>
      <c r="N46" s="53"/>
      <c r="O46" s="53"/>
      <c r="P46" s="72">
        <v>0.16600000000000001</v>
      </c>
      <c r="Q46" s="72">
        <v>1.7999999999999999E-2</v>
      </c>
    </row>
    <row r="47" spans="1:35" x14ac:dyDescent="0.25">
      <c r="A47" s="11" t="s">
        <v>492</v>
      </c>
      <c r="B47" s="72">
        <v>3.2000000000000001E-2</v>
      </c>
      <c r="C47" s="72">
        <v>5.0999999999999997E-2</v>
      </c>
      <c r="D47" s="11" t="s">
        <v>509</v>
      </c>
      <c r="F47" s="53"/>
      <c r="G47" s="53"/>
      <c r="H47" s="53"/>
      <c r="I47" s="72">
        <v>3.9E-2</v>
      </c>
      <c r="J47" s="72">
        <v>3.5999999999999997E-2</v>
      </c>
      <c r="K47" s="11" t="s">
        <v>510</v>
      </c>
      <c r="M47" s="53"/>
      <c r="N47" s="53"/>
      <c r="O47" s="53"/>
      <c r="P47" s="72">
        <v>0.104</v>
      </c>
      <c r="Q47" s="72">
        <v>1.4999999999999999E-2</v>
      </c>
    </row>
    <row r="48" spans="1:35" x14ac:dyDescent="0.25">
      <c r="A48" s="11" t="s">
        <v>493</v>
      </c>
      <c r="B48" s="72">
        <v>3.5999999999999997E-2</v>
      </c>
      <c r="C48" s="72">
        <v>4.7E-2</v>
      </c>
      <c r="D48" s="11" t="s">
        <v>511</v>
      </c>
      <c r="F48" s="53"/>
      <c r="G48" s="53"/>
      <c r="H48" s="53"/>
      <c r="I48" s="72">
        <v>4.8000000000000001E-2</v>
      </c>
      <c r="J48" s="72">
        <v>4.4999999999999998E-2</v>
      </c>
      <c r="K48" s="11" t="s">
        <v>512</v>
      </c>
      <c r="M48" s="53"/>
      <c r="N48" s="53"/>
      <c r="O48" s="53"/>
      <c r="P48" s="72">
        <v>5.6000000000000001E-2</v>
      </c>
      <c r="Q48" s="72">
        <v>0.01</v>
      </c>
    </row>
    <row r="49" spans="1:18" x14ac:dyDescent="0.25">
      <c r="A49" s="11" t="s">
        <v>494</v>
      </c>
      <c r="B49" s="72">
        <v>4.8000000000000001E-2</v>
      </c>
      <c r="C49" s="72">
        <v>0.05</v>
      </c>
      <c r="D49" s="11" t="s">
        <v>513</v>
      </c>
      <c r="F49" s="53"/>
      <c r="G49" s="53"/>
      <c r="H49" s="53"/>
      <c r="I49" s="72">
        <v>7.0999999999999994E-2</v>
      </c>
      <c r="J49" s="72">
        <v>6.5000000000000002E-2</v>
      </c>
      <c r="K49" s="11" t="s">
        <v>514</v>
      </c>
      <c r="M49" s="53"/>
      <c r="N49" s="53"/>
      <c r="O49" s="53"/>
      <c r="P49" s="72">
        <v>2.5000000000000001E-2</v>
      </c>
      <c r="Q49" s="72">
        <v>7.0000000000000001E-3</v>
      </c>
    </row>
    <row r="50" spans="1:18" x14ac:dyDescent="0.25">
      <c r="A50" s="11" t="s">
        <v>495</v>
      </c>
      <c r="B50" s="72">
        <v>0.05</v>
      </c>
      <c r="C50" s="72">
        <v>4.9000000000000002E-2</v>
      </c>
      <c r="D50" s="11" t="s">
        <v>515</v>
      </c>
      <c r="F50" s="53"/>
      <c r="G50" s="53"/>
      <c r="H50" s="53"/>
      <c r="I50" s="72">
        <v>8.7999999999999995E-2</v>
      </c>
      <c r="J50" s="72">
        <v>7.9000000000000001E-2</v>
      </c>
      <c r="K50" s="11" t="s">
        <v>516</v>
      </c>
      <c r="M50" s="53"/>
      <c r="N50" s="53"/>
      <c r="O50" s="53"/>
      <c r="P50" s="72">
        <v>5.0000000000000001E-3</v>
      </c>
      <c r="Q50" s="72">
        <v>4.0000000000000001E-3</v>
      </c>
    </row>
    <row r="51" spans="1:18" x14ac:dyDescent="0.25">
      <c r="A51" s="11" t="s">
        <v>496</v>
      </c>
      <c r="B51" s="72">
        <v>5.6000000000000001E-2</v>
      </c>
      <c r="C51" s="72">
        <v>4.7E-2</v>
      </c>
      <c r="D51" s="11" t="s">
        <v>517</v>
      </c>
      <c r="F51" s="53"/>
      <c r="G51" s="53"/>
      <c r="H51" s="53"/>
      <c r="I51" s="72">
        <v>0.11899999999999999</v>
      </c>
      <c r="J51" s="72">
        <v>0.10299999999999999</v>
      </c>
      <c r="K51" s="11" t="s">
        <v>518</v>
      </c>
      <c r="M51" s="53"/>
      <c r="N51" s="53"/>
      <c r="O51" s="53"/>
      <c r="P51" s="72">
        <v>2E-3</v>
      </c>
      <c r="Q51" s="72">
        <v>2E-3</v>
      </c>
    </row>
    <row r="52" spans="1:18" x14ac:dyDescent="0.25">
      <c r="A52" s="11" t="s">
        <v>497</v>
      </c>
      <c r="B52" s="72">
        <v>1.0999999999999999E-2</v>
      </c>
      <c r="C52" s="72">
        <v>8.9999999999999993E-3</v>
      </c>
      <c r="D52" s="11" t="s">
        <v>519</v>
      </c>
      <c r="F52" s="53"/>
      <c r="G52" s="53"/>
      <c r="H52" s="53"/>
      <c r="I52" s="72">
        <v>0.01</v>
      </c>
      <c r="J52" s="72">
        <v>1.2E-2</v>
      </c>
      <c r="K52" s="11" t="s">
        <v>520</v>
      </c>
      <c r="M52" s="53"/>
      <c r="N52" s="53"/>
      <c r="O52" s="53"/>
      <c r="P52" s="72">
        <v>0</v>
      </c>
      <c r="Q52" s="72">
        <v>0</v>
      </c>
    </row>
    <row r="53" spans="1:18" x14ac:dyDescent="0.25">
      <c r="A53" s="11"/>
      <c r="B53" s="11"/>
      <c r="C53" s="73">
        <f>SUM($B$42:$C$52)</f>
        <v>1.0000000000000004</v>
      </c>
      <c r="D53" s="2"/>
      <c r="E53" s="2"/>
      <c r="F53" s="2"/>
      <c r="G53" s="2"/>
      <c r="H53" s="2"/>
      <c r="I53" s="11"/>
      <c r="J53" s="73">
        <f>SUM($I$42:$J$52)</f>
        <v>0.99999999999999989</v>
      </c>
      <c r="K53" s="2"/>
      <c r="L53" s="2"/>
      <c r="M53" s="2"/>
      <c r="N53" s="2"/>
      <c r="O53" s="2"/>
      <c r="P53" s="11"/>
      <c r="Q53" s="73">
        <f>SUM($P$42:$Q$52)</f>
        <v>1</v>
      </c>
    </row>
    <row r="54" spans="1:18" x14ac:dyDescent="0.25">
      <c r="A54" s="11"/>
      <c r="B54" s="11"/>
      <c r="C54" s="11" t="s">
        <v>83</v>
      </c>
      <c r="D54" s="11"/>
      <c r="E54" s="11"/>
      <c r="F54" s="11"/>
      <c r="G54" s="11"/>
      <c r="H54" s="71"/>
      <c r="I54" s="71"/>
    </row>
    <row r="55" spans="1:18" x14ac:dyDescent="0.25">
      <c r="A55" s="9" t="s">
        <v>498</v>
      </c>
      <c r="B55" s="11" t="s">
        <v>84</v>
      </c>
      <c r="C55" s="11" t="s">
        <v>85</v>
      </c>
      <c r="D55" s="11" t="s">
        <v>87</v>
      </c>
      <c r="E55" s="11" t="s">
        <v>86</v>
      </c>
      <c r="F55" s="11"/>
      <c r="G55" s="11"/>
      <c r="H55" s="71"/>
      <c r="I55" s="71"/>
    </row>
    <row r="56" spans="1:18" x14ac:dyDescent="0.25">
      <c r="A56" s="11" t="s">
        <v>76</v>
      </c>
      <c r="B56" s="72">
        <v>0.105</v>
      </c>
      <c r="C56" s="74">
        <v>15600</v>
      </c>
      <c r="D56" s="74">
        <f>$C$56*(1-$B$56)</f>
        <v>13962</v>
      </c>
      <c r="E56" s="74">
        <f>$C$56-$D$56</f>
        <v>1638</v>
      </c>
      <c r="F56" s="71"/>
      <c r="G56" s="71"/>
      <c r="H56" s="71"/>
      <c r="I56" s="71"/>
    </row>
    <row r="57" spans="1:18" x14ac:dyDescent="0.25">
      <c r="A57" s="11" t="s">
        <v>77</v>
      </c>
      <c r="B57" s="72">
        <v>0.17499999999999999</v>
      </c>
      <c r="C57" s="74">
        <v>53500</v>
      </c>
      <c r="D57" s="74">
        <f>$C$57-($C$57-$C$56)*$B$57-$C$56*$B$56</f>
        <v>45229.5</v>
      </c>
      <c r="E57" s="74">
        <f>$C$57-$D$57</f>
        <v>8270.5</v>
      </c>
      <c r="F57" s="71"/>
      <c r="G57" s="71"/>
      <c r="H57" s="71"/>
      <c r="I57" s="71"/>
    </row>
    <row r="58" spans="1:18" x14ac:dyDescent="0.25">
      <c r="A58" s="11" t="s">
        <v>78</v>
      </c>
      <c r="B58" s="72">
        <v>0.3</v>
      </c>
      <c r="C58" s="74">
        <v>78100</v>
      </c>
      <c r="D58" s="74">
        <f>$C$58-($C$58-$C$57)*$B$58-($C$57-$C$56)*$B$57-$C$56*$B$56</f>
        <v>62449.5</v>
      </c>
      <c r="E58" s="74">
        <f>$C$58-$D$58</f>
        <v>15650.5</v>
      </c>
      <c r="F58" s="71"/>
      <c r="G58" s="71"/>
      <c r="H58" s="71"/>
      <c r="I58" s="71"/>
    </row>
    <row r="59" spans="1:18" x14ac:dyDescent="0.25">
      <c r="A59" s="11" t="s">
        <v>79</v>
      </c>
      <c r="B59" s="72">
        <v>0.33</v>
      </c>
      <c r="C59" s="74">
        <v>180000</v>
      </c>
      <c r="D59" s="74">
        <f>$C$59-($C$59-$C$58)*$B$59-($C$58-$C$57)*$B$58-($C$57-$C$56)*$B$57-$C$56*$B$56</f>
        <v>130722.5</v>
      </c>
      <c r="E59" s="74">
        <f>$C$59-$D$59</f>
        <v>49277.5</v>
      </c>
      <c r="F59" s="71"/>
      <c r="G59" s="71"/>
      <c r="H59" s="71"/>
      <c r="I59" s="71"/>
    </row>
    <row r="60" spans="1:18" x14ac:dyDescent="0.25">
      <c r="A60" s="11" t="s">
        <v>80</v>
      </c>
      <c r="B60" s="72">
        <v>0.39</v>
      </c>
      <c r="C60" s="71"/>
      <c r="D60" s="71"/>
      <c r="E60" s="71"/>
      <c r="F60" s="71"/>
      <c r="G60" s="71"/>
      <c r="H60" s="71"/>
      <c r="I60" s="71"/>
    </row>
    <row r="61" spans="1:18" x14ac:dyDescent="0.25">
      <c r="A61" s="11" t="s">
        <v>81</v>
      </c>
      <c r="B61" s="75">
        <v>1.6E-2</v>
      </c>
      <c r="C61" s="71"/>
      <c r="D61" s="71"/>
      <c r="E61" s="71"/>
      <c r="F61" s="71"/>
      <c r="G61" s="71"/>
      <c r="H61" s="71"/>
      <c r="I61" s="71"/>
    </row>
    <row r="63" spans="1:18" x14ac:dyDescent="0.25">
      <c r="A63" s="9" t="s">
        <v>1277</v>
      </c>
      <c r="B63" s="9" t="s">
        <v>1278</v>
      </c>
      <c r="G63" s="9" t="s">
        <v>1330</v>
      </c>
      <c r="L63" s="9" t="s">
        <v>1346</v>
      </c>
      <c r="Q63" s="9" t="s">
        <v>1347</v>
      </c>
    </row>
    <row r="64" spans="1:18" x14ac:dyDescent="0.25">
      <c r="B64" s="9" t="s">
        <v>94</v>
      </c>
      <c r="C64" s="9" t="s">
        <v>95</v>
      </c>
      <c r="G64" s="9" t="s">
        <v>94</v>
      </c>
      <c r="H64" s="9" t="s">
        <v>95</v>
      </c>
      <c r="L64" s="9" t="s">
        <v>94</v>
      </c>
      <c r="M64" s="9" t="s">
        <v>95</v>
      </c>
      <c r="Q64" s="9" t="s">
        <v>94</v>
      </c>
      <c r="R64" s="9" t="s">
        <v>95</v>
      </c>
    </row>
    <row r="65" spans="1:18" x14ac:dyDescent="0.25">
      <c r="A65" s="11" t="s">
        <v>1279</v>
      </c>
      <c r="B65" s="72">
        <v>2.5999999999999999E-2</v>
      </c>
      <c r="C65" s="72">
        <v>2.8000000000000001E-2</v>
      </c>
      <c r="E65" s="11" t="s">
        <v>1331</v>
      </c>
      <c r="G65" s="72">
        <v>5.2999999999999999E-2</v>
      </c>
      <c r="H65" s="72">
        <v>5.5E-2</v>
      </c>
      <c r="J65" s="11" t="s">
        <v>1339</v>
      </c>
      <c r="L65" s="72">
        <v>5.6000000000000001E-2</v>
      </c>
      <c r="M65" s="72">
        <v>5.8999999999999997E-2</v>
      </c>
      <c r="O65" s="11" t="s">
        <v>1343</v>
      </c>
      <c r="Q65" s="72">
        <v>1.2999999999999999E-2</v>
      </c>
      <c r="R65" s="72">
        <v>1.4999999999999999E-2</v>
      </c>
    </row>
    <row r="66" spans="1:18" x14ac:dyDescent="0.25">
      <c r="A66" s="11" t="s">
        <v>1280</v>
      </c>
      <c r="B66" s="72">
        <v>7.2999999999999995E-2</v>
      </c>
      <c r="C66" s="72">
        <v>7.6999999999999999E-2</v>
      </c>
      <c r="E66" s="11" t="s">
        <v>1332</v>
      </c>
      <c r="G66" s="72">
        <v>5.7000000000000002E-2</v>
      </c>
      <c r="H66" s="72">
        <v>6.0999999999999999E-2</v>
      </c>
      <c r="J66" s="11" t="s">
        <v>1340</v>
      </c>
      <c r="L66" s="72">
        <v>0.11</v>
      </c>
      <c r="M66" s="72">
        <v>0.11600000000000001</v>
      </c>
      <c r="O66" s="11" t="s">
        <v>1348</v>
      </c>
      <c r="Q66" s="72">
        <v>0.1</v>
      </c>
      <c r="R66" s="72">
        <v>8.1000000000000003E-2</v>
      </c>
    </row>
    <row r="67" spans="1:18" x14ac:dyDescent="0.25">
      <c r="A67" s="11" t="s">
        <v>1281</v>
      </c>
      <c r="B67" s="72">
        <v>0.104</v>
      </c>
      <c r="C67" s="72">
        <v>0.11</v>
      </c>
      <c r="E67" s="11" t="s">
        <v>1333</v>
      </c>
      <c r="G67" s="72">
        <v>5.8000000000000003E-2</v>
      </c>
      <c r="H67" s="72">
        <v>6.0999999999999999E-2</v>
      </c>
      <c r="J67" s="11" t="s">
        <v>1341</v>
      </c>
      <c r="L67" s="72">
        <v>0.109</v>
      </c>
      <c r="M67" s="72">
        <v>0.114</v>
      </c>
      <c r="O67" s="11" t="s">
        <v>1349</v>
      </c>
      <c r="Q67" s="72">
        <v>0.219</v>
      </c>
      <c r="R67" s="72">
        <v>0.16500000000000001</v>
      </c>
    </row>
    <row r="68" spans="1:18" x14ac:dyDescent="0.25">
      <c r="A68" s="11" t="s">
        <v>1282</v>
      </c>
      <c r="B68" s="72">
        <v>0.13500000000000001</v>
      </c>
      <c r="C68" s="72">
        <v>0.14099999999999999</v>
      </c>
      <c r="E68" s="11" t="s">
        <v>1334</v>
      </c>
      <c r="G68" s="72">
        <v>5.8000000000000003E-2</v>
      </c>
      <c r="H68" s="72">
        <v>6.2E-2</v>
      </c>
      <c r="J68" s="11" t="s">
        <v>1342</v>
      </c>
      <c r="L68" s="72">
        <v>0.10299999999999999</v>
      </c>
      <c r="M68" s="72">
        <v>0.104</v>
      </c>
      <c r="O68" s="11" t="s">
        <v>1350</v>
      </c>
      <c r="Q68" s="72">
        <v>0.156</v>
      </c>
      <c r="R68" s="72">
        <v>9.2999999999999999E-2</v>
      </c>
    </row>
    <row r="69" spans="1:18" x14ac:dyDescent="0.25">
      <c r="A69" s="11" t="s">
        <v>1283</v>
      </c>
      <c r="B69" s="72">
        <v>0.14199999999999999</v>
      </c>
      <c r="C69" s="72">
        <v>0.14899999999999999</v>
      </c>
      <c r="E69" s="11" t="s">
        <v>1335</v>
      </c>
      <c r="G69" s="72">
        <v>5.8000000000000003E-2</v>
      </c>
      <c r="H69" s="72">
        <v>6.2E-2</v>
      </c>
      <c r="J69" s="11" t="s">
        <v>1343</v>
      </c>
      <c r="L69" s="72">
        <v>8.7999999999999995E-2</v>
      </c>
      <c r="M69" s="72">
        <v>8.3000000000000004E-2</v>
      </c>
      <c r="O69" s="11" t="s">
        <v>1351</v>
      </c>
      <c r="Q69" s="72">
        <v>0.109</v>
      </c>
      <c r="R69" s="72">
        <v>4.9000000000000002E-2</v>
      </c>
    </row>
    <row r="70" spans="1:18" x14ac:dyDescent="0.25">
      <c r="A70" s="11" t="s">
        <v>1284</v>
      </c>
      <c r="B70" s="72">
        <v>7.0000000000000001E-3</v>
      </c>
      <c r="C70" s="72">
        <v>8.0000000000000002E-3</v>
      </c>
      <c r="E70" s="11" t="s">
        <v>1336</v>
      </c>
      <c r="G70" s="72">
        <v>5.8000000000000003E-2</v>
      </c>
      <c r="H70" s="72">
        <v>6.0999999999999999E-2</v>
      </c>
      <c r="J70" s="11" t="s">
        <v>1344</v>
      </c>
      <c r="L70" s="72">
        <v>0.02</v>
      </c>
      <c r="M70" s="72">
        <v>0.02</v>
      </c>
      <c r="O70" s="9" t="s">
        <v>115</v>
      </c>
      <c r="R70" s="73">
        <f>SUM($Q$65:$R$69)</f>
        <v>1</v>
      </c>
    </row>
    <row r="71" spans="1:18" x14ac:dyDescent="0.25">
      <c r="A71" s="9" t="s">
        <v>115</v>
      </c>
      <c r="C71" s="73">
        <f>SUM($B$65:$C$70)</f>
        <v>1</v>
      </c>
      <c r="E71" s="11" t="s">
        <v>1337</v>
      </c>
      <c r="G71" s="72">
        <v>5.8000000000000003E-2</v>
      </c>
      <c r="H71" s="72">
        <v>6.0999999999999999E-2</v>
      </c>
      <c r="J71" s="11" t="s">
        <v>1345</v>
      </c>
      <c r="L71" s="72">
        <v>0.01</v>
      </c>
      <c r="M71" s="72">
        <v>8.0000000000000002E-3</v>
      </c>
    </row>
    <row r="72" spans="1:18" x14ac:dyDescent="0.25">
      <c r="E72" s="11" t="s">
        <v>1338</v>
      </c>
      <c r="G72" s="72">
        <v>5.8000000000000003E-2</v>
      </c>
      <c r="H72" s="72">
        <v>6.0999999999999999E-2</v>
      </c>
      <c r="J72" s="9" t="s">
        <v>115</v>
      </c>
      <c r="M72" s="73">
        <f>SUM($L$65:$M$71)</f>
        <v>0.99999999999999989</v>
      </c>
    </row>
    <row r="73" spans="1:18" x14ac:dyDescent="0.25">
      <c r="E73" s="11" t="s">
        <v>1339</v>
      </c>
      <c r="G73" s="72">
        <v>2.8000000000000001E-2</v>
      </c>
      <c r="H73" s="72">
        <v>0.03</v>
      </c>
      <c r="J73" s="9"/>
    </row>
    <row r="74" spans="1:18" x14ac:dyDescent="0.25">
      <c r="E74" s="9" t="s">
        <v>115</v>
      </c>
      <c r="G74" s="73"/>
      <c r="H74" s="73">
        <f>SUM($G$65:$H$73)</f>
        <v>1</v>
      </c>
      <c r="J74" s="9"/>
      <c r="L74" s="73"/>
      <c r="M74" s="73"/>
    </row>
    <row r="76" spans="1:18" x14ac:dyDescent="0.25">
      <c r="A76" s="9" t="s">
        <v>1358</v>
      </c>
    </row>
    <row r="77" spans="1:18" x14ac:dyDescent="0.25">
      <c r="A77" s="1" t="s">
        <v>1359</v>
      </c>
      <c r="B77" s="1" t="s">
        <v>1360</v>
      </c>
      <c r="C77" s="2"/>
      <c r="D77" s="2"/>
      <c r="E77" s="1" t="s">
        <v>1360</v>
      </c>
      <c r="F77" s="2"/>
      <c r="G77" s="2"/>
      <c r="H77" s="2"/>
      <c r="I77" s="2"/>
      <c r="J77" s="2"/>
      <c r="K77" s="1" t="s">
        <v>1361</v>
      </c>
      <c r="L77" s="2"/>
      <c r="M77" s="2"/>
      <c r="N77" s="1" t="s">
        <v>1361</v>
      </c>
      <c r="O77" s="2"/>
      <c r="P77" s="2"/>
      <c r="Q77" s="1"/>
      <c r="R77" s="2"/>
    </row>
    <row r="78" spans="1:18" x14ac:dyDescent="0.25">
      <c r="A78" s="1" t="s">
        <v>1362</v>
      </c>
      <c r="B78" s="1" t="s">
        <v>1363</v>
      </c>
      <c r="C78" s="2"/>
      <c r="D78" s="2"/>
      <c r="E78" s="1" t="s">
        <v>1364</v>
      </c>
      <c r="F78" s="2"/>
      <c r="G78" s="2"/>
      <c r="H78" s="1" t="s">
        <v>1365</v>
      </c>
      <c r="I78" s="2"/>
      <c r="J78" s="2"/>
      <c r="K78" s="1" t="s">
        <v>1366</v>
      </c>
      <c r="L78" s="2"/>
      <c r="M78" s="2"/>
      <c r="N78" s="1" t="s">
        <v>1367</v>
      </c>
      <c r="O78" s="2"/>
      <c r="P78" s="2"/>
      <c r="Q78" s="1" t="s">
        <v>1368</v>
      </c>
      <c r="R78" s="2"/>
    </row>
    <row r="79" spans="1:18" x14ac:dyDescent="0.25">
      <c r="A79" s="108" t="s">
        <v>1369</v>
      </c>
      <c r="B79" s="109">
        <v>0.20399999999999999</v>
      </c>
      <c r="C79" s="110"/>
      <c r="D79" s="110"/>
      <c r="E79" s="109">
        <v>0.54100000000000004</v>
      </c>
      <c r="F79" s="110"/>
      <c r="G79" s="110"/>
      <c r="H79" s="109">
        <v>0.105</v>
      </c>
      <c r="I79" s="110"/>
      <c r="J79" s="110"/>
      <c r="K79" s="109">
        <v>8.8999999999999996E-2</v>
      </c>
      <c r="L79" s="110"/>
      <c r="M79" s="110"/>
      <c r="N79" s="109">
        <v>4.5999999999999999E-2</v>
      </c>
      <c r="O79" s="110"/>
      <c r="P79" s="110"/>
      <c r="Q79" s="109">
        <v>1.4999999999999999E-2</v>
      </c>
      <c r="R79" s="2"/>
    </row>
    <row r="80" spans="1:18" x14ac:dyDescent="0.25">
      <c r="A80" s="2"/>
      <c r="B80" s="1" t="s">
        <v>1370</v>
      </c>
      <c r="C80" s="2"/>
      <c r="D80" s="2"/>
      <c r="E80" s="1" t="s">
        <v>1370</v>
      </c>
      <c r="F80" s="2"/>
      <c r="G80" s="2"/>
      <c r="H80" s="1" t="s">
        <v>1370</v>
      </c>
      <c r="I80" s="2"/>
      <c r="J80" s="2"/>
      <c r="K80" s="1" t="s">
        <v>1370</v>
      </c>
      <c r="L80" s="2"/>
      <c r="M80" s="2"/>
      <c r="N80" s="1" t="s">
        <v>1370</v>
      </c>
      <c r="O80" s="2"/>
      <c r="P80" s="2"/>
      <c r="Q80" s="1" t="s">
        <v>1370</v>
      </c>
      <c r="R80" s="2"/>
    </row>
    <row r="81" spans="1:18" x14ac:dyDescent="0.25">
      <c r="A81" s="2"/>
      <c r="B81" s="1" t="s">
        <v>94</v>
      </c>
      <c r="C81" s="1" t="s">
        <v>95</v>
      </c>
      <c r="D81" s="2"/>
      <c r="E81" s="1" t="s">
        <v>94</v>
      </c>
      <c r="F81" s="1" t="s">
        <v>95</v>
      </c>
      <c r="G81" s="1"/>
      <c r="H81" s="1" t="s">
        <v>94</v>
      </c>
      <c r="I81" s="1" t="s">
        <v>95</v>
      </c>
      <c r="J81" s="2"/>
      <c r="K81" s="1" t="s">
        <v>94</v>
      </c>
      <c r="L81" s="1" t="s">
        <v>95</v>
      </c>
      <c r="M81" s="2"/>
      <c r="N81" s="1" t="s">
        <v>94</v>
      </c>
      <c r="O81" s="1" t="s">
        <v>95</v>
      </c>
      <c r="P81" s="2"/>
      <c r="Q81" s="1" t="s">
        <v>94</v>
      </c>
      <c r="R81" s="1" t="s">
        <v>95</v>
      </c>
    </row>
    <row r="82" spans="1:18" x14ac:dyDescent="0.25">
      <c r="A82" s="2" t="s">
        <v>1371</v>
      </c>
      <c r="B82" s="111">
        <v>2.1000000000000001E-2</v>
      </c>
      <c r="C82" s="111">
        <v>2.4E-2</v>
      </c>
      <c r="D82" s="111"/>
      <c r="E82" s="111">
        <v>3.7999999999999999E-2</v>
      </c>
      <c r="F82" s="111">
        <v>4.7E-2</v>
      </c>
      <c r="G82" s="111"/>
      <c r="H82" s="111">
        <v>0</v>
      </c>
      <c r="I82" s="111">
        <v>1E-3</v>
      </c>
      <c r="J82" s="111"/>
      <c r="K82" s="111">
        <v>0</v>
      </c>
      <c r="L82" s="111">
        <v>0</v>
      </c>
      <c r="M82" s="111"/>
      <c r="N82" s="111">
        <v>0</v>
      </c>
      <c r="O82" s="111">
        <v>0</v>
      </c>
      <c r="P82" s="111"/>
      <c r="Q82" s="111">
        <v>4.4999999999999998E-2</v>
      </c>
      <c r="R82" s="111">
        <v>4.7E-2</v>
      </c>
    </row>
    <row r="83" spans="1:18" x14ac:dyDescent="0.25">
      <c r="A83" s="2" t="s">
        <v>1372</v>
      </c>
      <c r="B83" s="111">
        <v>0.01</v>
      </c>
      <c r="C83" s="111">
        <v>0.01</v>
      </c>
      <c r="D83" s="111"/>
      <c r="E83" s="111">
        <v>1.6E-2</v>
      </c>
      <c r="F83" s="111">
        <v>2.1000000000000001E-2</v>
      </c>
      <c r="G83" s="111"/>
      <c r="H83" s="111">
        <v>3.0000000000000001E-3</v>
      </c>
      <c r="I83" s="111">
        <v>8.0000000000000002E-3</v>
      </c>
      <c r="J83" s="111"/>
      <c r="K83" s="111">
        <v>0</v>
      </c>
      <c r="L83" s="111">
        <v>0</v>
      </c>
      <c r="M83" s="111"/>
      <c r="N83" s="111">
        <v>0</v>
      </c>
      <c r="O83" s="111">
        <v>0</v>
      </c>
      <c r="P83" s="111"/>
      <c r="Q83" s="111">
        <v>4.1000000000000002E-2</v>
      </c>
      <c r="R83" s="111">
        <v>4.3999999999999997E-2</v>
      </c>
    </row>
    <row r="84" spans="1:18" x14ac:dyDescent="0.25">
      <c r="A84" s="2" t="s">
        <v>1373</v>
      </c>
      <c r="B84" s="111">
        <v>0.01</v>
      </c>
      <c r="C84" s="111">
        <v>1.0999999999999999E-2</v>
      </c>
      <c r="D84" s="111"/>
      <c r="E84" s="111">
        <v>1.4999999999999999E-2</v>
      </c>
      <c r="F84" s="111">
        <v>1.9E-2</v>
      </c>
      <c r="G84" s="111"/>
      <c r="H84" s="111">
        <v>1.0999999999999999E-2</v>
      </c>
      <c r="I84" s="111">
        <v>1.2E-2</v>
      </c>
      <c r="J84" s="111"/>
      <c r="K84" s="111">
        <v>0</v>
      </c>
      <c r="L84" s="111">
        <v>0</v>
      </c>
      <c r="M84" s="111"/>
      <c r="N84" s="111">
        <v>0</v>
      </c>
      <c r="O84" s="111">
        <v>0</v>
      </c>
      <c r="P84" s="111"/>
      <c r="Q84" s="111">
        <v>3.9E-2</v>
      </c>
      <c r="R84" s="111">
        <v>4.1000000000000002E-2</v>
      </c>
    </row>
    <row r="85" spans="1:18" x14ac:dyDescent="0.25">
      <c r="A85" s="2" t="s">
        <v>1374</v>
      </c>
      <c r="B85" s="111">
        <v>1.4999999999999999E-2</v>
      </c>
      <c r="C85" s="111">
        <v>1.0999999999999999E-2</v>
      </c>
      <c r="D85" s="111"/>
      <c r="E85" s="111">
        <v>1.9E-2</v>
      </c>
      <c r="F85" s="111">
        <v>1.6E-2</v>
      </c>
      <c r="G85" s="111"/>
      <c r="H85" s="111">
        <v>4.4999999999999998E-2</v>
      </c>
      <c r="I85" s="111">
        <v>3.4000000000000002E-2</v>
      </c>
      <c r="J85" s="111"/>
      <c r="K85" s="111">
        <v>0</v>
      </c>
      <c r="L85" s="111">
        <v>0</v>
      </c>
      <c r="M85" s="111"/>
      <c r="N85" s="111">
        <v>0</v>
      </c>
      <c r="O85" s="111">
        <v>0</v>
      </c>
      <c r="P85" s="111"/>
      <c r="Q85" s="111">
        <v>4.2000000000000003E-2</v>
      </c>
      <c r="R85" s="111">
        <v>4.2999999999999997E-2</v>
      </c>
    </row>
    <row r="86" spans="1:18" x14ac:dyDescent="0.25">
      <c r="A86" s="2" t="s">
        <v>1349</v>
      </c>
      <c r="B86" s="111">
        <v>2.1000000000000001E-2</v>
      </c>
      <c r="C86" s="111">
        <v>1.2999999999999999E-2</v>
      </c>
      <c r="D86" s="111"/>
      <c r="E86" s="111">
        <v>2.3E-2</v>
      </c>
      <c r="F86" s="111">
        <v>1.3999999999999999E-2</v>
      </c>
      <c r="G86" s="111"/>
      <c r="H86" s="111">
        <v>3.9E-2</v>
      </c>
      <c r="I86" s="111">
        <v>5.6000000000000001E-2</v>
      </c>
      <c r="J86" s="111"/>
      <c r="K86" s="111">
        <v>0</v>
      </c>
      <c r="L86" s="111">
        <v>0</v>
      </c>
      <c r="M86" s="111"/>
      <c r="N86" s="111">
        <v>0</v>
      </c>
      <c r="O86" s="111">
        <v>0</v>
      </c>
      <c r="P86" s="111"/>
      <c r="Q86" s="111">
        <v>4.3999999999999997E-2</v>
      </c>
      <c r="R86" s="111">
        <v>4.2999999999999997E-2</v>
      </c>
    </row>
    <row r="87" spans="1:18" x14ac:dyDescent="0.25">
      <c r="A87" s="2" t="s">
        <v>1375</v>
      </c>
      <c r="B87" s="111">
        <v>2.1999999999999999E-2</v>
      </c>
      <c r="C87" s="111">
        <v>1.2999999999999999E-2</v>
      </c>
      <c r="D87" s="111"/>
      <c r="E87" s="111">
        <v>2.7E-2</v>
      </c>
      <c r="F87" s="111">
        <v>1.2E-2</v>
      </c>
      <c r="G87" s="111"/>
      <c r="H87" s="111">
        <v>4.3999999999999997E-2</v>
      </c>
      <c r="I87" s="111">
        <v>5.3999999999999999E-2</v>
      </c>
      <c r="J87" s="111"/>
      <c r="K87" s="111">
        <v>0</v>
      </c>
      <c r="L87" s="111">
        <v>0</v>
      </c>
      <c r="M87" s="111"/>
      <c r="N87" s="111">
        <v>0</v>
      </c>
      <c r="O87" s="111">
        <v>0</v>
      </c>
      <c r="P87" s="111"/>
      <c r="Q87" s="111">
        <v>3.6999999999999998E-2</v>
      </c>
      <c r="R87" s="111">
        <v>3.4000000000000002E-2</v>
      </c>
    </row>
    <row r="88" spans="1:18" x14ac:dyDescent="0.25">
      <c r="A88" s="2" t="s">
        <v>1376</v>
      </c>
      <c r="B88" s="111">
        <v>2.5000000000000001E-2</v>
      </c>
      <c r="C88" s="111">
        <v>1.7000000000000001E-2</v>
      </c>
      <c r="D88" s="111"/>
      <c r="E88" s="111">
        <v>3.2000000000000001E-2</v>
      </c>
      <c r="F88" s="111">
        <v>1.2E-2</v>
      </c>
      <c r="G88" s="111"/>
      <c r="H88" s="111">
        <v>0.04</v>
      </c>
      <c r="I88" s="111">
        <v>5.3999999999999999E-2</v>
      </c>
      <c r="J88" s="111"/>
      <c r="K88" s="111">
        <v>0</v>
      </c>
      <c r="L88" s="111">
        <v>0</v>
      </c>
      <c r="M88" s="111"/>
      <c r="N88" s="111">
        <v>0</v>
      </c>
      <c r="O88" s="111">
        <v>0</v>
      </c>
      <c r="P88" s="111"/>
      <c r="Q88" s="111">
        <v>3.3000000000000002E-2</v>
      </c>
      <c r="R88" s="111">
        <v>0.03</v>
      </c>
    </row>
    <row r="89" spans="1:18" x14ac:dyDescent="0.25">
      <c r="A89" s="2" t="s">
        <v>1377</v>
      </c>
      <c r="B89" s="111">
        <v>2.8000000000000001E-2</v>
      </c>
      <c r="C89" s="111">
        <v>1.9E-2</v>
      </c>
      <c r="D89" s="111"/>
      <c r="E89" s="111">
        <v>2.8000000000000001E-2</v>
      </c>
      <c r="F89" s="111">
        <v>1.2E-2</v>
      </c>
      <c r="G89" s="111"/>
      <c r="H89" s="111">
        <v>3.9E-2</v>
      </c>
      <c r="I89" s="111">
        <v>5.2999999999999999E-2</v>
      </c>
      <c r="J89" s="111"/>
      <c r="K89" s="111">
        <v>0</v>
      </c>
      <c r="L89" s="111">
        <v>0</v>
      </c>
      <c r="M89" s="111"/>
      <c r="N89" s="111">
        <v>0</v>
      </c>
      <c r="O89" s="111">
        <v>0</v>
      </c>
      <c r="P89" s="111"/>
      <c r="Q89" s="111">
        <v>3.1E-2</v>
      </c>
      <c r="R89" s="111">
        <v>2.8000000000000001E-2</v>
      </c>
    </row>
    <row r="90" spans="1:18" x14ac:dyDescent="0.25">
      <c r="A90" s="2" t="s">
        <v>1378</v>
      </c>
      <c r="B90" s="111">
        <v>3.5999999999999997E-2</v>
      </c>
      <c r="C90" s="111">
        <v>2.7E-2</v>
      </c>
      <c r="D90" s="111"/>
      <c r="E90" s="111">
        <v>2.5000000000000001E-2</v>
      </c>
      <c r="F90" s="111">
        <v>1.7000000000000001E-2</v>
      </c>
      <c r="G90" s="111"/>
      <c r="H90" s="111">
        <v>4.9000000000000002E-2</v>
      </c>
      <c r="I90" s="111">
        <v>5.8000000000000003E-2</v>
      </c>
      <c r="J90" s="111"/>
      <c r="K90" s="111">
        <v>0</v>
      </c>
      <c r="L90" s="111">
        <v>0</v>
      </c>
      <c r="M90" s="111"/>
      <c r="N90" s="111">
        <v>0</v>
      </c>
      <c r="O90" s="111">
        <v>0</v>
      </c>
      <c r="P90" s="111"/>
      <c r="Q90" s="111">
        <v>3.3000000000000002E-2</v>
      </c>
      <c r="R90" s="111">
        <v>0.03</v>
      </c>
    </row>
    <row r="91" spans="1:18" x14ac:dyDescent="0.25">
      <c r="A91" s="2" t="s">
        <v>1379</v>
      </c>
      <c r="B91" s="111">
        <v>0.04</v>
      </c>
      <c r="C91" s="111">
        <v>3.3000000000000002E-2</v>
      </c>
      <c r="D91" s="111"/>
      <c r="E91" s="111">
        <v>2.5999999999999999E-2</v>
      </c>
      <c r="F91" s="111">
        <v>2.1999999999999999E-2</v>
      </c>
      <c r="G91" s="111"/>
      <c r="H91" s="111">
        <v>0.05</v>
      </c>
      <c r="I91" s="111">
        <v>5.1999999999999998E-2</v>
      </c>
      <c r="J91" s="111"/>
      <c r="K91" s="111">
        <v>0</v>
      </c>
      <c r="L91" s="111">
        <v>0</v>
      </c>
      <c r="M91" s="111"/>
      <c r="N91" s="111">
        <v>0</v>
      </c>
      <c r="O91" s="111">
        <v>0</v>
      </c>
      <c r="P91" s="111"/>
      <c r="Q91" s="111">
        <v>3.1E-2</v>
      </c>
      <c r="R91" s="111">
        <v>2.9000000000000001E-2</v>
      </c>
    </row>
    <row r="92" spans="1:18" x14ac:dyDescent="0.25">
      <c r="A92" s="2" t="s">
        <v>1380</v>
      </c>
      <c r="B92" s="111">
        <v>4.4999999999999998E-2</v>
      </c>
      <c r="C92" s="111">
        <v>4.1000000000000002E-2</v>
      </c>
      <c r="D92" s="111"/>
      <c r="E92" s="111">
        <v>2.9000000000000001E-2</v>
      </c>
      <c r="F92" s="111">
        <v>2.8000000000000001E-2</v>
      </c>
      <c r="G92" s="111"/>
      <c r="H92" s="111">
        <v>4.5999999999999999E-2</v>
      </c>
      <c r="I92" s="111">
        <v>4.5999999999999999E-2</v>
      </c>
      <c r="J92" s="111"/>
      <c r="K92" s="111">
        <v>1E-3</v>
      </c>
      <c r="L92" s="111">
        <v>0</v>
      </c>
      <c r="M92" s="111"/>
      <c r="N92" s="111">
        <v>5.0000000000000001E-3</v>
      </c>
      <c r="O92" s="111">
        <v>4.0000000000000001E-3</v>
      </c>
      <c r="P92" s="111"/>
      <c r="Q92" s="111">
        <v>3.1E-2</v>
      </c>
      <c r="R92" s="111">
        <v>2.8000000000000001E-2</v>
      </c>
    </row>
    <row r="93" spans="1:18" x14ac:dyDescent="0.25">
      <c r="A93" s="2" t="s">
        <v>1381</v>
      </c>
      <c r="B93" s="111">
        <v>4.5999999999999999E-2</v>
      </c>
      <c r="C93" s="111">
        <v>4.2000000000000003E-2</v>
      </c>
      <c r="D93" s="111"/>
      <c r="E93" s="111">
        <v>3.2000000000000001E-2</v>
      </c>
      <c r="F93" s="111">
        <v>3.4000000000000002E-2</v>
      </c>
      <c r="G93" s="111"/>
      <c r="H93" s="111">
        <v>3.3000000000000002E-2</v>
      </c>
      <c r="I93" s="111">
        <v>3.7999999999999999E-2</v>
      </c>
      <c r="J93" s="111"/>
      <c r="K93" s="111">
        <v>3.0000000000000001E-3</v>
      </c>
      <c r="L93" s="111">
        <v>2E-3</v>
      </c>
      <c r="M93" s="111"/>
      <c r="N93" s="111">
        <v>8.9999999999999993E-3</v>
      </c>
      <c r="O93" s="111">
        <v>5.0000000000000001E-3</v>
      </c>
      <c r="P93" s="111"/>
      <c r="Q93" s="111">
        <v>2.4999999999999998E-2</v>
      </c>
      <c r="R93" s="111">
        <v>2.4E-2</v>
      </c>
    </row>
    <row r="94" spans="1:18" x14ac:dyDescent="0.25">
      <c r="A94" s="2" t="s">
        <v>1382</v>
      </c>
      <c r="B94" s="111">
        <v>4.4999999999999998E-2</v>
      </c>
      <c r="C94" s="111">
        <v>4.2999999999999997E-2</v>
      </c>
      <c r="D94" s="111"/>
      <c r="E94" s="111">
        <v>3.4000000000000002E-2</v>
      </c>
      <c r="F94" s="111">
        <v>3.9E-2</v>
      </c>
      <c r="G94" s="111"/>
      <c r="H94" s="111">
        <v>2.8000000000000001E-2</v>
      </c>
      <c r="I94" s="111">
        <v>2.4E-2</v>
      </c>
      <c r="J94" s="111"/>
      <c r="K94" s="111">
        <v>8.0000000000000002E-3</v>
      </c>
      <c r="L94" s="111">
        <v>7.0000000000000001E-3</v>
      </c>
      <c r="M94" s="111"/>
      <c r="N94" s="111">
        <v>0.01</v>
      </c>
      <c r="O94" s="111">
        <v>8.0000000000000002E-3</v>
      </c>
      <c r="P94" s="111"/>
      <c r="Q94" s="111">
        <v>2.1999999999999999E-2</v>
      </c>
      <c r="R94" s="111">
        <v>0.02</v>
      </c>
    </row>
    <row r="95" spans="1:18" x14ac:dyDescent="0.25">
      <c r="A95" s="2" t="s">
        <v>1383</v>
      </c>
      <c r="B95" s="111">
        <v>4.9000000000000002E-2</v>
      </c>
      <c r="C95" s="111">
        <v>4.7E-2</v>
      </c>
      <c r="D95" s="111"/>
      <c r="E95" s="111">
        <v>3.6999999999999998E-2</v>
      </c>
      <c r="F95" s="111">
        <v>4.4999999999999998E-2</v>
      </c>
      <c r="G95" s="111"/>
      <c r="H95" s="111">
        <v>1.9E-2</v>
      </c>
      <c r="I95" s="111">
        <v>1.4E-2</v>
      </c>
      <c r="J95" s="111"/>
      <c r="K95" s="111">
        <v>1.9E-2</v>
      </c>
      <c r="L95" s="111">
        <v>2.1000000000000001E-2</v>
      </c>
      <c r="M95" s="111"/>
      <c r="N95" s="111">
        <v>3.9E-2</v>
      </c>
      <c r="O95" s="111">
        <v>0.03</v>
      </c>
      <c r="P95" s="111"/>
      <c r="Q95" s="111">
        <v>1.7999999999999999E-2</v>
      </c>
      <c r="R95" s="111">
        <v>1.7000000000000001E-2</v>
      </c>
    </row>
    <row r="96" spans="1:18" x14ac:dyDescent="0.25">
      <c r="A96" s="2" t="s">
        <v>1384</v>
      </c>
      <c r="B96" s="111">
        <v>0.04</v>
      </c>
      <c r="C96" s="111">
        <v>4.1000000000000002E-2</v>
      </c>
      <c r="D96" s="111"/>
      <c r="E96" s="111">
        <v>3.6999999999999998E-2</v>
      </c>
      <c r="F96" s="111">
        <v>4.3999999999999997E-2</v>
      </c>
      <c r="G96" s="111"/>
      <c r="H96" s="111">
        <v>1.0999999999999999E-2</v>
      </c>
      <c r="I96" s="111">
        <v>8.9999999999999993E-3</v>
      </c>
      <c r="J96" s="111"/>
      <c r="K96" s="111">
        <v>0.04</v>
      </c>
      <c r="L96" s="111">
        <v>3.6999999999999998E-2</v>
      </c>
      <c r="M96" s="111"/>
      <c r="N96" s="111">
        <v>6.4000000000000001E-2</v>
      </c>
      <c r="O96" s="111">
        <v>5.2999999999999999E-2</v>
      </c>
      <c r="P96" s="111"/>
      <c r="Q96" s="111">
        <v>1.4E-2</v>
      </c>
      <c r="R96" s="111">
        <v>1.2E-2</v>
      </c>
    </row>
    <row r="97" spans="1:18" x14ac:dyDescent="0.25">
      <c r="A97" s="2" t="s">
        <v>1385</v>
      </c>
      <c r="B97" s="111">
        <v>3.2000000000000001E-2</v>
      </c>
      <c r="C97" s="111">
        <v>3.1E-2</v>
      </c>
      <c r="D97" s="111"/>
      <c r="E97" s="111">
        <v>3.4000000000000002E-2</v>
      </c>
      <c r="F97" s="111">
        <v>3.7999999999999999E-2</v>
      </c>
      <c r="G97" s="111"/>
      <c r="H97" s="111">
        <v>8.0000000000000002E-3</v>
      </c>
      <c r="I97" s="111">
        <v>5.0000000000000001E-3</v>
      </c>
      <c r="J97" s="111"/>
      <c r="K97" s="111">
        <v>7.4999999999999997E-2</v>
      </c>
      <c r="L97" s="111">
        <v>5.7000000000000002E-2</v>
      </c>
      <c r="M97" s="111"/>
      <c r="N97" s="111">
        <v>9.2999999999999999E-2</v>
      </c>
      <c r="O97" s="111">
        <v>6.3E-2</v>
      </c>
      <c r="P97" s="111"/>
      <c r="Q97" s="111">
        <v>0.01</v>
      </c>
      <c r="R97" s="111">
        <v>8.0000000000000002E-3</v>
      </c>
    </row>
    <row r="98" spans="1:18" x14ac:dyDescent="0.25">
      <c r="A98" s="2" t="s">
        <v>1386</v>
      </c>
      <c r="B98" s="111">
        <v>2.5999999999999999E-2</v>
      </c>
      <c r="C98" s="111">
        <v>2.1999999999999999E-2</v>
      </c>
      <c r="D98" s="111"/>
      <c r="E98" s="111">
        <v>3.1E-2</v>
      </c>
      <c r="F98" s="111">
        <v>3.1E-2</v>
      </c>
      <c r="G98" s="111"/>
      <c r="H98" s="111">
        <v>6.0000000000000001E-3</v>
      </c>
      <c r="I98" s="111">
        <v>3.0000000000000001E-3</v>
      </c>
      <c r="J98" s="111"/>
      <c r="K98" s="111">
        <v>0.13200000000000001</v>
      </c>
      <c r="L98" s="111">
        <v>7.6999999999999999E-2</v>
      </c>
      <c r="M98" s="111"/>
      <c r="N98" s="111">
        <v>0.13800000000000001</v>
      </c>
      <c r="O98" s="111">
        <v>8.6999999999999994E-2</v>
      </c>
      <c r="P98" s="111"/>
      <c r="Q98" s="111">
        <v>8.0000000000000002E-3</v>
      </c>
      <c r="R98" s="111">
        <v>6.0000000000000001E-3</v>
      </c>
    </row>
    <row r="99" spans="1:18" x14ac:dyDescent="0.25">
      <c r="A99" s="2" t="s">
        <v>1387</v>
      </c>
      <c r="B99" s="111">
        <v>1.7000000000000001E-2</v>
      </c>
      <c r="C99" s="111">
        <v>1.2E-2</v>
      </c>
      <c r="D99" s="111"/>
      <c r="E99" s="111">
        <v>2.4E-2</v>
      </c>
      <c r="F99" s="111">
        <v>0.02</v>
      </c>
      <c r="G99" s="111"/>
      <c r="H99" s="111">
        <v>3.0000000000000001E-3</v>
      </c>
      <c r="I99" s="111">
        <v>2E-3</v>
      </c>
      <c r="J99" s="111"/>
      <c r="K99" s="111">
        <v>0.17699999999999999</v>
      </c>
      <c r="L99" s="111">
        <v>0.08</v>
      </c>
      <c r="M99" s="111"/>
      <c r="N99" s="111">
        <v>0.16600000000000001</v>
      </c>
      <c r="O99" s="111">
        <v>9.2999999999999999E-2</v>
      </c>
      <c r="P99" s="111"/>
      <c r="Q99" s="111">
        <v>5.0000000000000001E-3</v>
      </c>
      <c r="R99" s="111">
        <v>3.0000000000000001E-3</v>
      </c>
    </row>
    <row r="100" spans="1:18" x14ac:dyDescent="0.25">
      <c r="A100" s="2" t="s">
        <v>1388</v>
      </c>
      <c r="B100" s="111">
        <v>0.01</v>
      </c>
      <c r="C100" s="111">
        <v>5.0000000000000001E-3</v>
      </c>
      <c r="D100" s="111"/>
      <c r="E100" s="111">
        <v>1.4E-2</v>
      </c>
      <c r="F100" s="111">
        <v>8.0000000000000002E-3</v>
      </c>
      <c r="G100" s="111"/>
      <c r="H100" s="111">
        <v>2E-3</v>
      </c>
      <c r="I100" s="111">
        <v>1E-3</v>
      </c>
      <c r="J100" s="111"/>
      <c r="K100" s="111">
        <v>0.21</v>
      </c>
      <c r="L100" s="111">
        <v>5.3999999999999999E-2</v>
      </c>
      <c r="M100" s="111"/>
      <c r="N100" s="111">
        <v>9.6000000000000002E-2</v>
      </c>
      <c r="O100" s="111">
        <v>3.6999999999999998E-2</v>
      </c>
      <c r="P100" s="111"/>
      <c r="Q100" s="111">
        <v>3.0000000000000001E-3</v>
      </c>
      <c r="R100" s="111">
        <v>1E-3</v>
      </c>
    </row>
    <row r="101" spans="1:18" x14ac:dyDescent="0.25">
      <c r="A101" s="9" t="s">
        <v>115</v>
      </c>
      <c r="C101" s="73">
        <f>SUM($B$82:$C$100)</f>
        <v>1.0000000000000004</v>
      </c>
      <c r="F101" s="73">
        <f>SUM($E$82:$F$100)</f>
        <v>1.0000000000000007</v>
      </c>
      <c r="I101" s="73">
        <f>SUM($H$82:$I$100)</f>
        <v>1.0000000000000002</v>
      </c>
      <c r="L101" s="73">
        <f>SUM($K$82:$L$100)</f>
        <v>1</v>
      </c>
      <c r="O101" s="73">
        <f>SUM($N$82:$O$100)</f>
        <v>0.99999999999999989</v>
      </c>
      <c r="R101" s="73">
        <f>SUM($Q$82:$R$100)</f>
        <v>1.0000000000000002</v>
      </c>
    </row>
  </sheetData>
  <phoneticPr fontId="39"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A9A99-4BF4-41F4-92F8-25B69B36781A}">
  <dimension ref="A1:AI43"/>
  <sheetViews>
    <sheetView workbookViewId="0">
      <pane xSplit="1" ySplit="5" topLeftCell="O6" activePane="bottomRight" state="frozen"/>
      <selection pane="topRight" activeCell="B1" sqref="B1"/>
      <selection pane="bottomLeft" activeCell="A6" sqref="A6"/>
      <selection pane="bottomRight"/>
    </sheetView>
  </sheetViews>
  <sheetFormatPr defaultRowHeight="15" x14ac:dyDescent="0.25"/>
  <cols>
    <col min="1" max="1" width="60.7109375" customWidth="1"/>
    <col min="2" max="35" width="10.7109375" customWidth="1"/>
  </cols>
  <sheetData>
    <row r="1" spans="1:35" x14ac:dyDescent="0.25">
      <c r="A1" s="9" t="s">
        <v>1199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x14ac:dyDescent="0.25">
      <c r="A2" s="10" t="s">
        <v>1200</v>
      </c>
      <c r="B2" s="11"/>
      <c r="C2" s="11"/>
      <c r="D2" s="11"/>
      <c r="E2" s="4" t="s">
        <v>271</v>
      </c>
      <c r="F2" s="2"/>
      <c r="G2" s="2"/>
      <c r="H2" s="2"/>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x14ac:dyDescent="0.2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x14ac:dyDescent="0.25">
      <c r="A4" s="9" t="s">
        <v>3</v>
      </c>
      <c r="B4" s="13" t="s">
        <v>24</v>
      </c>
      <c r="C4" s="13" t="s">
        <v>25</v>
      </c>
      <c r="D4" s="13" t="s">
        <v>26</v>
      </c>
      <c r="E4" s="13" t="s">
        <v>27</v>
      </c>
      <c r="F4" s="13" t="s">
        <v>28</v>
      </c>
      <c r="G4" s="13" t="s">
        <v>29</v>
      </c>
      <c r="H4" s="13" t="s">
        <v>30</v>
      </c>
      <c r="I4" s="13" t="s">
        <v>31</v>
      </c>
      <c r="J4" s="13" t="s">
        <v>32</v>
      </c>
      <c r="K4" s="13" t="s">
        <v>33</v>
      </c>
      <c r="L4" s="13" t="s">
        <v>34</v>
      </c>
      <c r="M4" s="13" t="s">
        <v>35</v>
      </c>
      <c r="N4" s="13" t="s">
        <v>36</v>
      </c>
      <c r="O4" s="13" t="s">
        <v>37</v>
      </c>
      <c r="P4" s="13" t="s">
        <v>38</v>
      </c>
      <c r="Q4" s="13" t="s">
        <v>39</v>
      </c>
      <c r="R4" s="13" t="s">
        <v>40</v>
      </c>
      <c r="S4" s="13" t="s">
        <v>41</v>
      </c>
      <c r="T4" s="13" t="s">
        <v>42</v>
      </c>
      <c r="U4" s="13" t="s">
        <v>43</v>
      </c>
      <c r="V4" s="13" t="s">
        <v>44</v>
      </c>
      <c r="W4" s="13" t="s">
        <v>45</v>
      </c>
      <c r="X4" s="13" t="s">
        <v>46</v>
      </c>
      <c r="Y4" s="13" t="s">
        <v>47</v>
      </c>
      <c r="Z4" s="13" t="s">
        <v>48</v>
      </c>
      <c r="AA4" s="13" t="s">
        <v>49</v>
      </c>
      <c r="AB4" s="13" t="s">
        <v>50</v>
      </c>
      <c r="AC4" s="13" t="s">
        <v>51</v>
      </c>
      <c r="AD4" s="13" t="s">
        <v>52</v>
      </c>
      <c r="AE4" s="13" t="s">
        <v>53</v>
      </c>
      <c r="AF4" s="13" t="s">
        <v>54</v>
      </c>
      <c r="AG4" s="13" t="s">
        <v>55</v>
      </c>
      <c r="AH4" s="13" t="s">
        <v>56</v>
      </c>
      <c r="AI4" s="13" t="s">
        <v>57</v>
      </c>
    </row>
    <row r="5" spans="1:35" x14ac:dyDescent="0.25">
      <c r="A5" s="11"/>
      <c r="B5" s="9">
        <v>2006</v>
      </c>
      <c r="C5" s="9">
        <v>2007</v>
      </c>
      <c r="D5" s="9">
        <v>2008</v>
      </c>
      <c r="E5" s="9">
        <v>2009</v>
      </c>
      <c r="F5" s="9">
        <v>2010</v>
      </c>
      <c r="G5" s="9">
        <v>2011</v>
      </c>
      <c r="H5" s="9">
        <v>2012</v>
      </c>
      <c r="I5" s="9">
        <v>2013</v>
      </c>
      <c r="J5" s="9">
        <v>2014</v>
      </c>
      <c r="K5" s="9">
        <v>2015</v>
      </c>
      <c r="L5" s="9">
        <v>2016</v>
      </c>
      <c r="M5" s="9">
        <v>2017</v>
      </c>
      <c r="N5" s="9">
        <v>2018</v>
      </c>
      <c r="O5" s="9">
        <v>2019</v>
      </c>
      <c r="P5" s="9">
        <v>2020</v>
      </c>
      <c r="Q5" s="9">
        <v>2021</v>
      </c>
      <c r="R5" s="9">
        <v>2022</v>
      </c>
      <c r="S5" s="9">
        <v>2023</v>
      </c>
      <c r="T5" s="9">
        <v>2024</v>
      </c>
      <c r="U5" s="9">
        <v>2025</v>
      </c>
      <c r="V5" s="9">
        <v>2026</v>
      </c>
      <c r="W5" s="9">
        <v>2027</v>
      </c>
      <c r="X5" s="9">
        <v>2028</v>
      </c>
      <c r="Y5" s="9">
        <v>2029</v>
      </c>
      <c r="Z5" s="9">
        <v>2030</v>
      </c>
      <c r="AA5" s="9">
        <v>2031</v>
      </c>
      <c r="AB5" s="9">
        <v>2032</v>
      </c>
      <c r="AC5" s="9">
        <v>2033</v>
      </c>
      <c r="AD5" s="9">
        <v>2034</v>
      </c>
      <c r="AE5" s="9">
        <v>2035</v>
      </c>
      <c r="AF5" s="9">
        <v>2036</v>
      </c>
      <c r="AG5" s="9">
        <v>2037</v>
      </c>
      <c r="AH5" s="9">
        <v>2038</v>
      </c>
      <c r="AI5" s="9">
        <v>2039</v>
      </c>
    </row>
    <row r="6" spans="1:35" x14ac:dyDescent="0.25">
      <c r="A6" s="9"/>
      <c r="N6" s="47"/>
      <c r="O6" s="47"/>
      <c r="P6" s="47"/>
      <c r="Q6" s="98" t="s">
        <v>892</v>
      </c>
      <c r="R6" s="47"/>
      <c r="S6" s="47"/>
      <c r="T6" s="79"/>
      <c r="U6" s="79">
        <f ca="1">OFFSET('Fiscal Forecasts'!$B$173,0,U$5-'Fiscal Forecasts'!$E$7+3)/AVERAGE(OFFSET('Fiscal Forecasts'!$B$147,0,U$5-'Fiscal Forecasts'!$E$7+2),OFFSET('Fiscal Forecasts'!$B$147,0,U$5-'Fiscal Forecasts'!$E$7+3))</f>
        <v>3.8343495075296663E-2</v>
      </c>
      <c r="V6" s="79">
        <f ca="1">OFFSET('Fiscal Forecasts'!$B$173,0,V$5-'Fiscal Forecasts'!$E$7+3)/AVERAGE(OFFSET('Fiscal Forecasts'!$B$147,0,V$5-'Fiscal Forecasts'!$E$7+2),OFFSET('Fiscal Forecasts'!$B$147,0,V$5-'Fiscal Forecasts'!$E$7+3))</f>
        <v>3.7205209433298136E-2</v>
      </c>
      <c r="W6" s="79">
        <f ca="1">OFFSET('Fiscal Forecasts'!$B$173,0,W$5-'Fiscal Forecasts'!$E$7+3)/AVERAGE(OFFSET('Fiscal Forecasts'!$B$147,0,W$5-'Fiscal Forecasts'!$E$7+2),OFFSET('Fiscal Forecasts'!$B$147,0,W$5-'Fiscal Forecasts'!$E$7+3))</f>
        <v>3.8369992986638277E-2</v>
      </c>
      <c r="X6" s="79">
        <f ca="1">OFFSET('Fiscal Forecasts'!$B$173,0,X$5-'Fiscal Forecasts'!$E$7+3)/AVERAGE(OFFSET('Fiscal Forecasts'!$B$147,0,X$5-'Fiscal Forecasts'!$E$7+2),OFFSET('Fiscal Forecasts'!$B$147,0,X$5-'Fiscal Forecasts'!$E$7+3))</f>
        <v>4.062969292113304E-2</v>
      </c>
      <c r="Y6" s="79">
        <f ca="1">OFFSET('Fiscal Forecasts'!$B$173,0,Y$5-'Fiscal Forecasts'!$E$7+3)/AVERAGE(OFFSET('Fiscal Forecasts'!$B$147,0,Y$5-'Fiscal Forecasts'!$E$7+2),OFFSET('Fiscal Forecasts'!$B$147,0,Y$5-'Fiscal Forecasts'!$E$7+3))</f>
        <v>4.2253286348194551E-2</v>
      </c>
    </row>
    <row r="7" spans="1:35" x14ac:dyDescent="0.25">
      <c r="A7" s="11"/>
      <c r="N7" s="47"/>
      <c r="O7" s="47"/>
      <c r="P7" s="47"/>
      <c r="Q7" s="11" t="s">
        <v>1205</v>
      </c>
      <c r="R7" s="47"/>
      <c r="S7" s="47"/>
      <c r="T7" s="16"/>
      <c r="U7" s="16">
        <f ca="1">ROUND(U$6/2*(1+U$6/2)*(U$20-Exogenous!U$11-U$22+Exogenous!U$8+U$25-Exogenous!U$12),3)</f>
        <v>0</v>
      </c>
      <c r="V7" s="16">
        <f ca="1">ROUND(V$6/2*(1+V$6/2)*(V$20-Exogenous!V$11-V$22+Exogenous!V$8+V$25-Exogenous!V$12),3)</f>
        <v>0</v>
      </c>
      <c r="W7" s="16">
        <f ca="1">ROUND(W$6/2*(1+W$6/2)*(W$20-Exogenous!W$11-W$22+Exogenous!W$8+W$25-Exogenous!W$12),3)</f>
        <v>0</v>
      </c>
      <c r="X7" s="16">
        <f ca="1">ROUND(X$6/2*(1+X$6/2)*(X$20-Exogenous!X$11-X$22+Exogenous!X$8+X$25-Exogenous!X$12),3)</f>
        <v>0</v>
      </c>
      <c r="Y7" s="16">
        <f ca="1">ROUND(Y$6/2*(1+Y$6/2)*(Y$20-Exogenous!Y$11-Y$22+Exogenous!Y$8+Y$25-Exogenous!Y$12),3)</f>
        <v>0</v>
      </c>
    </row>
    <row r="8" spans="1:35" x14ac:dyDescent="0.25">
      <c r="A8" s="10"/>
      <c r="N8" s="47"/>
      <c r="O8" s="47"/>
      <c r="P8" s="47"/>
      <c r="Q8" s="11" t="s">
        <v>1191</v>
      </c>
      <c r="R8" s="47"/>
      <c r="S8" s="47"/>
      <c r="T8" s="16"/>
      <c r="U8" s="16">
        <f ca="1">ROUND(U$6*T$11,3)</f>
        <v>0</v>
      </c>
      <c r="V8" s="16">
        <f t="shared" ref="V8:Y8" ca="1" si="0">ROUND(V$6*U$11,3)</f>
        <v>0</v>
      </c>
      <c r="W8" s="16">
        <f t="shared" ca="1" si="0"/>
        <v>0</v>
      </c>
      <c r="X8" s="16">
        <f t="shared" ca="1" si="0"/>
        <v>0</v>
      </c>
      <c r="Y8" s="16">
        <f t="shared" ca="1" si="0"/>
        <v>0</v>
      </c>
    </row>
    <row r="9" spans="1:35" x14ac:dyDescent="0.25">
      <c r="A9" s="11"/>
      <c r="N9" s="47"/>
      <c r="O9" s="47"/>
      <c r="P9" s="47"/>
      <c r="Q9" s="9" t="s">
        <v>1206</v>
      </c>
      <c r="R9" s="47"/>
      <c r="S9" s="47"/>
      <c r="T9" s="47"/>
      <c r="U9" s="47">
        <f t="shared" ref="U9:Y9" ca="1" si="1">SUM(U$7:U$8)</f>
        <v>0</v>
      </c>
      <c r="V9" s="47">
        <f t="shared" ca="1" si="1"/>
        <v>0</v>
      </c>
      <c r="W9" s="47">
        <f t="shared" ca="1" si="1"/>
        <v>0</v>
      </c>
      <c r="X9" s="47">
        <f t="shared" ca="1" si="1"/>
        <v>0</v>
      </c>
      <c r="Y9" s="47">
        <f t="shared" ca="1" si="1"/>
        <v>0</v>
      </c>
    </row>
    <row r="10" spans="1:35" x14ac:dyDescent="0.25">
      <c r="A10" s="11"/>
      <c r="N10" s="47"/>
      <c r="O10" s="47"/>
      <c r="P10" s="47"/>
      <c r="Q10" s="11" t="s">
        <v>1193</v>
      </c>
      <c r="R10" s="47"/>
      <c r="S10" s="47"/>
      <c r="T10" s="16"/>
      <c r="U10" s="16">
        <f ca="1">ROUND(SUM(U$20-Exogenous!U$11,U$9,-U$22+Exogenous!U$8,U$25-Exogenous!U$12),3)</f>
        <v>0</v>
      </c>
      <c r="V10" s="16">
        <f ca="1">ROUND(SUM(V$20-Exogenous!V$11,V$9,-V$22+Exogenous!V$8,V$25-Exogenous!V$12),3)</f>
        <v>0</v>
      </c>
      <c r="W10" s="16">
        <f ca="1">ROUND(SUM(W$20-Exogenous!W$11,W$9,-W$22+Exogenous!W$8,W$25-Exogenous!W$12),3)</f>
        <v>0</v>
      </c>
      <c r="X10" s="16">
        <f ca="1">ROUND(SUM(X$20-Exogenous!X$11,X$9,-X$22+Exogenous!X$8,X$25-Exogenous!X$12),3)</f>
        <v>0</v>
      </c>
      <c r="Y10" s="16">
        <f ca="1">ROUND(SUM(Y$20-Exogenous!Y$11,Y$9,-Y$22+Exogenous!Y$8,Y$25-Exogenous!Y$12),3)</f>
        <v>0</v>
      </c>
    </row>
    <row r="11" spans="1:35" x14ac:dyDescent="0.25">
      <c r="A11" s="9"/>
      <c r="N11" s="47"/>
      <c r="O11" s="47"/>
      <c r="P11" s="47"/>
      <c r="Q11" s="9" t="s">
        <v>1207</v>
      </c>
      <c r="R11" s="47"/>
      <c r="S11" s="47"/>
      <c r="T11" s="47"/>
      <c r="U11" s="47">
        <f ca="1">SUM($U$9:U$10)</f>
        <v>0</v>
      </c>
      <c r="V11" s="47">
        <f ca="1">SUM($U$9:V$10)</f>
        <v>0</v>
      </c>
      <c r="W11" s="47">
        <f ca="1">SUM($U$9:W$10)</f>
        <v>0</v>
      </c>
      <c r="X11" s="47">
        <f ca="1">SUM($U$9:X$10)</f>
        <v>0</v>
      </c>
      <c r="Y11" s="47">
        <f ca="1">SUM($U$9:Y$10)</f>
        <v>0</v>
      </c>
    </row>
    <row r="12" spans="1:35" x14ac:dyDescent="0.25">
      <c r="A12" s="11"/>
      <c r="M12" s="47"/>
      <c r="N12" s="47"/>
      <c r="O12" s="47"/>
      <c r="P12" s="47"/>
      <c r="Q12" s="47"/>
      <c r="R12" s="47"/>
      <c r="S12" s="47"/>
      <c r="T12" s="9"/>
      <c r="U12" s="9"/>
      <c r="V12" s="9"/>
      <c r="W12" s="9"/>
      <c r="X12" s="9"/>
    </row>
    <row r="13" spans="1:35" x14ac:dyDescent="0.25">
      <c r="A13" s="10"/>
      <c r="M13" s="47"/>
      <c r="O13" s="47"/>
      <c r="P13" s="47"/>
      <c r="Q13" s="47"/>
      <c r="R13" s="47"/>
      <c r="S13" s="47" t="s">
        <v>1208</v>
      </c>
      <c r="T13" s="9"/>
      <c r="U13" s="9"/>
      <c r="V13" s="9"/>
      <c r="W13" s="9"/>
      <c r="X13" s="47"/>
    </row>
    <row r="14" spans="1:35" x14ac:dyDescent="0.25">
      <c r="A14" s="10"/>
      <c r="M14" s="43"/>
      <c r="N14" s="47"/>
      <c r="P14" s="43"/>
      <c r="Q14" s="17"/>
      <c r="R14" s="47"/>
      <c r="S14" s="11" t="s">
        <v>778</v>
      </c>
      <c r="T14" s="17"/>
      <c r="U14" s="17">
        <v>1.7050000000000001</v>
      </c>
      <c r="V14" s="17">
        <v>1.7729999999999999</v>
      </c>
      <c r="W14" s="17">
        <v>1.869</v>
      </c>
      <c r="X14" s="17">
        <v>1.9930000000000001</v>
      </c>
      <c r="Y14" s="17">
        <v>2.1160000000000001</v>
      </c>
    </row>
    <row r="15" spans="1:35" x14ac:dyDescent="0.25">
      <c r="A15" s="11"/>
      <c r="M15" s="43"/>
      <c r="N15" s="47"/>
      <c r="P15" s="43"/>
      <c r="Q15" s="17"/>
      <c r="R15" s="47"/>
      <c r="S15" s="11" t="s">
        <v>873</v>
      </c>
      <c r="T15" s="17"/>
      <c r="U15" s="17">
        <v>0.253</v>
      </c>
      <c r="V15" s="17">
        <v>0.314</v>
      </c>
      <c r="W15" s="17">
        <v>0.33600000000000002</v>
      </c>
      <c r="X15" s="17">
        <v>0.36</v>
      </c>
      <c r="Y15" s="17">
        <v>0.38700000000000001</v>
      </c>
    </row>
    <row r="16" spans="1:35" x14ac:dyDescent="0.25">
      <c r="A16" s="10"/>
      <c r="M16" s="43"/>
      <c r="N16" s="47"/>
      <c r="P16" s="43"/>
      <c r="Q16" s="17"/>
      <c r="R16" s="47"/>
      <c r="S16" s="11" t="s">
        <v>868</v>
      </c>
      <c r="T16" s="17"/>
      <c r="U16" s="17">
        <v>6.6360000000000001</v>
      </c>
      <c r="V16" s="17">
        <v>4.9329999999999998</v>
      </c>
      <c r="W16" s="17">
        <v>5.2549999999999999</v>
      </c>
      <c r="X16" s="17">
        <v>5.57</v>
      </c>
      <c r="Y16" s="17">
        <v>5.9210000000000003</v>
      </c>
    </row>
    <row r="17" spans="1:35" x14ac:dyDescent="0.25">
      <c r="A17" s="11"/>
      <c r="M17" s="43"/>
      <c r="N17" s="47"/>
      <c r="P17" s="43"/>
      <c r="Q17" s="43"/>
      <c r="R17" s="47"/>
      <c r="S17" s="47" t="s">
        <v>1209</v>
      </c>
      <c r="T17" s="43"/>
      <c r="U17" s="43">
        <f t="shared" ref="U17:Y17" si="2">U$14-U$15+U$16</f>
        <v>8.088000000000001</v>
      </c>
      <c r="V17" s="43">
        <f t="shared" si="2"/>
        <v>6.3919999999999995</v>
      </c>
      <c r="W17" s="43">
        <f t="shared" si="2"/>
        <v>6.7880000000000003</v>
      </c>
      <c r="X17" s="43">
        <f t="shared" si="2"/>
        <v>7.2030000000000003</v>
      </c>
      <c r="Y17" s="43">
        <f t="shared" si="2"/>
        <v>7.65</v>
      </c>
    </row>
    <row r="18" spans="1:35" x14ac:dyDescent="0.25">
      <c r="A18" s="11"/>
    </row>
    <row r="19" spans="1:35" x14ac:dyDescent="0.25">
      <c r="A19" s="9" t="s">
        <v>466</v>
      </c>
      <c r="B19" s="9" t="s">
        <v>521</v>
      </c>
      <c r="Q19" s="47"/>
      <c r="R19" s="47" t="s">
        <v>1213</v>
      </c>
      <c r="S19" s="43"/>
      <c r="T19" s="47"/>
      <c r="U19" s="102">
        <v>1</v>
      </c>
    </row>
    <row r="20" spans="1:35" x14ac:dyDescent="0.25">
      <c r="A20" s="11" t="s">
        <v>467</v>
      </c>
      <c r="B20" s="11"/>
      <c r="C20" s="35">
        <v>2.048</v>
      </c>
      <c r="D20" s="35">
        <v>2.1040000000000001</v>
      </c>
      <c r="E20" s="35">
        <v>2.2429999999999999</v>
      </c>
      <c r="F20" s="35">
        <v>0.25</v>
      </c>
      <c r="G20" s="35">
        <v>0</v>
      </c>
      <c r="H20" s="35">
        <v>0</v>
      </c>
      <c r="I20" s="35">
        <v>0</v>
      </c>
      <c r="J20" s="35">
        <v>0</v>
      </c>
      <c r="K20" s="35">
        <v>0</v>
      </c>
      <c r="L20" s="35">
        <v>0</v>
      </c>
      <c r="M20" s="35">
        <v>0</v>
      </c>
      <c r="N20" s="35">
        <v>0.5</v>
      </c>
      <c r="O20" s="35">
        <v>1</v>
      </c>
      <c r="P20" s="35">
        <v>1.46</v>
      </c>
      <c r="Q20" s="35">
        <v>2.12</v>
      </c>
      <c r="R20" s="35">
        <v>2.42</v>
      </c>
      <c r="S20" s="35">
        <v>2.5579999999999998</v>
      </c>
      <c r="T20" s="35">
        <v>1.6140000000000001</v>
      </c>
      <c r="U20" s="17">
        <f>IF($U$19=1,U$29,IF($U$19=2,U$37,0))</f>
        <v>0.87900000000000134</v>
      </c>
      <c r="V20" s="17">
        <f t="shared" ref="V20:Y20" si="3">IF($U$19=1,V$29,IF($U$19=2,V$37,0))</f>
        <v>0</v>
      </c>
      <c r="W20" s="17">
        <f t="shared" si="3"/>
        <v>4.0000000000013358E-3</v>
      </c>
      <c r="X20" s="17">
        <f t="shared" si="3"/>
        <v>-3.2000000000000028E-2</v>
      </c>
      <c r="Y20" s="17">
        <f t="shared" si="3"/>
        <v>6.2999999999998835E-2</v>
      </c>
      <c r="Z20" s="16">
        <f>IF($U$19=1,Z$29,IF($U$19=2,Z$37,0))</f>
        <v>7.8931226568819568E-2</v>
      </c>
      <c r="AA20" s="16">
        <f t="shared" ref="AA20:AI20" si="4">IF($U$19=1,AA$29,IF($U$19=2,AA$37,0))</f>
        <v>-3.7546449235872359E-2</v>
      </c>
      <c r="AB20" s="16">
        <f t="shared" si="4"/>
        <v>-0.19270640692964491</v>
      </c>
      <c r="AC20" s="16">
        <f t="shared" si="4"/>
        <v>-0.40499215635222185</v>
      </c>
      <c r="AD20" s="16">
        <f t="shared" si="4"/>
        <v>-0.64923682824001006</v>
      </c>
      <c r="AE20" s="16">
        <f t="shared" si="4"/>
        <v>-0.88575870240245536</v>
      </c>
      <c r="AF20" s="16">
        <f t="shared" si="4"/>
        <v>-1.1712854524337715</v>
      </c>
      <c r="AG20" s="16">
        <f t="shared" si="4"/>
        <v>-1.4363342055452506</v>
      </c>
      <c r="AH20" s="16">
        <f t="shared" si="4"/>
        <v>-1.6308417389458754</v>
      </c>
      <c r="AI20" s="16">
        <f t="shared" si="4"/>
        <v>-1.7491417757201475</v>
      </c>
    </row>
    <row r="21" spans="1:35" x14ac:dyDescent="0.25">
      <c r="A21" s="11" t="s">
        <v>778</v>
      </c>
      <c r="B21" s="9"/>
      <c r="C21" s="35">
        <v>0.436</v>
      </c>
      <c r="D21" s="35">
        <v>0.38500000000000001</v>
      </c>
      <c r="E21" s="35">
        <v>0.38300000000000001</v>
      </c>
      <c r="F21" s="35">
        <v>0.433</v>
      </c>
      <c r="G21" s="35">
        <v>0.51800000000000002</v>
      </c>
      <c r="H21" s="35">
        <v>0.53900000000000003</v>
      </c>
      <c r="I21" s="35">
        <v>0.59499999999999997</v>
      </c>
      <c r="J21" s="35">
        <v>0.76700000000000002</v>
      </c>
      <c r="K21" s="35">
        <v>0.76</v>
      </c>
      <c r="L21" s="35">
        <v>0.752</v>
      </c>
      <c r="M21" s="35">
        <v>0.83299999999999996</v>
      </c>
      <c r="N21" s="35">
        <v>0.93500000000000005</v>
      </c>
      <c r="O21" s="35">
        <v>0.98199999999999998</v>
      </c>
      <c r="P21" s="35">
        <v>0.80300000000000005</v>
      </c>
      <c r="Q21" s="35">
        <v>0.74199999999999999</v>
      </c>
      <c r="R21" s="35">
        <v>1.077</v>
      </c>
      <c r="S21" s="35">
        <v>1.32</v>
      </c>
      <c r="T21" s="35">
        <v>1.659</v>
      </c>
      <c r="U21" s="17">
        <f>IF($U$19=1,U$30,IF($U$19=2,U$38,0))</f>
        <v>1.7050000000000001</v>
      </c>
      <c r="V21" s="17">
        <f t="shared" ref="V21:Y21" si="5">IF($U$19=1,V$30,IF($U$19=2,V$38,0))</f>
        <v>1.7729999999999999</v>
      </c>
      <c r="W21" s="17">
        <f t="shared" si="5"/>
        <v>1.869</v>
      </c>
      <c r="X21" s="17">
        <f t="shared" si="5"/>
        <v>1.9930000000000001</v>
      </c>
      <c r="Y21" s="17">
        <f t="shared" si="5"/>
        <v>2.1160000000000001</v>
      </c>
      <c r="Z21" s="16">
        <f>IF($U$19=1,Z$30,IF($U$19=2,Z$38,0))</f>
        <v>2.2436275511311652</v>
      </c>
      <c r="AA21" s="16">
        <f t="shared" ref="AA21:AI21" si="6">IF($U$19=1,AA$30,IF($U$19=2,AA$38,0))</f>
        <v>2.3771937241437446</v>
      </c>
      <c r="AB21" s="16">
        <f t="shared" si="6"/>
        <v>2.5157820051435547</v>
      </c>
      <c r="AC21" s="16">
        <f t="shared" si="6"/>
        <v>2.6586735928595782</v>
      </c>
      <c r="AD21" s="16">
        <f t="shared" si="6"/>
        <v>2.8051359573915953</v>
      </c>
      <c r="AE21" s="16">
        <f t="shared" si="6"/>
        <v>2.9550791422774938</v>
      </c>
      <c r="AF21" s="16">
        <f t="shared" si="6"/>
        <v>3.1083204302525171</v>
      </c>
      <c r="AG21" s="16">
        <f t="shared" si="6"/>
        <v>3.2646774508055842</v>
      </c>
      <c r="AH21" s="16">
        <f t="shared" si="6"/>
        <v>3.4252679610365075</v>
      </c>
      <c r="AI21" s="16">
        <f t="shared" si="6"/>
        <v>3.5919225641078021</v>
      </c>
    </row>
    <row r="22" spans="1:35" x14ac:dyDescent="0.25">
      <c r="A22" s="11" t="s">
        <v>1201</v>
      </c>
      <c r="B22" s="11"/>
      <c r="C22" s="35">
        <v>0.70699999999999996</v>
      </c>
      <c r="D22" s="35">
        <v>0.23699999999999999</v>
      </c>
      <c r="E22" s="35">
        <v>4.0000000000000001E-3</v>
      </c>
      <c r="F22" s="35">
        <v>-2.7E-2</v>
      </c>
      <c r="G22" s="35">
        <v>0.872</v>
      </c>
      <c r="H22" s="35">
        <v>0.16</v>
      </c>
      <c r="I22" s="35">
        <v>0.98299999999999998</v>
      </c>
      <c r="J22" s="35">
        <v>1.0740000000000001</v>
      </c>
      <c r="K22" s="35">
        <v>4.5999999999999999E-2</v>
      </c>
      <c r="L22" s="35">
        <v>0.51200000000000001</v>
      </c>
      <c r="M22" s="35">
        <v>1.139</v>
      </c>
      <c r="N22" s="35">
        <v>0.24099999999999999</v>
      </c>
      <c r="O22" s="35">
        <v>0.504</v>
      </c>
      <c r="P22" s="35">
        <v>0.44800000000000001</v>
      </c>
      <c r="Q22" s="35">
        <v>2.1560000000000001</v>
      </c>
      <c r="R22" s="35">
        <v>3.5000000000000003E-2</v>
      </c>
      <c r="S22" s="35">
        <v>0.127</v>
      </c>
      <c r="T22" s="35">
        <v>1.29</v>
      </c>
      <c r="U22" s="17">
        <f>IF($U$19=1,U$31,IF($U$19=2,U$39,0))</f>
        <v>1.389</v>
      </c>
      <c r="V22" s="17">
        <f t="shared" ref="V22:Y22" si="7">IF($U$19=1,V$31,IF($U$19=2,V$39,0))</f>
        <v>1.518</v>
      </c>
      <c r="W22" s="17">
        <f t="shared" si="7"/>
        <v>1.6120000000000001</v>
      </c>
      <c r="X22" s="17">
        <f t="shared" si="7"/>
        <v>1.7110000000000001</v>
      </c>
      <c r="Y22" s="17">
        <f t="shared" si="7"/>
        <v>1.8169999999999999</v>
      </c>
      <c r="Z22" s="16">
        <f>IF($U$19=1,Z$31,IF($U$19=2,Z$39,0))</f>
        <v>1.9439372284168936</v>
      </c>
      <c r="AA22" s="16">
        <f t="shared" ref="AA22:AI22" si="8">IF($U$19=1,AA$31,IF($U$19=2,AA$39,0))</f>
        <v>2.0596624324711144</v>
      </c>
      <c r="AB22" s="16">
        <f t="shared" si="8"/>
        <v>2.1797389214240179</v>
      </c>
      <c r="AC22" s="16">
        <f t="shared" si="8"/>
        <v>2.3035439071707531</v>
      </c>
      <c r="AD22" s="16">
        <f t="shared" si="8"/>
        <v>2.4304427067652807</v>
      </c>
      <c r="AE22" s="16">
        <f t="shared" si="8"/>
        <v>2.5603573795906081</v>
      </c>
      <c r="AF22" s="16">
        <f t="shared" si="8"/>
        <v>2.6931296146592203</v>
      </c>
      <c r="AG22" s="16">
        <f t="shared" si="8"/>
        <v>2.8286014014200003</v>
      </c>
      <c r="AH22" s="16">
        <f t="shared" si="8"/>
        <v>2.9677411936778402</v>
      </c>
      <c r="AI22" s="16">
        <f t="shared" si="8"/>
        <v>3.1121350735952071</v>
      </c>
    </row>
    <row r="23" spans="1:35" x14ac:dyDescent="0.25">
      <c r="A23" s="11" t="s">
        <v>1202</v>
      </c>
      <c r="B23" s="11"/>
      <c r="C23" s="35">
        <v>-5.1999999999999998E-2</v>
      </c>
      <c r="D23" s="35">
        <v>3.4000000000000002E-2</v>
      </c>
      <c r="E23" s="35">
        <v>-0.32300000000000001</v>
      </c>
      <c r="F23" s="35">
        <v>0.502</v>
      </c>
      <c r="G23" s="35">
        <v>0.16900000000000001</v>
      </c>
      <c r="H23" s="35">
        <v>0.13200000000000001</v>
      </c>
      <c r="I23" s="35">
        <v>0.16500000000000001</v>
      </c>
      <c r="J23" s="35">
        <v>0.16400000000000001</v>
      </c>
      <c r="K23" s="35">
        <v>0.19800000000000001</v>
      </c>
      <c r="L23" s="35">
        <v>0.13800000000000001</v>
      </c>
      <c r="M23" s="35">
        <v>0.22700000000000001</v>
      </c>
      <c r="N23" s="35">
        <v>0.34100000000000003</v>
      </c>
      <c r="O23" s="35">
        <v>0.13</v>
      </c>
      <c r="P23" s="35">
        <v>0.15</v>
      </c>
      <c r="Q23" s="35">
        <v>0.125</v>
      </c>
      <c r="R23" s="35">
        <v>-0.51700000000000002</v>
      </c>
      <c r="S23" s="35">
        <v>1.054</v>
      </c>
      <c r="T23" s="35">
        <v>0.189</v>
      </c>
      <c r="U23" s="17">
        <f>IF($U$19=1,U$32,IF($U$19=2,U$40,0))</f>
        <v>0.253</v>
      </c>
      <c r="V23" s="17">
        <f t="shared" ref="V23:Y23" si="9">IF($U$19=1,V$32,IF($U$19=2,V$40,0))</f>
        <v>0.314</v>
      </c>
      <c r="W23" s="17">
        <f t="shared" si="9"/>
        <v>0.33600000000000002</v>
      </c>
      <c r="X23" s="17">
        <f t="shared" si="9"/>
        <v>0.36</v>
      </c>
      <c r="Y23" s="17">
        <f t="shared" si="9"/>
        <v>0.38700000000000001</v>
      </c>
      <c r="Z23" s="16">
        <f>IF($U$19=1,Z$32,IF($U$19=2,Z$40,0))</f>
        <v>0.40498692258685287</v>
      </c>
      <c r="AA23" s="16">
        <f t="shared" ref="AA23:AI23" si="10">IF($U$19=1,AA$32,IF($U$19=2,AA$40,0))</f>
        <v>0.4290963400981489</v>
      </c>
      <c r="AB23" s="16">
        <f t="shared" si="10"/>
        <v>0.45411227529667048</v>
      </c>
      <c r="AC23" s="16">
        <f t="shared" si="10"/>
        <v>0.47990498066057363</v>
      </c>
      <c r="AD23" s="16">
        <f t="shared" si="10"/>
        <v>0.50634223057610017</v>
      </c>
      <c r="AE23" s="16">
        <f t="shared" si="10"/>
        <v>0.53340778741471007</v>
      </c>
      <c r="AF23" s="16">
        <f t="shared" si="10"/>
        <v>0.56106866972067093</v>
      </c>
      <c r="AG23" s="16">
        <f t="shared" si="10"/>
        <v>0.58929195862916683</v>
      </c>
      <c r="AH23" s="16">
        <f t="shared" si="10"/>
        <v>0.61827941534955011</v>
      </c>
      <c r="AI23" s="16">
        <f t="shared" si="10"/>
        <v>0.64836147366566821</v>
      </c>
    </row>
    <row r="24" spans="1:35" x14ac:dyDescent="0.25">
      <c r="A24" s="11" t="s">
        <v>868</v>
      </c>
      <c r="B24" s="11"/>
      <c r="C24" s="35">
        <v>1.3129999999999999</v>
      </c>
      <c r="D24" s="35">
        <v>-0.995</v>
      </c>
      <c r="E24" s="35">
        <v>-3.4950000000000001</v>
      </c>
      <c r="F24" s="35">
        <v>1.75</v>
      </c>
      <c r="G24" s="35">
        <v>3.5179999999999998</v>
      </c>
      <c r="H24" s="35">
        <v>-0.20399999999999999</v>
      </c>
      <c r="I24" s="35">
        <v>4.3739999999999997</v>
      </c>
      <c r="J24" s="35">
        <v>3.7349999999999999</v>
      </c>
      <c r="K24" s="35">
        <v>3.1560000000000001</v>
      </c>
      <c r="L24" s="35">
        <v>-7.5999999999999998E-2</v>
      </c>
      <c r="M24" s="35">
        <v>5.5119999999999996</v>
      </c>
      <c r="N24" s="35">
        <v>3.5640000000000001</v>
      </c>
      <c r="O24" s="35">
        <v>1.9550000000000001</v>
      </c>
      <c r="P24" s="35">
        <v>1.7000000000000001E-2</v>
      </c>
      <c r="Q24" s="35">
        <v>12.786</v>
      </c>
      <c r="R24" s="35">
        <v>-5.133</v>
      </c>
      <c r="S24" s="35">
        <v>5.766</v>
      </c>
      <c r="T24" s="35">
        <v>8.3520000000000003</v>
      </c>
      <c r="U24" s="17">
        <f>IF($U$19=1,U$33,IF($U$19=2,U$41,0))</f>
        <v>6.6360000000000001</v>
      </c>
      <c r="V24" s="17">
        <f t="shared" ref="V24:Y24" si="11">IF($U$19=1,V$33,IF($U$19=2,V$41,0))</f>
        <v>4.9329999999999998</v>
      </c>
      <c r="W24" s="17">
        <f t="shared" si="11"/>
        <v>5.2549999999999999</v>
      </c>
      <c r="X24" s="17">
        <f t="shared" si="11"/>
        <v>5.57</v>
      </c>
      <c r="Y24" s="17">
        <f t="shared" si="11"/>
        <v>5.9210000000000003</v>
      </c>
      <c r="Z24" s="16">
        <f>IF($U$19=1,Z$33,IF($U$19=2,Z$41,0))</f>
        <v>6.2610978231927454</v>
      </c>
      <c r="AA24" s="16">
        <f t="shared" ref="AA24:AI24" si="12">IF($U$19=1,AA$33,IF($U$19=2,AA$41,0))</f>
        <v>6.6338294179173811</v>
      </c>
      <c r="AB24" s="16">
        <f t="shared" si="12"/>
        <v>7.0205757760865257</v>
      </c>
      <c r="AC24" s="16">
        <f t="shared" si="12"/>
        <v>7.419331001012468</v>
      </c>
      <c r="AD24" s="16">
        <f t="shared" si="12"/>
        <v>7.8280508847065082</v>
      </c>
      <c r="AE24" s="16">
        <f t="shared" si="12"/>
        <v>8.2464843934314178</v>
      </c>
      <c r="AF24" s="16">
        <f t="shared" si="12"/>
        <v>8.6741216338815725</v>
      </c>
      <c r="AG24" s="16">
        <f t="shared" si="12"/>
        <v>9.1104536804069181</v>
      </c>
      <c r="AH24" s="16">
        <f t="shared" si="12"/>
        <v>9.558599761304043</v>
      </c>
      <c r="AI24" s="16">
        <f t="shared" si="12"/>
        <v>10.023668382871231</v>
      </c>
    </row>
    <row r="25" spans="1:35" x14ac:dyDescent="0.25">
      <c r="A25" s="11" t="s">
        <v>468</v>
      </c>
      <c r="B25" s="11"/>
      <c r="C25" s="35">
        <v>-2.4E-2</v>
      </c>
      <c r="D25" s="35">
        <v>1.6E-2</v>
      </c>
      <c r="E25" s="35">
        <v>2.5999999999999999E-2</v>
      </c>
      <c r="F25" s="35">
        <v>0.01</v>
      </c>
      <c r="G25" s="35">
        <v>1E-3</v>
      </c>
      <c r="H25" s="35">
        <v>8.0000000000000002E-3</v>
      </c>
      <c r="I25" s="35">
        <v>2.5000000000000001E-2</v>
      </c>
      <c r="J25" s="35">
        <v>-4.0000000000000001E-3</v>
      </c>
      <c r="K25" s="35">
        <v>4.1000000000000002E-2</v>
      </c>
      <c r="L25" s="35">
        <v>-2.1000000000000001E-2</v>
      </c>
      <c r="M25" s="35">
        <v>0</v>
      </c>
      <c r="N25" s="35">
        <v>0.13</v>
      </c>
      <c r="O25" s="35">
        <v>-0.04</v>
      </c>
      <c r="P25" s="35">
        <v>-1E-3</v>
      </c>
      <c r="Q25" s="35">
        <v>1E-3</v>
      </c>
      <c r="R25" s="35">
        <v>-1E-3</v>
      </c>
      <c r="S25" s="35">
        <v>0</v>
      </c>
      <c r="T25" s="35">
        <v>0</v>
      </c>
      <c r="U25" s="17">
        <f>IF($U$19=1,U$34,IF($U$19=2,U$42,0))</f>
        <v>0</v>
      </c>
      <c r="V25" s="17">
        <f t="shared" ref="V25:Y25" si="13">IF($U$19=1,V$34,IF($U$19=2,V$42,0))</f>
        <v>0</v>
      </c>
      <c r="W25" s="17">
        <f t="shared" si="13"/>
        <v>0</v>
      </c>
      <c r="X25" s="17">
        <f t="shared" si="13"/>
        <v>0</v>
      </c>
      <c r="Y25" s="17">
        <f t="shared" si="13"/>
        <v>0</v>
      </c>
      <c r="Z25" s="16">
        <f>IF($U$19=1,Z$34,IF($U$19=2,Z$42,0))</f>
        <v>0</v>
      </c>
      <c r="AA25" s="16">
        <f t="shared" ref="AA25:AI25" si="14">IF($U$19=1,AA$34,IF($U$19=2,AA$42,0))</f>
        <v>0</v>
      </c>
      <c r="AB25" s="16">
        <f t="shared" si="14"/>
        <v>0</v>
      </c>
      <c r="AC25" s="16">
        <f t="shared" si="14"/>
        <v>0</v>
      </c>
      <c r="AD25" s="16">
        <f t="shared" si="14"/>
        <v>0</v>
      </c>
      <c r="AE25" s="16">
        <f t="shared" si="14"/>
        <v>0</v>
      </c>
      <c r="AF25" s="16">
        <f t="shared" si="14"/>
        <v>0</v>
      </c>
      <c r="AG25" s="16">
        <f t="shared" si="14"/>
        <v>0</v>
      </c>
      <c r="AH25" s="16">
        <f t="shared" si="14"/>
        <v>0</v>
      </c>
      <c r="AI25" s="16">
        <f t="shared" si="14"/>
        <v>0</v>
      </c>
    </row>
    <row r="26" spans="1:35" x14ac:dyDescent="0.25">
      <c r="A26" s="9" t="s">
        <v>1203</v>
      </c>
      <c r="B26" s="42">
        <v>9.8550000000000004</v>
      </c>
      <c r="C26" s="42">
        <v>12.972999999999999</v>
      </c>
      <c r="D26" s="42">
        <v>14.211999999999998</v>
      </c>
      <c r="E26" s="42">
        <v>13.687999999999997</v>
      </c>
      <c r="F26" s="42">
        <v>15.655999999999997</v>
      </c>
      <c r="G26" s="42">
        <v>18.651999999999997</v>
      </c>
      <c r="H26" s="42">
        <v>18.702999999999996</v>
      </c>
      <c r="I26" s="42">
        <v>22.548999999999992</v>
      </c>
      <c r="J26" s="42">
        <v>25.80899999999999</v>
      </c>
      <c r="K26" s="42">
        <v>29.521999999999991</v>
      </c>
      <c r="L26" s="42">
        <v>29.52699999999999</v>
      </c>
      <c r="M26" s="42">
        <v>34.506</v>
      </c>
      <c r="N26" s="42">
        <v>39.052999999999997</v>
      </c>
      <c r="O26" s="42">
        <v>42.315999999999988</v>
      </c>
      <c r="P26" s="42">
        <v>43.997</v>
      </c>
      <c r="Q26" s="42">
        <v>57.365000000000002</v>
      </c>
      <c r="R26" s="42">
        <v>56.21</v>
      </c>
      <c r="S26" s="42">
        <v>64.673000000000002</v>
      </c>
      <c r="T26" s="42">
        <v>74.819000000000003</v>
      </c>
      <c r="U26" s="43">
        <f>IF($U$19=1,U$35,IF($U$19=2,U$43,0))</f>
        <v>82.397000000000006</v>
      </c>
      <c r="V26" s="43">
        <f t="shared" ref="V26:Y26" si="15">IF($U$19=1,V$35,IF($U$19=2,V$43,0))</f>
        <v>87.271000000000001</v>
      </c>
      <c r="W26" s="43">
        <f t="shared" si="15"/>
        <v>92.451000000000008</v>
      </c>
      <c r="X26" s="43">
        <f t="shared" si="15"/>
        <v>97.911000000000016</v>
      </c>
      <c r="Y26" s="43">
        <f t="shared" si="15"/>
        <v>103.80700000000003</v>
      </c>
      <c r="Z26" s="47">
        <f>IF($U$19=1,Z$35,IF($U$19=2,Z$43,0))</f>
        <v>110.04173244988901</v>
      </c>
      <c r="AA26" s="47">
        <f t="shared" ref="AA26:AI26" si="16">IF($U$19=1,AA$35,IF($U$19=2,AA$43,0))</f>
        <v>116.526450370145</v>
      </c>
      <c r="AB26" s="47">
        <f t="shared" si="16"/>
        <v>123.23625054772475</v>
      </c>
      <c r="AC26" s="47">
        <f t="shared" si="16"/>
        <v>130.12581409741324</v>
      </c>
      <c r="AD26" s="47">
        <f t="shared" si="16"/>
        <v>137.17297917392995</v>
      </c>
      <c r="AE26" s="47">
        <f t="shared" si="16"/>
        <v>144.39501884023107</v>
      </c>
      <c r="AF26" s="47">
        <f t="shared" si="16"/>
        <v>151.75197716755147</v>
      </c>
      <c r="AG26" s="47">
        <f t="shared" si="16"/>
        <v>159.27288073316956</v>
      </c>
      <c r="AH26" s="47">
        <f t="shared" si="16"/>
        <v>167.03988610753686</v>
      </c>
      <c r="AI26" s="47">
        <f t="shared" si="16"/>
        <v>175.14583873153487</v>
      </c>
    </row>
    <row r="27" spans="1:35" x14ac:dyDescent="0.25">
      <c r="A27" s="10" t="s">
        <v>1204</v>
      </c>
      <c r="B27" s="11"/>
      <c r="C27" s="101" t="str">
        <f>IF(ROUND(C$26-SUM(B$26,C$20,C$21,C$24,C$25)+SUM(C$22,C$23),3)=0,"OK","ERROR")</f>
        <v>OK</v>
      </c>
      <c r="D27" s="101" t="str">
        <f t="shared" ref="D27:AI27" si="17">IF(ROUND(D$26-SUM(C$26,D$20,D$21,D$24,D$25)+SUM(D$22,D$23),3)=0,"OK","ERROR")</f>
        <v>OK</v>
      </c>
      <c r="E27" s="101" t="str">
        <f t="shared" si="17"/>
        <v>OK</v>
      </c>
      <c r="F27" s="101" t="str">
        <f t="shared" si="17"/>
        <v>OK</v>
      </c>
      <c r="G27" s="101" t="str">
        <f t="shared" si="17"/>
        <v>OK</v>
      </c>
      <c r="H27" s="101" t="str">
        <f t="shared" si="17"/>
        <v>OK</v>
      </c>
      <c r="I27" s="101" t="str">
        <f t="shared" si="17"/>
        <v>OK</v>
      </c>
      <c r="J27" s="101" t="str">
        <f t="shared" si="17"/>
        <v>OK</v>
      </c>
      <c r="K27" s="101" t="str">
        <f t="shared" si="17"/>
        <v>OK</v>
      </c>
      <c r="L27" s="101" t="str">
        <f t="shared" si="17"/>
        <v>OK</v>
      </c>
      <c r="M27" s="101" t="str">
        <f t="shared" si="17"/>
        <v>OK</v>
      </c>
      <c r="N27" s="101" t="str">
        <f t="shared" si="17"/>
        <v>OK</v>
      </c>
      <c r="O27" s="101" t="str">
        <f t="shared" si="17"/>
        <v>OK</v>
      </c>
      <c r="P27" s="101" t="str">
        <f t="shared" si="17"/>
        <v>OK</v>
      </c>
      <c r="Q27" s="101" t="str">
        <f t="shared" si="17"/>
        <v>OK</v>
      </c>
      <c r="R27" s="101" t="str">
        <f t="shared" si="17"/>
        <v>OK</v>
      </c>
      <c r="S27" s="101" t="str">
        <f t="shared" si="17"/>
        <v>OK</v>
      </c>
      <c r="T27" s="101" t="str">
        <f t="shared" si="17"/>
        <v>OK</v>
      </c>
      <c r="U27" s="103" t="str">
        <f t="shared" si="17"/>
        <v>OK</v>
      </c>
      <c r="V27" s="103" t="str">
        <f t="shared" si="17"/>
        <v>OK</v>
      </c>
      <c r="W27" s="103" t="str">
        <f t="shared" si="17"/>
        <v>OK</v>
      </c>
      <c r="X27" s="103" t="str">
        <f t="shared" si="17"/>
        <v>OK</v>
      </c>
      <c r="Y27" s="103" t="str">
        <f t="shared" si="17"/>
        <v>OK</v>
      </c>
      <c r="Z27" s="61" t="str">
        <f t="shared" si="17"/>
        <v>OK</v>
      </c>
      <c r="AA27" s="61" t="str">
        <f t="shared" si="17"/>
        <v>OK</v>
      </c>
      <c r="AB27" s="61" t="str">
        <f t="shared" si="17"/>
        <v>OK</v>
      </c>
      <c r="AC27" s="61" t="str">
        <f t="shared" si="17"/>
        <v>OK</v>
      </c>
      <c r="AD27" s="61" t="str">
        <f t="shared" si="17"/>
        <v>OK</v>
      </c>
      <c r="AE27" s="61" t="str">
        <f t="shared" si="17"/>
        <v>OK</v>
      </c>
      <c r="AF27" s="61" t="str">
        <f t="shared" si="17"/>
        <v>OK</v>
      </c>
      <c r="AG27" s="61" t="str">
        <f t="shared" si="17"/>
        <v>OK</v>
      </c>
      <c r="AH27" s="61" t="str">
        <f t="shared" si="17"/>
        <v>OK</v>
      </c>
      <c r="AI27" s="61" t="str">
        <f t="shared" si="17"/>
        <v>OK</v>
      </c>
    </row>
    <row r="28" spans="1:35" x14ac:dyDescent="0.25">
      <c r="A28" s="11"/>
    </row>
    <row r="29" spans="1:35" x14ac:dyDescent="0.25">
      <c r="A29" s="11"/>
      <c r="Q29" s="11" t="s">
        <v>1210</v>
      </c>
      <c r="R29" s="11" t="s">
        <v>1211</v>
      </c>
      <c r="S29" s="11"/>
      <c r="T29" s="11"/>
      <c r="U29" s="17">
        <v>0.87900000000000134</v>
      </c>
      <c r="V29" s="17">
        <v>0</v>
      </c>
      <c r="W29" s="17">
        <v>4.0000000000013358E-3</v>
      </c>
      <c r="X29" s="17">
        <v>-3.2000000000000028E-2</v>
      </c>
      <c r="Y29" s="17">
        <v>6.2999999999998835E-2</v>
      </c>
      <c r="Z29" s="16">
        <v>7.8931226568819568E-2</v>
      </c>
      <c r="AA29" s="16">
        <v>-3.7546449235872359E-2</v>
      </c>
      <c r="AB29" s="16">
        <v>-0.19270640692964491</v>
      </c>
      <c r="AC29" s="16">
        <v>-0.40499215635222185</v>
      </c>
      <c r="AD29" s="16">
        <v>-0.64923682824001006</v>
      </c>
      <c r="AE29" s="16">
        <v>-0.88575870240245536</v>
      </c>
      <c r="AF29" s="16">
        <v>-1.1712854524337715</v>
      </c>
      <c r="AG29" s="16">
        <v>-1.4363342055452506</v>
      </c>
      <c r="AH29" s="16">
        <v>-1.6308417389458754</v>
      </c>
      <c r="AI29" s="16">
        <v>-1.7491417757201475</v>
      </c>
    </row>
    <row r="30" spans="1:35" x14ac:dyDescent="0.25">
      <c r="A30" s="11"/>
      <c r="Q30" s="11"/>
      <c r="R30" s="11" t="s">
        <v>778</v>
      </c>
      <c r="S30" s="11"/>
      <c r="T30" s="11"/>
      <c r="U30" s="17">
        <v>1.7050000000000001</v>
      </c>
      <c r="V30" s="17">
        <v>1.7729999999999999</v>
      </c>
      <c r="W30" s="17">
        <v>1.869</v>
      </c>
      <c r="X30" s="17">
        <v>1.9930000000000001</v>
      </c>
      <c r="Y30" s="17">
        <v>2.1160000000000001</v>
      </c>
      <c r="Z30" s="16">
        <v>2.2436275511311652</v>
      </c>
      <c r="AA30" s="16">
        <v>2.3771937241437446</v>
      </c>
      <c r="AB30" s="16">
        <v>2.5157820051435547</v>
      </c>
      <c r="AC30" s="16">
        <v>2.6586735928595782</v>
      </c>
      <c r="AD30" s="16">
        <v>2.8051359573915953</v>
      </c>
      <c r="AE30" s="16">
        <v>2.9550791422774938</v>
      </c>
      <c r="AF30" s="16">
        <v>3.1083204302525171</v>
      </c>
      <c r="AG30" s="16">
        <v>3.2646774508055842</v>
      </c>
      <c r="AH30" s="16">
        <v>3.4252679610365075</v>
      </c>
      <c r="AI30" s="16">
        <v>3.5919225641078021</v>
      </c>
    </row>
    <row r="31" spans="1:35" x14ac:dyDescent="0.25">
      <c r="A31" s="11"/>
      <c r="Q31" s="11"/>
      <c r="R31" s="11" t="s">
        <v>872</v>
      </c>
      <c r="S31" s="11"/>
      <c r="T31" s="11"/>
      <c r="U31" s="17">
        <v>1.389</v>
      </c>
      <c r="V31" s="17">
        <v>1.518</v>
      </c>
      <c r="W31" s="17">
        <v>1.6120000000000001</v>
      </c>
      <c r="X31" s="17">
        <v>1.7110000000000001</v>
      </c>
      <c r="Y31" s="17">
        <v>1.8169999999999999</v>
      </c>
      <c r="Z31" s="16">
        <v>1.9439372284168936</v>
      </c>
      <c r="AA31" s="16">
        <v>2.0596624324711144</v>
      </c>
      <c r="AB31" s="16">
        <v>2.1797389214240179</v>
      </c>
      <c r="AC31" s="16">
        <v>2.3035439071707531</v>
      </c>
      <c r="AD31" s="16">
        <v>2.4304427067652807</v>
      </c>
      <c r="AE31" s="16">
        <v>2.5603573795906081</v>
      </c>
      <c r="AF31" s="16">
        <v>2.6931296146592203</v>
      </c>
      <c r="AG31" s="16">
        <v>2.8286014014200003</v>
      </c>
      <c r="AH31" s="16">
        <v>2.9677411936778402</v>
      </c>
      <c r="AI31" s="16">
        <v>3.1121350735952071</v>
      </c>
    </row>
    <row r="32" spans="1:35" x14ac:dyDescent="0.25">
      <c r="A32" s="11"/>
      <c r="Q32" s="11"/>
      <c r="R32" s="11" t="s">
        <v>873</v>
      </c>
      <c r="S32" s="11"/>
      <c r="T32" s="11"/>
      <c r="U32" s="17">
        <v>0.253</v>
      </c>
      <c r="V32" s="17">
        <v>0.314</v>
      </c>
      <c r="W32" s="17">
        <v>0.33600000000000002</v>
      </c>
      <c r="X32" s="17">
        <v>0.36</v>
      </c>
      <c r="Y32" s="17">
        <v>0.38700000000000001</v>
      </c>
      <c r="Z32" s="16">
        <v>0.40498692258685287</v>
      </c>
      <c r="AA32" s="16">
        <v>0.4290963400981489</v>
      </c>
      <c r="AB32" s="16">
        <v>0.45411227529667048</v>
      </c>
      <c r="AC32" s="16">
        <v>0.47990498066057363</v>
      </c>
      <c r="AD32" s="16">
        <v>0.50634223057610017</v>
      </c>
      <c r="AE32" s="16">
        <v>0.53340778741471007</v>
      </c>
      <c r="AF32" s="16">
        <v>0.56106866972067093</v>
      </c>
      <c r="AG32" s="16">
        <v>0.58929195862916683</v>
      </c>
      <c r="AH32" s="16">
        <v>0.61827941534955011</v>
      </c>
      <c r="AI32" s="16">
        <v>0.64836147366566821</v>
      </c>
    </row>
    <row r="33" spans="1:35" x14ac:dyDescent="0.25">
      <c r="A33" s="11"/>
      <c r="Q33" s="11"/>
      <c r="R33" s="11" t="s">
        <v>868</v>
      </c>
      <c r="S33" s="11"/>
      <c r="T33" s="11"/>
      <c r="U33" s="17">
        <v>6.6360000000000001</v>
      </c>
      <c r="V33" s="17">
        <v>4.9329999999999998</v>
      </c>
      <c r="W33" s="17">
        <v>5.2549999999999999</v>
      </c>
      <c r="X33" s="17">
        <v>5.57</v>
      </c>
      <c r="Y33" s="17">
        <v>5.9210000000000003</v>
      </c>
      <c r="Z33" s="16">
        <v>6.2610978231927454</v>
      </c>
      <c r="AA33" s="16">
        <v>6.6338294179173811</v>
      </c>
      <c r="AB33" s="16">
        <v>7.0205757760865257</v>
      </c>
      <c r="AC33" s="16">
        <v>7.419331001012468</v>
      </c>
      <c r="AD33" s="16">
        <v>7.8280508847065082</v>
      </c>
      <c r="AE33" s="16">
        <v>8.2464843934314178</v>
      </c>
      <c r="AF33" s="16">
        <v>8.6741216338815725</v>
      </c>
      <c r="AG33" s="16">
        <v>9.1104536804069181</v>
      </c>
      <c r="AH33" s="16">
        <v>9.558599761304043</v>
      </c>
      <c r="AI33" s="16">
        <v>10.023668382871231</v>
      </c>
    </row>
    <row r="34" spans="1:35" x14ac:dyDescent="0.25">
      <c r="A34" s="11"/>
      <c r="Q34" s="11"/>
      <c r="R34" s="11" t="s">
        <v>468</v>
      </c>
      <c r="S34" s="11"/>
      <c r="T34" s="11"/>
      <c r="U34" s="17">
        <v>0</v>
      </c>
      <c r="V34" s="17">
        <v>0</v>
      </c>
      <c r="W34" s="17">
        <v>0</v>
      </c>
      <c r="X34" s="17">
        <v>0</v>
      </c>
      <c r="Y34" s="17">
        <v>0</v>
      </c>
      <c r="Z34" s="16">
        <v>0</v>
      </c>
      <c r="AA34" s="16">
        <v>0</v>
      </c>
      <c r="AB34" s="16">
        <v>0</v>
      </c>
      <c r="AC34" s="16">
        <v>0</v>
      </c>
      <c r="AD34" s="16">
        <v>0</v>
      </c>
      <c r="AE34" s="16">
        <v>0</v>
      </c>
      <c r="AF34" s="16">
        <v>0</v>
      </c>
      <c r="AG34" s="16">
        <v>0</v>
      </c>
      <c r="AH34" s="16">
        <v>0</v>
      </c>
      <c r="AI34" s="16">
        <v>0</v>
      </c>
    </row>
    <row r="35" spans="1:35" x14ac:dyDescent="0.25">
      <c r="A35" s="11"/>
      <c r="Q35" s="17"/>
      <c r="R35" s="42"/>
      <c r="S35" s="11"/>
      <c r="T35" s="42">
        <v>74.819000000000003</v>
      </c>
      <c r="U35" s="43">
        <v>82.397000000000006</v>
      </c>
      <c r="V35" s="43">
        <v>87.271000000000001</v>
      </c>
      <c r="W35" s="43">
        <v>92.451000000000008</v>
      </c>
      <c r="X35" s="43">
        <v>97.911000000000016</v>
      </c>
      <c r="Y35" s="43">
        <v>103.80700000000003</v>
      </c>
      <c r="Z35" s="47">
        <v>110.04173244988901</v>
      </c>
      <c r="AA35" s="47">
        <v>116.526450370145</v>
      </c>
      <c r="AB35" s="47">
        <v>123.23625054772475</v>
      </c>
      <c r="AC35" s="47">
        <v>130.12581409741324</v>
      </c>
      <c r="AD35" s="47">
        <v>137.17297917392995</v>
      </c>
      <c r="AE35" s="47">
        <v>144.39501884023107</v>
      </c>
      <c r="AF35" s="47">
        <v>151.75197716755147</v>
      </c>
      <c r="AG35" s="47">
        <v>159.27288073316956</v>
      </c>
      <c r="AH35" s="47">
        <v>167.03988610753686</v>
      </c>
      <c r="AI35" s="47">
        <v>175.14583873153487</v>
      </c>
    </row>
    <row r="36" spans="1:35" x14ac:dyDescent="0.25">
      <c r="A36" s="11"/>
    </row>
    <row r="37" spans="1:35" x14ac:dyDescent="0.25">
      <c r="A37" s="11"/>
      <c r="Q37" s="11" t="s">
        <v>1212</v>
      </c>
      <c r="R37" s="11" t="s">
        <v>1211</v>
      </c>
      <c r="S37" s="11"/>
      <c r="T37" s="11"/>
      <c r="U37" s="17">
        <v>0.87900000000000134</v>
      </c>
      <c r="V37" s="17">
        <v>0</v>
      </c>
      <c r="W37" s="17">
        <v>4.0000000000013358E-3</v>
      </c>
      <c r="X37" s="17">
        <v>-3.2000000000000028E-2</v>
      </c>
      <c r="Y37" s="17">
        <v>6.2999999999998835E-2</v>
      </c>
      <c r="Z37" s="16">
        <v>7.8931226568819568E-2</v>
      </c>
      <c r="AA37" s="16">
        <v>-3.7546449235872359E-2</v>
      </c>
      <c r="AB37" s="16">
        <v>-0.19270640692964491</v>
      </c>
      <c r="AC37" s="16">
        <v>-0.40499215635222185</v>
      </c>
      <c r="AD37" s="16">
        <v>-0.64923682824001006</v>
      </c>
      <c r="AE37" s="16">
        <v>-0.88575870240245536</v>
      </c>
      <c r="AF37" s="16">
        <v>-1.1712854524337715</v>
      </c>
      <c r="AG37" s="16">
        <v>-1.4363342055452506</v>
      </c>
      <c r="AH37" s="16">
        <v>-1.6308417389458754</v>
      </c>
      <c r="AI37" s="16">
        <v>-1.7491417757201475</v>
      </c>
    </row>
    <row r="38" spans="1:35" x14ac:dyDescent="0.25">
      <c r="A38" s="11"/>
      <c r="Q38" s="11"/>
      <c r="R38" s="11" t="s">
        <v>778</v>
      </c>
      <c r="S38" s="11"/>
      <c r="T38" s="11"/>
      <c r="U38" s="17">
        <v>1.7050000000000001</v>
      </c>
      <c r="V38" s="17">
        <v>1.7729999999999999</v>
      </c>
      <c r="W38" s="17">
        <v>1.869</v>
      </c>
      <c r="X38" s="17">
        <v>1.9930000000000001</v>
      </c>
      <c r="Y38" s="17">
        <v>2.1160000000000001</v>
      </c>
      <c r="Z38" s="16">
        <v>2.2436275511311652</v>
      </c>
      <c r="AA38" s="16">
        <v>2.3771937241437446</v>
      </c>
      <c r="AB38" s="16">
        <v>2.5157820051435547</v>
      </c>
      <c r="AC38" s="16">
        <v>2.6586735928595782</v>
      </c>
      <c r="AD38" s="16">
        <v>2.8051359573915953</v>
      </c>
      <c r="AE38" s="16">
        <v>2.9550791422774938</v>
      </c>
      <c r="AF38" s="16">
        <v>3.1083204302525171</v>
      </c>
      <c r="AG38" s="16">
        <v>3.2646774508055842</v>
      </c>
      <c r="AH38" s="16">
        <v>3.4252679610365075</v>
      </c>
      <c r="AI38" s="16">
        <v>3.5919225641078021</v>
      </c>
    </row>
    <row r="39" spans="1:35" x14ac:dyDescent="0.25">
      <c r="A39" s="11"/>
      <c r="Q39" s="11"/>
      <c r="R39" s="11" t="s">
        <v>872</v>
      </c>
      <c r="S39" s="11"/>
      <c r="T39" s="11"/>
      <c r="U39" s="17">
        <v>1.389</v>
      </c>
      <c r="V39" s="17">
        <v>1.518</v>
      </c>
      <c r="W39" s="17">
        <v>1.6120000000000001</v>
      </c>
      <c r="X39" s="17">
        <v>1.7110000000000001</v>
      </c>
      <c r="Y39" s="17">
        <v>1.8169999999999999</v>
      </c>
      <c r="Z39" s="16">
        <v>1.9439372284168936</v>
      </c>
      <c r="AA39" s="16">
        <v>2.0596624324711144</v>
      </c>
      <c r="AB39" s="16">
        <v>2.1797389214240179</v>
      </c>
      <c r="AC39" s="16">
        <v>2.3035439071707531</v>
      </c>
      <c r="AD39" s="16">
        <v>2.4304427067652807</v>
      </c>
      <c r="AE39" s="16">
        <v>2.5603573795906081</v>
      </c>
      <c r="AF39" s="16">
        <v>2.6931296146592203</v>
      </c>
      <c r="AG39" s="16">
        <v>2.8286014014200003</v>
      </c>
      <c r="AH39" s="16">
        <v>2.9677411936778402</v>
      </c>
      <c r="AI39" s="16">
        <v>3.1121350735952071</v>
      </c>
    </row>
    <row r="40" spans="1:35" x14ac:dyDescent="0.25">
      <c r="A40" s="11"/>
      <c r="Q40" s="11"/>
      <c r="R40" s="11" t="s">
        <v>873</v>
      </c>
      <c r="S40" s="11"/>
      <c r="T40" s="11"/>
      <c r="U40" s="17">
        <v>0.253</v>
      </c>
      <c r="V40" s="17">
        <v>0.314</v>
      </c>
      <c r="W40" s="17">
        <v>0.33600000000000002</v>
      </c>
      <c r="X40" s="17">
        <v>0.36</v>
      </c>
      <c r="Y40" s="17">
        <v>0.38700000000000001</v>
      </c>
      <c r="Z40" s="16">
        <v>0.40498692258685287</v>
      </c>
      <c r="AA40" s="16">
        <v>0.4290963400981489</v>
      </c>
      <c r="AB40" s="16">
        <v>0.45411227529667048</v>
      </c>
      <c r="AC40" s="16">
        <v>0.47990498066057363</v>
      </c>
      <c r="AD40" s="16">
        <v>0.50634223057610017</v>
      </c>
      <c r="AE40" s="16">
        <v>0.53340778741471007</v>
      </c>
      <c r="AF40" s="16">
        <v>0.56106866972067093</v>
      </c>
      <c r="AG40" s="16">
        <v>0.58929195862916683</v>
      </c>
      <c r="AH40" s="16">
        <v>0.61827941534955011</v>
      </c>
      <c r="AI40" s="16">
        <v>0.64836147366566821</v>
      </c>
    </row>
    <row r="41" spans="1:35" x14ac:dyDescent="0.25">
      <c r="A41" s="11"/>
      <c r="Q41" s="11"/>
      <c r="R41" s="11" t="s">
        <v>868</v>
      </c>
      <c r="S41" s="11"/>
      <c r="T41" s="11"/>
      <c r="U41" s="17">
        <v>6.6360000000000001</v>
      </c>
      <c r="V41" s="17">
        <v>4.9329999999999998</v>
      </c>
      <c r="W41" s="17">
        <v>5.2549999999999999</v>
      </c>
      <c r="X41" s="17">
        <v>5.57</v>
      </c>
      <c r="Y41" s="17">
        <v>5.9210000000000003</v>
      </c>
      <c r="Z41" s="16">
        <v>6.2610978231927454</v>
      </c>
      <c r="AA41" s="16">
        <v>6.6338294179173811</v>
      </c>
      <c r="AB41" s="16">
        <v>7.0205757760865257</v>
      </c>
      <c r="AC41" s="16">
        <v>7.419331001012468</v>
      </c>
      <c r="AD41" s="16">
        <v>7.8280508847065082</v>
      </c>
      <c r="AE41" s="16">
        <v>8.2464843934314178</v>
      </c>
      <c r="AF41" s="16">
        <v>8.6741216338815725</v>
      </c>
      <c r="AG41" s="16">
        <v>9.1104536804069181</v>
      </c>
      <c r="AH41" s="16">
        <v>9.558599761304043</v>
      </c>
      <c r="AI41" s="16">
        <v>10.023668382871231</v>
      </c>
    </row>
    <row r="42" spans="1:35" x14ac:dyDescent="0.25">
      <c r="A42" s="11"/>
      <c r="Q42" s="11"/>
      <c r="R42" s="11" t="s">
        <v>468</v>
      </c>
      <c r="S42" s="11"/>
      <c r="T42" s="11"/>
      <c r="U42" s="17">
        <v>0</v>
      </c>
      <c r="V42" s="17">
        <v>0</v>
      </c>
      <c r="W42" s="17">
        <v>0</v>
      </c>
      <c r="X42" s="17">
        <v>0</v>
      </c>
      <c r="Y42" s="17">
        <v>0</v>
      </c>
      <c r="Z42" s="16">
        <v>0</v>
      </c>
      <c r="AA42" s="16">
        <v>0</v>
      </c>
      <c r="AB42" s="16">
        <v>0</v>
      </c>
      <c r="AC42" s="16">
        <v>0</v>
      </c>
      <c r="AD42" s="16">
        <v>0</v>
      </c>
      <c r="AE42" s="16">
        <v>0</v>
      </c>
      <c r="AF42" s="16">
        <v>0</v>
      </c>
      <c r="AG42" s="16">
        <v>0</v>
      </c>
      <c r="AH42" s="16">
        <v>0</v>
      </c>
      <c r="AI42" s="16">
        <v>0</v>
      </c>
    </row>
    <row r="43" spans="1:35" x14ac:dyDescent="0.25">
      <c r="A43" s="11"/>
      <c r="Q43" s="17"/>
      <c r="R43" s="42"/>
      <c r="S43" s="11"/>
      <c r="T43" s="42">
        <v>74.819000000000003</v>
      </c>
      <c r="U43" s="43">
        <v>82.397000000000006</v>
      </c>
      <c r="V43" s="43">
        <v>87.271000000000001</v>
      </c>
      <c r="W43" s="43">
        <v>92.451000000000008</v>
      </c>
      <c r="X43" s="43">
        <v>97.911000000000016</v>
      </c>
      <c r="Y43" s="43">
        <v>103.80700000000003</v>
      </c>
      <c r="Z43" s="47">
        <v>110.04173244988901</v>
      </c>
      <c r="AA43" s="47">
        <v>116.526450370145</v>
      </c>
      <c r="AB43" s="47">
        <v>123.23625054772475</v>
      </c>
      <c r="AC43" s="47">
        <v>130.12581409741324</v>
      </c>
      <c r="AD43" s="47">
        <v>137.17297917392995</v>
      </c>
      <c r="AE43" s="47">
        <v>144.39501884023107</v>
      </c>
      <c r="AF43" s="47">
        <v>151.75197716755147</v>
      </c>
      <c r="AG43" s="47">
        <v>159.27288073316956</v>
      </c>
      <c r="AH43" s="47">
        <v>167.03988610753686</v>
      </c>
      <c r="AI43" s="47">
        <v>175.14583873153487</v>
      </c>
    </row>
  </sheetData>
  <phoneticPr fontId="39" type="noConversion"/>
  <hyperlinks>
    <hyperlink ref="E2" r:id="rId1" xr:uid="{4907A375-8AAD-408A-876B-4E3234F4438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A6CC-FB6F-4D47-9C08-3E1641074802}">
  <dimension ref="A1:G40"/>
  <sheetViews>
    <sheetView workbookViewId="0">
      <selection activeCell="L25" sqref="L25"/>
    </sheetView>
  </sheetViews>
  <sheetFormatPr defaultRowHeight="15" x14ac:dyDescent="0.25"/>
  <cols>
    <col min="1" max="1" width="57.7109375" style="11" customWidth="1"/>
    <col min="3" max="7" width="10.7109375" customWidth="1"/>
  </cols>
  <sheetData>
    <row r="1" spans="1:7" x14ac:dyDescent="0.25">
      <c r="A1" s="9" t="s">
        <v>1172</v>
      </c>
    </row>
    <row r="2" spans="1:7" x14ac:dyDescent="0.25">
      <c r="A2" s="10" t="s">
        <v>1173</v>
      </c>
    </row>
    <row r="3" spans="1:7" x14ac:dyDescent="0.25">
      <c r="C3" s="11"/>
      <c r="D3" s="9" t="s">
        <v>1196</v>
      </c>
      <c r="E3" s="11"/>
      <c r="F3" s="11"/>
      <c r="G3" s="11"/>
    </row>
    <row r="4" spans="1:7" x14ac:dyDescent="0.25">
      <c r="A4" s="9" t="s">
        <v>3</v>
      </c>
      <c r="C4" s="13" t="s">
        <v>43</v>
      </c>
      <c r="D4" s="13" t="s">
        <v>44</v>
      </c>
      <c r="E4" s="13" t="s">
        <v>45</v>
      </c>
      <c r="F4" s="13" t="s">
        <v>46</v>
      </c>
      <c r="G4" s="13" t="s">
        <v>47</v>
      </c>
    </row>
    <row r="5" spans="1:7" x14ac:dyDescent="0.25">
      <c r="C5" s="9">
        <v>2025</v>
      </c>
      <c r="D5" s="9">
        <v>2026</v>
      </c>
      <c r="E5" s="9">
        <v>2027</v>
      </c>
      <c r="F5" s="9">
        <v>2028</v>
      </c>
      <c r="G5" s="9">
        <v>2029</v>
      </c>
    </row>
    <row r="6" spans="1:7" x14ac:dyDescent="0.25">
      <c r="A6" s="98" t="s">
        <v>892</v>
      </c>
      <c r="C6" s="79">
        <f ca="1">OFFSET('Fiscal Forecasts'!$B$173,0,C$5-'Fiscal Forecasts'!$E$7+3)/AVERAGE(OFFSET('Fiscal Forecasts'!$B$147,0,C$5-'Fiscal Forecasts'!$E$7+2),OFFSET('Fiscal Forecasts'!$B$147,0,C$5-'Fiscal Forecasts'!$E$7+3))</f>
        <v>3.8343495075296663E-2</v>
      </c>
      <c r="D6" s="79">
        <f ca="1">OFFSET('Fiscal Forecasts'!$B$173,0,D$5-'Fiscal Forecasts'!$E$7+3)/AVERAGE(OFFSET('Fiscal Forecasts'!$B$147,0,D$5-'Fiscal Forecasts'!$E$7+2),OFFSET('Fiscal Forecasts'!$B$147,0,D$5-'Fiscal Forecasts'!$E$7+3))</f>
        <v>3.7205209433298136E-2</v>
      </c>
      <c r="E6" s="79">
        <f ca="1">OFFSET('Fiscal Forecasts'!$B$173,0,E$5-'Fiscal Forecasts'!$E$7+3)/AVERAGE(OFFSET('Fiscal Forecasts'!$B$147,0,E$5-'Fiscal Forecasts'!$E$7+2),OFFSET('Fiscal Forecasts'!$B$147,0,E$5-'Fiscal Forecasts'!$E$7+3))</f>
        <v>3.8369992986638277E-2</v>
      </c>
      <c r="F6" s="79">
        <f ca="1">OFFSET('Fiscal Forecasts'!$B$173,0,F$5-'Fiscal Forecasts'!$E$7+3)/AVERAGE(OFFSET('Fiscal Forecasts'!$B$147,0,F$5-'Fiscal Forecasts'!$E$7+2),OFFSET('Fiscal Forecasts'!$B$147,0,F$5-'Fiscal Forecasts'!$E$7+3))</f>
        <v>4.062969292113304E-2</v>
      </c>
      <c r="G6" s="79">
        <f ca="1">OFFSET('Fiscal Forecasts'!$B$173,0,G$5-'Fiscal Forecasts'!$E$7+3)/AVERAGE(OFFSET('Fiscal Forecasts'!$B$147,0,G$5-'Fiscal Forecasts'!$E$7+2),OFFSET('Fiscal Forecasts'!$B$147,0,G$5-'Fiscal Forecasts'!$E$7+3))</f>
        <v>4.2253286348194551E-2</v>
      </c>
    </row>
    <row r="7" spans="1:7" x14ac:dyDescent="0.25">
      <c r="A7" s="9" t="s">
        <v>1174</v>
      </c>
    </row>
    <row r="8" spans="1:7" x14ac:dyDescent="0.25">
      <c r="A8" s="11" t="s">
        <v>695</v>
      </c>
      <c r="C8" s="46">
        <v>0</v>
      </c>
      <c r="D8" s="46">
        <v>0</v>
      </c>
      <c r="E8" s="46">
        <v>0</v>
      </c>
      <c r="F8" s="46">
        <v>0</v>
      </c>
      <c r="G8" s="46">
        <v>0</v>
      </c>
    </row>
    <row r="9" spans="1:7" x14ac:dyDescent="0.25">
      <c r="A9" s="11" t="s">
        <v>1175</v>
      </c>
      <c r="C9" s="46">
        <v>0</v>
      </c>
      <c r="D9" s="46">
        <v>0</v>
      </c>
      <c r="E9" s="46">
        <v>0</v>
      </c>
      <c r="F9" s="46">
        <v>0</v>
      </c>
      <c r="G9" s="46">
        <v>0</v>
      </c>
    </row>
    <row r="10" spans="1:7" x14ac:dyDescent="0.25">
      <c r="A10" s="11" t="s">
        <v>697</v>
      </c>
      <c r="C10" s="46">
        <v>0</v>
      </c>
      <c r="D10" s="46">
        <v>0</v>
      </c>
      <c r="E10" s="46">
        <v>0</v>
      </c>
      <c r="F10" s="46">
        <v>0</v>
      </c>
      <c r="G10" s="46">
        <v>0</v>
      </c>
    </row>
    <row r="11" spans="1:7" x14ac:dyDescent="0.25">
      <c r="A11" s="11" t="s">
        <v>1176</v>
      </c>
      <c r="C11" s="46">
        <v>0</v>
      </c>
      <c r="D11" s="46">
        <v>0</v>
      </c>
      <c r="E11" s="46">
        <v>0</v>
      </c>
      <c r="F11" s="46">
        <v>0</v>
      </c>
      <c r="G11" s="46">
        <v>0</v>
      </c>
    </row>
    <row r="12" spans="1:7" x14ac:dyDescent="0.25">
      <c r="A12" s="11" t="s">
        <v>699</v>
      </c>
      <c r="C12" s="46">
        <v>0</v>
      </c>
      <c r="D12" s="46">
        <v>0</v>
      </c>
      <c r="E12" s="46">
        <v>0</v>
      </c>
      <c r="F12" s="46">
        <v>0</v>
      </c>
      <c r="G12" s="46">
        <v>0</v>
      </c>
    </row>
    <row r="13" spans="1:7" x14ac:dyDescent="0.25">
      <c r="A13" s="11" t="s">
        <v>1177</v>
      </c>
      <c r="C13" s="46">
        <v>0</v>
      </c>
      <c r="D13" s="46">
        <v>0</v>
      </c>
      <c r="E13" s="46">
        <v>0</v>
      </c>
      <c r="F13" s="46">
        <v>0</v>
      </c>
      <c r="G13" s="46">
        <v>0</v>
      </c>
    </row>
    <row r="14" spans="1:7" x14ac:dyDescent="0.25">
      <c r="A14" s="9" t="s">
        <v>1178</v>
      </c>
      <c r="C14" s="99">
        <f>SUM(C$8:C$13)</f>
        <v>0</v>
      </c>
      <c r="D14" s="99">
        <f>SUM(D$8:D$13)</f>
        <v>0</v>
      </c>
      <c r="E14" s="99">
        <f>SUM(E$8:E$13)</f>
        <v>0</v>
      </c>
      <c r="F14" s="99">
        <f>SUM(F$8:F$13)</f>
        <v>0</v>
      </c>
      <c r="G14" s="99">
        <f>SUM(G$8:G$13)</f>
        <v>0</v>
      </c>
    </row>
    <row r="15" spans="1:7" x14ac:dyDescent="0.25">
      <c r="A15" s="9" t="s">
        <v>1179</v>
      </c>
      <c r="C15" s="22"/>
      <c r="D15" s="43"/>
      <c r="E15" s="43"/>
      <c r="F15" s="43"/>
      <c r="G15" s="43"/>
    </row>
    <row r="16" spans="1:7" x14ac:dyDescent="0.25">
      <c r="A16" s="11" t="s">
        <v>1180</v>
      </c>
      <c r="C16" s="46">
        <v>0</v>
      </c>
      <c r="D16" s="46">
        <v>0</v>
      </c>
      <c r="E16" s="46">
        <v>0</v>
      </c>
      <c r="F16" s="46">
        <v>0</v>
      </c>
      <c r="G16" s="46">
        <v>0</v>
      </c>
    </row>
    <row r="17" spans="1:7" x14ac:dyDescent="0.25">
      <c r="A17" s="11" t="s">
        <v>715</v>
      </c>
      <c r="C17" s="46">
        <v>0</v>
      </c>
      <c r="D17" s="46">
        <v>0</v>
      </c>
      <c r="E17" s="46">
        <v>0</v>
      </c>
      <c r="F17" s="46">
        <v>0</v>
      </c>
      <c r="G17" s="46">
        <v>0</v>
      </c>
    </row>
    <row r="18" spans="1:7" x14ac:dyDescent="0.25">
      <c r="A18" s="11" t="s">
        <v>716</v>
      </c>
      <c r="C18" s="46">
        <v>0</v>
      </c>
      <c r="D18" s="46">
        <v>0</v>
      </c>
      <c r="E18" s="46">
        <v>0</v>
      </c>
      <c r="F18" s="46">
        <v>0</v>
      </c>
      <c r="G18" s="46">
        <v>0</v>
      </c>
    </row>
    <row r="19" spans="1:7" x14ac:dyDescent="0.25">
      <c r="A19" s="11" t="s">
        <v>717</v>
      </c>
      <c r="C19" s="46">
        <v>0</v>
      </c>
      <c r="D19" s="46">
        <v>0</v>
      </c>
      <c r="E19" s="46">
        <v>0</v>
      </c>
      <c r="F19" s="46">
        <v>0</v>
      </c>
      <c r="G19" s="46">
        <v>0</v>
      </c>
    </row>
    <row r="20" spans="1:7" x14ac:dyDescent="0.25">
      <c r="A20" s="11" t="s">
        <v>718</v>
      </c>
      <c r="C20" s="46">
        <v>0</v>
      </c>
      <c r="D20" s="46">
        <v>0</v>
      </c>
      <c r="E20" s="46">
        <v>0</v>
      </c>
      <c r="F20" s="46">
        <v>0</v>
      </c>
      <c r="G20" s="46">
        <v>0</v>
      </c>
    </row>
    <row r="21" spans="1:7" x14ac:dyDescent="0.25">
      <c r="A21" s="11" t="s">
        <v>719</v>
      </c>
      <c r="C21" s="46">
        <v>0</v>
      </c>
      <c r="D21" s="46">
        <v>0</v>
      </c>
      <c r="E21" s="46">
        <v>0</v>
      </c>
      <c r="F21" s="46">
        <v>0</v>
      </c>
      <c r="G21" s="46">
        <v>0</v>
      </c>
    </row>
    <row r="22" spans="1:7" x14ac:dyDescent="0.25">
      <c r="A22" s="11" t="s">
        <v>720</v>
      </c>
      <c r="C22" s="46">
        <v>0</v>
      </c>
      <c r="D22" s="46">
        <v>0</v>
      </c>
      <c r="E22" s="46">
        <v>0</v>
      </c>
      <c r="F22" s="46">
        <v>0</v>
      </c>
      <c r="G22" s="46">
        <v>0</v>
      </c>
    </row>
    <row r="23" spans="1:7" x14ac:dyDescent="0.25">
      <c r="A23" s="11" t="s">
        <v>721</v>
      </c>
      <c r="C23" s="46">
        <v>0</v>
      </c>
      <c r="D23" s="46">
        <v>0</v>
      </c>
      <c r="E23" s="46">
        <v>0</v>
      </c>
      <c r="F23" s="46">
        <v>0</v>
      </c>
      <c r="G23" s="46">
        <v>0</v>
      </c>
    </row>
    <row r="24" spans="1:7" x14ac:dyDescent="0.25">
      <c r="A24" s="11" t="s">
        <v>952</v>
      </c>
      <c r="C24" s="46">
        <v>0</v>
      </c>
      <c r="D24" s="46">
        <v>0</v>
      </c>
      <c r="E24" s="46">
        <v>0</v>
      </c>
      <c r="F24" s="46">
        <v>0</v>
      </c>
      <c r="G24" s="46">
        <v>0</v>
      </c>
    </row>
    <row r="25" spans="1:7" x14ac:dyDescent="0.25">
      <c r="A25" s="9" t="s">
        <v>1181</v>
      </c>
      <c r="C25" s="99">
        <f>SUM(C$16:C$24)</f>
        <v>0</v>
      </c>
      <c r="D25" s="99">
        <f>SUM(D$16:D$24)</f>
        <v>0</v>
      </c>
      <c r="E25" s="99">
        <f>SUM(E$16:E$24)</f>
        <v>0</v>
      </c>
      <c r="F25" s="99">
        <f>SUM(F$16:F$24)</f>
        <v>0</v>
      </c>
      <c r="G25" s="99">
        <f>SUM(G$16:G$24)</f>
        <v>0</v>
      </c>
    </row>
    <row r="26" spans="1:7" x14ac:dyDescent="0.25">
      <c r="A26" s="9" t="s">
        <v>1182</v>
      </c>
      <c r="C26" s="99">
        <f>C$12</f>
        <v>0</v>
      </c>
      <c r="D26" s="99">
        <f t="shared" ref="D26:G26" si="0">D$12</f>
        <v>0</v>
      </c>
      <c r="E26" s="99">
        <f t="shared" si="0"/>
        <v>0</v>
      </c>
      <c r="F26" s="99">
        <f t="shared" si="0"/>
        <v>0</v>
      </c>
      <c r="G26" s="99">
        <f t="shared" si="0"/>
        <v>0</v>
      </c>
    </row>
    <row r="27" spans="1:7" x14ac:dyDescent="0.25">
      <c r="A27" s="9" t="s">
        <v>1183</v>
      </c>
      <c r="C27" s="11"/>
      <c r="D27" s="11"/>
      <c r="E27" s="11"/>
      <c r="F27" s="11"/>
      <c r="G27" s="11"/>
    </row>
    <row r="28" spans="1:7" x14ac:dyDescent="0.25">
      <c r="A28" s="11" t="s">
        <v>1184</v>
      </c>
      <c r="C28" s="46">
        <v>0</v>
      </c>
      <c r="D28" s="46">
        <v>0</v>
      </c>
      <c r="E28" s="46">
        <v>0</v>
      </c>
      <c r="F28" s="46">
        <v>0</v>
      </c>
      <c r="G28" s="46">
        <v>0</v>
      </c>
    </row>
    <row r="29" spans="1:7" x14ac:dyDescent="0.25">
      <c r="A29" s="11" t="s">
        <v>1185</v>
      </c>
      <c r="C29" s="99">
        <f>SUM($B$28:C$28)</f>
        <v>0</v>
      </c>
      <c r="D29" s="99">
        <f>SUM($B$28:D$28)</f>
        <v>0</v>
      </c>
      <c r="E29" s="99">
        <f>SUM($B$28:E$28)</f>
        <v>0</v>
      </c>
      <c r="F29" s="99">
        <f>SUM($B$28:F$28)</f>
        <v>0</v>
      </c>
      <c r="G29" s="99">
        <f>SUM($B$28:G$28)</f>
        <v>0</v>
      </c>
    </row>
    <row r="30" spans="1:7" x14ac:dyDescent="0.25">
      <c r="A30" s="11" t="s">
        <v>1186</v>
      </c>
      <c r="C30" s="46">
        <v>0</v>
      </c>
      <c r="D30" s="46">
        <v>0</v>
      </c>
      <c r="E30" s="46">
        <v>0</v>
      </c>
      <c r="F30" s="46">
        <v>0</v>
      </c>
      <c r="G30" s="46">
        <v>0</v>
      </c>
    </row>
    <row r="31" spans="1:7" x14ac:dyDescent="0.25">
      <c r="A31" s="11" t="s">
        <v>1187</v>
      </c>
      <c r="C31" s="99">
        <f>SUM($B$30:C$30)</f>
        <v>0</v>
      </c>
      <c r="D31" s="99">
        <f>SUM($B$30:D$30)</f>
        <v>0</v>
      </c>
      <c r="E31" s="99">
        <f>SUM($B$30:E$30)</f>
        <v>0</v>
      </c>
      <c r="F31" s="99">
        <f>SUM($B$30:F$30)</f>
        <v>0</v>
      </c>
      <c r="G31" s="99">
        <f>SUM($B$30:G$30)</f>
        <v>0</v>
      </c>
    </row>
    <row r="32" spans="1:7" x14ac:dyDescent="0.25">
      <c r="C32" s="11"/>
      <c r="D32" s="11"/>
      <c r="E32" s="11"/>
      <c r="F32" s="11"/>
      <c r="G32" s="11"/>
    </row>
    <row r="33" spans="1:7" x14ac:dyDescent="0.25">
      <c r="A33" s="12" t="s">
        <v>1188</v>
      </c>
      <c r="C33" s="11"/>
      <c r="D33" s="11"/>
      <c r="E33" s="11"/>
      <c r="F33" s="11"/>
      <c r="G33" s="11"/>
    </row>
    <row r="34" spans="1:7" x14ac:dyDescent="0.25">
      <c r="A34" s="11" t="s">
        <v>1189</v>
      </c>
      <c r="C34" s="22">
        <f ca="1">ROUND(C$6*C$38/2,0)</f>
        <v>0</v>
      </c>
      <c r="D34" s="22">
        <f t="shared" ref="D34:G34" ca="1" si="1">ROUND(D$6*D$38/2,0)</f>
        <v>0</v>
      </c>
      <c r="E34" s="22">
        <f t="shared" ca="1" si="1"/>
        <v>0</v>
      </c>
      <c r="F34" s="22">
        <f t="shared" ca="1" si="1"/>
        <v>0</v>
      </c>
      <c r="G34" s="22">
        <f t="shared" ca="1" si="1"/>
        <v>0</v>
      </c>
    </row>
    <row r="35" spans="1:7" x14ac:dyDescent="0.25">
      <c r="A35" s="11" t="s">
        <v>1190</v>
      </c>
      <c r="C35" s="22">
        <f ca="1">ROUND(C$6*C$34/2,0)</f>
        <v>0</v>
      </c>
      <c r="D35" s="22">
        <f ca="1">ROUND(D$6*D$34/2,0)</f>
        <v>0</v>
      </c>
      <c r="E35" s="22">
        <f ca="1">ROUND(E$6*E$34/2,0)</f>
        <v>0</v>
      </c>
      <c r="F35" s="22">
        <f ca="1">ROUND(F$6*F$34/2,0)</f>
        <v>0</v>
      </c>
      <c r="G35" s="22">
        <f ca="1">ROUND(G$6*G$34/2,0)</f>
        <v>0</v>
      </c>
    </row>
    <row r="36" spans="1:7" x14ac:dyDescent="0.25">
      <c r="A36" s="11" t="s">
        <v>1191</v>
      </c>
      <c r="C36" s="22">
        <f ca="1">ROUND(C$6*SUM($B$39:B$39),0)</f>
        <v>0</v>
      </c>
      <c r="D36" s="22">
        <f ca="1">ROUND(D$6*SUM($B$39:C$39),0)</f>
        <v>0</v>
      </c>
      <c r="E36" s="22">
        <f ca="1">ROUND(E$6*SUM($B$39:D$39),0)</f>
        <v>0</v>
      </c>
      <c r="F36" s="22">
        <f ca="1">ROUND(F$6*SUM($B$39:E$39),0)</f>
        <v>0</v>
      </c>
      <c r="G36" s="22">
        <f ca="1">ROUND(G$6*SUM($B$39:F$39),0)</f>
        <v>0</v>
      </c>
    </row>
    <row r="37" spans="1:7" x14ac:dyDescent="0.25">
      <c r="A37" s="9" t="s">
        <v>1192</v>
      </c>
      <c r="C37" s="99">
        <f ca="1">SUM(C$34:C$36)</f>
        <v>0</v>
      </c>
      <c r="D37" s="99">
        <f ca="1">SUM(D$34:D$36)</f>
        <v>0</v>
      </c>
      <c r="E37" s="99">
        <f ca="1">SUM(E$34:E$36)</f>
        <v>0</v>
      </c>
      <c r="F37" s="99">
        <f ca="1">SUM(F$34:F$36)</f>
        <v>0</v>
      </c>
      <c r="G37" s="99">
        <f ca="1">SUM(G$34:G$36)</f>
        <v>0</v>
      </c>
    </row>
    <row r="38" spans="1:7" x14ac:dyDescent="0.25">
      <c r="A38" s="11" t="s">
        <v>1193</v>
      </c>
      <c r="C38" s="22">
        <f>SUM(-C$14,C$25,C$26,C$29,C$31-B$31)</f>
        <v>0</v>
      </c>
      <c r="D38" s="22">
        <f t="shared" ref="D38:G38" si="2">SUM(-D$14,D$25,D$26,D$29,D$31-C$31)</f>
        <v>0</v>
      </c>
      <c r="E38" s="22">
        <f t="shared" si="2"/>
        <v>0</v>
      </c>
      <c r="F38" s="22">
        <f t="shared" si="2"/>
        <v>0</v>
      </c>
      <c r="G38" s="22">
        <f t="shared" si="2"/>
        <v>0</v>
      </c>
    </row>
    <row r="39" spans="1:7" x14ac:dyDescent="0.25">
      <c r="A39" s="11" t="s">
        <v>1194</v>
      </c>
      <c r="C39" s="22">
        <f ca="1">SUM(C$37,C$38)</f>
        <v>0</v>
      </c>
      <c r="D39" s="22">
        <f ca="1">SUM(D$37,D$38)</f>
        <v>0</v>
      </c>
      <c r="E39" s="22">
        <f ca="1">SUM(E$37,E$38)</f>
        <v>0</v>
      </c>
      <c r="F39" s="22">
        <f ca="1">SUM(F$37,F$38)</f>
        <v>0</v>
      </c>
      <c r="G39" s="22">
        <f ca="1">SUM(G$37,G$38)</f>
        <v>0</v>
      </c>
    </row>
    <row r="40" spans="1:7" x14ac:dyDescent="0.25">
      <c r="A40" s="9" t="s">
        <v>1195</v>
      </c>
      <c r="C40" s="99">
        <f ca="1">SUM($B$39:C$39)</f>
        <v>0</v>
      </c>
      <c r="D40" s="99">
        <f ca="1">SUM($B$39:D$39)</f>
        <v>0</v>
      </c>
      <c r="E40" s="99">
        <f ca="1">SUM($B$39:E$39)</f>
        <v>0</v>
      </c>
      <c r="F40" s="99">
        <f ca="1">SUM($B$39:F$39)</f>
        <v>0</v>
      </c>
      <c r="G40" s="99">
        <f ca="1">SUM($B$39:G$39)</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Display</vt:lpstr>
      <vt:lpstr>Guide</vt:lpstr>
      <vt:lpstr>Sources</vt:lpstr>
      <vt:lpstr>Statistics NZ</vt:lpstr>
      <vt:lpstr>Population Treasury</vt:lpstr>
      <vt:lpstr>Labour Force Treasury</vt:lpstr>
      <vt:lpstr>Exogenous</vt:lpstr>
      <vt:lpstr>NZSF Adjuster</vt:lpstr>
      <vt:lpstr>Fiscal Forecast Adjuster</vt:lpstr>
      <vt:lpstr>Allocation</vt:lpstr>
      <vt:lpstr>Fiscal Outturns</vt:lpstr>
      <vt:lpstr>Economic Forecasts</vt:lpstr>
      <vt:lpstr>Fiscal Forecasts</vt:lpstr>
      <vt:lpstr>Assumptions</vt:lpstr>
      <vt:lpstr>Scenario 1</vt:lpstr>
      <vt:lpstr>Scenario 2</vt:lpstr>
      <vt:lpstr>Scenario 3</vt:lpstr>
      <vt:lpstr>Scenario 4</vt:lpstr>
      <vt:lpstr>Option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Fiscal Strategy Model - BEFU 2025 - 22 May 2025</dc:title>
  <dc:creator>New Zealand Treasury</dc:creator>
  <cp:lastPrinted>2024-12-22T23:59:56Z</cp:lastPrinted>
  <dcterms:created xsi:type="dcterms:W3CDTF">2024-04-28T21:42:44Z</dcterms:created>
  <dcterms:modified xsi:type="dcterms:W3CDTF">2025-05-20T19:32:22Z</dcterms:modified>
</cp:coreProperties>
</file>